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hidePivotFieldList="1" defaultThemeVersion="124226"/>
  <mc:AlternateContent xmlns:mc="http://schemas.openxmlformats.org/markup-compatibility/2006">
    <mc:Choice Requires="x15">
      <x15ac:absPath xmlns:x15ac="http://schemas.microsoft.com/office/spreadsheetml/2010/11/ac" url="C:\Users\natis\Downloads\"/>
    </mc:Choice>
  </mc:AlternateContent>
  <xr:revisionPtr revIDLastSave="0" documentId="13_ncr:1_{E8C96682-98AD-4938-821A-37C4F6FAA48A}" xr6:coauthVersionLast="47" xr6:coauthVersionMax="47" xr10:uidLastSave="{00000000-0000-0000-0000-000000000000}"/>
  <bookViews>
    <workbookView xWindow="-120" yWindow="-120" windowWidth="20730" windowHeight="11040" tabRatio="933" activeTab="3" xr2:uid="{00000000-000D-0000-FFFF-FFFF00000000}"/>
  </bookViews>
  <sheets>
    <sheet name="Intructivo" sheetId="20" r:id="rId1"/>
    <sheet name="DOFA " sheetId="27" r:id="rId2"/>
    <sheet name="Revisión DOFA" sheetId="21" state="hidden" r:id="rId3"/>
    <sheet name="Mapa riesgos" sheetId="1" r:id="rId4"/>
    <sheet name="Matriz Calor Inherente" sheetId="18" r:id="rId5"/>
    <sheet name="Matriz Calor Residual" sheetId="19" r:id="rId6"/>
    <sheet name="Tabla probabilidad" sheetId="12" r:id="rId7"/>
    <sheet name="Tabla Impacto" sheetId="13" r:id="rId8"/>
    <sheet name="Impacto Corrupción " sheetId="22" r:id="rId9"/>
    <sheet name="Tipo de riesgos" sheetId="23" r:id="rId10"/>
    <sheet name="Amenazas" sheetId="28" r:id="rId11"/>
    <sheet name="Ejemplos de riesgos" sheetId="26" r:id="rId12"/>
    <sheet name="Tabla Valoración controles" sheetId="15" r:id="rId13"/>
    <sheet name="Opciones Tratamiento" sheetId="16" state="hidden" r:id="rId14"/>
    <sheet name="Hoja1" sheetId="11" state="hidden" r:id="rId15"/>
  </sheets>
  <externalReferences>
    <externalReference r:id="rId16"/>
    <externalReference r:id="rId17"/>
    <externalReference r:id="rId18"/>
    <externalReference r:id="rId19"/>
  </externalReferences>
  <definedNames>
    <definedName name="_xlnm.Print_Area" localSheetId="1">'DOFA '!$B$8:$E$17</definedName>
    <definedName name="_xlnm.Print_Area" localSheetId="8">'Impacto Corrupción '!$A$1:$G$26</definedName>
    <definedName name="_xlnm.Print_Area" localSheetId="3">'Mapa riesgos'!$A$1:$AP$16</definedName>
    <definedName name="clasificaciónriesgos">#REF!</definedName>
    <definedName name="códigos">#REF!</definedName>
    <definedName name="Direccionamiento_Estratégico">#REF!</definedName>
    <definedName name="económicos">#REF!</definedName>
    <definedName name="externo">#REF!</definedName>
    <definedName name="externos2">#REF!</definedName>
    <definedName name="factores">#REF!</definedName>
    <definedName name="impacto" localSheetId="8">#REF!</definedName>
    <definedName name="impactoco">#REF!</definedName>
    <definedName name="infraestructura">#REF!</definedName>
    <definedName name="interno">#REF!</definedName>
    <definedName name="macroprocesos">#REF!</definedName>
    <definedName name="medio_ambientales">#REF!</definedName>
    <definedName name="opciondelriesgo" localSheetId="8">[1]FORMULAS!$K$4:$K$7</definedName>
    <definedName name="opciondelriesgo">[2]FORMULAS!$K$4:$K$7</definedName>
    <definedName name="personal">#REF!</definedName>
    <definedName name="políticos">#REF!</definedName>
    <definedName name="probabilidad" localSheetId="8">#REF!</definedName>
    <definedName name="probabilidad">[2]FORMULAS!$G$4:$G$8</definedName>
    <definedName name="proceso">#REF!</definedName>
    <definedName name="procesos" localSheetId="8">#REF!</definedName>
    <definedName name="procesos">[2]FORMULAS!$B$4:$B$21</definedName>
    <definedName name="sociales">#REF!</definedName>
    <definedName name="tecnología">#REF!</definedName>
    <definedName name="tecnológicos">#REF!</definedName>
    <definedName name="tipo_de_amenaza" localSheetId="8">[1]FORMULAS!$E$4:$E$11</definedName>
    <definedName name="tipo_de_amenaza">[2]FORMULAS!$E$4:$E$11</definedName>
    <definedName name="tipo_de_riesgos" localSheetId="8">[1]FORMULAS!$C$4:$C$6</definedName>
    <definedName name="tipo_de_riesgos">[2]FORMULAS!$C$4:$C$6</definedName>
    <definedName name="_xlnm.Print_Titles" localSheetId="1">'DOFA '!$9:$9</definedName>
    <definedName name="_xlnm.Print_Titles" localSheetId="3">'Mapa riesgos'!$1:$8</definedName>
  </definedNames>
  <calcPr calcId="191029"/>
  <pivotCaches>
    <pivotCache cacheId="0" r:id="rId20"/>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Y14" i="1" l="1"/>
  <c r="Y13" i="1"/>
  <c r="V13" i="1"/>
  <c r="Y16" i="1" l="1"/>
  <c r="Y15" i="1"/>
  <c r="P15" i="1"/>
  <c r="Q15" i="1" s="1"/>
  <c r="R15" i="1" s="1"/>
  <c r="AG15" i="1" s="1"/>
  <c r="M15" i="1"/>
  <c r="N15" i="1" s="1"/>
  <c r="V14" i="1"/>
  <c r="P13" i="1"/>
  <c r="Q13" i="1" s="1"/>
  <c r="R13" i="1" s="1"/>
  <c r="M13" i="1"/>
  <c r="N13" i="1" s="1"/>
  <c r="AF15" i="1" l="1"/>
  <c r="AG16" i="1"/>
  <c r="AF16" i="1" s="1"/>
  <c r="AG13" i="1"/>
  <c r="AF13" i="1" s="1"/>
  <c r="AC15" i="1"/>
  <c r="AC13" i="1"/>
  <c r="P16" i="1"/>
  <c r="P14" i="1"/>
  <c r="AG14" i="1" l="1"/>
  <c r="AF14" i="1" s="1"/>
  <c r="S13" i="1"/>
  <c r="AD13" i="1"/>
  <c r="AH13" i="1" s="1"/>
  <c r="AE13" i="1"/>
  <c r="AC14" i="1" s="1"/>
  <c r="S15" i="1"/>
  <c r="AE15" i="1"/>
  <c r="AC16" i="1" s="1"/>
  <c r="AD15" i="1"/>
  <c r="AH15" i="1" s="1"/>
  <c r="AE14" i="1" l="1"/>
  <c r="AD14" i="1"/>
  <c r="AH14" i="1" s="1"/>
  <c r="AE16" i="1"/>
  <c r="AD16" i="1"/>
  <c r="AH16" i="1" s="1"/>
  <c r="W8" i="1" l="1"/>
  <c r="W7" i="1"/>
  <c r="W6" i="1"/>
  <c r="E24" i="22" l="1"/>
  <c r="E8" i="13"/>
  <c r="E7" i="13"/>
  <c r="E6" i="13"/>
  <c r="E5" i="13"/>
  <c r="P18" i="1"/>
  <c r="P19" i="1"/>
  <c r="P22" i="1"/>
  <c r="P20" i="1"/>
  <c r="P21" i="1"/>
  <c r="F222" i="13" l="1"/>
  <c r="F212" i="13"/>
  <c r="F213" i="13"/>
  <c r="F214" i="13"/>
  <c r="F215" i="13"/>
  <c r="F216" i="13"/>
  <c r="F217" i="13"/>
  <c r="F218" i="13"/>
  <c r="F219" i="13"/>
  <c r="F220" i="13"/>
  <c r="F221" i="13"/>
  <c r="F211" i="13"/>
  <c r="B222" i="13" a="1"/>
  <c r="B222" i="13" l="1"/>
  <c r="AL44" i="18" l="1"/>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1" i="13"/>
  <c r="Y22" i="1" l="1"/>
  <c r="V22" i="1"/>
  <c r="Y21" i="1"/>
  <c r="V21" i="1"/>
  <c r="Y20" i="1"/>
  <c r="V20" i="1"/>
  <c r="Y19" i="1"/>
  <c r="V19" i="1"/>
  <c r="Y18" i="1"/>
  <c r="V18" i="1"/>
  <c r="Y17" i="1"/>
  <c r="V17" i="1"/>
  <c r="M17" i="1"/>
  <c r="N17" i="1" s="1"/>
  <c r="AC17" i="1" l="1"/>
  <c r="AD17" i="1" l="1"/>
  <c r="AE17" i="1"/>
  <c r="AC18" i="1" s="1"/>
  <c r="AE18" i="1" s="1"/>
  <c r="AC19" i="1" s="1"/>
  <c r="AD19" i="1" s="1"/>
  <c r="AD18" i="1" l="1"/>
  <c r="AE19"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C21" i="1" l="1"/>
  <c r="AD21" i="1" s="1"/>
  <c r="AC20" i="1"/>
  <c r="AD20" i="1" l="1"/>
  <c r="AE20" i="1"/>
  <c r="AE21" i="1"/>
  <c r="AC22" i="1" s="1"/>
  <c r="AD22" i="1" l="1"/>
  <c r="AE22" i="1"/>
  <c r="AG17" i="1" l="1"/>
  <c r="AF17" i="1" s="1"/>
  <c r="AG18" i="1" l="1"/>
  <c r="AF18" i="1" s="1"/>
  <c r="J40" i="19"/>
  <c r="V30" i="19"/>
  <c r="AH20" i="19"/>
  <c r="J30" i="19"/>
  <c r="V20" i="19"/>
  <c r="AH10" i="19"/>
  <c r="P10" i="19"/>
  <c r="AB50" i="19"/>
  <c r="J50" i="19"/>
  <c r="AB40" i="19"/>
  <c r="P30" i="19"/>
  <c r="V50" i="19"/>
  <c r="P50" i="19"/>
  <c r="AB10" i="19"/>
  <c r="AH30" i="19"/>
  <c r="AH40" i="19"/>
  <c r="J10" i="19"/>
  <c r="AB20" i="19"/>
  <c r="AH50" i="19"/>
  <c r="V10" i="19"/>
  <c r="P20" i="19"/>
  <c r="J20" i="19"/>
  <c r="P40" i="19"/>
  <c r="V40" i="19"/>
  <c r="AB30" i="19"/>
  <c r="J11" i="19"/>
  <c r="V11" i="19"/>
  <c r="AB21" i="19"/>
  <c r="P31" i="19"/>
  <c r="J31" i="19"/>
  <c r="AB41" i="19"/>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J36" i="19"/>
  <c r="J46" i="19"/>
  <c r="J47" i="19"/>
  <c r="V27" i="19"/>
  <c r="AH7" i="19"/>
  <c r="P47" i="19"/>
  <c r="AB27" i="19"/>
  <c r="J17" i="19"/>
  <c r="V47" i="19"/>
  <c r="J37" i="19"/>
  <c r="AB37" i="19"/>
  <c r="J27" i="19"/>
  <c r="V7" i="19"/>
  <c r="AH37" i="19"/>
  <c r="P27" i="19"/>
  <c r="AB7" i="19"/>
  <c r="P17" i="19"/>
  <c r="V17" i="19"/>
  <c r="AH47" i="19"/>
  <c r="P37" i="19"/>
  <c r="AB17" i="19"/>
  <c r="J7" i="19"/>
  <c r="V37" i="19"/>
  <c r="AH17" i="19"/>
  <c r="P7" i="19"/>
  <c r="AH27" i="19"/>
  <c r="AB47" i="19"/>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H17"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V32" i="19"/>
  <c r="P42" i="19"/>
  <c r="J12" i="19"/>
  <c r="J32" i="19"/>
  <c r="AB52" i="19"/>
  <c r="J22" i="19"/>
  <c r="V22" i="19"/>
  <c r="J52" i="19"/>
  <c r="AH12" i="19"/>
  <c r="J42" i="19"/>
  <c r="AH42" i="19"/>
  <c r="P32" i="19"/>
  <c r="AB12" i="19"/>
  <c r="AH32" i="19"/>
  <c r="AB32" i="19"/>
  <c r="AB42" i="19"/>
  <c r="V42" i="19"/>
  <c r="V12" i="19"/>
  <c r="V52" i="19"/>
  <c r="AB22" i="19"/>
  <c r="AH52" i="19"/>
  <c r="AH22" i="19"/>
  <c r="P22" i="19"/>
  <c r="P12" i="19"/>
  <c r="P52" i="19"/>
  <c r="AG19" i="1"/>
  <c r="K45" i="19" l="1"/>
  <c r="S12" i="19"/>
  <c r="W37" i="19"/>
  <c r="AI7" i="19"/>
  <c r="W17" i="19"/>
  <c r="W27" i="19"/>
  <c r="Q47" i="19"/>
  <c r="W7" i="19"/>
  <c r="AI17" i="19"/>
  <c r="K47" i="19"/>
  <c r="AI47" i="19"/>
  <c r="Q27" i="19"/>
  <c r="AC27" i="19"/>
  <c r="AC47" i="19"/>
  <c r="AC37" i="19"/>
  <c r="AI37" i="19"/>
  <c r="AC17" i="19"/>
  <c r="K37" i="19"/>
  <c r="AC7" i="19"/>
  <c r="W47" i="19"/>
  <c r="Q37" i="19"/>
  <c r="AI27" i="19"/>
  <c r="Q7" i="19"/>
  <c r="K27" i="19"/>
  <c r="K17" i="19"/>
  <c r="K7" i="19"/>
  <c r="Q17"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D12" i="19"/>
  <c r="AD32" i="19"/>
  <c r="AD22" i="19"/>
  <c r="X52" i="19"/>
  <c r="AD52" i="19"/>
  <c r="L42" i="19"/>
  <c r="R42" i="19"/>
  <c r="AJ21" i="19"/>
  <c r="AD31" i="19"/>
  <c r="R21" i="19"/>
  <c r="AD41" i="19"/>
  <c r="AJ11" i="19"/>
  <c r="AJ51" i="19"/>
  <c r="L41" i="19"/>
  <c r="AD11" i="19"/>
  <c r="L21" i="19"/>
  <c r="L11" i="19"/>
  <c r="X51" i="19"/>
  <c r="X21" i="19"/>
  <c r="R11" i="19"/>
  <c r="R31" i="19"/>
  <c r="AJ41" i="19"/>
  <c r="L31" i="19"/>
  <c r="R51" i="19"/>
  <c r="X31" i="19"/>
  <c r="X11" i="19"/>
  <c r="X41" i="19"/>
  <c r="AJ31" i="19"/>
  <c r="AD51" i="19"/>
  <c r="R41" i="19"/>
  <c r="AD21" i="19"/>
  <c r="L51" i="19"/>
  <c r="AF19" i="1"/>
  <c r="AG20" i="1"/>
  <c r="K42" i="19"/>
  <c r="AC32" i="19"/>
  <c r="W42" i="19"/>
  <c r="AI52" i="19"/>
  <c r="K22" i="19"/>
  <c r="Q32" i="19"/>
  <c r="AI12" i="19"/>
  <c r="AC52" i="19"/>
  <c r="Q42" i="19"/>
  <c r="AC42" i="19"/>
  <c r="K12" i="19"/>
  <c r="Q22" i="19"/>
  <c r="W52" i="19"/>
  <c r="AI42" i="19"/>
  <c r="W32" i="19"/>
  <c r="AI22" i="19"/>
  <c r="W12" i="19"/>
  <c r="AI32" i="19"/>
  <c r="AC12" i="19"/>
  <c r="Q12" i="19"/>
  <c r="Q52" i="19"/>
  <c r="K32" i="19"/>
  <c r="W22" i="19"/>
  <c r="K52" i="19"/>
  <c r="AC22" i="19"/>
  <c r="AC40" i="19"/>
  <c r="W10" i="19"/>
  <c r="AC50" i="19"/>
  <c r="Q10" i="19"/>
  <c r="Q30" i="19"/>
  <c r="W50" i="19"/>
  <c r="K40" i="19"/>
  <c r="Q50" i="19"/>
  <c r="W20" i="19"/>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K39" i="19"/>
  <c r="AC39" i="19"/>
  <c r="W29" i="19"/>
  <c r="AI49" i="19"/>
  <c r="W9" i="19"/>
  <c r="AC19" i="19"/>
  <c r="Q49" i="19"/>
  <c r="W49" i="19"/>
  <c r="AC9" i="19"/>
  <c r="AI9" i="19"/>
  <c r="Q29" i="19"/>
  <c r="W39" i="19"/>
  <c r="Q39" i="19"/>
  <c r="AH18"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Q33" i="19"/>
  <c r="AI23" i="19"/>
  <c r="K53" i="19"/>
  <c r="AC23" i="19"/>
  <c r="AC13" i="19"/>
  <c r="W23" i="19"/>
  <c r="W33" i="19"/>
  <c r="Q13" i="19"/>
  <c r="W13" i="19"/>
  <c r="AI13" i="19"/>
  <c r="Q43" i="19"/>
  <c r="Q23" i="19"/>
  <c r="W53" i="19"/>
  <c r="M12" i="19"/>
  <c r="AK42" i="19"/>
  <c r="AE32" i="19"/>
  <c r="Y52" i="19"/>
  <c r="S22" i="19"/>
  <c r="AK52" i="19"/>
  <c r="M22" i="19"/>
  <c r="AK32" i="19"/>
  <c r="AE22" i="19"/>
  <c r="AE42" i="19"/>
  <c r="S42" i="19"/>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S52" i="19" l="1"/>
  <c r="AK22" i="19"/>
  <c r="AK12" i="19"/>
  <c r="AE52" i="19"/>
  <c r="Y42" i="19"/>
  <c r="Q55" i="19"/>
  <c r="Y22" i="19"/>
  <c r="Y32" i="19"/>
  <c r="AE12" i="19"/>
  <c r="M52" i="19"/>
  <c r="Y12" i="19"/>
  <c r="S32" i="19"/>
  <c r="M32" i="19"/>
  <c r="M42" i="19"/>
  <c r="W45" i="19"/>
  <c r="K25" i="19"/>
  <c r="W55" i="19"/>
  <c r="AI25" i="19"/>
  <c r="AI45" i="19"/>
  <c r="Q25" i="19"/>
  <c r="AC35" i="19"/>
  <c r="AI15" i="19"/>
  <c r="Q35" i="19"/>
  <c r="W25" i="19"/>
  <c r="AC25" i="19"/>
  <c r="AI55" i="19"/>
  <c r="K15" i="19"/>
  <c r="Q15" i="19"/>
  <c r="K35" i="19"/>
  <c r="W35" i="19"/>
  <c r="W15" i="19"/>
  <c r="AC15" i="19"/>
  <c r="Q45" i="19"/>
  <c r="AC55" i="19"/>
  <c r="K55" i="19"/>
  <c r="AC45" i="19"/>
  <c r="AI35" i="19"/>
  <c r="R18" i="19"/>
  <c r="R40" i="19"/>
  <c r="AD10" i="19"/>
  <c r="X40" i="19"/>
  <c r="AJ10" i="19"/>
  <c r="R50" i="19"/>
  <c r="X10" i="19"/>
  <c r="R30" i="19"/>
  <c r="L10" i="19"/>
  <c r="L50" i="19"/>
  <c r="AJ20" i="19"/>
  <c r="AJ40" i="19"/>
  <c r="AD30" i="19"/>
  <c r="R20" i="19"/>
  <c r="AD50" i="19"/>
  <c r="AJ30" i="19"/>
  <c r="AJ50" i="19"/>
  <c r="X30" i="19"/>
  <c r="AD20" i="19"/>
  <c r="L40" i="19"/>
  <c r="X50" i="19"/>
  <c r="X20" i="19"/>
  <c r="AD40" i="19"/>
  <c r="R10" i="19"/>
  <c r="L30" i="19"/>
  <c r="L20" i="19"/>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J43" i="19"/>
  <c r="AD33" i="19"/>
  <c r="X33" i="19"/>
  <c r="X13" i="19"/>
  <c r="AD43" i="19"/>
  <c r="L43" i="19"/>
  <c r="X23" i="19"/>
  <c r="R33" i="19"/>
  <c r="R43" i="19"/>
  <c r="AD53" i="19"/>
  <c r="AJ13" i="19"/>
  <c r="R23" i="19"/>
  <c r="R13" i="19"/>
  <c r="AJ53" i="19"/>
  <c r="L33" i="19"/>
  <c r="L23" i="19"/>
  <c r="X43" i="19"/>
  <c r="X53" i="19"/>
  <c r="AD13" i="19"/>
  <c r="L53" i="19"/>
  <c r="L13" i="19"/>
  <c r="AD23" i="19"/>
  <c r="AJ33" i="19"/>
  <c r="AJ23" i="19"/>
  <c r="R53" i="19"/>
  <c r="Z11" i="19"/>
  <c r="AF31" i="19"/>
  <c r="T51" i="19"/>
  <c r="N51" i="19"/>
  <c r="Z41" i="19"/>
  <c r="AF21" i="19"/>
  <c r="AL31" i="19"/>
  <c r="T31" i="19"/>
  <c r="Z31" i="19"/>
  <c r="N21" i="19"/>
  <c r="N31" i="19"/>
  <c r="AL11" i="19"/>
  <c r="T11" i="19"/>
  <c r="AF11" i="19"/>
  <c r="AL41" i="19"/>
  <c r="T21" i="19"/>
  <c r="Z21" i="19"/>
  <c r="AL51" i="19"/>
  <c r="N11" i="19"/>
  <c r="AF51" i="19"/>
  <c r="N41" i="19"/>
  <c r="Z51" i="19"/>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G11" i="19"/>
  <c r="AM41" i="19"/>
  <c r="AA21" i="19"/>
  <c r="AA51" i="19"/>
  <c r="U51" i="19"/>
  <c r="U31" i="19"/>
  <c r="AA11" i="19"/>
  <c r="AG21" i="19"/>
  <c r="O31" i="19"/>
  <c r="AF20" i="1"/>
  <c r="AG21" i="1"/>
  <c r="AF21" i="1" s="1"/>
  <c r="AG22" i="1"/>
  <c r="AF22"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E11" i="19"/>
  <c r="Y41" i="19"/>
  <c r="M41" i="19"/>
  <c r="Y21" i="19"/>
  <c r="AK41" i="19"/>
  <c r="S31" i="19"/>
  <c r="M31" i="19"/>
  <c r="M51" i="19"/>
  <c r="Y51" i="19"/>
  <c r="AK21" i="19"/>
  <c r="AK31" i="19"/>
  <c r="Y11" i="19"/>
  <c r="AE41" i="19"/>
  <c r="AE21" i="19"/>
  <c r="S51" i="19"/>
  <c r="AE51" i="19"/>
  <c r="AK51" i="19"/>
  <c r="M21" i="19"/>
  <c r="AE31" i="19"/>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H19" i="1"/>
  <c r="AD9" i="19"/>
  <c r="AJ49" i="19"/>
  <c r="L39" i="19"/>
  <c r="R19" i="19"/>
  <c r="AJ39" i="19"/>
  <c r="AJ29" i="19"/>
  <c r="AJ19" i="19"/>
  <c r="AJ9" i="19"/>
  <c r="AD49" i="19"/>
  <c r="L19" i="19"/>
  <c r="L29" i="19"/>
  <c r="R49" i="19"/>
  <c r="R15" i="19" l="1"/>
  <c r="R55" i="19"/>
  <c r="AD25" i="19"/>
  <c r="L55" i="19"/>
  <c r="AJ35" i="19"/>
  <c r="X55" i="19"/>
  <c r="X35" i="19"/>
  <c r="AD15" i="19"/>
  <c r="X25" i="19"/>
  <c r="X45" i="19"/>
  <c r="L35" i="19"/>
  <c r="R35" i="19"/>
  <c r="AJ15" i="19"/>
  <c r="L15" i="19"/>
  <c r="AJ25" i="19"/>
  <c r="AJ55" i="19"/>
  <c r="L45" i="19"/>
  <c r="AD35" i="19"/>
  <c r="R25" i="19"/>
  <c r="AD45" i="19"/>
  <c r="R45" i="19"/>
  <c r="AD55" i="19"/>
  <c r="X15" i="19"/>
  <c r="L25" i="19"/>
  <c r="AJ45" i="19"/>
  <c r="Z35" i="19"/>
  <c r="AJ48" i="19"/>
  <c r="L18" i="19"/>
  <c r="AD8" i="19"/>
  <c r="AJ8" i="19"/>
  <c r="AJ28" i="19"/>
  <c r="R48" i="19"/>
  <c r="X48" i="19"/>
  <c r="L8" i="19"/>
  <c r="AD28" i="19"/>
  <c r="X38" i="19"/>
  <c r="X8" i="19"/>
  <c r="L48" i="19"/>
  <c r="AD48" i="19"/>
  <c r="AD38" i="19"/>
  <c r="X18" i="19"/>
  <c r="R38" i="19"/>
  <c r="R8" i="19"/>
  <c r="L38" i="19"/>
  <c r="R28" i="19"/>
  <c r="AJ38" i="19"/>
  <c r="AD18" i="19"/>
  <c r="L28" i="19"/>
  <c r="AJ18" i="19"/>
  <c r="X28" i="19"/>
  <c r="AG39" i="19"/>
  <c r="AG29" i="19"/>
  <c r="AM19" i="19"/>
  <c r="O39" i="19"/>
  <c r="AH22"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H21" i="1"/>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S39" i="19"/>
  <c r="M49" i="19"/>
  <c r="AE19" i="19"/>
  <c r="S49" i="19"/>
  <c r="AK19" i="19"/>
  <c r="Y9" i="19"/>
  <c r="M29" i="19"/>
  <c r="AE49" i="19"/>
  <c r="Y39" i="19"/>
  <c r="AK49" i="19"/>
  <c r="AK29" i="19"/>
  <c r="AK39" i="19"/>
  <c r="S19" i="19"/>
  <c r="M19" i="19"/>
  <c r="AE9" i="19"/>
  <c r="AE39" i="19"/>
  <c r="M39" i="19"/>
  <c r="AK9" i="19"/>
  <c r="Y19" i="19"/>
  <c r="S29" i="19"/>
  <c r="S9" i="19"/>
  <c r="AE29" i="19"/>
  <c r="Y49" i="19"/>
  <c r="AH20" i="1"/>
  <c r="M9" i="19"/>
  <c r="Y29" i="19"/>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L35" i="19" l="1"/>
  <c r="N25" i="19"/>
  <c r="AF15" i="19"/>
  <c r="AF25" i="19"/>
  <c r="N15" i="19"/>
  <c r="Z25" i="19"/>
  <c r="N45" i="19"/>
  <c r="Z55" i="19"/>
  <c r="N35" i="19"/>
  <c r="AF35" i="19"/>
  <c r="Z45" i="19"/>
  <c r="Z15" i="19"/>
  <c r="AL45" i="19"/>
  <c r="AL25" i="19"/>
  <c r="AL55" i="19"/>
  <c r="AF45" i="19"/>
  <c r="AL15" i="19"/>
  <c r="N55" i="19"/>
  <c r="T55" i="19"/>
  <c r="T45" i="19"/>
  <c r="T25" i="19"/>
  <c r="AF55" i="19"/>
  <c r="T15" i="19"/>
  <c r="T35" i="19"/>
  <c r="Y35" i="19"/>
  <c r="Y45" i="19"/>
  <c r="M25" i="19"/>
  <c r="AE55" i="19"/>
  <c r="AE35" i="19"/>
  <c r="S55" i="19"/>
  <c r="M35" i="19"/>
  <c r="AK25" i="19"/>
  <c r="AE25" i="19"/>
  <c r="S45" i="19"/>
  <c r="M45" i="19"/>
  <c r="Y55" i="19"/>
  <c r="M55" i="19"/>
  <c r="S15" i="19"/>
  <c r="AE45" i="19"/>
  <c r="S35" i="19"/>
  <c r="S25" i="19"/>
  <c r="AK15" i="19"/>
  <c r="M15" i="19"/>
  <c r="AK35" i="19"/>
  <c r="AK55" i="19"/>
  <c r="Y25" i="19"/>
  <c r="Y15" i="19"/>
  <c r="AE15" i="19"/>
  <c r="AK45" i="19"/>
  <c r="AG24" i="19"/>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T10" i="19"/>
  <c r="AF10" i="19"/>
  <c r="T20" i="19"/>
  <c r="N30" i="19"/>
  <c r="Z20" i="19"/>
  <c r="AF50" i="19"/>
  <c r="T50" i="19"/>
  <c r="AL30" i="19"/>
  <c r="T40" i="19"/>
  <c r="AF40" i="19"/>
  <c r="AF30" i="19"/>
  <c r="N50" i="19"/>
  <c r="AL40" i="19"/>
  <c r="AL20" i="19"/>
  <c r="Z10" i="19"/>
  <c r="AF20" i="19"/>
  <c r="N10" i="19"/>
  <c r="Z50" i="19"/>
  <c r="AL50" i="19"/>
  <c r="N40" i="19"/>
  <c r="T30" i="19"/>
  <c r="Z30" i="19"/>
  <c r="AL10" i="19"/>
  <c r="N20" i="19"/>
  <c r="X42" i="18" l="1"/>
  <c r="AD34" i="18"/>
  <c r="AD10" i="18"/>
  <c r="L42" i="18"/>
  <c r="L26" i="18"/>
  <c r="X18" i="18"/>
  <c r="AD26" i="18"/>
  <c r="R18" i="18"/>
  <c r="AJ10" i="18"/>
  <c r="AD42" i="18"/>
  <c r="AJ34" i="18"/>
  <c r="R26" i="18"/>
  <c r="L18" i="18"/>
  <c r="R34" i="18"/>
  <c r="L34" i="18"/>
  <c r="AJ42" i="18"/>
  <c r="R10" i="18"/>
  <c r="R42" i="18"/>
  <c r="X26" i="18"/>
  <c r="AJ18" i="18"/>
  <c r="X34" i="18"/>
  <c r="X10" i="18"/>
  <c r="AD18" i="18"/>
  <c r="L10" i="18"/>
  <c r="AJ26" i="18"/>
  <c r="AH42" i="18"/>
  <c r="AB26" i="18"/>
  <c r="AH26" i="18"/>
  <c r="V26" i="18"/>
  <c r="AH18" i="18"/>
  <c r="J34" i="18"/>
  <c r="V10" i="18"/>
  <c r="P34" i="18"/>
  <c r="AB10" i="18"/>
  <c r="J18" i="18"/>
  <c r="J26" i="18"/>
  <c r="P18" i="18"/>
  <c r="J42" i="18"/>
  <c r="AH10" i="18"/>
  <c r="V18" i="18"/>
  <c r="AB34" i="18"/>
  <c r="AB42" i="18"/>
  <c r="V42" i="18"/>
  <c r="AB18" i="18"/>
  <c r="AH34" i="18"/>
  <c r="P10" i="18"/>
  <c r="V34" i="18"/>
  <c r="P42" i="18"/>
  <c r="J10" i="18"/>
  <c r="P26" i="18"/>
  <c r="T14" i="18"/>
  <c r="AL38" i="18"/>
  <c r="N14" i="18"/>
  <c r="T38" i="18"/>
  <c r="T22" i="18"/>
  <c r="AL14" i="18"/>
  <c r="N22" i="18"/>
  <c r="AF22" i="18"/>
  <c r="N6" i="18"/>
  <c r="AF6" i="18"/>
  <c r="AF38" i="18"/>
  <c r="Z6" i="18"/>
  <c r="N38" i="18"/>
  <c r="AL30" i="18"/>
  <c r="AL22" i="18"/>
  <c r="T6" i="18"/>
  <c r="AF30" i="18"/>
  <c r="Z22" i="18"/>
  <c r="T30" i="18"/>
  <c r="AL6" i="18"/>
  <c r="Z14" i="18"/>
  <c r="Z38" i="18"/>
  <c r="Z30" i="18"/>
  <c r="N30" i="18"/>
  <c r="AF14" i="18"/>
  <c r="L16" i="18"/>
  <c r="R24" i="18"/>
  <c r="L8" i="18"/>
  <c r="R32" i="18"/>
  <c r="AJ16" i="18"/>
  <c r="R8" i="18"/>
  <c r="AJ32" i="18"/>
  <c r="AD8" i="18"/>
  <c r="X40" i="18"/>
  <c r="L24" i="18"/>
  <c r="L32" i="18"/>
  <c r="X8" i="18"/>
  <c r="R40" i="18"/>
  <c r="L40" i="18"/>
  <c r="X16" i="18"/>
  <c r="AD32" i="18"/>
  <c r="X32" i="18"/>
  <c r="AJ40" i="18"/>
  <c r="R16" i="18"/>
  <c r="AD40" i="18"/>
  <c r="AD24" i="18"/>
  <c r="AJ8" i="18"/>
  <c r="AJ24" i="18"/>
  <c r="AD16" i="18"/>
  <c r="X24" i="18"/>
  <c r="X6" i="18"/>
  <c r="AJ30" i="18"/>
  <c r="R22" i="18"/>
  <c r="L6" i="18"/>
  <c r="R30" i="18"/>
  <c r="X22" i="18"/>
  <c r="AD38" i="18"/>
  <c r="AD22" i="18"/>
  <c r="L14" i="18"/>
  <c r="L30" i="18"/>
  <c r="R38" i="18"/>
  <c r="AJ14" i="18"/>
  <c r="R14" i="18"/>
  <c r="AD30" i="18"/>
  <c r="AJ38" i="18"/>
  <c r="AJ22" i="18"/>
  <c r="X30" i="18"/>
  <c r="AJ6" i="18"/>
  <c r="L38" i="18"/>
  <c r="AD14" i="18"/>
  <c r="AD6" i="18"/>
  <c r="L22" i="18"/>
  <c r="R6" i="18"/>
  <c r="X14" i="18"/>
  <c r="X38" i="18"/>
  <c r="Z42" i="18"/>
  <c r="T18" i="18"/>
  <c r="AF34" i="18"/>
  <c r="AF42" i="18"/>
  <c r="N34" i="18"/>
  <c r="N42" i="18"/>
  <c r="Z18" i="18"/>
  <c r="AL10" i="18"/>
  <c r="AL26" i="18"/>
  <c r="AF26" i="18"/>
  <c r="Z10" i="18"/>
  <c r="N18" i="18"/>
  <c r="T26" i="18"/>
  <c r="AF10" i="18"/>
  <c r="N26" i="18"/>
  <c r="AL18" i="18"/>
  <c r="N10" i="18"/>
  <c r="AF18" i="18"/>
  <c r="Z26" i="18"/>
  <c r="AL34" i="18"/>
  <c r="T10" i="18"/>
  <c r="AL42" i="18"/>
  <c r="T34" i="18"/>
  <c r="T42" i="18"/>
  <c r="Z34" i="18"/>
  <c r="Z16" i="18"/>
  <c r="Z32" i="18"/>
  <c r="AF16" i="18"/>
  <c r="N32" i="18"/>
  <c r="N24" i="18"/>
  <c r="T32" i="18"/>
  <c r="T16" i="18"/>
  <c r="AF40" i="18"/>
  <c r="N40" i="18"/>
  <c r="Z24" i="18"/>
  <c r="T8" i="18"/>
  <c r="N8" i="18"/>
  <c r="AL32" i="18"/>
  <c r="AL16" i="18"/>
  <c r="T40" i="18"/>
  <c r="AL40" i="18"/>
  <c r="AF32" i="18"/>
  <c r="Z40" i="18"/>
  <c r="AL8" i="18"/>
  <c r="AF8" i="18"/>
  <c r="T24" i="18"/>
  <c r="AL24" i="18"/>
  <c r="N16" i="18"/>
  <c r="Z8" i="18"/>
  <c r="AF24" i="18"/>
  <c r="AH12" i="18"/>
  <c r="J20" i="18"/>
  <c r="J44" i="18"/>
  <c r="AB28" i="18"/>
  <c r="P20" i="18"/>
  <c r="P28" i="18"/>
  <c r="P12" i="18"/>
  <c r="AH20" i="18"/>
  <c r="P44" i="18"/>
  <c r="AB12" i="18"/>
  <c r="AB20" i="18"/>
  <c r="P36" i="18"/>
  <c r="AB44" i="18"/>
  <c r="V44" i="18"/>
  <c r="V12" i="18"/>
  <c r="V28" i="18"/>
  <c r="AH44" i="18"/>
  <c r="AH28" i="18"/>
  <c r="V36" i="18"/>
  <c r="V20" i="18"/>
  <c r="AB36" i="18"/>
  <c r="J12" i="18"/>
  <c r="AH36" i="18"/>
  <c r="J36" i="18"/>
  <c r="J28" i="18"/>
  <c r="P14" i="18"/>
  <c r="V22" i="18"/>
  <c r="V14" i="18"/>
  <c r="AH14" i="18"/>
  <c r="AH38" i="18"/>
  <c r="J14" i="18"/>
  <c r="AB22" i="18"/>
  <c r="V30" i="18"/>
  <c r="AB14" i="18"/>
  <c r="P22" i="18"/>
  <c r="J30" i="18"/>
  <c r="P38" i="18"/>
  <c r="AB6" i="18"/>
  <c r="J38" i="18"/>
  <c r="AH6" i="18"/>
  <c r="V6" i="18"/>
  <c r="AB38" i="18"/>
  <c r="J6" i="18"/>
  <c r="P30" i="18"/>
  <c r="AH22" i="18"/>
  <c r="P6" i="18"/>
  <c r="AH30" i="18"/>
  <c r="J22" i="18"/>
  <c r="V38" i="18"/>
  <c r="AB30" i="18"/>
  <c r="AH15" i="19" l="1"/>
  <c r="V35" i="19"/>
  <c r="J55" i="19"/>
  <c r="AB55" i="19"/>
  <c r="AB25" i="19"/>
  <c r="J45" i="19"/>
  <c r="P25" i="19"/>
  <c r="P35" i="19"/>
  <c r="AH35" i="19"/>
  <c r="V55" i="19"/>
  <c r="P55" i="19"/>
  <c r="J35" i="19"/>
  <c r="V25" i="19"/>
  <c r="V45" i="19"/>
  <c r="J15" i="19"/>
  <c r="AB45" i="19"/>
  <c r="AH25" i="19"/>
  <c r="AH55" i="19"/>
  <c r="AB15" i="19"/>
  <c r="P15" i="19"/>
  <c r="P45" i="19"/>
  <c r="AH45" i="19"/>
  <c r="J25" i="19"/>
  <c r="AB35" i="19"/>
  <c r="V15" i="19"/>
  <c r="P17" i="1" l="1"/>
  <c r="Q17" i="1" s="1"/>
  <c r="AB40" i="18" s="1"/>
  <c r="P8" i="18" l="1"/>
  <c r="AH24" i="18"/>
  <c r="AH40" i="18"/>
  <c r="AB32" i="18"/>
  <c r="P16" i="18"/>
  <c r="P32" i="18"/>
  <c r="AH32" i="18"/>
  <c r="R17" i="1"/>
  <c r="AB8" i="18"/>
  <c r="AH8" i="18"/>
  <c r="P40" i="18"/>
  <c r="V24" i="18"/>
  <c r="AB24" i="18"/>
  <c r="J40" i="18"/>
  <c r="AB16" i="18"/>
  <c r="J24" i="18"/>
  <c r="S17" i="1"/>
  <c r="V32" i="18"/>
  <c r="P24" i="18"/>
  <c r="V16" i="18"/>
  <c r="V40" i="18"/>
  <c r="J32" i="18"/>
  <c r="J8" i="18"/>
  <c r="V8" i="18"/>
  <c r="AH16" i="18"/>
  <c r="J16" i="18"/>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<sst xmlns="http://schemas.openxmlformats.org/spreadsheetml/2006/main" count="683" uniqueCount="450">
  <si>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</si>
  <si>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</si>
  <si>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</si>
  <si>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t>
    </r>
    <r>
      <rPr>
        <b/>
        <sz val="11"/>
        <rFont val="Arial Narrow"/>
        <family val="2"/>
      </rPr>
      <t xml:space="preserve">DOFA </t>
    </r>
    <r>
      <rPr>
        <sz val="11"/>
        <rFont val="Arial Narrow"/>
        <family val="2"/>
      </rPr>
      <t xml:space="preserve">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</si>
  <si>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</si>
  <si>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</si>
  <si>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</si>
  <si>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</si>
  <si>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</si>
  <si>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</si>
  <si>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</si>
  <si>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</si>
  <si>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</si>
  <si>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</si>
  <si>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</si>
  <si>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</si>
  <si>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</si>
  <si>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</si>
  <si>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</si>
  <si>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</si>
  <si>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</si>
  <si>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</si>
  <si>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</si>
  <si>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</si>
  <si>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</si>
  <si>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</si>
  <si>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</si>
  <si>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</si>
  <si>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</si>
  <si>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</si>
  <si>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</si>
  <si>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</si>
  <si>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</si>
  <si>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</si>
  <si>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</si>
  <si>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</si>
  <si>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</si>
  <si>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</si>
  <si>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</si>
  <si>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</si>
  <si>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</si>
  <si>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</si>
  <si>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</si>
  <si>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</si>
  <si>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</si>
  <si>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</si>
  <si>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</si>
  <si>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</si>
  <si>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</si>
  <si>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</si>
  <si>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</si>
  <si>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</si>
  <si>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</si>
  <si>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</si>
  <si>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</si>
  <si>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t xml:space="preserve"> -</t>
    </r>
    <r>
      <rPr>
        <sz val="11"/>
        <rFont val="Arial Narrow"/>
        <family val="2"/>
      </rPr>
      <t xml:space="preserve"> </t>
    </r>
    <r>
      <rPr>
        <b/>
        <sz val="11"/>
        <rFont val="Arial Narrow"/>
        <family val="2"/>
      </rPr>
      <t xml:space="preserve"> Hoja 3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</si>
  <si>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4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</si>
  <si>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</si>
  <si>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6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</si>
  <si>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Valoración de Controles: </t>
    </r>
    <r>
      <rPr>
        <sz val="11"/>
        <rFont val="Arial Narrow"/>
        <family val="2"/>
      </rPr>
      <t>Tabla referente para todos los cálculos (no se diligencia)</t>
    </r>
  </si>
  <si>
    <t>1. Direccionamiento estratégico e innovación</t>
  </si>
  <si>
    <t>2. Atención a partes interesadas y comunicaciones</t>
  </si>
  <si>
    <t>3. Estrategia y gobierno de TI</t>
  </si>
  <si>
    <t>4. Planificación de la intervención vial</t>
  </si>
  <si>
    <t>5. Producción de mezcla y provisión de maquinaria y equipos</t>
  </si>
  <si>
    <t>6. Intervención de la malla vial</t>
  </si>
  <si>
    <t>7. Gestión de servicios e infraestructura tecnológica</t>
  </si>
  <si>
    <t>8. Gestión de recursos físicos</t>
  </si>
  <si>
    <t>9. Gestión contractual</t>
  </si>
  <si>
    <t>10. Gestión financiera</t>
  </si>
  <si>
    <t>11. Gestión de laboratorio</t>
  </si>
  <si>
    <t>12. Gestión de talento humano</t>
  </si>
  <si>
    <t>13. Gestión ambiental</t>
  </si>
  <si>
    <t>14. Gestión documental</t>
  </si>
  <si>
    <t>15. Gestión jurídica</t>
  </si>
  <si>
    <t xml:space="preserve">16. Control, evaluación y mejora de la gestión  </t>
  </si>
  <si>
    <t>17. Control disciplinario interno</t>
  </si>
  <si>
    <t>FORMATO DEBILIDADES, OPORTUNIDADES, FORTALEZAS Y AMENAZAS -DOFA DE PROCESO</t>
  </si>
  <si>
    <t>CÓDIGO: DESI-FM-029</t>
  </si>
  <si>
    <t>VERSIÓN: 2</t>
  </si>
  <si>
    <t>FECHA DE APLICACIÓN: DICIEMBRE 2021</t>
  </si>
  <si>
    <t>PROCESO:</t>
  </si>
  <si>
    <t>DEPENDENCIA</t>
  </si>
  <si>
    <t xml:space="preserve">CONTEXTO  DE PROCESO </t>
  </si>
  <si>
    <t>ANALISIS</t>
  </si>
  <si>
    <t>FACTORES INTERNOS Y EXTERNOS</t>
  </si>
  <si>
    <t>ORIGEN</t>
  </si>
  <si>
    <t>FORTALEZAS Y/O OPORTUNIDADES</t>
  </si>
  <si>
    <t>DEBILIDADES Y/O AMENAZAS</t>
  </si>
  <si>
    <t>DISEÑO DEL PROCESO:</t>
  </si>
  <si>
    <t>INTERACCIONES CON OTROS PROCESOS:</t>
  </si>
  <si>
    <t>TRANSVERSALIDAD</t>
  </si>
  <si>
    <t>PROCEDIMIENTOS ASOCIADOS:</t>
  </si>
  <si>
    <t xml:space="preserve">RESPONSABLES DEL PROCESO: </t>
  </si>
  <si>
    <t>COMUNICACIÓN ENTRE LOS PROCESOS:</t>
  </si>
  <si>
    <t>ACTIVOS DE SEGURIDAD DIGITAL DEL PROCESO:</t>
  </si>
  <si>
    <t>OTROS</t>
  </si>
  <si>
    <t>CONTEXTO  DE PROCESO</t>
  </si>
  <si>
    <t>Riesgo asociado</t>
  </si>
  <si>
    <t>FACTORES INTERNOS</t>
  </si>
  <si>
    <t>El proceso tiene un alcance con un objetivo claro que abarca el direccionamiento estratégico y el apoyo en la gestión para todos los procesos de la entidad.</t>
  </si>
  <si>
    <r>
      <rPr>
        <sz val="21"/>
        <color rgb="FF7030A0"/>
        <rFont val="Arial"/>
        <family val="2"/>
      </rPr>
      <t>El componente de</t>
    </r>
    <r>
      <rPr>
        <b/>
        <sz val="21"/>
        <color rgb="FF7030A0"/>
        <rFont val="Arial"/>
        <family val="2"/>
      </rPr>
      <t xml:space="preserve"> innovación y gestión del conocimiento</t>
    </r>
    <r>
      <rPr>
        <sz val="21"/>
        <color rgb="FF7030A0"/>
        <rFont val="Arial"/>
        <family val="2"/>
      </rPr>
      <t xml:space="preserve"> está por desarrollar dentro del proceso. La operatividad del banco de proyectos depende de la aplicación y la comprensión de la metodología de iniciativas de proyectos por parte de los procesos de la entidad.</t>
    </r>
    <r>
      <rPr>
        <sz val="21"/>
        <rFont val="Arial"/>
        <family val="2"/>
      </rPr>
      <t xml:space="preserve">
El proceso DESI al ser el que coordina la implementación del Sistema de Gestión de Calidad depende del compromiso y trabajo de los demás procesos para generar resultados y subsanar las no conformidades producto de las actividades internas.</t>
    </r>
  </si>
  <si>
    <t>R4</t>
  </si>
  <si>
    <r>
      <t>El proceso DESI  interactúa de manera eficaz con el resto de procesos de la entidad a través de los colaboradores designados por los directivos de la entidad como enlaces</t>
    </r>
    <r>
      <rPr>
        <sz val="21"/>
        <color rgb="FFFF0000"/>
        <rFont val="Arial"/>
        <family val="2"/>
      </rPr>
      <t>,</t>
    </r>
    <r>
      <rPr>
        <sz val="21"/>
        <rFont val="Arial"/>
        <family val="2"/>
      </rPr>
      <t xml:space="preserve"> pues da lineamientos y asesora la formulación programación actualización y seguimiento integral a proyectos de inversión,  la implementación del Modelo Integrado de Planeación y Gestión en todos los procesos y procedimientos de la entidad.
El proceso DESI se apoya en el proceso de Atención a Partes Interesadas y Comunicaciones para mantener una comunicación permanente con el resto de procesos, y con la línea estratégica de la entidad (el consejo directivo de la entidad).</t>
    </r>
  </si>
  <si>
    <r>
      <t>El proceso DESI, al ser el que consolida y analiza la información de gestión, seguimiento e indicadores de todos los procesos de la entidad puede llegar a fallar en la oportunidad de entrega de la información al C</t>
    </r>
    <r>
      <rPr>
        <b/>
        <sz val="21"/>
        <rFont val="Arial"/>
        <family val="2"/>
      </rPr>
      <t>omité Institucional de Gestión y Desempeño,</t>
    </r>
    <r>
      <rPr>
        <sz val="21"/>
        <rFont val="Arial"/>
        <family val="2"/>
      </rPr>
      <t xml:space="preserve"> pues depende de los colaboradores que sirven de enlaces con los procesos (en particular depende de sus compromisos de: efectividad, constancia y rigurosidad en la información).</t>
    </r>
  </si>
  <si>
    <t>R1</t>
  </si>
  <si>
    <t xml:space="preserve">El proceso DESI es transversal a todos los procesos de la entidad, la línea estratégica desplegada a través del comité directivo y la Oficina Asesora de Planeación  genera políticas, lineamientos y directrices que abarcan a todos los procesos y se articulan dentro del sistema integrado de gestión de la entidad.
El proceso DESI también se encarga de la administración del sistema de gestión de la calidad en la entidad, que involucra a todos los procesos y que bajo su liderazgo permite el aseguramiento de estándares de calidad en todos los procedimientos. </t>
  </si>
  <si>
    <t>Con el fin de cumplir  oportunamente en la entrega de los productos para la toma de decisiones de los directivos de la entidad se puede incurrir en la extralimitación de labores de la Oficina Asesora de Planeación y sus colaboradores. 
Pues por cumplir con los plazos se pueden empezar a adelantar labores que están incluidas en las herramientas de gestión de los procesos que deben ser realizadas y planificadas por ellos mismos.</t>
  </si>
  <si>
    <t>Los responsables del proceso DESI son: el director general,  el jefe de la oficina asesora de planeación y los subdirectores. Este sistema de responsabilidades permite un alto grado de  autoridad y autonomía para la toma de decisiones y desagregación de actividades.</t>
  </si>
  <si>
    <t xml:space="preserve">No se cuenta con los suficientes servidores públicos para realizar la gestión necesaria en el marco del cumplimiento de los objetivos institucionales relacionados con su campo de acción. 
En consecuencia, el proceso debe recurrir a la vinculación de contratistas </t>
  </si>
  <si>
    <t xml:space="preserve">Cuando el Comité directivo y el proceso DESI generan directrices, recomendaciones y solicitudes al resto de procesos de la entidad sus observaciones son tenidas en cuenta y se integran al accionar de los procesos. </t>
  </si>
  <si>
    <t xml:space="preserve">La comunicación puede ser dispendiosa si no se cuenta con la disposición y el compromiso de los responsables directivos.
</t>
  </si>
  <si>
    <t xml:space="preserve">El proceso cuenta con un repositorio de información documentada vigente en la intranet de la entidad llamado: SISGESTIÓN en la que se cuelgan los formatos y documentos del sistema integrado de gestión de la entidad. En este repositorio los colaboradores tienen facilidad para consultar la información actualizada.
Se cuenta con el aplicativo SAFIRO que sirve para hacer el seguimiento a las metas y proyectos de inversión de la entidad. </t>
  </si>
  <si>
    <t>El proceso está diseñado para funcionar apoyándose en sistemas de información, bases de datos y aplicativos, por lo que fallas en estos sistemas pueden afectar el normal flujo del proceso.
Los aplicativos informáticos del proceso están expuestos a una manipulación indebida de la información por parte de los administradores de las bases de datos.
Hace falta el desarrollo de una PMO (Project Management Office) una oficina o un software que permita el seguimiento a iniciativas de proyectos de innovación y de gestión del conocimiento.</t>
  </si>
  <si>
    <t>FORMATO MAPA RIESGOS DE PROCESO</t>
  </si>
  <si>
    <t>CÓDIGO: DESI-FM-018</t>
  </si>
  <si>
    <t>VERSIÓN: 10</t>
  </si>
  <si>
    <t xml:space="preserve">                CÓDIGO: DESI-FM-018</t>
  </si>
  <si>
    <t xml:space="preserve">                FECHA DE APLICACIÓN: DICIEMBRE 2021</t>
  </si>
  <si>
    <t>Proceso:</t>
  </si>
  <si>
    <t>Objetivo:</t>
  </si>
  <si>
    <t>Determinar la responsabilidad disciplinaria de los servidores y exservidores públicos cuando se haya incurrido en conductas con relevancia disciplinaria con el fin de proteger la función pública en la Unidad.</t>
  </si>
  <si>
    <t>Alcance:</t>
  </si>
  <si>
    <t>Inicia por medio de una queja, de oficio, o informe presentado por servidor público radicado o por denuncia anónima y/o cualquier otro medio que amerite credibilidad,con destino a la Oficina de Control Disciplinario Interno (OCDI) y que aplique a los servidores y exservidores públicos de la UAERMV que se encuentren presuntamente incursos en falta disciplinaria y finaliza con un  auto de archivo o con fallo que puede ser sancionatorio o absolutorio.</t>
  </si>
  <si>
    <t>Identificación del riesgo</t>
  </si>
  <si>
    <t>Análisis del riesgo inherente</t>
  </si>
  <si>
    <t>Evaluación del riesgo - Valoración de los controles</t>
  </si>
  <si>
    <t>Evaluación del riesgo - Nivel del riesgo residual</t>
  </si>
  <si>
    <t>Plan de Acción</t>
  </si>
  <si>
    <t>ACCION DE CONTINGENCIA</t>
  </si>
  <si>
    <t xml:space="preserve">Referencia </t>
  </si>
  <si>
    <t>Tipo de riesgo</t>
  </si>
  <si>
    <t>Tipo de activo</t>
  </si>
  <si>
    <t>Activo de información</t>
  </si>
  <si>
    <t>Tipo de amenaza</t>
  </si>
  <si>
    <t>Amenaza</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</si>
  <si>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</si>
  <si>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</si>
  <si>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</si>
  <si>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</si>
  <si>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</si>
  <si>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</si>
  <si>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</si>
  <si>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</si>
  <si>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</si>
  <si>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</si>
  <si>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</si>
  <si>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</si>
  <si>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Acción</t>
  </si>
  <si>
    <t>Responsable</t>
  </si>
  <si>
    <t>Producto</t>
  </si>
  <si>
    <t>Fecha Implementación</t>
  </si>
  <si>
    <t>ACCIÓN</t>
  </si>
  <si>
    <t>SOPORTE / PRODUCTO</t>
  </si>
  <si>
    <t>RESPONSABLE</t>
  </si>
  <si>
    <t>Tipo</t>
  </si>
  <si>
    <t>Implementación</t>
  </si>
  <si>
    <t>Calificación</t>
  </si>
  <si>
    <t>Documentación</t>
  </si>
  <si>
    <t>Frecuencia</t>
  </si>
  <si>
    <t>Evidencia</t>
  </si>
  <si>
    <t>Reputacional</t>
  </si>
  <si>
    <t>Debido a la falta de integridad del servidor público o contratista encargado de gestionar los expedientes disciplinarios con la información real del proceso adelantado o en curso.</t>
  </si>
  <si>
    <t>Corrupción</t>
  </si>
  <si>
    <t>Fraude Interno</t>
  </si>
  <si>
    <t>INFORMACIÓN</t>
  </si>
  <si>
    <t>Procesos Disciplinarios</t>
  </si>
  <si>
    <t>Acciones no autorizadas </t>
  </si>
  <si>
    <t>Corrupción de los datos </t>
  </si>
  <si>
    <t xml:space="preserve">     El riesgo afecta la imagen de la entidad con algunos usuarios de relevancia frente al logro de los objetivos</t>
  </si>
  <si>
    <t>R1-C1
En reunión mensual liderada por el (a) Jefe de la Oficina de Control Disciplinario Interno, con los servidores públicos y contratistas de la Oficina, se verifican los permisos de acceso al OneDrive, que contienen la información disciplinaria de la Oficina.
Como evidencia: las actas de reunión firmadas con las autorizaciones para los accesos al OneDrive.
Si se evidencia el acceso al OneDrive de personal diferentes a las autorizadas, se procede a informar a través del correo institucional: mesadeayuda@umv.gov.co para que se investigue los movimientos o el uso dado a la información del proceso disciplinario, para realizar las acciones a que haya lugar dejando constancia en acta de reunión.</t>
  </si>
  <si>
    <t>Detectivo</t>
  </si>
  <si>
    <t>Manual</t>
  </si>
  <si>
    <t>Documentado</t>
  </si>
  <si>
    <t>Continua</t>
  </si>
  <si>
    <t>Con Registro</t>
  </si>
  <si>
    <t>Aceptar</t>
  </si>
  <si>
    <t xml:space="preserve"> Autorizar los accesos a la bases de datos CODI, SID y carpetas CODI del OneDrive a los servidores públicos o contratistas designados por la Jefe OCDI, mediante  las actas de reunión firmadas.</t>
  </si>
  <si>
    <t>Jefe OCDI</t>
  </si>
  <si>
    <t>Actas de reunión firmadas con las autorizaciones de los permisos de  accesos a los procesos disciplinarios</t>
  </si>
  <si>
    <t>Iniciar las investigaciones disciplinarias a que haya lugar para determinar el nivel de responsabilidad de los servidores públicos . En caso de que haya necesidad de remitir a otros Organismos del Estado por competencia, se procederá de inmediato.</t>
  </si>
  <si>
    <t>Actuación disciplinaria.</t>
  </si>
  <si>
    <t>Oficina de Control Disciplinario Interno</t>
  </si>
  <si>
    <t>R1-C2
En reunión mensual del (a) Jefe de la Oficina de Control Disciplinario Interno, con los servidores públicos y contratistas de la dependencia, se verifica que el contenido de la información del expediente físico de cada proceso disciplinario sea el mismo que se ha registrado en la base del Sistema Información Disciplinario (SID).
Como evidencia: las actas de reunión firmadas en las que conste la verificación de la coincidencia del expediente físico con los registro y que efectivamente se dio impulso a los expedientes de acuerdo con lo consigando en la reunión anterior.
Si se identifican inconsistencias que evidencien faltantes, sobrantes o alteraciones tanto de los registros físicos de los expedientes o en los registros digitales de la base SID, se investiga al posible implicado en la manipulación de información y posteriormente se subsana la inconsistencia del expediente disciplinario, dejando constancia en acta de reunión.</t>
  </si>
  <si>
    <t>Preventivo</t>
  </si>
  <si>
    <t>Evitar</t>
  </si>
  <si>
    <t>Verificar que el contenido de los expedientes disciplinarios sea el mismo que ese encuentra cargado en el SID y dejar constancia en las actas de reunión firmadas por Jefe OCDI</t>
  </si>
  <si>
    <t>Actas de reunión firmadas por Jefe OCDI que dejan  constancia de los contenidos de los procesos disciplinarios en expedientes y SID</t>
  </si>
  <si>
    <t>Seguridad Digital</t>
  </si>
  <si>
    <t xml:space="preserve">Pérdida de la disponibilidad </t>
  </si>
  <si>
    <t>Compromiso de la información </t>
  </si>
  <si>
    <t>Datos provenientes de fuentes no confiables </t>
  </si>
  <si>
    <t>R2-C1
El Profesional Especializado CODI verifica CADA VEZ que se genera nueva información dentro de cada expediente disciplinario físico, que se actualice simultáneamente la "base de datos CODI" con la totalidad de campos diligenciados, para posteriormente alimentar "la base de datos SID", con el fin de que los datos cargados en el SID coincidan con el expediente físico. 
Como evidencia: registro de la información del cargue de datos en las bases CODI y SID.
En caso de encontrar diferencias entre la "base de datos SID" y el expediente físico ("base de datos CODI") se realizará el ajuste de inmediato, dejando un acta de reunión como soporte del ajuste.</t>
  </si>
  <si>
    <t>Probabilidad</t>
  </si>
  <si>
    <t>Reportar el registro de la información cargada en las bases de datos CODI y SID.</t>
  </si>
  <si>
    <t>Profesional Especializado CODI</t>
  </si>
  <si>
    <t>Reporte del registro de cargue de bases de datos</t>
  </si>
  <si>
    <t>Solicitar al proceso GSIT el restablecimiento de la información disciplinaria, por medio de las copias de seguridad que fueron tomadas mensualmente para salguardar la integridad, seguridad y confiabilidad de esta información.</t>
  </si>
  <si>
    <t>Backup o Copia de seguridad del proceso CODI reestablecida,</t>
  </si>
  <si>
    <t>Proceso GSIT</t>
  </si>
  <si>
    <t>Solicitar la copia de seguridad del proceso CODI al proceso GSIT, para que la realice mensualmente.</t>
  </si>
  <si>
    <t>Correo electrónico de solicitud para realizar la copia de seguridad del proceso CODI  a GSIT</t>
  </si>
  <si>
    <t>Matriz de Calor Inherente</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</si>
  <si>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</si>
  <si>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</si>
  <si>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</si>
  <si>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</si>
  <si>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</si>
  <si>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</si>
  <si>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</si>
  <si>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</si>
  <si>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</si>
  <si>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</si>
  <si>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</si>
  <si>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</si>
  <si>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</si>
  <si>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</si>
  <si>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</si>
  <si>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</si>
  <si>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</si>
  <si>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</si>
  <si>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</si>
  <si>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</si>
  <si>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</si>
  <si>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</si>
  <si>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</si>
  <si>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</si>
  <si>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</si>
  <si>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</si>
  <si>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</si>
  <si>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</si>
  <si>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</si>
  <si>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</si>
  <si>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 xml:space="preserve">Equivalente </t>
  </si>
  <si>
    <t>Insignificante</t>
  </si>
  <si>
    <t>Leve 20%</t>
  </si>
  <si>
    <t xml:space="preserve">Afectación menor a 130 SMLMV </t>
  </si>
  <si>
    <t>El riesgo afecta la imagen de alguna área de la organización</t>
  </si>
  <si>
    <t>Menor</t>
  </si>
  <si>
    <t xml:space="preserve">Menor 40% </t>
  </si>
  <si>
    <t xml:space="preserve">Entre 130 y 650 SMLMV </t>
  </si>
  <si>
    <t>El riesgo afecta la imagen de la entidad internamente, de conocimiento general, nivel interno, de junta dircetiva y accionistas y/o de provedores</t>
  </si>
  <si>
    <t>Moderado 60%</t>
  </si>
  <si>
    <t xml:space="preserve">Entre 650 y 1300 SMLMV </t>
  </si>
  <si>
    <t>El riesgo afecta la imagen de la entidad con algunos usuarios de relevancia frente al logro de los objetivos</t>
  </si>
  <si>
    <t>Mayor</t>
  </si>
  <si>
    <t>Mayor 80%</t>
  </si>
  <si>
    <t xml:space="preserve">Entre 1300 y 6500 SMLMV </t>
  </si>
  <si>
    <r>
      <t>El riesgo afecta la imagen de</t>
    </r>
    <r>
      <rPr>
        <sz val="26"/>
        <color theme="9" tint="-0.249977111117893"/>
        <rFont val="Arial Narrow"/>
        <family val="2"/>
      </rPr>
      <t xml:space="preserve">  la entidad </t>
    </r>
    <r>
      <rPr>
        <sz val="26"/>
        <color rgb="FF000000"/>
        <rFont val="Arial Narrow"/>
        <family val="2"/>
      </rPr>
      <t>con efecto publicitario sostenido a nivel de sector administrativo, nivel departamental o municipal</t>
    </r>
  </si>
  <si>
    <t>Catastrófico</t>
  </si>
  <si>
    <t>Catastrófico 100%</t>
  </si>
  <si>
    <t xml:space="preserve">Mayor a 6500 SMLMV </t>
  </si>
  <si>
    <t>El riesgo afecta la imagen de la entidad a nivel nacional, con efecto publicitarios sostenible a nivel país</t>
  </si>
  <si>
    <t>Afectación_Económica_o_presupuestal</t>
  </si>
  <si>
    <t xml:space="preserve">     Afectación menor a 130 SMLMV .</t>
  </si>
  <si>
    <t xml:space="preserve">     El riesgo afecta la imagen de alguna área de la organización</t>
  </si>
  <si>
    <t>Pérdida_Reputacional</t>
  </si>
  <si>
    <t xml:space="preserve">     Entre 130 y 650 SMLMV </t>
  </si>
  <si>
    <t xml:space="preserve">     El riesgo afecta la imagen de la entidad internamente, de conocimiento general, nivel interno, de junta dircetiva y accionistas y/o de provedores</t>
  </si>
  <si>
    <t xml:space="preserve">     Entre 650 y 1300 SMLMV </t>
  </si>
  <si>
    <t xml:space="preserve">     Entre 1300 y 6500 SMLMV </t>
  </si>
  <si>
    <t xml:space="preserve">     El riesgo afecta la imagen de de la entidad con efecto publicitario sostenido a nivel de sector administrativo, nivel departamental o municipal</t>
  </si>
  <si>
    <t xml:space="preserve">     Mayor a 6500 SMLMV </t>
  </si>
  <si>
    <t xml:space="preserve">     El riesgo afecta la imagen de la entidad a nivel nacional, con efecto publicitarios sostenible a nivel país</t>
  </si>
  <si>
    <t>Criterios</t>
  </si>
  <si>
    <t>Subcriterios</t>
  </si>
  <si>
    <t>Catastrofico</t>
  </si>
  <si>
    <t>Afectación Económica o presupuestal</t>
  </si>
  <si>
    <t>Afectación menor a 130 SMLMV .</t>
  </si>
  <si>
    <t>El riesgo afecta la imagen de de la entidad con efecto publicitario sostenido a nivel de sector administrativo, nivel departamental o municipal</t>
  </si>
  <si>
    <t>❌</t>
  </si>
  <si>
    <t>✔</t>
  </si>
  <si>
    <t>IMPACTO CORRUPCIÓN</t>
  </si>
  <si>
    <t>No.</t>
  </si>
  <si>
    <t>SI EL RIESGO DE CORRUPCIÓN SE MATERIALIZA PODRÍA...</t>
  </si>
  <si>
    <t>RESPUESTA</t>
  </si>
  <si>
    <t>SI</t>
  </si>
  <si>
    <t>NO</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</si>
  <si>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</si>
  <si>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</si>
  <si>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</si>
  <si>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</si>
  <si>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</si>
  <si>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</si>
  <si>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</si>
  <si>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</si>
  <si>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</si>
  <si>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</si>
  <si>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</si>
  <si>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</si>
  <si>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</si>
  <si>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</si>
  <si>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</si>
  <si>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</si>
  <si>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</si>
  <si>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</si>
  <si>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</si>
  <si>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TOTAL RESPUESTAS AFIRMATIVAS </t>
  </si>
  <si>
    <r>
      <t>Responder afirmativamente de 1 a 5 pregunta(s) genera un impacto</t>
    </r>
    <r>
      <rPr>
        <b/>
        <sz val="10"/>
        <rFont val="Arial"/>
        <family val="2"/>
      </rPr>
      <t xml:space="preserve"> Moderado</t>
    </r>
    <r>
      <rPr>
        <sz val="11"/>
        <color theme="1"/>
        <rFont val="Arial"/>
        <family val="2"/>
      </rPr>
      <t xml:space="preserve">
Responder afirmativamente de 6 a 11 preguntas genera un impacto </t>
    </r>
    <r>
      <rPr>
        <b/>
        <sz val="10"/>
        <rFont val="Arial"/>
        <family val="2"/>
      </rPr>
      <t xml:space="preserve">Mayor </t>
    </r>
    <r>
      <rPr>
        <sz val="11"/>
        <color theme="1"/>
        <rFont val="Arial"/>
        <family val="2"/>
      </rPr>
      <t xml:space="preserve">
Responder afirmativamente de 12 a 19 preguntas genera un impacto </t>
    </r>
    <r>
      <rPr>
        <b/>
        <sz val="10"/>
        <rFont val="Arial"/>
        <family val="2"/>
      </rPr>
      <t>Catastrófico</t>
    </r>
    <r>
      <rPr>
        <sz val="11"/>
        <color theme="1"/>
        <rFont val="Arial"/>
        <family val="2"/>
      </rPr>
      <t>.</t>
    </r>
  </si>
  <si>
    <t>Gestión</t>
  </si>
  <si>
    <t>Ejecución y administración de procesos</t>
  </si>
  <si>
    <t>Pérdidas derivadas de errores en la ejecución y administración de procesos.</t>
  </si>
  <si>
    <t>Relaciones laborales</t>
  </si>
  <si>
    <t>Pérdidas que surgen de acciones contrarias a las leyes o acuerdos de empleo, salud o seguridad, del pago de demandas por  daños personales o de discriminación.</t>
  </si>
  <si>
    <t>Daños a activos fijos/ eventos externos</t>
  </si>
  <si>
    <t>Pérdida por daños o extravíos de los activos fijos por desastres naturales u otros riesgos/eventos externos como atentados, vandalismo, orden público.</t>
  </si>
  <si>
    <t>Fallas tecnológicas</t>
  </si>
  <si>
    <t>Errores en hardware, software, telecomunicaciones, interrupción de servicios básicos.</t>
  </si>
  <si>
    <t>Fraude externo</t>
  </si>
  <si>
    <t>Pérdida derivada de actos de fraude por personas ajenas a la organización (no participa personal de la entidad).</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</si>
  <si>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</si>
  <si>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</si>
  <si>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Soborno</t>
  </si>
  <si>
    <t>Cuando una persona da u ofrece “dinero u otra utilidad para que se realice u omita un acto propio del cargo de un funcionario público, o para que se ejecute uno contrario a sus deberes oficiales”</t>
  </si>
  <si>
    <t>Determina que la información no esté disponible ni sea revelada a individuos, entidades o procesos no autorizados.</t>
  </si>
  <si>
    <t xml:space="preserve">Pérdida de la confidencialidad </t>
  </si>
  <si>
    <t>Determina la exactitud y completitud de la información, permitiendo que la información sea precisa, coherente y completa desde su creación hasta su destrucción.</t>
  </si>
  <si>
    <t xml:space="preserve">Pérdida de la integridad </t>
  </si>
  <si>
    <t>Determina la accesibilidad y utilización de la información por solicitud de una persona entidad o proceso autorizada cuando así lo requiera esta, en el momento y en la forma que se requiere ahora y en el futuro, al igual que los recursos necesarios para su uso.</t>
  </si>
  <si>
    <t>TIPO DE ACTIVO</t>
  </si>
  <si>
    <t>EQUIPAMIENTO AUXILIAR</t>
  </si>
  <si>
    <t>TIPO</t>
  </si>
  <si>
    <t>AMENAZA</t>
  </si>
  <si>
    <t>HARDWARE</t>
  </si>
  <si>
    <t>Daño físico </t>
  </si>
  <si>
    <t>Fuego</t>
  </si>
  <si>
    <t>Agua</t>
  </si>
  <si>
    <t>INSTALACIONES</t>
  </si>
  <si>
    <t>Contaminación</t>
  </si>
  <si>
    <t>PROCESOS</t>
  </si>
  <si>
    <t>Accidente Importante</t>
  </si>
  <si>
    <t>RECURSOS HUMANOS</t>
  </si>
  <si>
    <t>Destrucción del equipo o medios </t>
  </si>
  <si>
    <t>RED</t>
  </si>
  <si>
    <t>Polvo, corrosión, congelamiento </t>
  </si>
  <si>
    <t>SERVICIOS</t>
  </si>
  <si>
    <t>Eventos naturales </t>
  </si>
  <si>
    <t>Fenómenos climáticos </t>
  </si>
  <si>
    <t>SOFTWARE</t>
  </si>
  <si>
    <t>Fenómenos sísmicos </t>
  </si>
  <si>
    <t>Fenómenos volcánicos </t>
  </si>
  <si>
    <t>Fenómenos meteorológicos </t>
  </si>
  <si>
    <t>Inundación </t>
  </si>
  <si>
    <t>Perdida de los servicios esenciales </t>
  </si>
  <si>
    <t>Fallas en el sistema de suministro de agua o aire acondicionado </t>
  </si>
  <si>
    <t>Perdida de suministro de energía </t>
  </si>
  <si>
    <t>Falla en equipo de telecomunicaciones </t>
  </si>
  <si>
    <t>Perturbación debida a la radiación </t>
  </si>
  <si>
    <t>Radiación electromagnética </t>
  </si>
  <si>
    <t>Radiación térmica </t>
  </si>
  <si>
    <t>Impulsos electromagnéticos </t>
  </si>
  <si>
    <t>Interceptación de señales de interferencia comprometida </t>
  </si>
  <si>
    <t>Espionaje remoto </t>
  </si>
  <si>
    <t>Escucha encubierta </t>
  </si>
  <si>
    <t>Hurto de medios o documentos </t>
  </si>
  <si>
    <t>Hurto de equipo </t>
  </si>
  <si>
    <t>Recuperación de medios reciclados o desechados </t>
  </si>
  <si>
    <t>Divulgación </t>
  </si>
  <si>
    <t>Manipulación con hardware </t>
  </si>
  <si>
    <t>Manipulación con software </t>
  </si>
  <si>
    <t>Detección de la posición </t>
  </si>
  <si>
    <t>Fallas técnicas </t>
  </si>
  <si>
    <t>Fallas del equipo </t>
  </si>
  <si>
    <t>Mal funcionamiento del equipo </t>
  </si>
  <si>
    <t>Saturación del sistema de información </t>
  </si>
  <si>
    <t>Mal funcionamiento del software </t>
  </si>
  <si>
    <t>Incumplimiento en el mantenimiento del sistema de información. </t>
  </si>
  <si>
    <t>Uso no autorizado del equipo </t>
  </si>
  <si>
    <t>Copia fraudulenta del software </t>
  </si>
  <si>
    <t>Uso de software falso o copiado </t>
  </si>
  <si>
    <t>Procesamiento ilegal de datos </t>
  </si>
  <si>
    <t>Compromiso de las funciones </t>
  </si>
  <si>
    <t>Error en el uso </t>
  </si>
  <si>
    <t>Abuso de derechos </t>
  </si>
  <si>
    <t>Falsificación de derechos </t>
  </si>
  <si>
    <t>Negación de acciones </t>
  </si>
  <si>
    <t>Incumplimiento en la disponibilidad del personal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</si>
  <si>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</si>
  <si>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</si>
  <si>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</si>
  <si>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</si>
  <si>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</si>
  <si>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</si>
  <si>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</si>
  <si>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</si>
  <si>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</si>
  <si>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</si>
  <si>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</si>
  <si>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</si>
  <si>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</si>
  <si>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</si>
  <si>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</si>
  <si>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</si>
  <si>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</si>
  <si>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</si>
  <si>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</si>
  <si>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</si>
  <si>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</si>
  <si>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</si>
  <si>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</si>
  <si>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</si>
  <si>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Económico</t>
  </si>
  <si>
    <t>Reducir (compartir)</t>
  </si>
  <si>
    <t>Económico y Reputacional</t>
  </si>
  <si>
    <t>Reducir (mitigar)</t>
  </si>
  <si>
    <t>Plan de accion (solo para la opción reducir)</t>
  </si>
  <si>
    <t>Finalizado</t>
  </si>
  <si>
    <t>En curso</t>
  </si>
  <si>
    <t>Daños Activos Fisicos</t>
  </si>
  <si>
    <t>Ejecucion y Administracion de procesos</t>
  </si>
  <si>
    <t>Fallas Tecnologicas</t>
  </si>
  <si>
    <t>Fraude Externo</t>
  </si>
  <si>
    <t>Relaciones Laborales</t>
  </si>
  <si>
    <t>Usuarios, productos y practicas , organizacionales</t>
  </si>
  <si>
    <t>Registro Sustancial</t>
  </si>
  <si>
    <t>Registro Material</t>
  </si>
  <si>
    <t>Sin registro</t>
  </si>
  <si>
    <t>Reducir</t>
  </si>
  <si>
    <t>Buenas tardes Dra. Cecilia  </t>
  </si>
  <si>
    <t>De acuerdo a la revisión realizada al mapa de riesgos del proceso Control disciplinario interno –CODI para la vigencia 2022, se realiza las siguientes observaciones: </t>
  </si>
  <si>
    <t>1.       Revisar la hoja del DOFA (se copió lo que el proceso entrego en noviembre 2020) con el fin de analizar si las debilidad o amenaza consignadas sean vigentes al proceso y analizar cuál de estas se convierte en un riesgo para el proceso. </t>
  </si>
  <si>
    <t>2.       Se realizó observaciones a la Descripción del Riesgo, para que este conforme con la metodología.  </t>
  </si>
  <si>
    <t>1. Para el R1 se recomienda mejorar la redacción en el formato se tiene un ejemplo </t>
  </si>
  <si>
    <t>3.       Para el R1 de corrupción para calcular el impacto se debe diligenciar la hoja impacto de corrupción  </t>
  </si>
  <si>
    <t>4.       Para los riesgos de corrupción no se diligencian las columnas de activos las que se marcaron en gris </t>
  </si>
  <si>
    <t>5.       Se realizó observación al control dos del riesgo dos R2C2 (se recomienda mejorar la redacción en cuanto a la acción del control) </t>
  </si>
  <si>
    <t>6.       Se realizó observaciones a la actividad dos del riesgo uno para que sea diferente  </t>
  </si>
  <si>
    <t>Finalmente, agradezco revisar las observaciones y realizar los ajustes y remitir el ** de enero con las correcciones  </t>
  </si>
  <si>
    <t xml:space="preserve">Compromiso y apoyo de la Alta Direccion. 
Colaboracion eficaz y oportuna por parte de los demás procesos frente a las solicitudes que realiza en Proceso de Control Disciplinario. 
Los expedientes de los procesos disciplinarios se encuentran debidamente archivados y resguardados.
Apoyo de la Dirección Distrital de Asuntos Disciplinarios de la Alcaldia Mayor de Bogotá. </t>
  </si>
  <si>
    <t xml:space="preserve">Eventuales demoras en los tiempos de respuesta a requerimientos y/o solicitudes debido a la falta de apropiación de los procedimientos establecidos por parte de los demás procesos que se requieren para dar impulso procesal a las actuaciones disciplinarias.
</t>
  </si>
  <si>
    <t xml:space="preserve">Los procedimientos y actuaciones disciplinarias se encuentran claramente definidos por la Ley Disciplinaria.
Divulgación de acciones preventivas en materia disciplinaria en la entidad.
</t>
  </si>
  <si>
    <t>Falta de empoderamiento por parte de los colaboradores de la entidad frente a las acciones preventivas divulgadas por el proceso.</t>
  </si>
  <si>
    <t xml:space="preserve">El proceso de Control Disciplinario Interno es reglado (Ley 734 de 2002)
Se tienen procedimientos y formatos que permiten contar con controles para las actividades que se deben desarrollar en el proceso.
Permanente capacitación en temas relacionados con el Derecho Disciplinario. </t>
  </si>
  <si>
    <t>Falta de interacción con demas entidades del Distrito  para debatir temas propios del Derecho Disciplinario.</t>
  </si>
  <si>
    <t>Vincular a servidores público y/o contratistas que no tengan la experiencia específica en Derecho Disciplinario.</t>
  </si>
  <si>
    <t>Los procesos tienen sus Procedimientos y Riesgos identificados y documentados</t>
  </si>
  <si>
    <t>Fallas en las plataformas tecnológicas de la entidad.</t>
  </si>
  <si>
    <t xml:space="preserve">Se cuenta con un sistema de información adecuado que garantiza la reserva de la información y  permite la consolidación, centralización y seguimiento a los procesos disciplinarios, generando alertas y reportes sobre la gestión a partir de la  información consignada en el Sistema de Información Disciplinaria a nivel Distrital.
Se cuenta con el apoyo del Proceso SIT para realizar Backups de seguridad en la información que maneja el proceso. 
</t>
  </si>
  <si>
    <t xml:space="preserve">Fallas tecnológicas en el Sistema de Información Disciplinaria. </t>
  </si>
  <si>
    <t xml:space="preserve">La entidad cuenta con la Oficina de Control Disiplinairo Interno y el jefe es abogado perteneciente al nivel Directivo.El proceso de Control Disciplinario Interno es reglado. 
Los vacios juridicos que se presentan al aplicar la ley disciplinaria son estudiados y debatidos por el Comité Distrital de Asuntos Disciplinarios, quienes son los competentes para impartir las directrices a seguir por parte de las Oficinas de Control Disciplinario Interno. </t>
  </si>
  <si>
    <t>Expectativas frente a la interpretación y aplicación de la Ley Disciplinaira que entrará a regir a partir de marzo de 2022, dado el número de demandas de inconstitucionalidad que se han presentado en contra de la misma.
Deficiente proceso de selección del talento humano designado a la Oficina de Control Disciplinario Interno.</t>
  </si>
  <si>
    <t xml:space="preserve">Conocimiento, experiencia, habilidades y compromiso por parte del talento humano asiganado al proceso.
Permanente actualización en temas propios del Derecho Disciplinario. </t>
  </si>
  <si>
    <t>SE ASOCIÓ AL RIESGO:
Debido al inadecuado almacenamiento de la información cargada en los sistemas de información respecto de los procesos disciplinarios, sin BACKUP / Copia de Seguridad</t>
  </si>
  <si>
    <t>X</t>
  </si>
  <si>
    <t>R2-C2
El (la) Profesional Especializado 222-03, mediante el envío de la solicitud correspondiente con copia al (a) Jefe de la Oficina, requerirá  al proceso GSIT-Gestión de Servicios e Infraestructura, la realización del backup/copia de seguridad MENSUAL de la información contenida en la "base de datos CODI" y expedientes electrónicos del proceso disciplinario, conforme a las políticas de seguridad de la información, con el fin de contar con  el respaldo para el restablecimiento de la información, en caso de ser necesario.
Como evidencia se tiene el correo de solicitud al proceso GSIT (mesa de ayuda) para que se realice la copia de seguridad de la información del proceso CODI y la respuesta con las imágneres de la realizació del backup.
En caso de evidenciarse que no se haya realizado esta copia de seguridad, se procede a requerir nuevamente con radicado (memorando) para que se realicen mensualmente.</t>
  </si>
  <si>
    <t>Por rérdida de la disponibilidad de información en las bases de  datos del proceso disciplinarios por el inadecuado almacenamiento de la información cargada de los procesos disciplinarios, sin backup/copias de seguridad</t>
  </si>
  <si>
    <t>debido al registro manual de la información de los procesos disciplinarios en las bases de datos, que puede incurrir en error o provenir de fuente no confiable.</t>
  </si>
  <si>
    <t>Por manipular, alterar documentación y/o evidencia u omitir información, en un expediente disciplinario que conlleven a tomar decisiones contrarias a derecho en las investigaciones disciplinarias para favorecer a un terceros (sujetos procesales) y/o obtener dadivas o beneficio</t>
  </si>
  <si>
    <t xml:space="preserve">R1
 Posibilidad de afectación reputacional por manipular, alterar documentación y/o evidencia u omitir información, en un expediente disciplinario, que conlleven a tomar decisiones contrarias a derecho en las investigaciones disciplinarias, para favorecer a un terceros (sujetos procesales) y/o obtener dadivas o beneficio
</t>
  </si>
  <si>
    <r>
      <t>R2
Posibilidad de afectación reputacional POR Pérdida de la disponibilidad de información en las bases de  datos del proceso disciplinarios</t>
    </r>
    <r>
      <rPr>
        <b/>
        <sz val="12"/>
        <rFont val="Arial"/>
        <family val="2"/>
      </rPr>
      <t xml:space="preserve"> por el</t>
    </r>
    <r>
      <rPr>
        <sz val="12"/>
        <rFont val="Arial"/>
        <family val="2"/>
      </rPr>
      <t xml:space="preserve"> inadecuado almacenamiento de la información cargada de los procesos disciplinarios, sin backup/copias de seguridad, debido al registro manual de la información de los procesos disciplinarios en las bases de datos, que puede incurrir en error o provenir de fuente no confiable.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</si>
</sst>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 #,##0.00_-;\-&quot;$&quot;\ * #,##0.00_-;_-&quot;$&quot;\ * &quot;-&quot;??_-;_-@_-"/>
    <numFmt numFmtId="164" formatCode="0.0%"/>
    <numFmt numFmtId="165" formatCode="_-&quot;$&quot;\ * #,##0_-;\-&quot;$&quot;\ * #,##0_-;_-&quot;$&quot;\ * &quot;-&quot;??_-;_-@_-"/>
    <numFmt numFmtId="166" formatCode="&quot;$&quot;\ #,##0.00"/>
  </numFmts>
  <fonts count="95"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8"/>
      <color theme="1"/>
      <name val="Calibri"/>
      <family val="2"/>
      <scheme val="minor"/>
    </font>
    <font>
      <sz val="11"/>
      <color rgb="FF002060"/>
      <name val="Calibri"/>
      <family val="2"/>
      <scheme val="minor"/>
    </font>
    <font>
      <sz val="16"/>
      <color rgb="FF002060"/>
      <name val="Arial Narrow"/>
      <family val="2"/>
    </font>
    <font>
      <b/>
      <sz val="11"/>
      <color rgb="FF002060"/>
      <name val="Arial Narrow"/>
      <family val="2"/>
    </font>
    <font>
      <sz val="14"/>
      <color theme="1"/>
      <name val="Arial"/>
      <family val="2"/>
    </font>
    <font>
      <sz val="20"/>
      <name val="Arial"/>
      <family val="2"/>
    </font>
    <font>
      <sz val="21"/>
      <color theme="1"/>
      <name val="Arial"/>
      <family val="2"/>
    </font>
    <font>
      <sz val="21"/>
      <name val="Arial"/>
      <family val="2"/>
    </font>
    <font>
      <b/>
      <sz val="20"/>
      <name val="Arial"/>
      <family val="2"/>
    </font>
    <font>
      <sz val="18"/>
      <color theme="1"/>
      <name val="Arial"/>
      <family val="2"/>
    </font>
    <font>
      <b/>
      <sz val="21"/>
      <color theme="1"/>
      <name val="Arial"/>
      <family val="2"/>
    </font>
    <font>
      <b/>
      <sz val="21"/>
      <name val="Arial"/>
      <family val="2"/>
    </font>
    <font>
      <sz val="21"/>
      <color rgb="FF7030A0"/>
      <name val="Arial"/>
      <family val="2"/>
    </font>
    <font>
      <b/>
      <sz val="21"/>
      <color rgb="FF7030A0"/>
      <name val="Arial"/>
      <family val="2"/>
    </font>
    <font>
      <sz val="21"/>
      <color rgb="FFFF0000"/>
      <name val="Arial"/>
      <family val="2"/>
    </font>
    <font>
      <sz val="22"/>
      <color theme="1"/>
      <name val="Arial"/>
      <family val="2"/>
    </font>
    <font>
      <b/>
      <sz val="22"/>
      <color theme="1"/>
      <name val="Arial"/>
      <family val="2"/>
    </font>
    <font>
      <b/>
      <sz val="22"/>
      <name val="Arial"/>
      <family val="2"/>
    </font>
    <font>
      <sz val="11"/>
      <color theme="1"/>
      <name val="Arial"/>
      <family val="2"/>
    </font>
    <font>
      <b/>
      <sz val="14"/>
      <name val="Arial"/>
      <family val="2"/>
    </font>
    <font>
      <b/>
      <sz val="10"/>
      <name val="Arial"/>
      <family val="2"/>
    </font>
    <font>
      <b/>
      <sz val="11"/>
      <color theme="1"/>
      <name val="Arial"/>
      <family val="2"/>
    </font>
    <font>
      <b/>
      <sz val="9"/>
      <color theme="1"/>
      <name val="Arial"/>
      <family val="2"/>
    </font>
    <font>
      <sz val="9"/>
      <color theme="1"/>
      <name val="Arial"/>
      <family val="2"/>
    </font>
    <font>
      <b/>
      <sz val="18"/>
      <color theme="1"/>
      <name val="Arial"/>
      <family val="2"/>
    </font>
    <font>
      <sz val="12"/>
      <color rgb="FF203764"/>
      <name val="Calibri"/>
      <family val="2"/>
      <scheme val="minor"/>
    </font>
    <font>
      <b/>
      <sz val="16"/>
      <name val="Arial"/>
      <family val="2"/>
    </font>
    <font>
      <sz val="12"/>
      <name val="Arial"/>
      <family val="2"/>
    </font>
    <font>
      <b/>
      <sz val="12"/>
      <name val="Arial"/>
      <family val="2"/>
    </font>
    <font>
      <sz val="26"/>
      <color theme="9" tint="-0.249977111117893"/>
      <name val="Arial Narrow"/>
      <family val="2"/>
    </font>
    <font>
      <b/>
      <sz val="11"/>
      <color theme="1"/>
      <name val="Calibri"/>
      <family val="2"/>
      <scheme val="minor"/>
    </font>
    <font>
      <b/>
      <sz val="11"/>
      <color rgb="FF000000"/>
      <name val="Calibri"/>
      <family val="2"/>
      <scheme val="minor"/>
    </font>
    <font>
      <b/>
      <sz val="11"/>
      <name val="Arial"/>
      <family val="2"/>
    </font>
    <font>
      <sz val="16"/>
      <name val="Arial"/>
      <family val="2"/>
    </font>
    <font>
      <sz val="14"/>
      <name val="Arial"/>
      <family val="2"/>
    </font>
    <font>
      <sz val="12"/>
      <color theme="1"/>
      <name val="Arial"/>
      <family val="2"/>
    </font>
    <font>
      <b/>
      <sz val="12"/>
      <color theme="1"/>
      <name val="Arial"/>
      <family val="2"/>
    </font>
    <font>
      <sz val="12"/>
      <color theme="9" tint="-0.249977111117893"/>
      <name val="Arial"/>
      <family val="2"/>
    </font>
    <font>
      <sz val="8"/>
      <name val="Arial"/>
      <family val="2"/>
    </font>
    <font>
      <b/>
      <sz val="18"/>
      <name val="Arial"/>
      <family val="2"/>
    </font>
  </fonts>
  <fills count="30">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rgb="FFBDD7EE"/>
        <bgColor rgb="FF000000"/>
      </patternFill>
    </fill>
    <fill>
      <patternFill patternType="solid">
        <fgColor rgb="FFFFF2CC"/>
        <bgColor rgb="FF000000"/>
      </patternFill>
    </fill>
    <fill>
      <patternFill patternType="solid">
        <fgColor theme="0" tint="-0.34998626667073579"/>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0" tint="-0.249977111117893"/>
        <bgColor indexed="64"/>
      </patternFill>
    </fill>
  </fills>
  <borders count="118">
    <border>
      <left/>
      <right/>
      <top/>
      <bottom/>
      <diagonal/>
    </border>
    <border>
      <left style="dotted">
        <color rgb="FFF79646"/>
      </left>
      <right style="dotted">
        <color rgb="FFF79646"/>
      </right>
      <top style="dotted">
        <color rgb="FFF79646"/>
      </top>
      <bottom style="dotted">
        <color rgb="FFF79646"/>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tted">
        <color rgb="FFF79646"/>
      </left>
      <right/>
      <top/>
      <bottom style="dotted">
        <color rgb="FFF79646"/>
      </bottom>
      <diagonal/>
    </border>
    <border>
      <left style="dotted">
        <color rgb="FFF79646"/>
      </left>
      <right/>
      <top style="dotted">
        <color rgb="FFF79646"/>
      </top>
      <bottom style="dotted">
        <color rgb="FFF79646"/>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rgb="FF000000"/>
      </left>
      <right style="thin">
        <color rgb="FF000000"/>
      </right>
      <top style="thin">
        <color rgb="FF000000"/>
      </top>
      <bottom style="thin">
        <color rgb="FF000000"/>
      </bottom>
      <diagonal/>
    </border>
    <border>
      <left style="hair">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hair">
        <color theme="6" tint="-0.499984740745262"/>
      </right>
      <top style="hair">
        <color theme="6" tint="-0.499984740745262"/>
      </top>
      <bottom/>
      <diagonal/>
    </border>
    <border>
      <left style="hair">
        <color theme="6" tint="-0.499984740745262"/>
      </left>
      <right style="hair">
        <color theme="6" tint="-0.499984740745262"/>
      </right>
      <top/>
      <bottom style="hair">
        <color theme="6" tint="-0.499984740745262"/>
      </bottom>
      <diagonal/>
    </border>
    <border>
      <left/>
      <right style="hair">
        <color theme="6" tint="-0.499984740745262"/>
      </right>
      <top style="hair">
        <color theme="6" tint="-0.499984740745262"/>
      </top>
      <bottom/>
      <diagonal/>
    </border>
    <border>
      <left/>
      <right style="hair">
        <color theme="6" tint="-0.499984740745262"/>
      </right>
      <top style="hair">
        <color theme="6" tint="-0.499984740745262"/>
      </top>
      <bottom style="hair">
        <color theme="6" tint="-0.499984740745262"/>
      </bottom>
      <diagonal/>
    </border>
    <border>
      <left/>
      <right style="hair">
        <color theme="6" tint="-0.499984740745262"/>
      </right>
      <top/>
      <bottom/>
      <diagonal/>
    </border>
    <border>
      <left style="medium">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medium">
        <color theme="6" tint="-0.499984740745262"/>
      </right>
      <top style="medium">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medium">
        <color theme="6" tint="-0.499984740745262"/>
      </right>
      <top style="hair">
        <color theme="6" tint="-0.499984740745262"/>
      </top>
      <bottom style="hair">
        <color theme="6" tint="-0.499984740745262"/>
      </bottom>
      <diagonal/>
    </border>
    <border>
      <left style="hair">
        <color theme="6" tint="-0.499984740745262"/>
      </left>
      <right style="medium">
        <color theme="6" tint="-0.499984740745262"/>
      </right>
      <top style="hair">
        <color theme="6" tint="-0.499984740745262"/>
      </top>
      <bottom/>
      <diagonal/>
    </border>
    <border>
      <left style="medium">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medium">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bottom/>
      <diagonal/>
    </border>
    <border>
      <left style="hair">
        <color theme="6" tint="-0.499984740745262"/>
      </left>
      <right style="medium">
        <color theme="6" tint="-0.499984740745262"/>
      </right>
      <top/>
      <bottom/>
      <diagonal/>
    </border>
    <border>
      <left style="medium">
        <color theme="6" tint="-0.499984740745262"/>
      </left>
      <right style="hair">
        <color theme="6" tint="-0.499984740745262"/>
      </right>
      <top/>
      <bottom style="hair">
        <color theme="6" tint="-0.499984740745262"/>
      </bottom>
      <diagonal/>
    </border>
    <border>
      <left style="hair">
        <color theme="6" tint="-0.499984740745262"/>
      </left>
      <right style="medium">
        <color theme="6" tint="-0.499984740745262"/>
      </right>
      <top/>
      <bottom style="hair">
        <color theme="6" tint="-0.499984740745262"/>
      </bottom>
      <diagonal/>
    </border>
    <border>
      <left/>
      <right style="hair">
        <color theme="6" tint="-0.499984740745262"/>
      </right>
      <top style="medium">
        <color theme="6" tint="-0.499984740745262"/>
      </top>
      <bottom style="hair">
        <color theme="6" tint="-0.499984740745262"/>
      </bottom>
      <diagonal/>
    </border>
    <border>
      <left/>
      <right style="hair">
        <color theme="6" tint="-0.499984740745262"/>
      </right>
      <top style="hair">
        <color theme="6" tint="-0.499984740745262"/>
      </top>
      <bottom style="medium">
        <color theme="6" tint="-0.499984740745262"/>
      </bottom>
      <diagonal/>
    </border>
    <border>
      <left style="medium">
        <color theme="6" tint="-0.499984740745262"/>
      </left>
      <right style="hair">
        <color theme="6" tint="-0.499984740745262"/>
      </right>
      <top style="hair">
        <color theme="6" tint="-0.499984740745262"/>
      </top>
      <bottom/>
      <diagonal/>
    </border>
    <border>
      <left style="medium">
        <color indexed="64"/>
      </left>
      <right style="hair">
        <color theme="6" tint="-0.499984740745262"/>
      </right>
      <top style="medium">
        <color indexed="64"/>
      </top>
      <bottom style="hair">
        <color theme="6" tint="-0.499984740745262"/>
      </bottom>
      <diagonal/>
    </border>
    <border>
      <left style="hair">
        <color theme="6" tint="-0.499984740745262"/>
      </left>
      <right style="medium">
        <color indexed="64"/>
      </right>
      <top style="medium">
        <color indexed="64"/>
      </top>
      <bottom style="hair">
        <color theme="6" tint="-0.499984740745262"/>
      </bottom>
      <diagonal/>
    </border>
    <border>
      <left style="medium">
        <color indexed="64"/>
      </left>
      <right style="hair">
        <color theme="6" tint="-0.499984740745262"/>
      </right>
      <top style="hair">
        <color theme="6" tint="-0.499984740745262"/>
      </top>
      <bottom style="hair">
        <color theme="6" tint="-0.499984740745262"/>
      </bottom>
      <diagonal/>
    </border>
    <border>
      <left style="hair">
        <color theme="6" tint="-0.499984740745262"/>
      </left>
      <right style="medium">
        <color indexed="64"/>
      </right>
      <top style="hair">
        <color theme="6" tint="-0.499984740745262"/>
      </top>
      <bottom style="hair">
        <color theme="6" tint="-0.499984740745262"/>
      </bottom>
      <diagonal/>
    </border>
    <border>
      <left style="medium">
        <color indexed="64"/>
      </left>
      <right style="hair">
        <color theme="6" tint="-0.499984740745262"/>
      </right>
      <top style="hair">
        <color theme="6" tint="-0.499984740745262"/>
      </top>
      <bottom style="medium">
        <color indexed="64"/>
      </bottom>
      <diagonal/>
    </border>
    <border>
      <left style="hair">
        <color theme="6" tint="-0.499984740745262"/>
      </left>
      <right style="medium">
        <color indexed="64"/>
      </right>
      <top style="hair">
        <color theme="6" tint="-0.499984740745262"/>
      </top>
      <bottom style="medium">
        <color indexed="64"/>
      </bottom>
      <diagonal/>
    </border>
    <border>
      <left style="hair">
        <color theme="6" tint="-0.499984740745262"/>
      </left>
      <right style="hair">
        <color theme="6" tint="-0.499984740745262"/>
      </right>
      <top style="medium">
        <color indexed="64"/>
      </top>
      <bottom style="hair">
        <color theme="6" tint="-0.499984740745262"/>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8">
    <xf numFmtId="0" fontId="0" fillId="0" borderId="0"/>
    <xf numFmtId="9" fontId="12" fillId="0" borderId="0" applyFont="0" applyFill="0" applyBorder="0" applyAlignment="0" applyProtection="0"/>
    <xf numFmtId="0" fontId="44" fillId="0" borderId="0"/>
    <xf numFmtId="0" fontId="45" fillId="0" borderId="0"/>
    <xf numFmtId="0" fontId="4" fillId="0" borderId="0"/>
    <xf numFmtId="44" fontId="12" fillId="0" borderId="0" applyFont="0" applyFill="0" applyBorder="0" applyAlignment="0" applyProtection="0"/>
    <xf numFmtId="44" fontId="12" fillId="0" borderId="0" applyFont="0" applyFill="0" applyBorder="0" applyAlignment="0" applyProtection="0"/>
    <xf numFmtId="0" fontId="12" fillId="0" borderId="0"/>
  </cellStyleXfs>
  <cellXfs count="582">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7" fillId="6" borderId="0" xfId="0" applyFont="1" applyFill="1" applyAlignment="1">
      <alignment horizontal="center" vertical="center" wrapText="1" readingOrder="1"/>
    </xf>
    <xf numFmtId="0" fontId="8" fillId="5" borderId="2" xfId="0" applyFont="1" applyFill="1" applyBorder="1" applyAlignment="1">
      <alignment horizontal="center" vertical="center" wrapText="1" readingOrder="1"/>
    </xf>
    <xf numFmtId="0" fontId="8" fillId="0" borderId="2" xfId="0" applyFont="1" applyBorder="1" applyAlignment="1">
      <alignment horizontal="justify" vertical="center" wrapText="1" readingOrder="1"/>
    </xf>
    <xf numFmtId="9" fontId="8" fillId="0" borderId="2" xfId="0" applyNumberFormat="1" applyFont="1" applyBorder="1" applyAlignment="1">
      <alignment horizontal="center" vertical="center" wrapText="1" readingOrder="1"/>
    </xf>
    <xf numFmtId="0" fontId="8" fillId="7" borderId="1" xfId="0" applyFont="1" applyFill="1" applyBorder="1" applyAlignment="1">
      <alignment horizontal="center" vertical="center" wrapText="1" readingOrder="1"/>
    </xf>
    <xf numFmtId="0" fontId="8" fillId="0" borderId="1" xfId="0" applyFont="1" applyBorder="1" applyAlignment="1">
      <alignment horizontal="justify" vertical="center" wrapText="1" readingOrder="1"/>
    </xf>
    <xf numFmtId="9" fontId="8" fillId="0" borderId="1" xfId="0" applyNumberFormat="1" applyFont="1" applyBorder="1" applyAlignment="1">
      <alignment horizontal="center" vertical="center" wrapText="1" readingOrder="1"/>
    </xf>
    <xf numFmtId="0" fontId="8" fillId="4" borderId="1" xfId="0" applyFont="1" applyFill="1" applyBorder="1" applyAlignment="1">
      <alignment horizontal="center" vertical="center" wrapText="1" readingOrder="1"/>
    </xf>
    <xf numFmtId="0" fontId="8" fillId="8" borderId="1" xfId="0" applyFont="1" applyFill="1" applyBorder="1" applyAlignment="1">
      <alignment horizontal="center" vertical="center" wrapText="1" readingOrder="1"/>
    </xf>
    <xf numFmtId="0" fontId="9" fillId="9" borderId="1" xfId="0" applyFont="1" applyFill="1" applyBorder="1" applyAlignment="1">
      <alignment horizontal="center" vertical="center" wrapText="1" readingOrder="1"/>
    </xf>
    <xf numFmtId="0" fontId="13" fillId="0" borderId="0" xfId="0" applyFont="1"/>
    <xf numFmtId="0" fontId="11" fillId="0" borderId="0" xfId="0" applyFont="1"/>
    <xf numFmtId="0" fontId="25" fillId="0" borderId="0" xfId="0" applyFont="1" applyAlignment="1">
      <alignment vertical="center"/>
    </xf>
    <xf numFmtId="0" fontId="26" fillId="0" borderId="0" xfId="0" applyFont="1"/>
    <xf numFmtId="0" fontId="24" fillId="0" borderId="0" xfId="0" applyFont="1"/>
    <xf numFmtId="0" fontId="0" fillId="0" borderId="0" xfId="0" pivotButton="1"/>
    <xf numFmtId="0" fontId="10" fillId="0" borderId="0" xfId="0" applyFont="1" applyAlignment="1">
      <alignment horizontal="justify" vertical="center" wrapText="1" readingOrder="1"/>
    </xf>
    <xf numFmtId="0" fontId="29" fillId="6" borderId="0" xfId="0" applyFont="1" applyFill="1" applyAlignment="1">
      <alignment horizontal="center" vertical="center" wrapText="1" readingOrder="1"/>
    </xf>
    <xf numFmtId="0" fontId="30" fillId="5" borderId="2" xfId="0" applyFont="1" applyFill="1" applyBorder="1" applyAlignment="1">
      <alignment horizontal="center" vertical="center" wrapText="1" readingOrder="1"/>
    </xf>
    <xf numFmtId="0" fontId="30" fillId="7" borderId="1" xfId="0" applyFont="1" applyFill="1" applyBorder="1" applyAlignment="1">
      <alignment horizontal="center" vertical="center" wrapText="1" readingOrder="1"/>
    </xf>
    <xf numFmtId="0" fontId="30" fillId="4" borderId="1" xfId="0" applyFont="1" applyFill="1" applyBorder="1" applyAlignment="1">
      <alignment horizontal="center" vertical="center" wrapText="1" readingOrder="1"/>
    </xf>
    <xf numFmtId="0" fontId="30" fillId="8" borderId="1" xfId="0" applyFont="1" applyFill="1" applyBorder="1" applyAlignment="1">
      <alignment horizontal="center" vertical="center" wrapText="1" readingOrder="1"/>
    </xf>
    <xf numFmtId="0" fontId="31" fillId="9" borderId="1" xfId="0" applyFont="1" applyFill="1" applyBorder="1" applyAlignment="1">
      <alignment horizontal="center" vertical="center" wrapText="1" readingOrder="1"/>
    </xf>
    <xf numFmtId="0" fontId="30" fillId="0" borderId="2" xfId="0" applyFont="1" applyBorder="1" applyAlignment="1">
      <alignment horizontal="center" vertical="center" wrapText="1" readingOrder="1"/>
    </xf>
    <xf numFmtId="0" fontId="30" fillId="0" borderId="1" xfId="0" applyFont="1" applyBorder="1" applyAlignment="1">
      <alignment horizontal="center" vertical="center" wrapText="1" readingOrder="1"/>
    </xf>
    <xf numFmtId="0" fontId="17" fillId="11" borderId="3" xfId="0" applyFont="1" applyFill="1" applyBorder="1" applyAlignment="1" applyProtection="1">
      <alignment horizontal="center" vertical="center" wrapText="1" readingOrder="1"/>
      <protection hidden="1"/>
    </xf>
    <xf numFmtId="0" fontId="17" fillId="11" borderId="10" xfId="0" applyFont="1" applyFill="1" applyBorder="1" applyAlignment="1" applyProtection="1">
      <alignment horizontal="center" vertical="center" wrapText="1" readingOrder="1"/>
      <protection hidden="1"/>
    </xf>
    <xf numFmtId="0" fontId="17" fillId="11" borderId="4" xfId="0" applyFont="1" applyFill="1" applyBorder="1" applyAlignment="1" applyProtection="1">
      <alignment horizontal="center" vertical="center" wrapText="1" readingOrder="1"/>
      <protection hidden="1"/>
    </xf>
    <xf numFmtId="0" fontId="17" fillId="12" borderId="3" xfId="0" applyFont="1" applyFill="1" applyBorder="1" applyAlignment="1" applyProtection="1">
      <alignment horizontal="center" wrapText="1" readingOrder="1"/>
      <protection hidden="1"/>
    </xf>
    <xf numFmtId="0" fontId="17" fillId="12" borderId="10" xfId="0" applyFont="1" applyFill="1" applyBorder="1" applyAlignment="1" applyProtection="1">
      <alignment horizontal="center" wrapText="1" readingOrder="1"/>
      <protection hidden="1"/>
    </xf>
    <xf numFmtId="0" fontId="17" fillId="12" borderId="4" xfId="0" applyFont="1" applyFill="1" applyBorder="1" applyAlignment="1" applyProtection="1">
      <alignment horizontal="center" wrapText="1" readingOrder="1"/>
      <protection hidden="1"/>
    </xf>
    <xf numFmtId="0" fontId="17" fillId="11" borderId="5"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2" borderId="5"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6" xfId="0" applyFont="1" applyFill="1" applyBorder="1" applyAlignment="1" applyProtection="1">
      <alignment horizont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2" borderId="7" xfId="0" applyFont="1" applyFill="1" applyBorder="1" applyAlignment="1" applyProtection="1">
      <alignment horizont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3" borderId="3" xfId="0" applyFont="1" applyFill="1" applyBorder="1" applyAlignment="1" applyProtection="1">
      <alignment horizontal="center" wrapText="1" readingOrder="1"/>
      <protection hidden="1"/>
    </xf>
    <xf numFmtId="0" fontId="17" fillId="13" borderId="10" xfId="0" applyFont="1" applyFill="1" applyBorder="1" applyAlignment="1" applyProtection="1">
      <alignment horizontal="center" wrapText="1" readingOrder="1"/>
      <protection hidden="1"/>
    </xf>
    <xf numFmtId="0" fontId="17" fillId="13" borderId="4" xfId="0" applyFont="1" applyFill="1" applyBorder="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5" borderId="3" xfId="0" applyFont="1" applyFill="1" applyBorder="1" applyAlignment="1" applyProtection="1">
      <alignment horizontal="center" wrapText="1" readingOrder="1"/>
      <protection hidden="1"/>
    </xf>
    <xf numFmtId="0" fontId="17" fillId="5" borderId="10" xfId="0" applyFont="1" applyFill="1" applyBorder="1" applyAlignment="1" applyProtection="1">
      <alignment horizontal="center" wrapText="1" readingOrder="1"/>
      <protection hidden="1"/>
    </xf>
    <xf numFmtId="0" fontId="17" fillId="5" borderId="4" xfId="0" applyFont="1" applyFill="1" applyBorder="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21" fillId="13" borderId="10" xfId="0" applyFont="1" applyFill="1" applyBorder="1" applyAlignment="1" applyProtection="1">
      <alignment horizontal="center" wrapText="1" readingOrder="1"/>
      <protection hidden="1"/>
    </xf>
    <xf numFmtId="0" fontId="0" fillId="3" borderId="0" xfId="0" applyFill="1"/>
    <xf numFmtId="0" fontId="46" fillId="3" borderId="37" xfId="2" applyFont="1" applyFill="1" applyBorder="1"/>
    <xf numFmtId="0" fontId="46" fillId="3" borderId="38" xfId="2" applyFont="1" applyFill="1" applyBorder="1"/>
    <xf numFmtId="0" fontId="46" fillId="3" borderId="39" xfId="2" applyFont="1" applyFill="1" applyBorder="1"/>
    <xf numFmtId="0" fontId="14" fillId="3" borderId="0" xfId="0" applyFont="1" applyFill="1" applyAlignment="1">
      <alignment vertical="center"/>
    </xf>
    <xf numFmtId="0" fontId="4" fillId="3" borderId="0" xfId="0" applyFont="1" applyFill="1"/>
    <xf numFmtId="0" fontId="33" fillId="3" borderId="0" xfId="0" applyFont="1" applyFill="1"/>
    <xf numFmtId="0" fontId="34" fillId="3" borderId="20" xfId="0" applyFont="1" applyFill="1" applyBorder="1" applyAlignment="1">
      <alignment horizontal="center" vertical="center" wrapText="1" readingOrder="1"/>
    </xf>
    <xf numFmtId="0" fontId="35" fillId="3" borderId="20" xfId="0" applyFont="1" applyFill="1" applyBorder="1" applyAlignment="1">
      <alignment horizontal="justify" vertical="center" wrapText="1" readingOrder="1"/>
    </xf>
    <xf numFmtId="9" fontId="34" fillId="3" borderId="29" xfId="0" applyNumberFormat="1" applyFont="1" applyFill="1" applyBorder="1" applyAlignment="1">
      <alignment horizontal="center" vertical="center" wrapText="1" readingOrder="1"/>
    </xf>
    <xf numFmtId="0" fontId="34" fillId="3" borderId="19" xfId="0" applyFont="1" applyFill="1" applyBorder="1" applyAlignment="1">
      <alignment horizontal="center" vertical="center" wrapText="1" readingOrder="1"/>
    </xf>
    <xf numFmtId="0" fontId="35" fillId="3" borderId="19" xfId="0" applyFont="1" applyFill="1" applyBorder="1" applyAlignment="1">
      <alignment horizontal="justify" vertical="center" wrapText="1" readingOrder="1"/>
    </xf>
    <xf numFmtId="9" fontId="34" fillId="3" borderId="24" xfId="0" applyNumberFormat="1" applyFont="1" applyFill="1" applyBorder="1" applyAlignment="1">
      <alignment horizontal="center" vertical="center" wrapText="1" readingOrder="1"/>
    </xf>
    <xf numFmtId="0" fontId="35" fillId="3" borderId="24" xfId="0" applyFont="1" applyFill="1" applyBorder="1" applyAlignment="1">
      <alignment horizontal="center" vertical="center" wrapText="1" readingOrder="1"/>
    </xf>
    <xf numFmtId="0" fontId="34" fillId="3" borderId="26" xfId="0" applyFont="1" applyFill="1" applyBorder="1" applyAlignment="1">
      <alignment horizontal="center" vertical="center" wrapText="1" readingOrder="1"/>
    </xf>
    <xf numFmtId="0" fontId="35" fillId="3" borderId="26" xfId="0" applyFont="1" applyFill="1" applyBorder="1" applyAlignment="1">
      <alignment horizontal="justify" vertical="center" wrapText="1" readingOrder="1"/>
    </xf>
    <xf numFmtId="0" fontId="35" fillId="3" borderId="27" xfId="0" applyFont="1" applyFill="1" applyBorder="1" applyAlignment="1">
      <alignment horizontal="center" vertical="center" wrapText="1" readingOrder="1"/>
    </xf>
    <xf numFmtId="0" fontId="43" fillId="3" borderId="0" xfId="0" applyFont="1" applyFill="1"/>
    <xf numFmtId="0" fontId="34" fillId="15" borderId="31" xfId="0" applyFont="1" applyFill="1" applyBorder="1" applyAlignment="1">
      <alignment horizontal="center" vertical="center" wrapText="1" readingOrder="1"/>
    </xf>
    <xf numFmtId="0" fontId="34" fillId="15" borderId="32" xfId="0" applyFont="1" applyFill="1" applyBorder="1" applyAlignment="1">
      <alignment horizontal="center" vertical="center" wrapText="1" readingOrder="1"/>
    </xf>
    <xf numFmtId="0" fontId="11" fillId="3" borderId="0" xfId="0" applyFont="1" applyFill="1"/>
    <xf numFmtId="0" fontId="10" fillId="3" borderId="0" xfId="0" applyFont="1" applyFill="1" applyAlignment="1">
      <alignment horizontal="justify" vertical="center" wrapText="1" readingOrder="1"/>
    </xf>
    <xf numFmtId="0" fontId="13" fillId="3" borderId="0" xfId="0" applyFont="1" applyFill="1"/>
    <xf numFmtId="0" fontId="3" fillId="3" borderId="0" xfId="0" applyFont="1" applyFill="1" applyAlignment="1">
      <alignment horizontal="left" vertical="center"/>
    </xf>
    <xf numFmtId="0" fontId="46" fillId="3" borderId="5" xfId="2" applyFont="1" applyFill="1" applyBorder="1"/>
    <xf numFmtId="0" fontId="51" fillId="3" borderId="0" xfId="0" applyFont="1" applyFill="1" applyAlignment="1">
      <alignment horizontal="left" vertical="center" wrapText="1"/>
    </xf>
    <xf numFmtId="0" fontId="52" fillId="3" borderId="0" xfId="0" applyFont="1" applyFill="1" applyAlignment="1">
      <alignment horizontal="left" vertical="top" wrapText="1"/>
    </xf>
    <xf numFmtId="0" fontId="46" fillId="3" borderId="0" xfId="2" applyFont="1" applyFill="1"/>
    <xf numFmtId="0" fontId="46" fillId="3" borderId="6" xfId="2" applyFont="1" applyFill="1" applyBorder="1"/>
    <xf numFmtId="0" fontId="46" fillId="3" borderId="7" xfId="2" applyFont="1" applyFill="1" applyBorder="1"/>
    <xf numFmtId="0" fontId="46" fillId="3" borderId="9" xfId="2" applyFont="1" applyFill="1" applyBorder="1"/>
    <xf numFmtId="0" fontId="46" fillId="3" borderId="8" xfId="2" applyFont="1" applyFill="1" applyBorder="1"/>
    <xf numFmtId="0" fontId="50" fillId="3" borderId="0" xfId="2" applyFont="1" applyFill="1" applyAlignment="1">
      <alignment horizontal="left" vertical="center" wrapText="1"/>
    </xf>
    <xf numFmtId="0" fontId="46" fillId="3" borderId="0" xfId="2" applyFont="1" applyFill="1" applyAlignment="1">
      <alignment horizontal="left" vertical="center" wrapText="1"/>
    </xf>
    <xf numFmtId="0" fontId="46" fillId="3" borderId="0" xfId="2" quotePrefix="1" applyFont="1" applyFill="1" applyAlignment="1">
      <alignment horizontal="left" vertical="center" wrapText="1"/>
    </xf>
    <xf numFmtId="0" fontId="48" fillId="3" borderId="5" xfId="2" quotePrefix="1" applyFont="1" applyFill="1" applyBorder="1" applyAlignment="1">
      <alignment horizontal="left" vertical="top" wrapText="1"/>
    </xf>
    <xf numFmtId="0" fontId="49" fillId="3" borderId="0" xfId="2" quotePrefix="1" applyFont="1" applyFill="1" applyAlignment="1">
      <alignment horizontal="left" vertical="top" wrapText="1"/>
    </xf>
    <xf numFmtId="0" fontId="49" fillId="3" borderId="6" xfId="2" quotePrefix="1" applyFont="1" applyFill="1" applyBorder="1" applyAlignment="1">
      <alignment horizontal="left" vertical="top" wrapText="1"/>
    </xf>
    <xf numFmtId="0" fontId="30" fillId="0" borderId="61" xfId="0" applyFont="1" applyBorder="1" applyAlignment="1">
      <alignment horizontal="justify" vertical="center" wrapText="1" readingOrder="1"/>
    </xf>
    <xf numFmtId="0" fontId="30" fillId="0" borderId="62" xfId="0" applyFont="1" applyBorder="1" applyAlignment="1">
      <alignment horizontal="justify" vertical="center" wrapText="1" readingOrder="1"/>
    </xf>
    <xf numFmtId="165" fontId="28" fillId="3" borderId="0" xfId="5" applyNumberFormat="1" applyFont="1" applyFill="1" applyAlignment="1">
      <alignment horizontal="center" vertical="center" wrapText="1"/>
    </xf>
    <xf numFmtId="165" fontId="0" fillId="3" borderId="0" xfId="5" applyNumberFormat="1" applyFont="1" applyFill="1" applyAlignment="1">
      <alignment horizontal="center" vertical="center"/>
    </xf>
    <xf numFmtId="0" fontId="56" fillId="3" borderId="0" xfId="0" applyFont="1" applyFill="1"/>
    <xf numFmtId="0" fontId="57" fillId="3" borderId="0" xfId="0" applyFont="1" applyFill="1" applyAlignment="1">
      <alignment horizontal="justify" vertical="center" wrapText="1" readingOrder="1"/>
    </xf>
    <xf numFmtId="0" fontId="56" fillId="0" borderId="0" xfId="0" applyFont="1"/>
    <xf numFmtId="0" fontId="58" fillId="3" borderId="0" xfId="0" applyFont="1" applyFill="1" applyAlignment="1">
      <alignment vertical="center"/>
    </xf>
    <xf numFmtId="44" fontId="0" fillId="3" borderId="0" xfId="5" applyFont="1" applyFill="1" applyAlignment="1">
      <alignment horizontal="left" vertical="center"/>
    </xf>
    <xf numFmtId="44" fontId="56" fillId="3" borderId="0" xfId="5" applyFont="1" applyFill="1" applyAlignment="1">
      <alignment horizontal="left" vertical="center"/>
    </xf>
    <xf numFmtId="44" fontId="0" fillId="0" borderId="0" xfId="5" applyFont="1" applyAlignment="1">
      <alignment horizontal="left" vertical="center"/>
    </xf>
    <xf numFmtId="44" fontId="27" fillId="0" borderId="0" xfId="5" applyFont="1" applyAlignment="1">
      <alignment horizontal="left" vertical="center"/>
    </xf>
    <xf numFmtId="0" fontId="0" fillId="0" borderId="0" xfId="0" applyAlignment="1">
      <alignment wrapText="1"/>
    </xf>
    <xf numFmtId="0" fontId="26" fillId="0" borderId="0" xfId="0" applyFont="1" applyAlignment="1">
      <alignment wrapText="1"/>
    </xf>
    <xf numFmtId="0" fontId="0" fillId="0" borderId="0" xfId="0" applyAlignment="1">
      <alignment vertical="center" wrapText="1"/>
    </xf>
    <xf numFmtId="0" fontId="59" fillId="0" borderId="0" xfId="0" applyFont="1"/>
    <xf numFmtId="0" fontId="60" fillId="0" borderId="0" xfId="0" applyFont="1"/>
    <xf numFmtId="0" fontId="61" fillId="0" borderId="0" xfId="0" applyFont="1"/>
    <xf numFmtId="0" fontId="62" fillId="0" borderId="0" xfId="0" applyFont="1" applyAlignment="1">
      <alignment wrapText="1"/>
    </xf>
    <xf numFmtId="0" fontId="61" fillId="0" borderId="0" xfId="0" applyFont="1" applyAlignment="1">
      <alignment wrapText="1"/>
    </xf>
    <xf numFmtId="0" fontId="59" fillId="0" borderId="6" xfId="0" applyFont="1" applyBorder="1"/>
    <xf numFmtId="0" fontId="64" fillId="0" borderId="6" xfId="0" applyFont="1" applyBorder="1"/>
    <xf numFmtId="0" fontId="65" fillId="19" borderId="66" xfId="0" applyFont="1" applyFill="1" applyBorder="1" applyAlignment="1">
      <alignment horizontal="center" vertical="center" wrapText="1"/>
    </xf>
    <xf numFmtId="0" fontId="66" fillId="19" borderId="8" xfId="0" applyFont="1" applyFill="1" applyBorder="1" applyAlignment="1">
      <alignment horizontal="center" vertical="center" wrapText="1"/>
    </xf>
    <xf numFmtId="0" fontId="65" fillId="19" borderId="30" xfId="0" applyFont="1" applyFill="1" applyBorder="1" applyAlignment="1">
      <alignment horizontal="center" vertical="center" wrapText="1"/>
    </xf>
    <xf numFmtId="0" fontId="64" fillId="0" borderId="0" xfId="0" applyFont="1"/>
    <xf numFmtId="0" fontId="65" fillId="19" borderId="66" xfId="0" applyFont="1" applyFill="1" applyBorder="1" applyAlignment="1">
      <alignment horizontal="center" vertical="center" textRotation="90" wrapText="1"/>
    </xf>
    <xf numFmtId="0" fontId="62" fillId="0" borderId="4" xfId="0" applyFont="1" applyBorder="1" applyAlignment="1">
      <alignment horizontal="justify" vertical="center" wrapText="1"/>
    </xf>
    <xf numFmtId="0" fontId="65" fillId="19" borderId="65" xfId="0" applyFont="1" applyFill="1" applyBorder="1" applyAlignment="1">
      <alignment horizontal="center" vertical="center" textRotation="90" wrapText="1"/>
    </xf>
    <xf numFmtId="0" fontId="62" fillId="0" borderId="65" xfId="0" applyFont="1" applyBorder="1" applyAlignment="1">
      <alignment horizontal="left" vertical="center" wrapText="1"/>
    </xf>
    <xf numFmtId="0" fontId="65" fillId="19" borderId="68" xfId="0" applyFont="1" applyFill="1" applyBorder="1" applyAlignment="1">
      <alignment horizontal="center" vertical="center" textRotation="90" wrapText="1"/>
    </xf>
    <xf numFmtId="0" fontId="62" fillId="0" borderId="66" xfId="0" applyFont="1" applyBorder="1" applyAlignment="1">
      <alignment horizontal="left" vertical="center" wrapText="1"/>
    </xf>
    <xf numFmtId="0" fontId="65" fillId="19" borderId="4" xfId="0" applyFont="1" applyFill="1" applyBorder="1" applyAlignment="1">
      <alignment horizontal="center" vertical="center" textRotation="90" wrapText="1"/>
    </xf>
    <xf numFmtId="0" fontId="69" fillId="0" borderId="65" xfId="0" applyFont="1" applyBorder="1" applyAlignment="1">
      <alignment horizontal="left" vertical="center" wrapText="1"/>
    </xf>
    <xf numFmtId="0" fontId="65" fillId="19" borderId="33" xfId="0" applyFont="1" applyFill="1" applyBorder="1" applyAlignment="1">
      <alignment horizontal="center" vertical="center" textRotation="90" wrapText="1"/>
    </xf>
    <xf numFmtId="0" fontId="70" fillId="0" borderId="6" xfId="0" applyFont="1" applyBorder="1"/>
    <xf numFmtId="0" fontId="71" fillId="20" borderId="4" xfId="0" applyFont="1" applyFill="1" applyBorder="1" applyAlignment="1">
      <alignment horizontal="center" vertical="center" textRotation="90" wrapText="1"/>
    </xf>
    <xf numFmtId="0" fontId="70" fillId="0" borderId="0" xfId="0" applyFont="1"/>
    <xf numFmtId="0" fontId="70" fillId="20" borderId="33" xfId="0" applyFont="1" applyFill="1" applyBorder="1"/>
    <xf numFmtId="0" fontId="72" fillId="20" borderId="66" xfId="0" applyFont="1" applyFill="1" applyBorder="1" applyAlignment="1">
      <alignment horizontal="center" vertical="center" wrapText="1"/>
    </xf>
    <xf numFmtId="0" fontId="71" fillId="20" borderId="66" xfId="0" applyFont="1" applyFill="1" applyBorder="1" applyAlignment="1">
      <alignment horizontal="center" vertical="center" wrapText="1"/>
    </xf>
    <xf numFmtId="0" fontId="66" fillId="0" borderId="0" xfId="0" applyFont="1" applyAlignment="1">
      <alignment horizontal="center" vertical="center"/>
    </xf>
    <xf numFmtId="0" fontId="65" fillId="0" borderId="0" xfId="0" applyFont="1" applyAlignment="1">
      <alignment horizontal="center" vertical="center"/>
    </xf>
    <xf numFmtId="0" fontId="62" fillId="0" borderId="0" xfId="0" applyFont="1"/>
    <xf numFmtId="0" fontId="73" fillId="0" borderId="0" xfId="0" applyFont="1" applyAlignment="1">
      <alignment vertical="center" wrapText="1"/>
    </xf>
    <xf numFmtId="0" fontId="73" fillId="0" borderId="23" xfId="0" applyFont="1" applyBorder="1" applyAlignment="1">
      <alignment horizontal="center" vertical="center" wrapText="1"/>
    </xf>
    <xf numFmtId="0" fontId="73" fillId="0" borderId="19" xfId="0" applyFont="1" applyBorder="1" applyAlignment="1">
      <alignment vertical="center" wrapText="1"/>
    </xf>
    <xf numFmtId="0" fontId="73" fillId="0" borderId="24" xfId="0" applyFont="1" applyBorder="1" applyAlignment="1">
      <alignment vertical="center" wrapText="1"/>
    </xf>
    <xf numFmtId="0" fontId="78" fillId="0" borderId="73" xfId="0" applyFont="1" applyBorder="1" applyAlignment="1">
      <alignment horizontal="justify" vertical="center" wrapText="1"/>
    </xf>
    <xf numFmtId="0" fontId="78" fillId="0" borderId="75" xfId="0" applyFont="1" applyBorder="1" applyAlignment="1">
      <alignment horizontal="justify" vertical="center" wrapText="1"/>
    </xf>
    <xf numFmtId="0" fontId="77" fillId="16" borderId="73" xfId="0" applyFont="1" applyFill="1" applyBorder="1" applyAlignment="1">
      <alignment horizontal="center" vertical="center" wrapText="1"/>
    </xf>
    <xf numFmtId="0" fontId="77" fillId="16" borderId="75" xfId="0" applyFont="1" applyFill="1" applyBorder="1" applyAlignment="1">
      <alignment horizontal="center" vertical="center" wrapText="1"/>
    </xf>
    <xf numFmtId="0" fontId="77" fillId="16" borderId="77" xfId="0" applyFont="1" applyFill="1" applyBorder="1" applyAlignment="1">
      <alignment horizontal="center" vertical="center" wrapText="1"/>
    </xf>
    <xf numFmtId="0" fontId="77" fillId="19" borderId="66" xfId="0" applyFont="1" applyFill="1" applyBorder="1" applyAlignment="1">
      <alignment horizontal="center" vertical="center" wrapText="1"/>
    </xf>
    <xf numFmtId="0" fontId="77" fillId="19" borderId="33" xfId="0" applyFont="1" applyFill="1" applyBorder="1" applyAlignment="1">
      <alignment horizontal="center" vertical="center" wrapText="1"/>
    </xf>
    <xf numFmtId="0" fontId="78" fillId="0" borderId="8" xfId="0" applyFont="1" applyBorder="1" applyAlignment="1">
      <alignment horizontal="justify" vertical="center" wrapText="1"/>
    </xf>
    <xf numFmtId="0" fontId="62" fillId="0" borderId="3" xfId="0" applyFont="1" applyBorder="1" applyAlignment="1">
      <alignment horizontal="justify" vertical="center" wrapText="1"/>
    </xf>
    <xf numFmtId="0" fontId="62" fillId="0" borderId="3" xfId="0" applyFont="1" applyBorder="1" applyAlignment="1">
      <alignment horizontal="left" vertical="center" wrapText="1"/>
    </xf>
    <xf numFmtId="0" fontId="61" fillId="0" borderId="21" xfId="0" applyFont="1" applyBorder="1" applyAlignment="1">
      <alignment horizontal="left" vertical="center" wrapText="1"/>
    </xf>
    <xf numFmtId="0" fontId="61" fillId="0" borderId="3" xfId="0" applyFont="1" applyBorder="1" applyAlignment="1">
      <alignment horizontal="justify" vertical="center" wrapText="1"/>
    </xf>
    <xf numFmtId="0" fontId="64" fillId="0" borderId="81" xfId="0" applyFont="1" applyBorder="1" applyAlignment="1">
      <alignment horizontal="center" vertical="center"/>
    </xf>
    <xf numFmtId="0" fontId="64" fillId="0" borderId="80" xfId="0" applyFont="1" applyBorder="1" applyAlignment="1">
      <alignment horizontal="center" vertical="center"/>
    </xf>
    <xf numFmtId="0" fontId="70" fillId="0" borderId="82" xfId="0" applyFont="1" applyBorder="1" applyAlignment="1">
      <alignment horizontal="center" vertical="center"/>
    </xf>
    <xf numFmtId="0" fontId="80" fillId="24" borderId="85" xfId="0" applyFont="1" applyFill="1" applyBorder="1" applyAlignment="1">
      <alignment horizontal="left" vertical="center" wrapText="1" readingOrder="1"/>
    </xf>
    <xf numFmtId="0" fontId="80" fillId="25" borderId="85" xfId="0" applyFont="1" applyFill="1" applyBorder="1" applyAlignment="1">
      <alignment horizontal="left" vertical="center" wrapText="1" readingOrder="1"/>
    </xf>
    <xf numFmtId="0" fontId="75" fillId="0" borderId="19" xfId="0" applyFont="1" applyBorder="1" applyAlignment="1">
      <alignment horizontal="left" vertical="center" wrapText="1"/>
    </xf>
    <xf numFmtId="0" fontId="86" fillId="0" borderId="80" xfId="0" applyFont="1" applyBorder="1" applyAlignment="1">
      <alignment vertical="center" wrapText="1"/>
    </xf>
    <xf numFmtId="0" fontId="85" fillId="0" borderId="80" xfId="0" applyFont="1" applyBorder="1" applyAlignment="1">
      <alignment vertical="center"/>
    </xf>
    <xf numFmtId="0" fontId="85" fillId="0" borderId="80" xfId="0" applyFont="1" applyBorder="1" applyAlignment="1">
      <alignment vertical="center" wrapText="1"/>
    </xf>
    <xf numFmtId="0" fontId="85" fillId="27" borderId="0" xfId="0" applyFont="1" applyFill="1" applyAlignment="1">
      <alignment horizontal="center" vertical="center"/>
    </xf>
    <xf numFmtId="0" fontId="77" fillId="27" borderId="66" xfId="0" applyFont="1" applyFill="1" applyBorder="1" applyAlignment="1">
      <alignment horizontal="center" vertical="center" wrapText="1"/>
    </xf>
    <xf numFmtId="0" fontId="77" fillId="27" borderId="33" xfId="0" applyFont="1" applyFill="1" applyBorder="1" applyAlignment="1">
      <alignment horizontal="center" vertical="center" wrapText="1"/>
    </xf>
    <xf numFmtId="0" fontId="73" fillId="0" borderId="19" xfId="0" applyFont="1" applyBorder="1" applyAlignment="1">
      <alignment horizontal="center" vertical="center" wrapText="1"/>
    </xf>
    <xf numFmtId="0" fontId="73" fillId="0" borderId="24" xfId="0" applyFont="1" applyBorder="1" applyAlignment="1">
      <alignment horizontal="center" vertical="center" wrapText="1"/>
    </xf>
    <xf numFmtId="0" fontId="0" fillId="3" borderId="0" xfId="0" applyFill="1" applyAlignment="1">
      <alignment vertical="top"/>
    </xf>
    <xf numFmtId="44" fontId="0" fillId="3" borderId="0" xfId="5" applyFont="1" applyFill="1" applyAlignment="1">
      <alignment horizontal="left" vertical="top"/>
    </xf>
    <xf numFmtId="0" fontId="0" fillId="0" borderId="0" xfId="0" applyAlignment="1">
      <alignment vertical="top"/>
    </xf>
    <xf numFmtId="44" fontId="55" fillId="3" borderId="0" xfId="5" applyFont="1" applyFill="1" applyAlignment="1">
      <alignment vertical="top"/>
    </xf>
    <xf numFmtId="0" fontId="66" fillId="28" borderId="4" xfId="0" applyFont="1" applyFill="1" applyBorder="1" applyAlignment="1">
      <alignment horizontal="center" vertical="center" wrapText="1"/>
    </xf>
    <xf numFmtId="0" fontId="65" fillId="28" borderId="65" xfId="0" applyFont="1" applyFill="1" applyBorder="1" applyAlignment="1">
      <alignment horizontal="center" vertical="center" wrapText="1"/>
    </xf>
    <xf numFmtId="0" fontId="65" fillId="0" borderId="0" xfId="0" applyFont="1" applyAlignment="1">
      <alignment horizontal="center" vertical="center" wrapText="1"/>
    </xf>
    <xf numFmtId="0" fontId="65" fillId="0" borderId="0" xfId="0" applyFont="1" applyAlignment="1">
      <alignment horizontal="center" vertical="center" textRotation="90" wrapText="1"/>
    </xf>
    <xf numFmtId="0" fontId="61" fillId="0" borderId="0" xfId="0" applyFont="1" applyAlignment="1">
      <alignment horizontal="justify" vertical="center" wrapText="1"/>
    </xf>
    <xf numFmtId="0" fontId="61" fillId="0" borderId="0" xfId="0" applyFont="1" applyAlignment="1">
      <alignment horizontal="left" vertical="center" wrapText="1"/>
    </xf>
    <xf numFmtId="0" fontId="71" fillId="0" borderId="0" xfId="0" applyFont="1" applyAlignment="1">
      <alignment horizontal="center" vertical="center" textRotation="90" wrapText="1"/>
    </xf>
    <xf numFmtId="0" fontId="71" fillId="0" borderId="0" xfId="0" applyFont="1" applyAlignment="1">
      <alignment horizontal="center" vertical="center" wrapText="1"/>
    </xf>
    <xf numFmtId="0" fontId="82" fillId="0" borderId="86" xfId="0" applyFont="1" applyBorder="1" applyAlignment="1" applyProtection="1">
      <alignment horizontal="center" vertical="center" wrapText="1"/>
      <protection locked="0"/>
    </xf>
    <xf numFmtId="0" fontId="82" fillId="0" borderId="86" xfId="0" applyFont="1" applyBorder="1" applyAlignment="1" applyProtection="1">
      <alignment horizontal="justify" vertical="center" wrapText="1"/>
      <protection locked="0"/>
    </xf>
    <xf numFmtId="0" fontId="82" fillId="0" borderId="86" xfId="0" applyFont="1" applyBorder="1" applyAlignment="1" applyProtection="1">
      <alignment horizontal="justify" vertical="center"/>
      <protection locked="0"/>
    </xf>
    <xf numFmtId="0" fontId="82" fillId="0" borderId="86" xfId="0" applyFont="1" applyBorder="1" applyAlignment="1" applyProtection="1">
      <alignment horizontal="center" vertical="center"/>
      <protection hidden="1"/>
    </xf>
    <xf numFmtId="0" fontId="82" fillId="0" borderId="86" xfId="0" applyFont="1" applyBorder="1" applyAlignment="1" applyProtection="1">
      <alignment horizontal="center" vertical="center" textRotation="90"/>
      <protection locked="0"/>
    </xf>
    <xf numFmtId="9" fontId="82" fillId="0" borderId="86" xfId="0" applyNumberFormat="1" applyFont="1" applyBorder="1" applyAlignment="1" applyProtection="1">
      <alignment horizontal="center" vertical="center"/>
      <protection hidden="1"/>
    </xf>
    <xf numFmtId="164" fontId="82" fillId="0" borderId="86" xfId="1" applyNumberFormat="1" applyFont="1" applyFill="1" applyBorder="1" applyAlignment="1">
      <alignment horizontal="center" vertical="center"/>
    </xf>
    <xf numFmtId="0" fontId="83" fillId="0" borderId="86" xfId="0" applyFont="1" applyBorder="1" applyAlignment="1" applyProtection="1">
      <alignment horizontal="center" vertical="center" textRotation="90" wrapText="1"/>
      <protection hidden="1"/>
    </xf>
    <xf numFmtId="0" fontId="83" fillId="0" borderId="86" xfId="0" applyFont="1" applyBorder="1" applyAlignment="1" applyProtection="1">
      <alignment horizontal="center" vertical="center" textRotation="90"/>
      <protection hidden="1"/>
    </xf>
    <xf numFmtId="0" fontId="82" fillId="0" borderId="86" xfId="0" applyFont="1" applyBorder="1" applyAlignment="1" applyProtection="1">
      <alignment horizontal="center" vertical="center" textRotation="90" wrapText="1"/>
      <protection locked="0"/>
    </xf>
    <xf numFmtId="0" fontId="82" fillId="0" borderId="86" xfId="0" applyFont="1" applyBorder="1" applyAlignment="1" applyProtection="1">
      <alignment horizontal="center" vertical="center"/>
      <protection locked="0"/>
    </xf>
    <xf numFmtId="14" fontId="82" fillId="0" borderId="86" xfId="0" applyNumberFormat="1" applyFont="1" applyBorder="1" applyAlignment="1" applyProtection="1">
      <alignment horizontal="center" vertical="center"/>
      <protection locked="0"/>
    </xf>
    <xf numFmtId="0" fontId="82" fillId="0" borderId="0" xfId="0" applyFont="1"/>
    <xf numFmtId="0" fontId="81" fillId="0" borderId="0" xfId="0" applyFont="1" applyAlignment="1">
      <alignment vertical="center"/>
    </xf>
    <xf numFmtId="0" fontId="88" fillId="3" borderId="0" xfId="0" applyFont="1" applyFill="1"/>
    <xf numFmtId="0" fontId="88" fillId="0" borderId="0" xfId="0" applyFont="1"/>
    <xf numFmtId="0" fontId="81" fillId="0" borderId="89" xfId="0" applyFont="1" applyBorder="1" applyAlignment="1">
      <alignment vertical="center"/>
    </xf>
    <xf numFmtId="0" fontId="82" fillId="3" borderId="0" xfId="0" applyFont="1" applyFill="1" applyAlignment="1">
      <alignment horizontal="center" vertical="center"/>
    </xf>
    <xf numFmtId="0" fontId="82" fillId="3" borderId="0" xfId="0" applyFont="1" applyFill="1" applyAlignment="1">
      <alignment horizontal="left" vertical="center"/>
    </xf>
    <xf numFmtId="0" fontId="82" fillId="3" borderId="0" xfId="0" applyFont="1" applyFill="1"/>
    <xf numFmtId="0" fontId="82" fillId="3" borderId="0" xfId="0" applyFont="1" applyFill="1" applyAlignment="1">
      <alignment horizontal="center"/>
    </xf>
    <xf numFmtId="0" fontId="82" fillId="3" borderId="0" xfId="0" applyFont="1" applyFill="1" applyAlignment="1">
      <alignment wrapText="1"/>
    </xf>
    <xf numFmtId="0" fontId="83" fillId="3" borderId="95" xfId="0" applyFont="1" applyFill="1" applyBorder="1"/>
    <xf numFmtId="0" fontId="83" fillId="3" borderId="86" xfId="0" applyFont="1" applyFill="1" applyBorder="1"/>
    <xf numFmtId="0" fontId="83" fillId="3" borderId="96" xfId="0" applyFont="1" applyFill="1" applyBorder="1"/>
    <xf numFmtId="0" fontId="83" fillId="3" borderId="107" xfId="0" applyFont="1" applyFill="1" applyBorder="1"/>
    <xf numFmtId="0" fontId="83" fillId="3" borderId="87" xfId="0" applyFont="1" applyFill="1" applyBorder="1"/>
    <xf numFmtId="0" fontId="83" fillId="3" borderId="97" xfId="0" applyFont="1" applyFill="1" applyBorder="1"/>
    <xf numFmtId="0" fontId="83" fillId="0" borderId="0" xfId="0" applyFont="1" applyAlignment="1">
      <alignment horizontal="left" vertical="center"/>
    </xf>
    <xf numFmtId="0" fontId="82" fillId="0" borderId="0" xfId="0" applyFont="1" applyAlignment="1" applyProtection="1">
      <alignment horizontal="left" vertical="center" wrapText="1"/>
      <protection locked="0"/>
    </xf>
    <xf numFmtId="0" fontId="83" fillId="0" borderId="0" xfId="0" applyFont="1"/>
    <xf numFmtId="0" fontId="82" fillId="0" borderId="0" xfId="0" applyFont="1" applyAlignment="1">
      <alignment horizontal="left" wrapText="1"/>
    </xf>
    <xf numFmtId="0" fontId="83" fillId="16" borderId="86" xfId="0" applyFont="1" applyFill="1" applyBorder="1" applyAlignment="1">
      <alignment horizontal="center" vertical="center" textRotation="90"/>
    </xf>
    <xf numFmtId="0" fontId="83" fillId="3" borderId="0" xfId="0" applyFont="1" applyFill="1" applyAlignment="1">
      <alignment horizontal="center" vertical="center"/>
    </xf>
    <xf numFmtId="0" fontId="83" fillId="0" borderId="0" xfId="0" applyFont="1" applyAlignment="1">
      <alignment horizontal="center" vertical="center"/>
    </xf>
    <xf numFmtId="0" fontId="83" fillId="2" borderId="0" xfId="0" applyFont="1" applyFill="1" applyAlignment="1">
      <alignment horizontal="center" vertical="center"/>
    </xf>
    <xf numFmtId="0" fontId="82" fillId="0" borderId="86" xfId="0" applyFont="1" applyBorder="1" applyAlignment="1">
      <alignment horizontal="center" vertical="center"/>
    </xf>
    <xf numFmtId="0" fontId="82" fillId="0" borderId="0" xfId="0" applyFont="1" applyAlignment="1">
      <alignment wrapText="1"/>
    </xf>
    <xf numFmtId="0" fontId="82" fillId="0" borderId="0" xfId="0" applyFont="1" applyAlignment="1">
      <alignment horizontal="center" vertical="center"/>
    </xf>
    <xf numFmtId="0" fontId="82" fillId="0" borderId="0" xfId="0" applyFont="1" applyAlignment="1">
      <alignment horizontal="center"/>
    </xf>
    <xf numFmtId="166" fontId="30" fillId="0" borderId="61" xfId="0" applyNumberFormat="1" applyFont="1" applyBorder="1" applyAlignment="1">
      <alignment horizontal="center" vertical="center" wrapText="1" readingOrder="1"/>
    </xf>
    <xf numFmtId="0" fontId="92" fillId="0" borderId="86" xfId="0" applyFont="1" applyBorder="1" applyAlignment="1">
      <alignment horizontal="center" vertical="center"/>
    </xf>
    <xf numFmtId="0" fontId="93" fillId="0" borderId="86" xfId="0" applyFont="1" applyBorder="1" applyAlignment="1" applyProtection="1">
      <alignment horizontal="center" vertical="center"/>
      <protection hidden="1"/>
    </xf>
    <xf numFmtId="164" fontId="82" fillId="0" borderId="86" xfId="1" applyNumberFormat="1" applyFont="1" applyBorder="1" applyAlignment="1">
      <alignment horizontal="center" vertical="center"/>
    </xf>
    <xf numFmtId="0" fontId="92" fillId="0" borderId="0" xfId="0" applyFont="1"/>
    <xf numFmtId="0" fontId="90" fillId="0" borderId="86" xfId="0" applyFont="1" applyBorder="1" applyAlignment="1">
      <alignment horizontal="center" vertical="center"/>
    </xf>
    <xf numFmtId="0" fontId="90" fillId="0" borderId="86" xfId="0" applyFont="1" applyBorder="1" applyAlignment="1" applyProtection="1">
      <alignment horizontal="justify" vertical="center" wrapText="1"/>
      <protection locked="0"/>
    </xf>
    <xf numFmtId="0" fontId="90" fillId="0" borderId="86" xfId="0" applyFont="1" applyBorder="1" applyAlignment="1" applyProtection="1">
      <alignment horizontal="center" vertical="center"/>
      <protection hidden="1"/>
    </xf>
    <xf numFmtId="0" fontId="90" fillId="0" borderId="86" xfId="0" applyFont="1" applyBorder="1" applyAlignment="1" applyProtection="1">
      <alignment horizontal="center" vertical="center" textRotation="90"/>
      <protection locked="0"/>
    </xf>
    <xf numFmtId="9" fontId="90" fillId="0" borderId="86" xfId="0" applyNumberFormat="1" applyFont="1" applyBorder="1" applyAlignment="1" applyProtection="1">
      <alignment horizontal="center" vertical="center"/>
      <protection hidden="1"/>
    </xf>
    <xf numFmtId="164" fontId="90" fillId="0" borderId="86" xfId="1" applyNumberFormat="1" applyFont="1" applyBorder="1" applyAlignment="1">
      <alignment horizontal="center" vertical="center"/>
    </xf>
    <xf numFmtId="0" fontId="91" fillId="0" borderId="86" xfId="0" applyFont="1" applyBorder="1" applyAlignment="1" applyProtection="1">
      <alignment horizontal="center" vertical="center" textRotation="90" wrapText="1"/>
      <protection hidden="1"/>
    </xf>
    <xf numFmtId="0" fontId="91" fillId="0" borderId="86" xfId="0" applyFont="1" applyBorder="1" applyAlignment="1" applyProtection="1">
      <alignment horizontal="center" vertical="center" textRotation="90"/>
      <protection hidden="1"/>
    </xf>
    <xf numFmtId="0" fontId="90" fillId="0" borderId="86" xfId="0" applyFont="1" applyBorder="1" applyAlignment="1" applyProtection="1">
      <alignment horizontal="center" vertical="center" wrapText="1"/>
      <protection locked="0"/>
    </xf>
    <xf numFmtId="0" fontId="90" fillId="3" borderId="0" xfId="0" applyFont="1" applyFill="1"/>
    <xf numFmtId="0" fontId="90" fillId="0" borderId="0" xfId="0" applyFont="1"/>
    <xf numFmtId="0" fontId="82" fillId="0" borderId="86" xfId="0" applyFont="1" applyBorder="1" applyAlignment="1" applyProtection="1">
      <alignment horizontal="left" vertical="top" wrapText="1"/>
      <protection locked="0"/>
    </xf>
    <xf numFmtId="0" fontId="65" fillId="19" borderId="19" xfId="0" applyFont="1" applyFill="1" applyBorder="1" applyAlignment="1">
      <alignment horizontal="center" vertical="center" textRotation="90" wrapText="1"/>
    </xf>
    <xf numFmtId="0" fontId="88" fillId="3" borderId="19" xfId="0" applyFont="1" applyFill="1" applyBorder="1" applyAlignment="1">
      <alignment horizontal="justify" vertical="center" wrapText="1"/>
    </xf>
    <xf numFmtId="0" fontId="64" fillId="0" borderId="19" xfId="0" applyFont="1" applyBorder="1"/>
    <xf numFmtId="0" fontId="64" fillId="0" borderId="19" xfId="0" applyFont="1" applyBorder="1" applyAlignment="1">
      <alignment horizontal="center" vertical="center"/>
    </xf>
    <xf numFmtId="0" fontId="71" fillId="20" borderId="19" xfId="0" applyFont="1" applyFill="1" applyBorder="1" applyAlignment="1">
      <alignment horizontal="center" vertical="center" textRotation="90" wrapText="1"/>
    </xf>
    <xf numFmtId="0" fontId="70" fillId="0" borderId="19" xfId="0" applyFont="1" applyBorder="1"/>
    <xf numFmtId="0" fontId="59" fillId="0" borderId="19" xfId="0" applyFont="1" applyBorder="1"/>
    <xf numFmtId="0" fontId="64" fillId="0" borderId="19" xfId="0" applyFont="1" applyBorder="1" applyAlignment="1">
      <alignment vertical="center" wrapText="1"/>
    </xf>
    <xf numFmtId="0" fontId="75" fillId="16" borderId="19" xfId="0" applyFont="1" applyFill="1" applyBorder="1" applyAlignment="1">
      <alignment horizontal="center" vertical="center" wrapText="1"/>
    </xf>
    <xf numFmtId="0" fontId="75" fillId="16" borderId="24" xfId="0" applyFont="1" applyFill="1" applyBorder="1" applyAlignment="1">
      <alignment horizontal="center" vertical="center" wrapText="1"/>
    </xf>
    <xf numFmtId="0" fontId="73" fillId="0" borderId="25" xfId="0" applyFont="1" applyBorder="1" applyAlignment="1">
      <alignment horizontal="center" vertical="center" wrapText="1"/>
    </xf>
    <xf numFmtId="0" fontId="73" fillId="0" borderId="26" xfId="0" applyFont="1" applyBorder="1" applyAlignment="1">
      <alignment vertical="center" wrapText="1"/>
    </xf>
    <xf numFmtId="0" fontId="73" fillId="0" borderId="27" xfId="0" applyFont="1" applyBorder="1" applyAlignment="1">
      <alignment horizontal="center" vertical="center" wrapText="1"/>
    </xf>
    <xf numFmtId="9" fontId="82" fillId="0" borderId="86" xfId="0" applyNumberFormat="1" applyFont="1" applyFill="1" applyBorder="1" applyAlignment="1" applyProtection="1">
      <alignment horizontal="center" vertical="center"/>
      <protection hidden="1"/>
    </xf>
    <xf numFmtId="0" fontId="82" fillId="0" borderId="86" xfId="0" applyFont="1" applyFill="1" applyBorder="1" applyAlignment="1" applyProtection="1">
      <alignment horizontal="center" vertical="center" textRotation="90" wrapText="1"/>
      <protection locked="0"/>
    </xf>
    <xf numFmtId="0" fontId="52" fillId="3" borderId="50" xfId="2" applyFont="1" applyFill="1" applyBorder="1" applyAlignment="1">
      <alignment horizontal="justify" vertical="center" wrapText="1"/>
    </xf>
    <xf numFmtId="0" fontId="52" fillId="3" borderId="51" xfId="2" applyFont="1" applyFill="1" applyBorder="1" applyAlignment="1">
      <alignment horizontal="justify" vertical="center" wrapText="1"/>
    </xf>
    <xf numFmtId="0" fontId="51" fillId="3" borderId="57" xfId="0" applyFont="1" applyFill="1" applyBorder="1" applyAlignment="1">
      <alignment horizontal="left" vertical="center" wrapText="1"/>
    </xf>
    <xf numFmtId="0" fontId="51" fillId="3" borderId="58" xfId="0" applyFont="1" applyFill="1" applyBorder="1" applyAlignment="1">
      <alignment horizontal="left" vertical="center" wrapText="1"/>
    </xf>
    <xf numFmtId="0" fontId="51" fillId="3" borderId="44" xfId="3" applyFont="1" applyFill="1" applyBorder="1" applyAlignment="1">
      <alignment horizontal="left" vertical="top" wrapText="1" readingOrder="1"/>
    </xf>
    <xf numFmtId="0" fontId="51" fillId="3" borderId="45" xfId="3" applyFont="1" applyFill="1" applyBorder="1" applyAlignment="1">
      <alignment horizontal="left" vertical="top" wrapText="1" readingOrder="1"/>
    </xf>
    <xf numFmtId="0" fontId="52" fillId="3" borderId="46" xfId="2" applyFont="1" applyFill="1" applyBorder="1" applyAlignment="1">
      <alignment horizontal="justify" vertical="center" wrapText="1"/>
    </xf>
    <xf numFmtId="0" fontId="52" fillId="3" borderId="47" xfId="2" applyFont="1" applyFill="1" applyBorder="1" applyAlignment="1">
      <alignment horizontal="justify" vertical="center" wrapText="1"/>
    </xf>
    <xf numFmtId="0" fontId="51" fillId="3" borderId="48" xfId="0" applyFont="1" applyFill="1" applyBorder="1" applyAlignment="1">
      <alignment horizontal="left" vertical="center" wrapText="1"/>
    </xf>
    <xf numFmtId="0" fontId="51" fillId="3" borderId="49" xfId="0" applyFont="1" applyFill="1" applyBorder="1" applyAlignment="1">
      <alignment horizontal="left" vertical="center" wrapText="1"/>
    </xf>
    <xf numFmtId="0" fontId="46" fillId="3" borderId="5" xfId="2" applyFont="1" applyFill="1" applyBorder="1" applyAlignment="1">
      <alignment horizontal="left" vertical="top" wrapText="1"/>
    </xf>
    <xf numFmtId="0" fontId="46" fillId="3" borderId="0" xfId="2" applyFont="1" applyFill="1" applyAlignment="1">
      <alignment horizontal="left" vertical="top" wrapText="1"/>
    </xf>
    <xf numFmtId="0" fontId="46" fillId="3" borderId="6" xfId="2" applyFont="1" applyFill="1" applyBorder="1" applyAlignment="1">
      <alignment horizontal="left" vertical="top" wrapText="1"/>
    </xf>
    <xf numFmtId="0" fontId="51" fillId="3" borderId="59" xfId="0" applyFont="1" applyFill="1" applyBorder="1" applyAlignment="1">
      <alignment horizontal="left" vertical="center" wrapText="1"/>
    </xf>
    <xf numFmtId="0" fontId="51" fillId="3" borderId="60" xfId="0" applyFont="1" applyFill="1" applyBorder="1" applyAlignment="1">
      <alignment horizontal="left" vertical="center" wrapText="1"/>
    </xf>
    <xf numFmtId="0" fontId="52" fillId="3" borderId="52" xfId="0" applyFont="1" applyFill="1" applyBorder="1" applyAlignment="1">
      <alignment horizontal="justify" vertical="center" wrapText="1"/>
    </xf>
    <xf numFmtId="0" fontId="52" fillId="3" borderId="53" xfId="0" applyFont="1" applyFill="1" applyBorder="1" applyAlignment="1">
      <alignment horizontal="justify" vertical="center" wrapText="1"/>
    </xf>
    <xf numFmtId="0" fontId="47" fillId="23" borderId="34" xfId="2" applyFont="1" applyFill="1" applyBorder="1" applyAlignment="1">
      <alignment horizontal="center" vertical="center" wrapText="1"/>
    </xf>
    <xf numFmtId="0" fontId="47" fillId="23" borderId="35" xfId="2" applyFont="1" applyFill="1" applyBorder="1" applyAlignment="1">
      <alignment horizontal="center" vertical="center" wrapText="1"/>
    </xf>
    <xf numFmtId="0" fontId="47" fillId="23" borderId="36" xfId="2" applyFont="1" applyFill="1" applyBorder="1" applyAlignment="1">
      <alignment horizontal="center" vertical="center" wrapText="1"/>
    </xf>
    <xf numFmtId="0" fontId="46" fillId="0" borderId="5" xfId="2" quotePrefix="1" applyFont="1" applyBorder="1" applyAlignment="1">
      <alignment horizontal="left" vertical="center" wrapText="1"/>
    </xf>
    <xf numFmtId="0" fontId="46" fillId="0" borderId="0" xfId="2" quotePrefix="1" applyFont="1" applyAlignment="1">
      <alignment horizontal="left" vertical="center" wrapText="1"/>
    </xf>
    <xf numFmtId="0" fontId="46" fillId="0" borderId="6" xfId="2" quotePrefix="1" applyFont="1" applyBorder="1" applyAlignment="1">
      <alignment horizontal="left" vertical="center" wrapText="1"/>
    </xf>
    <xf numFmtId="0" fontId="46" fillId="0" borderId="54" xfId="2" quotePrefix="1" applyFont="1" applyBorder="1" applyAlignment="1">
      <alignment horizontal="left" vertical="center" wrapText="1"/>
    </xf>
    <xf numFmtId="0" fontId="46" fillId="0" borderId="55" xfId="2" quotePrefix="1" applyFont="1" applyBorder="1" applyAlignment="1">
      <alignment horizontal="left" vertical="center" wrapText="1"/>
    </xf>
    <xf numFmtId="0" fontId="46" fillId="0" borderId="56" xfId="2" quotePrefix="1" applyFont="1" applyBorder="1" applyAlignment="1">
      <alignment horizontal="left" vertical="center" wrapText="1"/>
    </xf>
    <xf numFmtId="0" fontId="48" fillId="3" borderId="37" xfId="2" quotePrefix="1" applyFont="1" applyFill="1" applyBorder="1" applyAlignment="1">
      <alignment horizontal="left" vertical="top" wrapText="1"/>
    </xf>
    <xf numFmtId="0" fontId="49" fillId="3" borderId="38" xfId="2" quotePrefix="1" applyFont="1" applyFill="1" applyBorder="1" applyAlignment="1">
      <alignment horizontal="left" vertical="top" wrapText="1"/>
    </xf>
    <xf numFmtId="0" fontId="49" fillId="3" borderId="39" xfId="2" quotePrefix="1" applyFont="1" applyFill="1" applyBorder="1" applyAlignment="1">
      <alignment horizontal="left" vertical="top" wrapText="1"/>
    </xf>
    <xf numFmtId="0" fontId="46" fillId="0" borderId="5" xfId="2" quotePrefix="1" applyFont="1" applyBorder="1" applyAlignment="1">
      <alignment horizontal="left" vertical="top" wrapText="1"/>
    </xf>
    <xf numFmtId="0" fontId="46" fillId="0" borderId="0" xfId="2" quotePrefix="1" applyFont="1" applyAlignment="1">
      <alignment horizontal="left" vertical="top" wrapText="1"/>
    </xf>
    <xf numFmtId="0" fontId="46" fillId="0" borderId="6" xfId="2" quotePrefix="1" applyFont="1" applyBorder="1" applyAlignment="1">
      <alignment horizontal="left" vertical="top" wrapText="1"/>
    </xf>
    <xf numFmtId="0" fontId="51" fillId="14" borderId="40" xfId="3" applyFont="1" applyFill="1" applyBorder="1" applyAlignment="1">
      <alignment horizontal="center" vertical="center" wrapText="1"/>
    </xf>
    <xf numFmtId="0" fontId="51" fillId="14" borderId="41" xfId="3" applyFont="1" applyFill="1" applyBorder="1" applyAlignment="1">
      <alignment horizontal="center" vertical="center" wrapText="1"/>
    </xf>
    <xf numFmtId="0" fontId="51" fillId="14" borderId="42" xfId="2" applyFont="1" applyFill="1" applyBorder="1" applyAlignment="1">
      <alignment horizontal="center" vertical="center"/>
    </xf>
    <xf numFmtId="0" fontId="51" fillId="14" borderId="43" xfId="2" applyFont="1" applyFill="1" applyBorder="1" applyAlignment="1">
      <alignment horizontal="center" vertical="center"/>
    </xf>
    <xf numFmtId="0" fontId="1" fillId="3" borderId="54" xfId="2" quotePrefix="1" applyFont="1" applyFill="1" applyBorder="1" applyAlignment="1">
      <alignment horizontal="justify" vertical="center" wrapText="1"/>
    </xf>
    <xf numFmtId="0" fontId="1" fillId="3" borderId="55" xfId="2" quotePrefix="1" applyFont="1" applyFill="1" applyBorder="1" applyAlignment="1">
      <alignment horizontal="justify" vertical="center" wrapText="1"/>
    </xf>
    <xf numFmtId="0" fontId="1" fillId="3" borderId="56" xfId="2" quotePrefix="1" applyFont="1" applyFill="1" applyBorder="1" applyAlignment="1">
      <alignment horizontal="justify" vertical="center" wrapText="1"/>
    </xf>
    <xf numFmtId="0" fontId="63" fillId="0" borderId="0" xfId="0" applyFont="1" applyAlignment="1">
      <alignment horizontal="center" vertical="center" wrapText="1"/>
    </xf>
    <xf numFmtId="0" fontId="63" fillId="0" borderId="0" xfId="0" applyFont="1" applyAlignment="1">
      <alignment horizontal="center" vertical="center" textRotation="90"/>
    </xf>
    <xf numFmtId="15" fontId="79" fillId="6" borderId="65" xfId="0" applyNumberFormat="1" applyFont="1" applyFill="1" applyBorder="1" applyAlignment="1">
      <alignment horizontal="center" vertical="center"/>
    </xf>
    <xf numFmtId="15" fontId="79" fillId="6" borderId="67" xfId="0" applyNumberFormat="1" applyFont="1" applyFill="1" applyBorder="1" applyAlignment="1">
      <alignment horizontal="center" vertical="center"/>
    </xf>
    <xf numFmtId="0" fontId="63" fillId="26" borderId="21" xfId="0" applyFont="1" applyFill="1" applyBorder="1" applyAlignment="1">
      <alignment horizontal="center" vertical="center" wrapText="1"/>
    </xf>
    <xf numFmtId="0" fontId="63" fillId="26" borderId="22" xfId="0" applyFont="1" applyFill="1" applyBorder="1" applyAlignment="1">
      <alignment horizontal="center" vertical="center" wrapText="1"/>
    </xf>
    <xf numFmtId="0" fontId="63" fillId="26" borderId="33" xfId="0" applyFont="1" applyFill="1" applyBorder="1" applyAlignment="1">
      <alignment horizontal="center" vertical="center" wrapText="1"/>
    </xf>
    <xf numFmtId="0" fontId="63" fillId="26" borderId="10" xfId="0" applyFont="1" applyFill="1" applyBorder="1" applyAlignment="1">
      <alignment horizontal="center" vertical="center" textRotation="90"/>
    </xf>
    <xf numFmtId="0" fontId="63" fillId="26" borderId="0" xfId="0" applyFont="1" applyFill="1" applyAlignment="1">
      <alignment horizontal="center" vertical="center" textRotation="90"/>
    </xf>
    <xf numFmtId="0" fontId="87" fillId="21" borderId="19" xfId="0" applyFont="1" applyFill="1" applyBorder="1" applyAlignment="1">
      <alignment horizontal="center" vertical="center" wrapText="1"/>
    </xf>
    <xf numFmtId="0" fontId="0" fillId="0" borderId="19" xfId="0" applyBorder="1" applyAlignment="1">
      <alignment horizontal="center"/>
    </xf>
    <xf numFmtId="0" fontId="81" fillId="0" borderId="19" xfId="0" applyFont="1" applyBorder="1" applyAlignment="1">
      <alignment horizontal="center" vertical="center" wrapText="1"/>
    </xf>
    <xf numFmtId="0" fontId="75" fillId="0" borderId="19" xfId="0" applyFont="1" applyBorder="1" applyAlignment="1">
      <alignment horizontal="left" vertical="center" wrapText="1"/>
    </xf>
    <xf numFmtId="0" fontId="75" fillId="0" borderId="19" xfId="0" applyFont="1" applyBorder="1" applyAlignment="1">
      <alignment horizontal="left" vertical="center" wrapText="1" indent="1"/>
    </xf>
    <xf numFmtId="0" fontId="76" fillId="0" borderId="83" xfId="0" applyFont="1" applyBorder="1" applyAlignment="1">
      <alignment horizontal="left"/>
    </xf>
    <xf numFmtId="0" fontId="76" fillId="0" borderId="0" xfId="0" applyFont="1" applyAlignment="1">
      <alignment horizontal="left"/>
    </xf>
    <xf numFmtId="0" fontId="73" fillId="0" borderId="83" xfId="0" applyFont="1" applyBorder="1" applyAlignment="1">
      <alignment horizontal="center"/>
    </xf>
    <xf numFmtId="0" fontId="73" fillId="0" borderId="0" xfId="0" applyFont="1" applyAlignment="1">
      <alignment horizontal="center"/>
    </xf>
    <xf numFmtId="0" fontId="63" fillId="17" borderId="63" xfId="0" applyFont="1" applyFill="1" applyBorder="1" applyAlignment="1">
      <alignment horizontal="center" vertical="center" wrapText="1"/>
    </xf>
    <xf numFmtId="0" fontId="63" fillId="17" borderId="64" xfId="0" applyFont="1" applyFill="1" applyBorder="1" applyAlignment="1">
      <alignment horizontal="center" vertical="center" wrapText="1"/>
    </xf>
    <xf numFmtId="0" fontId="63" fillId="18" borderId="65" xfId="0" applyFont="1" applyFill="1" applyBorder="1" applyAlignment="1">
      <alignment horizontal="center" vertical="center" textRotation="90"/>
    </xf>
    <xf numFmtId="0" fontId="63" fillId="18" borderId="67" xfId="0" applyFont="1" applyFill="1" applyBorder="1" applyAlignment="1">
      <alignment horizontal="center" vertical="center" textRotation="90"/>
    </xf>
    <xf numFmtId="0" fontId="63" fillId="18" borderId="69" xfId="0" applyFont="1" applyFill="1" applyBorder="1" applyAlignment="1">
      <alignment horizontal="center" vertical="center" textRotation="90"/>
    </xf>
    <xf numFmtId="0" fontId="79" fillId="22" borderId="83" xfId="0" applyFont="1" applyFill="1" applyBorder="1" applyAlignment="1">
      <alignment horizontal="center" vertical="center"/>
    </xf>
    <xf numFmtId="0" fontId="79" fillId="22" borderId="84" xfId="0" applyFont="1" applyFill="1" applyBorder="1" applyAlignment="1">
      <alignment horizontal="center" vertical="center"/>
    </xf>
    <xf numFmtId="0" fontId="89" fillId="3" borderId="105" xfId="0" applyFont="1" applyFill="1" applyBorder="1" applyAlignment="1" applyProtection="1">
      <alignment horizontal="left" vertical="center"/>
      <protection locked="0"/>
    </xf>
    <xf numFmtId="0" fontId="89" fillId="3" borderId="93" xfId="0" applyFont="1" applyFill="1" applyBorder="1" applyAlignment="1" applyProtection="1">
      <alignment horizontal="left" vertical="center"/>
      <protection locked="0"/>
    </xf>
    <xf numFmtId="0" fontId="89" fillId="3" borderId="94" xfId="0" applyFont="1" applyFill="1" applyBorder="1" applyAlignment="1" applyProtection="1">
      <alignment horizontal="left" vertical="center"/>
      <protection locked="0"/>
    </xf>
    <xf numFmtId="0" fontId="83" fillId="3" borderId="92" xfId="0" applyFont="1" applyFill="1" applyBorder="1" applyAlignment="1">
      <alignment horizontal="left" vertical="center"/>
    </xf>
    <xf numFmtId="0" fontId="83" fillId="3" borderId="93" xfId="0" applyFont="1" applyFill="1" applyBorder="1" applyAlignment="1">
      <alignment horizontal="left" vertical="center"/>
    </xf>
    <xf numFmtId="0" fontId="83" fillId="3" borderId="94" xfId="0" applyFont="1" applyFill="1" applyBorder="1" applyAlignment="1">
      <alignment horizontal="left" vertical="center"/>
    </xf>
    <xf numFmtId="0" fontId="83" fillId="16" borderId="88" xfId="0" applyFont="1" applyFill="1" applyBorder="1" applyAlignment="1">
      <alignment horizontal="center" vertical="center"/>
    </xf>
    <xf numFmtId="0" fontId="88" fillId="0" borderId="92" xfId="0" applyFont="1" applyBorder="1" applyAlignment="1">
      <alignment horizontal="center" vertical="center"/>
    </xf>
    <xf numFmtId="0" fontId="88" fillId="0" borderId="93" xfId="0" applyFont="1" applyBorder="1" applyAlignment="1">
      <alignment horizontal="center" vertical="center"/>
    </xf>
    <xf numFmtId="0" fontId="88" fillId="0" borderId="94" xfId="0" applyFont="1" applyBorder="1" applyAlignment="1">
      <alignment horizontal="center" vertical="center"/>
    </xf>
    <xf numFmtId="0" fontId="88" fillId="0" borderId="95" xfId="0" applyFont="1" applyBorder="1" applyAlignment="1">
      <alignment horizontal="center" vertical="center"/>
    </xf>
    <xf numFmtId="0" fontId="88" fillId="0" borderId="86" xfId="0" applyFont="1" applyBorder="1" applyAlignment="1">
      <alignment horizontal="center" vertical="center"/>
    </xf>
    <xf numFmtId="0" fontId="88" fillId="0" borderId="96" xfId="0" applyFont="1" applyBorder="1" applyAlignment="1">
      <alignment horizontal="center" vertical="center"/>
    </xf>
    <xf numFmtId="0" fontId="88" fillId="0" borderId="98" xfId="0" applyFont="1" applyBorder="1" applyAlignment="1">
      <alignment horizontal="center" vertical="center"/>
    </xf>
    <xf numFmtId="0" fontId="88" fillId="0" borderId="99" xfId="0" applyFont="1" applyBorder="1" applyAlignment="1">
      <alignment horizontal="center" vertical="center"/>
    </xf>
    <xf numFmtId="0" fontId="88" fillId="0" borderId="100" xfId="0" applyFont="1" applyBorder="1" applyAlignment="1">
      <alignment horizontal="center" vertical="center"/>
    </xf>
    <xf numFmtId="0" fontId="81" fillId="0" borderId="105" xfId="0" applyFont="1" applyBorder="1" applyAlignment="1">
      <alignment horizontal="center" vertical="center"/>
    </xf>
    <xf numFmtId="0" fontId="81" fillId="0" borderId="93" xfId="0" applyFont="1" applyBorder="1" applyAlignment="1">
      <alignment horizontal="center" vertical="center"/>
    </xf>
    <xf numFmtId="0" fontId="81" fillId="0" borderId="94" xfId="0" applyFont="1" applyBorder="1" applyAlignment="1">
      <alignment horizontal="center" vertical="center"/>
    </xf>
    <xf numFmtId="0" fontId="81" fillId="0" borderId="106" xfId="0" applyFont="1" applyBorder="1" applyAlignment="1">
      <alignment horizontal="center" vertical="center"/>
    </xf>
    <xf numFmtId="0" fontId="81" fillId="0" borderId="99" xfId="0" applyFont="1" applyBorder="1" applyAlignment="1">
      <alignment horizontal="center" vertical="center"/>
    </xf>
    <xf numFmtId="0" fontId="81" fillId="0" borderId="100" xfId="0" applyFont="1" applyBorder="1" applyAlignment="1">
      <alignment horizontal="center" vertical="center"/>
    </xf>
    <xf numFmtId="0" fontId="81" fillId="0" borderId="91" xfId="0" applyFont="1" applyBorder="1" applyAlignment="1">
      <alignment horizontal="left" vertical="center"/>
    </xf>
    <xf numFmtId="0" fontId="81" fillId="0" borderId="101" xfId="0" applyFont="1" applyBorder="1" applyAlignment="1">
      <alignment horizontal="left" vertical="center"/>
    </xf>
    <xf numFmtId="0" fontId="81" fillId="0" borderId="102" xfId="0" applyFont="1" applyBorder="1" applyAlignment="1">
      <alignment horizontal="left" vertical="center"/>
    </xf>
    <xf numFmtId="0" fontId="81" fillId="0" borderId="106" xfId="0" applyFont="1" applyBorder="1" applyAlignment="1">
      <alignment horizontal="left" vertical="center"/>
    </xf>
    <xf numFmtId="0" fontId="81" fillId="0" borderId="99" xfId="0" applyFont="1" applyBorder="1" applyAlignment="1">
      <alignment horizontal="left" vertical="center"/>
    </xf>
    <xf numFmtId="0" fontId="81" fillId="0" borderId="100" xfId="0" applyFont="1" applyBorder="1" applyAlignment="1">
      <alignment horizontal="left" vertical="center"/>
    </xf>
    <xf numFmtId="0" fontId="82" fillId="3" borderId="105" xfId="0" applyFont="1" applyFill="1" applyBorder="1" applyAlignment="1">
      <alignment horizontal="left" wrapText="1"/>
    </xf>
    <xf numFmtId="0" fontId="82" fillId="3" borderId="93" xfId="0" applyFont="1" applyFill="1" applyBorder="1" applyAlignment="1">
      <alignment horizontal="left" wrapText="1"/>
    </xf>
    <xf numFmtId="0" fontId="82" fillId="3" borderId="94" xfId="0" applyFont="1" applyFill="1" applyBorder="1" applyAlignment="1">
      <alignment horizontal="left" wrapText="1"/>
    </xf>
    <xf numFmtId="0" fontId="82" fillId="3" borderId="90" xfId="0" applyFont="1" applyFill="1" applyBorder="1" applyAlignment="1">
      <alignment horizontal="left" wrapText="1"/>
    </xf>
    <xf numFmtId="0" fontId="82" fillId="3" borderId="86" xfId="0" applyFont="1" applyFill="1" applyBorder="1" applyAlignment="1">
      <alignment horizontal="left" wrapText="1"/>
    </xf>
    <xf numFmtId="0" fontId="82" fillId="3" borderId="96" xfId="0" applyFont="1" applyFill="1" applyBorder="1" applyAlignment="1">
      <alignment horizontal="left" wrapText="1"/>
    </xf>
    <xf numFmtId="0" fontId="82" fillId="3" borderId="89" xfId="0" applyFont="1" applyFill="1" applyBorder="1" applyAlignment="1">
      <alignment horizontal="left" wrapText="1"/>
    </xf>
    <xf numFmtId="0" fontId="82" fillId="3" borderId="87" xfId="0" applyFont="1" applyFill="1" applyBorder="1" applyAlignment="1">
      <alignment horizontal="left" wrapText="1"/>
    </xf>
    <xf numFmtId="0" fontId="82" fillId="3" borderId="97" xfId="0" applyFont="1" applyFill="1" applyBorder="1" applyAlignment="1">
      <alignment horizontal="left" wrapText="1"/>
    </xf>
    <xf numFmtId="0" fontId="81" fillId="0" borderId="92" xfId="0" applyFont="1" applyBorder="1" applyAlignment="1">
      <alignment horizontal="center" vertical="center"/>
    </xf>
    <xf numFmtId="0" fontId="81" fillId="0" borderId="98" xfId="0" applyFont="1" applyBorder="1" applyAlignment="1">
      <alignment horizontal="center" vertical="center"/>
    </xf>
    <xf numFmtId="0" fontId="81" fillId="0" borderId="103" xfId="0" applyFont="1" applyBorder="1" applyAlignment="1">
      <alignment horizontal="left" vertical="center"/>
    </xf>
    <xf numFmtId="0" fontId="81" fillId="0" borderId="88" xfId="0" applyFont="1" applyBorder="1" applyAlignment="1">
      <alignment horizontal="left" vertical="center"/>
    </xf>
    <xf numFmtId="0" fontId="81" fillId="0" borderId="98" xfId="0" applyFont="1" applyBorder="1" applyAlignment="1">
      <alignment horizontal="left" vertical="center"/>
    </xf>
    <xf numFmtId="0" fontId="81" fillId="0" borderId="104" xfId="0" applyFont="1" applyBorder="1" applyAlignment="1">
      <alignment horizontal="left" vertical="center"/>
    </xf>
    <xf numFmtId="0" fontId="83" fillId="16" borderId="108" xfId="0" applyFont="1" applyFill="1" applyBorder="1" applyAlignment="1">
      <alignment horizontal="left" vertical="center"/>
    </xf>
    <xf numFmtId="0" fontId="83" fillId="16" borderId="109" xfId="0" applyFont="1" applyFill="1" applyBorder="1" applyAlignment="1">
      <alignment horizontal="left" vertical="center"/>
    </xf>
    <xf numFmtId="0" fontId="83" fillId="16" borderId="110" xfId="0" applyFont="1" applyFill="1" applyBorder="1" applyAlignment="1">
      <alignment horizontal="left" vertical="center"/>
    </xf>
    <xf numFmtId="0" fontId="83" fillId="16" borderId="111" xfId="0" applyFont="1" applyFill="1" applyBorder="1" applyAlignment="1">
      <alignment horizontal="left" vertical="center"/>
    </xf>
    <xf numFmtId="0" fontId="83" fillId="16" borderId="112" xfId="0" applyFont="1" applyFill="1" applyBorder="1" applyAlignment="1">
      <alignment horizontal="left" vertical="center"/>
    </xf>
    <xf numFmtId="0" fontId="83" fillId="16" borderId="113" xfId="0" applyFont="1" applyFill="1" applyBorder="1" applyAlignment="1">
      <alignment horizontal="left" vertical="center"/>
    </xf>
    <xf numFmtId="0" fontId="89" fillId="3" borderId="90" xfId="0" applyFont="1" applyFill="1" applyBorder="1" applyAlignment="1" applyProtection="1">
      <alignment horizontal="left" vertical="center" wrapText="1"/>
      <protection locked="0"/>
    </xf>
    <xf numFmtId="0" fontId="89" fillId="3" borderId="86" xfId="0" applyFont="1" applyFill="1" applyBorder="1" applyAlignment="1" applyProtection="1">
      <alignment horizontal="left" vertical="center" wrapText="1"/>
      <protection locked="0"/>
    </xf>
    <xf numFmtId="0" fontId="89" fillId="3" borderId="96" xfId="0" applyFont="1" applyFill="1" applyBorder="1" applyAlignment="1" applyProtection="1">
      <alignment horizontal="left" vertical="center" wrapText="1"/>
      <protection locked="0"/>
    </xf>
    <xf numFmtId="0" fontId="89" fillId="3" borderId="106" xfId="0" applyFont="1" applyFill="1" applyBorder="1" applyAlignment="1" applyProtection="1">
      <alignment horizontal="left" vertical="center" wrapText="1"/>
      <protection locked="0"/>
    </xf>
    <xf numFmtId="0" fontId="89" fillId="3" borderId="99" xfId="0" applyFont="1" applyFill="1" applyBorder="1" applyAlignment="1" applyProtection="1">
      <alignment horizontal="left" vertical="center" wrapText="1"/>
      <protection locked="0"/>
    </xf>
    <xf numFmtId="0" fontId="89" fillId="3" borderId="100" xfId="0" applyFont="1" applyFill="1" applyBorder="1" applyAlignment="1" applyProtection="1">
      <alignment horizontal="left" vertical="center" wrapText="1"/>
      <protection locked="0"/>
    </xf>
    <xf numFmtId="0" fontId="83" fillId="16" borderId="86" xfId="0" applyFont="1" applyFill="1" applyBorder="1" applyAlignment="1">
      <alignment horizontal="center" vertical="center" textRotation="90"/>
    </xf>
    <xf numFmtId="0" fontId="83" fillId="23" borderId="86" xfId="0" applyFont="1" applyFill="1" applyBorder="1" applyAlignment="1">
      <alignment horizontal="center" vertical="center" wrapText="1"/>
    </xf>
    <xf numFmtId="0" fontId="83" fillId="16" borderId="86" xfId="0" applyFont="1" applyFill="1" applyBorder="1" applyAlignment="1">
      <alignment horizontal="center" vertical="center"/>
    </xf>
    <xf numFmtId="0" fontId="83" fillId="16" borderId="86" xfId="0" applyFont="1" applyFill="1" applyBorder="1" applyAlignment="1">
      <alignment horizontal="center" vertical="center" wrapText="1"/>
    </xf>
    <xf numFmtId="0" fontId="83" fillId="0" borderId="86" xfId="0" applyFont="1" applyBorder="1" applyAlignment="1">
      <alignment horizontal="center" vertical="center"/>
    </xf>
    <xf numFmtId="0" fontId="82" fillId="0" borderId="86" xfId="0" applyFont="1" applyBorder="1" applyAlignment="1" applyProtection="1">
      <alignment horizontal="center" vertical="center" wrapText="1"/>
      <protection locked="0"/>
    </xf>
    <xf numFmtId="0" fontId="83" fillId="23" borderId="87" xfId="0" applyFont="1" applyFill="1" applyBorder="1" applyAlignment="1">
      <alignment horizontal="center" vertical="center" wrapText="1"/>
    </xf>
    <xf numFmtId="0" fontId="83" fillId="23" borderId="88" xfId="0" applyFont="1" applyFill="1" applyBorder="1" applyAlignment="1">
      <alignment horizontal="center" vertical="center" wrapText="1"/>
    </xf>
    <xf numFmtId="0" fontId="82" fillId="0" borderId="86" xfId="0" applyFont="1" applyBorder="1" applyAlignment="1" applyProtection="1">
      <alignment horizontal="center" vertical="center"/>
      <protection locked="0"/>
    </xf>
    <xf numFmtId="0" fontId="83" fillId="16" borderId="86" xfId="0" applyFont="1" applyFill="1" applyBorder="1" applyAlignment="1">
      <alignment horizontal="center" vertical="center" textRotation="90" wrapText="1"/>
    </xf>
    <xf numFmtId="0" fontId="82" fillId="29" borderId="86" xfId="0" applyFont="1" applyFill="1" applyBorder="1" applyAlignment="1" applyProtection="1">
      <alignment horizontal="center" vertical="center" wrapText="1"/>
      <protection locked="0"/>
    </xf>
    <xf numFmtId="9" fontId="82" fillId="0" borderId="86" xfId="0" applyNumberFormat="1" applyFont="1" applyBorder="1" applyAlignment="1" applyProtection="1">
      <alignment horizontal="center" vertical="center" wrapText="1"/>
      <protection locked="0"/>
    </xf>
    <xf numFmtId="9" fontId="82" fillId="0" borderId="86" xfId="0" applyNumberFormat="1" applyFont="1" applyBorder="1" applyAlignment="1" applyProtection="1">
      <alignment horizontal="center" vertical="center" wrapText="1"/>
      <protection hidden="1"/>
    </xf>
    <xf numFmtId="0" fontId="83" fillId="0" borderId="86" xfId="0" applyFont="1" applyBorder="1" applyAlignment="1" applyProtection="1">
      <alignment horizontal="center" vertical="center" wrapText="1"/>
      <protection hidden="1"/>
    </xf>
    <xf numFmtId="0" fontId="83" fillId="0" borderId="86" xfId="0" applyFont="1" applyBorder="1" applyAlignment="1" applyProtection="1">
      <alignment horizontal="center" vertical="center"/>
      <protection hidden="1"/>
    </xf>
    <xf numFmtId="0" fontId="82" fillId="3" borderId="87" xfId="0" applyFont="1" applyFill="1" applyBorder="1" applyAlignment="1">
      <alignment horizontal="center" vertical="center" wrapText="1"/>
    </xf>
    <xf numFmtId="0" fontId="82" fillId="3" borderId="88" xfId="0" applyFont="1" applyFill="1" applyBorder="1" applyAlignment="1">
      <alignment horizontal="center" vertical="center" wrapText="1"/>
    </xf>
    <xf numFmtId="0" fontId="92" fillId="3" borderId="86" xfId="0" applyFont="1" applyFill="1" applyBorder="1" applyAlignment="1">
      <alignment horizontal="center" vertical="center"/>
    </xf>
    <xf numFmtId="0" fontId="82" fillId="3" borderId="86" xfId="0" applyFont="1" applyFill="1" applyBorder="1" applyAlignment="1" applyProtection="1">
      <alignment horizontal="center" vertical="center" wrapText="1"/>
      <protection locked="0"/>
    </xf>
    <xf numFmtId="0" fontId="82" fillId="0" borderId="114" xfId="0" applyFont="1" applyBorder="1" applyAlignment="1" applyProtection="1">
      <alignment horizontal="center" vertical="center" wrapText="1"/>
      <protection locked="0"/>
    </xf>
    <xf numFmtId="0" fontId="94" fillId="15" borderId="86" xfId="0" applyFont="1" applyFill="1" applyBorder="1" applyAlignment="1" applyProtection="1">
      <alignment horizontal="center" vertical="center" textRotation="90" wrapText="1"/>
      <protection locked="0"/>
    </xf>
    <xf numFmtId="14" fontId="82" fillId="0" borderId="87" xfId="0" applyNumberFormat="1" applyFont="1" applyBorder="1" applyAlignment="1" applyProtection="1">
      <alignment horizontal="center" vertical="center" wrapText="1"/>
      <protection locked="0"/>
    </xf>
    <xf numFmtId="14" fontId="82" fillId="0" borderId="88" xfId="0" applyNumberFormat="1" applyFont="1" applyBorder="1" applyAlignment="1" applyProtection="1">
      <alignment horizontal="center" vertical="center" wrapText="1"/>
      <protection locked="0"/>
    </xf>
    <xf numFmtId="0" fontId="90" fillId="0" borderId="86" xfId="0" applyFont="1" applyBorder="1" applyAlignment="1">
      <alignment horizontal="center" vertical="center"/>
    </xf>
    <xf numFmtId="0" fontId="94" fillId="22" borderId="86" xfId="0" applyFont="1" applyFill="1" applyBorder="1" applyAlignment="1" applyProtection="1">
      <alignment horizontal="center" vertical="center" textRotation="90" wrapText="1"/>
      <protection locked="0"/>
    </xf>
    <xf numFmtId="0" fontId="16" fillId="10" borderId="0" xfId="0" applyFont="1" applyFill="1" applyAlignment="1">
      <alignment horizontal="center" vertical="center" textRotation="90" wrapText="1" readingOrder="1"/>
    </xf>
    <xf numFmtId="0" fontId="16" fillId="10" borderId="6" xfId="0" applyFont="1" applyFill="1" applyBorder="1" applyAlignment="1">
      <alignment horizontal="center" vertical="center" textRotation="90" wrapText="1" readingOrder="1"/>
    </xf>
    <xf numFmtId="0" fontId="19" fillId="12" borderId="11" xfId="0" applyFont="1" applyFill="1" applyBorder="1" applyAlignment="1">
      <alignment horizontal="center" vertical="center" wrapText="1" readingOrder="1"/>
    </xf>
    <xf numFmtId="0" fontId="19" fillId="12" borderId="12" xfId="0" applyFont="1" applyFill="1" applyBorder="1" applyAlignment="1">
      <alignment horizontal="center" vertical="center" wrapText="1" readingOrder="1"/>
    </xf>
    <xf numFmtId="0" fontId="19" fillId="12" borderId="13" xfId="0" applyFont="1" applyFill="1" applyBorder="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2" borderId="18" xfId="0" applyFont="1" applyFill="1" applyBorder="1" applyAlignment="1">
      <alignment horizontal="center" vertical="center" wrapText="1" readingOrder="1"/>
    </xf>
    <xf numFmtId="0" fontId="19" fillId="11" borderId="11" xfId="0" applyFont="1" applyFill="1" applyBorder="1" applyAlignment="1">
      <alignment horizontal="center" vertical="center" wrapText="1" readingOrder="1"/>
    </xf>
    <xf numFmtId="0" fontId="19" fillId="11" borderId="12"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1" borderId="18" xfId="0" applyFont="1" applyFill="1" applyBorder="1" applyAlignment="1">
      <alignment horizontal="center" vertical="center" wrapText="1" readingOrder="1"/>
    </xf>
    <xf numFmtId="0" fontId="19" fillId="13" borderId="11" xfId="0" applyFont="1" applyFill="1" applyBorder="1" applyAlignment="1">
      <alignment horizontal="center" vertical="center" wrapText="1" readingOrder="1"/>
    </xf>
    <xf numFmtId="0" fontId="19" fillId="13" borderId="12"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13" borderId="18" xfId="0" applyFont="1" applyFill="1" applyBorder="1" applyAlignment="1">
      <alignment horizontal="center" vertical="center" wrapText="1" readingOrder="1"/>
    </xf>
    <xf numFmtId="0" fontId="19" fillId="5" borderId="11" xfId="0" applyFont="1" applyFill="1" applyBorder="1" applyAlignment="1">
      <alignment horizontal="center" vertical="center" wrapText="1" readingOrder="1"/>
    </xf>
    <xf numFmtId="0" fontId="19" fillId="5" borderId="12"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17" xfId="0" applyFont="1" applyFill="1" applyBorder="1" applyAlignment="1">
      <alignment horizontal="center" vertical="center" wrapText="1" readingOrder="1"/>
    </xf>
    <xf numFmtId="0" fontId="19" fillId="5" borderId="18" xfId="0" applyFont="1" applyFill="1" applyBorder="1" applyAlignment="1">
      <alignment horizontal="center" vertical="center" wrapText="1" readingOrder="1"/>
    </xf>
    <xf numFmtId="0" fontId="15" fillId="0" borderId="3" xfId="0" applyFont="1" applyBorder="1" applyAlignment="1">
      <alignment horizontal="center" vertical="center" wrapText="1"/>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9" xfId="0" applyFont="1" applyBorder="1" applyAlignment="1">
      <alignment horizontal="center" vertical="center"/>
    </xf>
    <xf numFmtId="0" fontId="15" fillId="0" borderId="8" xfId="0" applyFont="1" applyBorder="1" applyAlignment="1">
      <alignment horizontal="center" vertical="center"/>
    </xf>
    <xf numFmtId="0" fontId="18" fillId="11" borderId="0" xfId="0" applyFont="1" applyFill="1" applyAlignment="1" applyProtection="1">
      <alignment horizontal="center" vertical="center" wrapText="1" readingOrder="1"/>
      <protection hidden="1"/>
    </xf>
    <xf numFmtId="0" fontId="18" fillId="11" borderId="6" xfId="0" applyFont="1" applyFill="1" applyBorder="1" applyAlignment="1" applyProtection="1">
      <alignment horizontal="center" vertical="center" wrapText="1" readingOrder="1"/>
      <protection hidden="1"/>
    </xf>
    <xf numFmtId="0" fontId="18" fillId="11" borderId="3" xfId="0" applyFont="1" applyFill="1" applyBorder="1" applyAlignment="1" applyProtection="1">
      <alignment horizontal="center" vertical="center" wrapText="1" readingOrder="1"/>
      <protection hidden="1"/>
    </xf>
    <xf numFmtId="0" fontId="18" fillId="11" borderId="10" xfId="0" applyFont="1" applyFill="1" applyBorder="1" applyAlignment="1" applyProtection="1">
      <alignment horizontal="center" vertic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4"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10" xfId="0" applyFont="1" applyBorder="1" applyAlignment="1">
      <alignment horizontal="center" vertical="center" wrapText="1"/>
    </xf>
    <xf numFmtId="0" fontId="18" fillId="11" borderId="7" xfId="0" applyFont="1" applyFill="1" applyBorder="1" applyAlignment="1" applyProtection="1">
      <alignment horizontal="center" vertical="center" wrapText="1" readingOrder="1"/>
      <protection hidden="1"/>
    </xf>
    <xf numFmtId="0" fontId="18" fillId="11" borderId="9" xfId="0" applyFont="1" applyFill="1" applyBorder="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3" xfId="0" applyFont="1" applyFill="1" applyBorder="1" applyAlignment="1" applyProtection="1">
      <alignment horizontal="center" wrapText="1" readingOrder="1"/>
      <protection hidden="1"/>
    </xf>
    <xf numFmtId="0" fontId="18" fillId="12" borderId="10" xfId="0" applyFont="1" applyFill="1" applyBorder="1" applyAlignment="1" applyProtection="1">
      <alignment horizontal="center" wrapText="1" readingOrder="1"/>
      <protection hidden="1"/>
    </xf>
    <xf numFmtId="0" fontId="18" fillId="12" borderId="4" xfId="0" applyFont="1" applyFill="1" applyBorder="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3" xfId="0" applyFont="1" applyFill="1" applyBorder="1" applyAlignment="1" applyProtection="1">
      <alignment horizontal="center" wrapText="1" readingOrder="1"/>
      <protection hidden="1"/>
    </xf>
    <xf numFmtId="0" fontId="18" fillId="13" borderId="10" xfId="0" applyFont="1" applyFill="1" applyBorder="1" applyAlignment="1" applyProtection="1">
      <alignment horizontal="center" wrapText="1" readingOrder="1"/>
      <protection hidden="1"/>
    </xf>
    <xf numFmtId="0" fontId="18" fillId="13" borderId="4"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7"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3" xfId="0" applyFont="1" applyFill="1" applyBorder="1" applyAlignment="1" applyProtection="1">
      <alignment horizontal="center" wrapText="1" readingOrder="1"/>
      <protection hidden="1"/>
    </xf>
    <xf numFmtId="0" fontId="18" fillId="5" borderId="10" xfId="0" applyFont="1" applyFill="1" applyBorder="1" applyAlignment="1" applyProtection="1">
      <alignment horizontal="center" wrapText="1" readingOrder="1"/>
      <protection hidden="1"/>
    </xf>
    <xf numFmtId="0" fontId="18" fillId="5" borderId="4" xfId="0" applyFont="1" applyFill="1" applyBorder="1" applyAlignment="1" applyProtection="1">
      <alignment horizontal="center" wrapText="1" readingOrder="1"/>
      <protection hidden="1"/>
    </xf>
    <xf numFmtId="0" fontId="23" fillId="0" borderId="0" xfId="0" applyFont="1" applyAlignment="1">
      <alignment horizontal="center" vertical="center" wrapText="1"/>
    </xf>
    <xf numFmtId="0" fontId="39" fillId="11" borderId="11" xfId="0" applyFont="1" applyFill="1" applyBorder="1" applyAlignment="1">
      <alignment horizontal="center" vertical="center" wrapText="1" readingOrder="1"/>
    </xf>
    <xf numFmtId="0" fontId="39" fillId="11" borderId="12" xfId="0" applyFont="1" applyFill="1" applyBorder="1" applyAlignment="1">
      <alignment horizontal="center" vertical="center" wrapText="1" readingOrder="1"/>
    </xf>
    <xf numFmtId="0" fontId="39" fillId="11" borderId="13" xfId="0" applyFont="1" applyFill="1" applyBorder="1" applyAlignment="1">
      <alignment horizontal="center" vertical="center" wrapText="1" readingOrder="1"/>
    </xf>
    <xf numFmtId="0" fontId="39" fillId="11" borderId="14" xfId="0" applyFont="1" applyFill="1" applyBorder="1" applyAlignment="1">
      <alignment horizontal="center" vertical="center" wrapText="1" readingOrder="1"/>
    </xf>
    <xf numFmtId="0" fontId="39" fillId="11" borderId="0" xfId="0" applyFont="1" applyFill="1" applyAlignment="1">
      <alignment horizontal="center" vertical="center" wrapText="1" readingOrder="1"/>
    </xf>
    <xf numFmtId="0" fontId="39" fillId="11" borderId="15" xfId="0" applyFont="1" applyFill="1" applyBorder="1" applyAlignment="1">
      <alignment horizontal="center" vertical="center" wrapText="1" readingOrder="1"/>
    </xf>
    <xf numFmtId="0" fontId="39" fillId="11" borderId="16" xfId="0" applyFont="1" applyFill="1" applyBorder="1" applyAlignment="1">
      <alignment horizontal="center" vertical="center" wrapText="1" readingOrder="1"/>
    </xf>
    <xf numFmtId="0" fontId="39" fillId="11" borderId="17" xfId="0" applyFont="1" applyFill="1" applyBorder="1" applyAlignment="1">
      <alignment horizontal="center" vertical="center" wrapText="1" readingOrder="1"/>
    </xf>
    <xf numFmtId="0" fontId="39" fillId="11" borderId="18" xfId="0" applyFont="1" applyFill="1" applyBorder="1" applyAlignment="1">
      <alignment horizontal="center" vertical="center" wrapText="1" readingOrder="1"/>
    </xf>
    <xf numFmtId="0" fontId="40" fillId="0" borderId="3" xfId="0" applyFont="1" applyBorder="1" applyAlignment="1">
      <alignment horizontal="center" vertical="center" wrapText="1"/>
    </xf>
    <xf numFmtId="0" fontId="40" fillId="0" borderId="10" xfId="0" applyFont="1" applyBorder="1" applyAlignment="1">
      <alignment horizontal="center" vertical="center"/>
    </xf>
    <xf numFmtId="0" fontId="40" fillId="0" borderId="5" xfId="0" applyFont="1" applyBorder="1" applyAlignment="1">
      <alignment horizontal="center" vertical="center" wrapText="1"/>
    </xf>
    <xf numFmtId="0" fontId="40" fillId="0" borderId="0" xfId="0" applyFont="1" applyAlignment="1">
      <alignment horizontal="center" vertical="center"/>
    </xf>
    <xf numFmtId="0" fontId="40" fillId="0" borderId="5" xfId="0" applyFont="1" applyBorder="1" applyAlignment="1">
      <alignment horizontal="center" vertical="center"/>
    </xf>
    <xf numFmtId="0" fontId="40" fillId="0" borderId="7" xfId="0" applyFont="1" applyBorder="1" applyAlignment="1">
      <alignment horizontal="center" vertical="center"/>
    </xf>
    <xf numFmtId="0" fontId="40" fillId="0" borderId="9" xfId="0" applyFont="1" applyBorder="1" applyAlignment="1">
      <alignment horizontal="center" vertical="center"/>
    </xf>
    <xf numFmtId="0" fontId="39" fillId="12" borderId="11" xfId="0" applyFont="1" applyFill="1" applyBorder="1" applyAlignment="1">
      <alignment horizontal="center" vertical="center" wrapText="1" readingOrder="1"/>
    </xf>
    <xf numFmtId="0" fontId="39" fillId="12" borderId="12" xfId="0" applyFont="1" applyFill="1" applyBorder="1" applyAlignment="1">
      <alignment horizontal="center" vertical="center" wrapText="1" readingOrder="1"/>
    </xf>
    <xf numFmtId="0" fontId="39" fillId="12" borderId="13" xfId="0" applyFont="1" applyFill="1" applyBorder="1" applyAlignment="1">
      <alignment horizontal="center" vertical="center" wrapText="1" readingOrder="1"/>
    </xf>
    <xf numFmtId="0" fontId="39" fillId="12" borderId="14" xfId="0" applyFont="1" applyFill="1" applyBorder="1" applyAlignment="1">
      <alignment horizontal="center" vertical="center" wrapText="1" readingOrder="1"/>
    </xf>
    <xf numFmtId="0" fontId="39" fillId="12" borderId="0" xfId="0" applyFont="1" applyFill="1" applyAlignment="1">
      <alignment horizontal="center" vertical="center" wrapText="1" readingOrder="1"/>
    </xf>
    <xf numFmtId="0" fontId="39" fillId="12" borderId="15" xfId="0" applyFont="1" applyFill="1" applyBorder="1" applyAlignment="1">
      <alignment horizontal="center" vertical="center" wrapText="1" readingOrder="1"/>
    </xf>
    <xf numFmtId="0" fontId="39" fillId="12" borderId="16" xfId="0" applyFont="1" applyFill="1" applyBorder="1" applyAlignment="1">
      <alignment horizontal="center" vertical="center" wrapText="1" readingOrder="1"/>
    </xf>
    <xf numFmtId="0" fontId="39" fillId="12" borderId="17" xfId="0" applyFont="1" applyFill="1" applyBorder="1" applyAlignment="1">
      <alignment horizontal="center" vertical="center" wrapText="1" readingOrder="1"/>
    </xf>
    <xf numFmtId="0" fontId="39" fillId="12" borderId="18" xfId="0" applyFont="1" applyFill="1" applyBorder="1" applyAlignment="1">
      <alignment horizontal="center" vertical="center" wrapText="1" readingOrder="1"/>
    </xf>
    <xf numFmtId="0" fontId="38" fillId="0" borderId="0" xfId="0" applyFont="1" applyAlignment="1">
      <alignment horizontal="center" vertical="center" wrapText="1"/>
    </xf>
    <xf numFmtId="0" fontId="20" fillId="0" borderId="0" xfId="0" applyFont="1" applyAlignment="1">
      <alignment horizontal="center" vertical="center" wrapText="1"/>
    </xf>
    <xf numFmtId="0" fontId="40" fillId="0" borderId="4" xfId="0" applyFont="1" applyBorder="1" applyAlignment="1">
      <alignment horizontal="center" vertical="center"/>
    </xf>
    <xf numFmtId="0" fontId="40" fillId="0" borderId="6" xfId="0" applyFont="1" applyBorder="1" applyAlignment="1">
      <alignment horizontal="center" vertical="center"/>
    </xf>
    <xf numFmtId="0" fontId="40" fillId="0" borderId="8" xfId="0" applyFont="1" applyBorder="1" applyAlignment="1">
      <alignment horizontal="center" vertical="center"/>
    </xf>
    <xf numFmtId="0" fontId="39" fillId="5" borderId="11" xfId="0" applyFont="1" applyFill="1" applyBorder="1" applyAlignment="1">
      <alignment horizontal="center" vertical="center" wrapText="1" readingOrder="1"/>
    </xf>
    <xf numFmtId="0" fontId="39" fillId="5" borderId="12" xfId="0" applyFont="1" applyFill="1" applyBorder="1" applyAlignment="1">
      <alignment horizontal="center" vertical="center" wrapText="1" readingOrder="1"/>
    </xf>
    <xf numFmtId="0" fontId="39" fillId="5" borderId="13" xfId="0" applyFont="1" applyFill="1" applyBorder="1" applyAlignment="1">
      <alignment horizontal="center" vertical="center" wrapText="1" readingOrder="1"/>
    </xf>
    <xf numFmtId="0" fontId="39" fillId="5" borderId="14" xfId="0" applyFont="1" applyFill="1" applyBorder="1" applyAlignment="1">
      <alignment horizontal="center" vertical="center" wrapText="1" readingOrder="1"/>
    </xf>
    <xf numFmtId="0" fontId="39" fillId="5" borderId="0" xfId="0" applyFont="1" applyFill="1" applyAlignment="1">
      <alignment horizontal="center" vertical="center" wrapText="1" readingOrder="1"/>
    </xf>
    <xf numFmtId="0" fontId="39" fillId="5" borderId="15" xfId="0" applyFont="1" applyFill="1" applyBorder="1" applyAlignment="1">
      <alignment horizontal="center" vertical="center" wrapText="1" readingOrder="1"/>
    </xf>
    <xf numFmtId="0" fontId="39" fillId="5" borderId="16" xfId="0" applyFont="1" applyFill="1" applyBorder="1" applyAlignment="1">
      <alignment horizontal="center" vertical="center" wrapText="1" readingOrder="1"/>
    </xf>
    <xf numFmtId="0" fontId="39" fillId="5" borderId="17" xfId="0" applyFont="1" applyFill="1" applyBorder="1" applyAlignment="1">
      <alignment horizontal="center" vertical="center" wrapText="1" readingOrder="1"/>
    </xf>
    <xf numFmtId="0" fontId="39" fillId="5" borderId="18" xfId="0" applyFont="1" applyFill="1" applyBorder="1" applyAlignment="1">
      <alignment horizontal="center" vertical="center" wrapText="1" readingOrder="1"/>
    </xf>
    <xf numFmtId="0" fontId="39" fillId="13" borderId="11" xfId="0" applyFont="1" applyFill="1" applyBorder="1" applyAlignment="1">
      <alignment horizontal="center" vertical="center" wrapText="1" readingOrder="1"/>
    </xf>
    <xf numFmtId="0" fontId="39" fillId="13" borderId="12" xfId="0" applyFont="1" applyFill="1" applyBorder="1" applyAlignment="1">
      <alignment horizontal="center" vertical="center" wrapText="1" readingOrder="1"/>
    </xf>
    <xf numFmtId="0" fontId="39" fillId="13" borderId="13" xfId="0" applyFont="1" applyFill="1" applyBorder="1" applyAlignment="1">
      <alignment horizontal="center" vertical="center" wrapText="1" readingOrder="1"/>
    </xf>
    <xf numFmtId="0" fontId="39" fillId="13" borderId="14" xfId="0" applyFont="1" applyFill="1" applyBorder="1" applyAlignment="1">
      <alignment horizontal="center" vertical="center" wrapText="1" readingOrder="1"/>
    </xf>
    <xf numFmtId="0" fontId="39" fillId="13" borderId="0" xfId="0" applyFont="1" applyFill="1" applyAlignment="1">
      <alignment horizontal="center" vertical="center" wrapText="1" readingOrder="1"/>
    </xf>
    <xf numFmtId="0" fontId="39" fillId="13" borderId="15" xfId="0" applyFont="1" applyFill="1" applyBorder="1" applyAlignment="1">
      <alignment horizontal="center" vertical="center" wrapText="1" readingOrder="1"/>
    </xf>
    <xf numFmtId="0" fontId="39" fillId="13" borderId="16" xfId="0" applyFont="1" applyFill="1" applyBorder="1" applyAlignment="1">
      <alignment horizontal="center" vertical="center" wrapText="1" readingOrder="1"/>
    </xf>
    <xf numFmtId="0" fontId="39" fillId="13" borderId="17" xfId="0" applyFont="1" applyFill="1" applyBorder="1" applyAlignment="1">
      <alignment horizontal="center" vertical="center" wrapText="1" readingOrder="1"/>
    </xf>
    <xf numFmtId="0" fontId="39" fillId="13" borderId="18" xfId="0" applyFont="1" applyFill="1" applyBorder="1" applyAlignment="1">
      <alignment horizontal="center" vertical="center" wrapText="1" readingOrder="1"/>
    </xf>
    <xf numFmtId="0" fontId="40" fillId="0" borderId="10" xfId="0" applyFont="1" applyBorder="1" applyAlignment="1">
      <alignment horizontal="center" vertical="center" wrapText="1"/>
    </xf>
    <xf numFmtId="0" fontId="22" fillId="0" borderId="0" xfId="0" applyFont="1" applyAlignment="1">
      <alignment horizontal="center" vertical="center"/>
    </xf>
    <xf numFmtId="0" fontId="42" fillId="0" borderId="0" xfId="0" applyFont="1" applyAlignment="1">
      <alignment horizontal="center" vertical="center"/>
    </xf>
    <xf numFmtId="0" fontId="76" fillId="21" borderId="116" xfId="0" applyFont="1" applyFill="1" applyBorder="1" applyAlignment="1">
      <alignment horizontal="center" vertical="center" wrapText="1"/>
    </xf>
    <xf numFmtId="0" fontId="76" fillId="21" borderId="117" xfId="0" applyFont="1" applyFill="1" applyBorder="1" applyAlignment="1">
      <alignment horizontal="center" vertical="center" wrapText="1"/>
    </xf>
    <xf numFmtId="0" fontId="73" fillId="0" borderId="0" xfId="0" applyFont="1" applyAlignment="1">
      <alignment horizontal="left" vertical="center" wrapText="1"/>
    </xf>
    <xf numFmtId="0" fontId="73" fillId="0" borderId="0" xfId="0" applyFont="1" applyAlignment="1">
      <alignment horizontal="center" vertical="center" wrapText="1"/>
    </xf>
    <xf numFmtId="0" fontId="73" fillId="0" borderId="19" xfId="0" applyFont="1" applyBorder="1" applyAlignment="1">
      <alignment horizontal="left" vertical="center" wrapText="1"/>
    </xf>
    <xf numFmtId="0" fontId="73" fillId="0" borderId="26" xfId="0" applyFont="1" applyBorder="1" applyAlignment="1">
      <alignment horizontal="left" vertical="center" wrapText="1"/>
    </xf>
    <xf numFmtId="0" fontId="76" fillId="21" borderId="115" xfId="0" applyFont="1" applyFill="1" applyBorder="1" applyAlignment="1">
      <alignment horizontal="center" vertical="center" wrapText="1"/>
    </xf>
    <xf numFmtId="0" fontId="74" fillId="16" borderId="3" xfId="0" applyFont="1" applyFill="1" applyBorder="1" applyAlignment="1">
      <alignment horizontal="center" vertical="center" wrapText="1"/>
    </xf>
    <xf numFmtId="0" fontId="74" fillId="16" borderId="10" xfId="0" applyFont="1" applyFill="1" applyBorder="1" applyAlignment="1">
      <alignment horizontal="center" vertical="center" wrapText="1"/>
    </xf>
    <xf numFmtId="0" fontId="74" fillId="16" borderId="4" xfId="0" applyFont="1" applyFill="1" applyBorder="1" applyAlignment="1">
      <alignment horizontal="center" vertical="center" wrapText="1"/>
    </xf>
    <xf numFmtId="0" fontId="75" fillId="16" borderId="70" xfId="0" applyFont="1" applyFill="1" applyBorder="1" applyAlignment="1">
      <alignment horizontal="center" vertical="center" wrapText="1"/>
    </xf>
    <xf numFmtId="0" fontId="75" fillId="16" borderId="23" xfId="0" applyFont="1" applyFill="1" applyBorder="1" applyAlignment="1">
      <alignment horizontal="center" vertical="center" wrapText="1"/>
    </xf>
    <xf numFmtId="0" fontId="75" fillId="16" borderId="71" xfId="0" applyFont="1" applyFill="1" applyBorder="1" applyAlignment="1">
      <alignment horizontal="center" vertical="center" wrapText="1"/>
    </xf>
    <xf numFmtId="0" fontId="75" fillId="16" borderId="19" xfId="0" applyFont="1" applyFill="1" applyBorder="1" applyAlignment="1">
      <alignment horizontal="center" vertical="center" wrapText="1"/>
    </xf>
    <xf numFmtId="0" fontId="75" fillId="16" borderId="72" xfId="0" applyFont="1" applyFill="1" applyBorder="1" applyAlignment="1">
      <alignment horizontal="center" vertical="center" wrapText="1"/>
    </xf>
    <xf numFmtId="0" fontId="77" fillId="16" borderId="78" xfId="0" applyFont="1" applyFill="1" applyBorder="1" applyAlignment="1">
      <alignment horizontal="center" vertical="center" wrapText="1"/>
    </xf>
    <xf numFmtId="0" fontId="77" fillId="16" borderId="76" xfId="0" applyFont="1" applyFill="1" applyBorder="1" applyAlignment="1">
      <alignment horizontal="center" vertical="center" wrapText="1"/>
    </xf>
    <xf numFmtId="0" fontId="77" fillId="16" borderId="74" xfId="0" applyFont="1" applyFill="1" applyBorder="1" applyAlignment="1">
      <alignment horizontal="center" vertical="center" wrapText="1"/>
    </xf>
    <xf numFmtId="0" fontId="78" fillId="0" borderId="78" xfId="0" applyFont="1" applyBorder="1" applyAlignment="1">
      <alignment horizontal="justify" vertical="center" wrapText="1"/>
    </xf>
    <xf numFmtId="0" fontId="78" fillId="0" borderId="76" xfId="0" applyFont="1" applyBorder="1" applyAlignment="1">
      <alignment horizontal="justify" vertical="center" wrapText="1"/>
    </xf>
    <xf numFmtId="0" fontId="78" fillId="0" borderId="74" xfId="0" applyFont="1" applyBorder="1" applyAlignment="1">
      <alignment horizontal="justify" vertical="center" wrapText="1"/>
    </xf>
    <xf numFmtId="0" fontId="77" fillId="0" borderId="68" xfId="0" applyFont="1" applyBorder="1" applyAlignment="1">
      <alignment horizontal="center" vertical="center" wrapText="1"/>
    </xf>
    <xf numFmtId="0" fontId="77" fillId="0" borderId="67" xfId="0" applyFont="1" applyBorder="1" applyAlignment="1">
      <alignment horizontal="center" vertical="center" wrapText="1"/>
    </xf>
    <xf numFmtId="0" fontId="77" fillId="0" borderId="79" xfId="0" applyFont="1" applyBorder="1" applyAlignment="1">
      <alignment horizontal="center" vertical="center" wrapText="1"/>
    </xf>
    <xf numFmtId="0" fontId="77" fillId="0" borderId="65" xfId="0" applyFont="1" applyBorder="1" applyAlignment="1">
      <alignment horizontal="center" vertical="center" wrapText="1"/>
    </xf>
    <xf numFmtId="0" fontId="37" fillId="15" borderId="21" xfId="0" applyFont="1" applyFill="1" applyBorder="1" applyAlignment="1">
      <alignment horizontal="center" vertical="center" wrapText="1" readingOrder="1"/>
    </xf>
    <xf numFmtId="0" fontId="37" fillId="15" borderId="22" xfId="0" applyFont="1" applyFill="1" applyBorder="1" applyAlignment="1">
      <alignment horizontal="center" vertical="center" wrapText="1" readingOrder="1"/>
    </xf>
    <xf numFmtId="0" fontId="37" fillId="15" borderId="33" xfId="0" applyFont="1" applyFill="1" applyBorder="1" applyAlignment="1">
      <alignment horizontal="center" vertical="center" wrapText="1" readingOrder="1"/>
    </xf>
    <xf numFmtId="0" fontId="32" fillId="3" borderId="0" xfId="0" applyFont="1" applyFill="1" applyAlignment="1">
      <alignment horizontal="justify" vertical="center" wrapText="1"/>
    </xf>
    <xf numFmtId="0" fontId="34" fillId="15" borderId="30" xfId="0" applyFont="1" applyFill="1" applyBorder="1" applyAlignment="1">
      <alignment horizontal="center" vertical="center" wrapText="1" readingOrder="1"/>
    </xf>
    <xf numFmtId="0" fontId="34" fillId="15" borderId="31" xfId="0" applyFont="1" applyFill="1" applyBorder="1" applyAlignment="1">
      <alignment horizontal="center" vertical="center" wrapText="1" readingOrder="1"/>
    </xf>
    <xf numFmtId="0" fontId="34" fillId="3" borderId="28" xfId="0" applyFont="1" applyFill="1" applyBorder="1" applyAlignment="1">
      <alignment horizontal="center" vertical="center" wrapText="1" readingOrder="1"/>
    </xf>
    <xf numFmtId="0" fontId="34" fillId="3" borderId="23" xfId="0" applyFont="1" applyFill="1" applyBorder="1" applyAlignment="1">
      <alignment horizontal="center" vertical="center" wrapText="1" readingOrder="1"/>
    </xf>
    <xf numFmtId="0" fontId="34" fillId="3" borderId="20" xfId="0" applyFont="1" applyFill="1" applyBorder="1" applyAlignment="1">
      <alignment horizontal="center" vertical="center" wrapText="1" readingOrder="1"/>
    </xf>
    <xf numFmtId="0" fontId="34" fillId="3" borderId="19" xfId="0" applyFont="1" applyFill="1" applyBorder="1" applyAlignment="1">
      <alignment horizontal="center" vertical="center" wrapText="1" readingOrder="1"/>
    </xf>
    <xf numFmtId="0" fontId="34" fillId="3" borderId="25" xfId="0" applyFont="1" applyFill="1" applyBorder="1" applyAlignment="1">
      <alignment horizontal="center" vertical="center" wrapText="1" readingOrder="1"/>
    </xf>
    <xf numFmtId="0" fontId="34" fillId="3" borderId="26" xfId="0" applyFont="1" applyFill="1" applyBorder="1" applyAlignment="1">
      <alignment horizontal="center" vertical="center" wrapText="1" readingOrder="1"/>
    </xf>
    <xf numFmtId="0" fontId="83" fillId="29" borderId="86" xfId="0" applyFont="1" applyFill="1" applyBorder="1" applyAlignment="1" applyProtection="1">
      <alignment horizontal="center" vertical="center" wrapText="1"/>
      <protection locked="0"/>
    </xf>
    <xf numFmtId="0" fontId="83" fillId="0" borderId="86" xfId="0" applyFont="1" applyBorder="1" applyAlignment="1" applyProtection="1">
      <alignment horizontal="center" vertical="center" wrapText="1"/>
      <protection locked="0"/>
    </xf>
  </cellXfs>
  <cellStyles count="8">
    <cellStyle name="Moneda" xfId="5" builtinId="4"/>
    <cellStyle name="Moneda 2" xfId="6" xr:uid="{00000000-0005-0000-0000-000001000000}"/>
    <cellStyle name="Normal" xfId="0" builtinId="0"/>
    <cellStyle name="Normal - Style1 2" xfId="2" xr:uid="{00000000-0005-0000-0000-000003000000}"/>
    <cellStyle name="Normal 2" xfId="4" xr:uid="{00000000-0005-0000-0000-000004000000}"/>
    <cellStyle name="Normal 2 2" xfId="3" xr:uid="{00000000-0005-0000-0000-000005000000}"/>
    <cellStyle name="Normal 3" xfId="7" xr:uid="{00000000-0005-0000-0000-000006000000}"/>
    <cellStyle name="Porcentaje" xfId="1" builtinId="5"/>
  </cellStyles>
  <dxfs count="101">
    <dxf>
      <font>
        <b val="0"/>
        <i val="0"/>
        <strike val="0"/>
        <condense val="0"/>
        <extend val="0"/>
        <outline val="0"/>
        <shadow val="0"/>
        <u val="none"/>
        <vertAlign val="baseline"/>
        <sz val="16"/>
        <color rgb="FFFF0000"/>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alignment wrapText="1" readingOrder="0"/>
    </dxf>
    <dxf>
      <alignment vertical="center" readingOrder="0"/>
    </dxf>
    <dxf>
      <alignment wrapText="1" readingOrder="0"/>
    </dxf>
    <dxf>
      <alignment wrapText="1"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FF66"/>
      <color rgb="FFFFCC0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183928</xdr:colOff>
      <xdr:row>19</xdr:row>
      <xdr:rowOff>14287</xdr:rowOff>
    </xdr:from>
    <xdr:to>
      <xdr:col>5</xdr:col>
      <xdr:colOff>1119187</xdr:colOff>
      <xdr:row>31</xdr:row>
      <xdr:rowOff>265628</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545878" y="28303537"/>
          <a:ext cx="18766059" cy="4385191"/>
        </a:xfrm>
        <a:prstGeom prst="rect">
          <a:avLst/>
        </a:prstGeom>
      </xdr:spPr>
    </xdr:pic>
    <xdr:clientData/>
  </xdr:twoCellAnchor>
  <xdr:oneCellAnchor>
    <xdr:from>
      <xdr:col>1</xdr:col>
      <xdr:colOff>301624</xdr:colOff>
      <xdr:row>1</xdr:row>
      <xdr:rowOff>66676</xdr:rowOff>
    </xdr:from>
    <xdr:ext cx="1460499" cy="1500186"/>
    <xdr:pic>
      <xdr:nvPicPr>
        <xdr:cNvPr id="3" name="Imagen 2" descr="escudo negro">
          <a:extLst>
            <a:ext uri="{FF2B5EF4-FFF2-40B4-BE49-F238E27FC236}">
              <a16:creationId xmlns:a16="http://schemas.microsoft.com/office/drawing/2014/main" id="{00000000-0008-0000-0100-000003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63574" y="333376"/>
          <a:ext cx="1460499" cy="1500186"/>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12</xdr:row>
      <xdr:rowOff>97695</xdr:rowOff>
    </xdr:from>
    <xdr:to>
      <xdr:col>19</xdr:col>
      <xdr:colOff>33704</xdr:colOff>
      <xdr:row>38</xdr:row>
      <xdr:rowOff>278780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0" y="24186420"/>
          <a:ext cx="38333729" cy="884883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571500</xdr:colOff>
      <xdr:row>0</xdr:row>
      <xdr:rowOff>57150</xdr:rowOff>
    </xdr:from>
    <xdr:ext cx="1288747" cy="1107016"/>
    <xdr:pic>
      <xdr:nvPicPr>
        <xdr:cNvPr id="2" name="Imagen 1" descr="escudo negr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09650" y="57150"/>
          <a:ext cx="1288747" cy="1107016"/>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12</xdr:col>
      <xdr:colOff>182273</xdr:colOff>
      <xdr:row>29</xdr:row>
      <xdr:rowOff>172245</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28575" y="0"/>
          <a:ext cx="9297698" cy="5696745"/>
        </a:xfrm>
        <a:prstGeom prst="rect">
          <a:avLst/>
        </a:prstGeom>
      </xdr:spPr>
    </xdr:pic>
    <xdr:clientData/>
  </xdr:twoCellAnchor>
  <xdr:twoCellAnchor editAs="oneCell">
    <xdr:from>
      <xdr:col>0</xdr:col>
      <xdr:colOff>0</xdr:colOff>
      <xdr:row>31</xdr:row>
      <xdr:rowOff>0</xdr:rowOff>
    </xdr:from>
    <xdr:to>
      <xdr:col>11</xdr:col>
      <xdr:colOff>534644</xdr:colOff>
      <xdr:row>57</xdr:row>
      <xdr:rowOff>19744</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5905500"/>
          <a:ext cx="8916644" cy="4972744"/>
        </a:xfrm>
        <a:prstGeom prst="rect">
          <a:avLst/>
        </a:prstGeom>
      </xdr:spPr>
    </xdr:pic>
    <xdr:clientData/>
  </xdr:twoCellAnchor>
  <xdr:twoCellAnchor editAs="oneCell">
    <xdr:from>
      <xdr:col>12</xdr:col>
      <xdr:colOff>733425</xdr:colOff>
      <xdr:row>0</xdr:row>
      <xdr:rowOff>28575</xdr:rowOff>
    </xdr:from>
    <xdr:to>
      <xdr:col>25</xdr:col>
      <xdr:colOff>210859</xdr:colOff>
      <xdr:row>28</xdr:row>
      <xdr:rowOff>181741</xdr:rowOff>
    </xdr:to>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9877425" y="28575"/>
          <a:ext cx="9383434" cy="5487166"/>
        </a:xfrm>
        <a:prstGeom prst="rect">
          <a:avLst/>
        </a:prstGeom>
      </xdr:spPr>
    </xdr:pic>
    <xdr:clientData/>
  </xdr:twoCellAnchor>
  <xdr:twoCellAnchor editAs="oneCell">
    <xdr:from>
      <xdr:col>13</xdr:col>
      <xdr:colOff>0</xdr:colOff>
      <xdr:row>32</xdr:row>
      <xdr:rowOff>0</xdr:rowOff>
    </xdr:from>
    <xdr:to>
      <xdr:col>25</xdr:col>
      <xdr:colOff>429961</xdr:colOff>
      <xdr:row>62</xdr:row>
      <xdr:rowOff>38903</xdr:rowOff>
    </xdr:to>
    <xdr:pic>
      <xdr:nvPicPr>
        <xdr:cNvPr id="5" name="Imagen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9906000" y="6096000"/>
          <a:ext cx="9573961" cy="57539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Users/natalia.norato/OneDrive%20-%20uaermv/NATA%20SIG/2018/12.%20DICIEMBRE/SIG-FM-007-V7%20Formato%20Mapa%20de%20Riesgos%20de%20Proceso%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uaermv-my.sharepoint.com/Users/angela.cifuentes/Downloads/DESI-FM-018-V9_Formato_Mapa_de_Riesgos_de_Proces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uaermv-my.sharepoint.com/OneDrive%20-%20uaermv/UMV/Descargas/2%20-%2013122021%20AM%20DESI-FM-018-V10%20Formato%20Mapa%20de%20Riesgos%20de%20Proceso%20-%20Hoja%20Trabajo%20(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OneDrive%20-%20uaermv\UMV\Descargas\2%20-%2013122021%20AM%20DESI-FM-018-V10%20Formato%20Mapa%20de%20Riesgos%20de%20Proceso%20-%20Hoja%20Trabajo%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PA DE RIESGOS 2019"/>
      <sheetName val="FORMULA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row r="4">
          <cell r="B4" t="str">
            <v>Direccionamiento estratégico e innovación</v>
          </cell>
          <cell r="C4" t="str">
            <v>Gestion</v>
          </cell>
          <cell r="E4" t="str">
            <v>Daño_fisico</v>
          </cell>
          <cell r="K4" t="str">
            <v>Aceptar el riesgo</v>
          </cell>
        </row>
        <row r="5">
          <cell r="C5" t="str">
            <v>Corrupcion</v>
          </cell>
          <cell r="E5" t="str">
            <v>Eventos_naturales</v>
          </cell>
          <cell r="K5" t="str">
            <v>Reducir el riesgo</v>
          </cell>
        </row>
        <row r="6">
          <cell r="C6" t="str">
            <v>Seguridad_de_la_informacion</v>
          </cell>
          <cell r="E6" t="str">
            <v>Perdidas_de_los_servicios_esenciales</v>
          </cell>
          <cell r="K6" t="str">
            <v>Evitar el riesgo</v>
          </cell>
        </row>
        <row r="7">
          <cell r="E7" t="str">
            <v>Perturbacion_debida_a_la_radiacion</v>
          </cell>
          <cell r="K7" t="str">
            <v>Compartir el riesgo</v>
          </cell>
        </row>
        <row r="8">
          <cell r="E8" t="str">
            <v>Compromiso_de_la_informacion</v>
          </cell>
        </row>
        <row r="9">
          <cell r="E9" t="str">
            <v>Fallas_tecnicas</v>
          </cell>
        </row>
        <row r="10">
          <cell r="E10" t="str">
            <v>Acciones_no_autorizadas</v>
          </cell>
        </row>
        <row r="11">
          <cell r="E11" t="str">
            <v>Compromiso_de_las_funciones</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s>
    <sheetDataSet>
      <sheetData sheetId="0">
        <row r="4">
          <cell r="B4" t="str">
            <v>Direccionamiento estratégico e innovación</v>
          </cell>
          <cell r="C4" t="str">
            <v>Gestion</v>
          </cell>
          <cell r="E4" t="str">
            <v>Daño_fisico</v>
          </cell>
          <cell r="G4" t="str">
            <v>Rara vez</v>
          </cell>
          <cell r="K4" t="str">
            <v>Aceptar el riesgo</v>
          </cell>
        </row>
        <row r="5">
          <cell r="B5" t="str">
            <v>Atención a partes interesadas y comunicaciones </v>
          </cell>
          <cell r="C5" t="str">
            <v>Corrupcion</v>
          </cell>
          <cell r="E5" t="str">
            <v>Eventos_naturales</v>
          </cell>
          <cell r="G5" t="str">
            <v>Improbable</v>
          </cell>
          <cell r="K5" t="str">
            <v>Reducir el riesgo</v>
          </cell>
        </row>
        <row r="6">
          <cell r="B6" t="str">
            <v>Estrategia y gobierno de TI </v>
          </cell>
          <cell r="C6" t="str">
            <v>Seguridad_de_la_informacion</v>
          </cell>
          <cell r="E6" t="str">
            <v>Perdidas_de_los_servicios_esenciales</v>
          </cell>
          <cell r="G6" t="str">
            <v>Posible</v>
          </cell>
          <cell r="K6" t="str">
            <v>Evitar el riesgo</v>
          </cell>
        </row>
        <row r="7">
          <cell r="B7" t="str">
            <v>Planificación de la intervención vial </v>
          </cell>
          <cell r="E7" t="str">
            <v>Perturbacion_debida_a_la_radiacion</v>
          </cell>
          <cell r="G7" t="str">
            <v>Probable</v>
          </cell>
          <cell r="K7" t="str">
            <v>Compartir el riesgo</v>
          </cell>
        </row>
        <row r="8">
          <cell r="B8" t="str">
            <v>Producción de mezcla y provisión de maquinaria y equipo </v>
          </cell>
          <cell r="E8" t="str">
            <v>Compromiso_de_la_informacion</v>
          </cell>
          <cell r="G8" t="str">
            <v>Casi seguro</v>
          </cell>
        </row>
        <row r="9">
          <cell r="B9" t="str">
            <v>Intervención de la malla vial </v>
          </cell>
          <cell r="E9" t="str">
            <v>Fallas_tecnicas</v>
          </cell>
        </row>
        <row r="10">
          <cell r="B10" t="str">
            <v>Gestión de servicios e infraestructura tecnológica </v>
          </cell>
          <cell r="E10" t="str">
            <v>Acciones_no_autorizadas</v>
          </cell>
        </row>
        <row r="11">
          <cell r="B11" t="str">
            <v>Gestión de recursos físicos </v>
          </cell>
          <cell r="E11" t="str">
            <v>Compromiso_de_las_funciones</v>
          </cell>
        </row>
        <row r="13">
          <cell r="B13" t="str">
            <v>Gestión contractual </v>
          </cell>
        </row>
        <row r="14">
          <cell r="B14" t="str">
            <v>Gestión financiera </v>
          </cell>
        </row>
        <row r="15">
          <cell r="B15" t="str">
            <v>Gestión de laboratorio </v>
          </cell>
        </row>
        <row r="16">
          <cell r="B16" t="str">
            <v>Gestión del talento humano </v>
          </cell>
        </row>
        <row r="17">
          <cell r="B17" t="str">
            <v>Gestión ambiental </v>
          </cell>
        </row>
        <row r="18">
          <cell r="B18" t="str">
            <v>Gestión documental </v>
          </cell>
        </row>
        <row r="19">
          <cell r="B19" t="str">
            <v>Gestión jurídica </v>
          </cell>
        </row>
        <row r="20">
          <cell r="B20" t="str">
            <v>Control Disciplinario Interno </v>
          </cell>
        </row>
        <row r="21">
          <cell r="B21" t="str">
            <v>Control evaluación y mejora de la gestión </v>
          </cell>
        </row>
      </sheetData>
      <sheetData sheetId="1"/>
      <sheetData sheetId="2"/>
      <sheetData sheetId="3"/>
      <sheetData sheetId="4"/>
      <sheetData sheetId="5"/>
      <sheetData sheetId="6"/>
      <sheetData sheetId="7"/>
      <sheetData sheetId="8"/>
      <sheetData sheetId="9"/>
      <sheetData sheetId="1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uctivo"/>
      <sheetName val="DOFA "/>
      <sheetName val="Revisión DOFA"/>
      <sheetName val="Mapa riesgos"/>
      <sheetName val="Matriz Calor Inherente"/>
      <sheetName val="Matriz Calor Residual"/>
      <sheetName val="Tabla probabilidad"/>
      <sheetName val="Tabla Impacto"/>
      <sheetName val="Impacto Corrupción "/>
      <sheetName val="Tipo de riesgos"/>
      <sheetName val="Amenazas"/>
      <sheetName val="Ejemplos de riesgos"/>
      <sheetName val="Tabla Valoración controles"/>
      <sheetName val="Opciones Tratamiento"/>
      <sheetName val="Hoja1"/>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11">
          <cell r="C11" t="str">
            <v xml:space="preserve">     Afectación menor a 130 SMLMV .</v>
          </cell>
          <cell r="D11" t="str">
            <v xml:space="preserve">     El riesgo afecta la imagen de alguna área de la organización</v>
          </cell>
        </row>
        <row r="12">
          <cell r="C12" t="str">
            <v xml:space="preserve">     Entre 130 y 650 SMLMV </v>
          </cell>
          <cell r="D12" t="str">
            <v xml:space="preserve">     El riesgo afecta la imagen de la entidad internamente, de conocimiento general, nivel interno, de junta dircetiva y accionistas y/o de provedores</v>
          </cell>
        </row>
        <row r="13">
          <cell r="C13" t="str">
            <v xml:space="preserve">     Entre 650 y 1300 SMLMV </v>
          </cell>
          <cell r="D13" t="str">
            <v xml:space="preserve">     El riesgo afecta la imagen de la entidad con algunos usuarios de relevancia frente al logro de los objetivos</v>
          </cell>
        </row>
        <row r="14">
          <cell r="C14" t="str">
            <v xml:space="preserve">     Entre 1300 y 6500 SMLMV </v>
          </cell>
          <cell r="D14" t="str">
            <v xml:space="preserve">     El riesgo afecta la imagen de de la entidad con efecto publicitario sostenido a nivel de sector administrativo, nivel departamental o municipal</v>
          </cell>
        </row>
        <row r="15">
          <cell r="C15" t="str">
            <v xml:space="preserve">     Mayor a 6500 SMLMV </v>
          </cell>
          <cell r="D15" t="str">
            <v xml:space="preserve">     El riesgo afecta la imagen de la entidad a nivel nacional, con efecto publicitarios sostenible a nivel país</v>
          </cell>
        </row>
        <row r="221">
          <cell r="B221" t="str">
            <v>Criterios</v>
          </cell>
        </row>
        <row r="222">
          <cell r="B222" t="str">
            <v>Afectación Económica o presupuestal</v>
          </cell>
        </row>
        <row r="223">
          <cell r="B223" t="str">
            <v>Pérdida Reputacional</v>
          </cell>
          <cell r="F223" t="str">
            <v>❌</v>
          </cell>
        </row>
      </sheetData>
      <sheetData sheetId="8" refreshError="1"/>
      <sheetData sheetId="9"/>
      <sheetData sheetId="10"/>
      <sheetData sheetId="11" refreshError="1"/>
      <sheetData sheetId="12"/>
      <sheetData sheetId="13"/>
      <sheetData sheetId="1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ciones Tratamiento"/>
      <sheetName val="Tabla Impacto"/>
      <sheetName val="Tabla Valoración controles"/>
      <sheetName val="Intructivo"/>
      <sheetName val="DOFA "/>
      <sheetName val="Revisión DOFA"/>
      <sheetName val="Mapa riesgos"/>
      <sheetName val="Matriz Calor Inherente"/>
      <sheetName val="Matriz Calor Residual"/>
      <sheetName val="Tabla probabilidad"/>
      <sheetName val="Impacto Corrupción "/>
      <sheetName val="Tipo de riesgos"/>
      <sheetName val="Amenazas"/>
      <sheetName val="Ejemplos de riesgos"/>
      <sheetName val="Hoja1"/>
    </sheetNames>
    <sheetDataSet>
      <sheetData sheetId="0"/>
      <sheetData sheetId="1">
        <row r="11">
          <cell r="C11" t="str">
            <v xml:space="preserve">     Afectación menor a 130 SMLMV .</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sheetData sheetId="13" refreshError="1"/>
      <sheetData sheetId="14"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alia Norato Mora" refreshedDate="44522.492354513888" createdVersion="6" refreshedVersion="6" minRefreshableVersion="3" recordCount="10" xr:uid="{00000000-000A-0000-FFFF-FFFF04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5">
        <s v="Afectación menor a 130 SMLMV ."/>
        <s v="Entre 130 y 650 SMLMV "/>
        <s v="Entre 650 y 1300 SMLMV "/>
        <s v="Entre 1300 y 6500 SMLMV "/>
        <s v="Mayor a 6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 v="Entre 100 y 500 SMLMV " u="1"/>
        <s v="Mayor a 500 SMLMV " u="1"/>
        <s v="Entre 50 y 100 SMLMV " u="1"/>
        <s v="Entre 10 y 50 SMLMV " u="1"/>
        <s v="Afectación menor a 10 SMLMV ."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A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10:E222" firstHeaderRow="1" firstDataRow="1" firstDataCol="2"/>
  <pivotFields count="2">
    <pivotField axis="axisRow" compact="0" showAll="0" defaultSubtotal="0">
      <items count="2">
        <item x="0"/>
        <item x="1"/>
      </items>
    </pivotField>
    <pivotField axis="axisRow" compact="0" showAll="0" defaultSubtotal="0">
      <items count="15">
        <item m="1" x="14"/>
        <item x="5"/>
        <item x="6"/>
        <item x="7"/>
        <item x="8"/>
        <item x="9"/>
        <item m="1" x="13"/>
        <item m="1" x="12"/>
        <item m="1" x="10"/>
        <item m="1" x="11"/>
        <item x="0"/>
        <item x="1"/>
        <item x="2"/>
        <item x="3"/>
        <item x="4"/>
      </items>
    </pivotField>
  </pivotFields>
  <rowFields count="2">
    <field x="0"/>
    <field x="1"/>
  </rowFields>
  <rowItems count="12">
    <i>
      <x/>
    </i>
    <i r="1">
      <x v="10"/>
    </i>
    <i r="1">
      <x v="11"/>
    </i>
    <i r="1">
      <x v="12"/>
    </i>
    <i r="1">
      <x v="13"/>
    </i>
    <i r="1">
      <x v="14"/>
    </i>
    <i>
      <x v="1"/>
    </i>
    <i r="1">
      <x v="1"/>
    </i>
    <i r="1">
      <x v="2"/>
    </i>
    <i r="1">
      <x v="3"/>
    </i>
    <i r="1">
      <x v="4"/>
    </i>
    <i r="1">
      <x v="5"/>
    </i>
  </rowItems>
  <colItems count="1">
    <i/>
  </colItems>
  <formats count="4">
    <format dxfId="7">
      <pivotArea dataOnly="0" labelOnly="1" outline="0" fieldPosition="0">
        <references count="1">
          <reference field="0" count="1">
            <x v="1"/>
          </reference>
        </references>
      </pivotArea>
    </format>
    <format dxfId="6">
      <pivotArea dataOnly="0" labelOnly="1" outline="0" fieldPosition="0">
        <references count="2">
          <reference field="0" count="1" selected="0">
            <x v="1"/>
          </reference>
          <reference field="1" count="5">
            <x v="1"/>
            <x v="2"/>
            <x v="3"/>
            <x v="4"/>
            <x v="5"/>
          </reference>
        </references>
      </pivotArea>
    </format>
    <format dxfId="5">
      <pivotArea dataOnly="0" labelOnly="1" outline="0" fieldPosition="0">
        <references count="2">
          <reference field="0" count="1" selected="0">
            <x v="1"/>
          </reference>
          <reference field="1" count="5">
            <x v="1"/>
            <x v="2"/>
            <x v="3"/>
            <x v="4"/>
            <x v="5"/>
          </reference>
        </references>
      </pivotArea>
    </format>
    <format dxfId="4">
      <pivotArea dataOnly="0" labelOnly="1" outline="0" fieldPosition="0">
        <references count="1">
          <reference field="0"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0:C220" totalsRowShown="0" headerRowDxfId="3" dataDxfId="2">
  <autoFilter ref="B210:C220"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8.bin"/><Relationship Id="rId1" Type="http://schemas.openxmlformats.org/officeDocument/2006/relationships/pivotTable" Target="../pivotTables/pivotTable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316"/>
  <sheetViews>
    <sheetView topLeftCell="H19" zoomScale="110" zoomScaleNormal="110" workbookViewId="0">
      <selection activeCell="J22" sqref="J22"/>
    </sheetView>
  </sheetViews>
  <sheetFormatPr baseColWidth="10" defaultColWidth="11.42578125" defaultRowHeight="15" x14ac:dyDescent="0.25"/>
  <cols>
    <col min="1" max="1" width="2.85546875" style="66" customWidth="1"/>
    <col min="2" max="3" width="24.7109375" style="66" customWidth="1"/>
    <col min="4" max="4" width="16" style="66" customWidth="1"/>
    <col min="5" max="5" width="24.7109375" style="66" customWidth="1"/>
    <col min="6" max="6" width="27.7109375" style="66" customWidth="1"/>
    <col min="7" max="8" width="24.7109375" style="66" customWidth="1"/>
    <col min="9" max="16384" width="11.42578125" style="66"/>
  </cols>
  <sheetData>
    <row r="1" spans="2:10" ht="15.75" thickBot="1" x14ac:dyDescent="0.3"/>
    <row r="2" spans="2:10" ht="18" x14ac:dyDescent="0.25">
      <c r="B2" s="279" t="s">
        <v>0</v>
      </c>
      <c r="C2" s="280"/>
      <c r="D2" s="280"/>
      <c r="E2" s="280"/>
      <c r="F2" s="280"/>
      <c r="G2" s="280"/>
      <c r="H2" s="281"/>
    </row>
    <row r="3" spans="2:10" x14ac:dyDescent="0.25">
      <c r="B3" s="67"/>
      <c r="C3" s="68"/>
      <c r="D3" s="68"/>
      <c r="E3" s="68"/>
      <c r="F3" s="68"/>
      <c r="G3" s="68"/>
      <c r="H3" s="69"/>
      <c r="J3" s="66" t="s">
        <v>418</v>
      </c>
    </row>
    <row r="4" spans="2:10" ht="63" customHeight="1" x14ac:dyDescent="0.25">
      <c r="B4" s="282" t="s">
        <v>1</v>
      </c>
      <c r="C4" s="283"/>
      <c r="D4" s="283"/>
      <c r="E4" s="283"/>
      <c r="F4" s="283"/>
      <c r="G4" s="283"/>
      <c r="H4" s="284"/>
      <c r="J4" s="66" t="s">
        <v>419</v>
      </c>
    </row>
    <row r="5" spans="2:10" ht="63" customHeight="1" x14ac:dyDescent="0.25">
      <c r="B5" s="285"/>
      <c r="C5" s="286"/>
      <c r="D5" s="286"/>
      <c r="E5" s="286"/>
      <c r="F5" s="286"/>
      <c r="G5" s="286"/>
      <c r="H5" s="287"/>
      <c r="J5" s="66" t="s">
        <v>420</v>
      </c>
    </row>
    <row r="6" spans="2:10" ht="16.5" x14ac:dyDescent="0.25">
      <c r="B6" s="288" t="s">
        <v>2</v>
      </c>
      <c r="C6" s="289"/>
      <c r="D6" s="289"/>
      <c r="E6" s="289"/>
      <c r="F6" s="289"/>
      <c r="G6" s="289"/>
      <c r="H6" s="290"/>
    </row>
    <row r="7" spans="2:10" ht="95.25" customHeight="1" x14ac:dyDescent="0.25">
      <c r="B7" s="298" t="s">
        <v>3</v>
      </c>
      <c r="C7" s="299"/>
      <c r="D7" s="299"/>
      <c r="E7" s="299"/>
      <c r="F7" s="299"/>
      <c r="G7" s="299"/>
      <c r="H7" s="300"/>
      <c r="J7" s="66" t="s">
        <v>421</v>
      </c>
    </row>
    <row r="8" spans="2:10" ht="16.5" x14ac:dyDescent="0.25">
      <c r="B8" s="101"/>
      <c r="C8" s="102"/>
      <c r="D8" s="102"/>
      <c r="E8" s="102"/>
      <c r="F8" s="102"/>
      <c r="G8" s="102"/>
      <c r="H8" s="103"/>
    </row>
    <row r="9" spans="2:10" ht="16.5" customHeight="1" x14ac:dyDescent="0.25">
      <c r="B9" s="291" t="s">
        <v>4</v>
      </c>
      <c r="C9" s="292"/>
      <c r="D9" s="292"/>
      <c r="E9" s="292"/>
      <c r="F9" s="292"/>
      <c r="G9" s="292"/>
      <c r="H9" s="293"/>
      <c r="J9" s="66" t="s">
        <v>422</v>
      </c>
    </row>
    <row r="10" spans="2:10" ht="44.25" customHeight="1" x14ac:dyDescent="0.25">
      <c r="B10" s="291"/>
      <c r="C10" s="292"/>
      <c r="D10" s="292"/>
      <c r="E10" s="292"/>
      <c r="F10" s="292"/>
      <c r="G10" s="292"/>
      <c r="H10" s="293"/>
    </row>
    <row r="11" spans="2:10" ht="15.75" thickBot="1" x14ac:dyDescent="0.3">
      <c r="B11" s="90"/>
      <c r="C11" s="93"/>
      <c r="D11" s="98"/>
      <c r="E11" s="99"/>
      <c r="F11" s="99"/>
      <c r="G11" s="100"/>
      <c r="H11" s="94"/>
    </row>
    <row r="12" spans="2:10" ht="15.75" thickTop="1" x14ac:dyDescent="0.25">
      <c r="B12" s="90"/>
      <c r="C12" s="294" t="s">
        <v>5</v>
      </c>
      <c r="D12" s="295"/>
      <c r="E12" s="296" t="s">
        <v>6</v>
      </c>
      <c r="F12" s="297"/>
      <c r="G12" s="93"/>
      <c r="H12" s="94"/>
    </row>
    <row r="13" spans="2:10" ht="35.25" customHeight="1" x14ac:dyDescent="0.25">
      <c r="B13" s="90"/>
      <c r="C13" s="266" t="s">
        <v>7</v>
      </c>
      <c r="D13" s="267"/>
      <c r="E13" s="268" t="s">
        <v>8</v>
      </c>
      <c r="F13" s="269"/>
      <c r="G13" s="93"/>
      <c r="H13" s="94"/>
      <c r="J13" s="66" t="s">
        <v>423</v>
      </c>
    </row>
    <row r="14" spans="2:10" ht="17.25" customHeight="1" x14ac:dyDescent="0.25">
      <c r="B14" s="90"/>
      <c r="C14" s="266" t="s">
        <v>9</v>
      </c>
      <c r="D14" s="267"/>
      <c r="E14" s="268" t="s">
        <v>10</v>
      </c>
      <c r="F14" s="269"/>
      <c r="G14" s="93"/>
      <c r="H14" s="94"/>
    </row>
    <row r="15" spans="2:10" ht="19.5" customHeight="1" x14ac:dyDescent="0.25">
      <c r="B15" s="90"/>
      <c r="C15" s="266" t="s">
        <v>11</v>
      </c>
      <c r="D15" s="267"/>
      <c r="E15" s="268" t="s">
        <v>12</v>
      </c>
      <c r="F15" s="269"/>
      <c r="G15" s="93"/>
      <c r="H15" s="94"/>
    </row>
    <row r="16" spans="2:10" ht="69.75" customHeight="1" x14ac:dyDescent="0.25">
      <c r="B16" s="90"/>
      <c r="C16" s="266" t="s">
        <v>13</v>
      </c>
      <c r="D16" s="267"/>
      <c r="E16" s="268" t="s">
        <v>14</v>
      </c>
      <c r="F16" s="269"/>
      <c r="G16" s="93"/>
      <c r="H16" s="94"/>
    </row>
    <row r="17" spans="2:10" ht="34.5" customHeight="1" x14ac:dyDescent="0.25">
      <c r="B17" s="90"/>
      <c r="C17" s="270" t="s">
        <v>15</v>
      </c>
      <c r="D17" s="271"/>
      <c r="E17" s="262" t="s">
        <v>16</v>
      </c>
      <c r="F17" s="263"/>
      <c r="G17" s="93"/>
      <c r="H17" s="94"/>
      <c r="J17" s="66" t="s">
        <v>424</v>
      </c>
    </row>
    <row r="18" spans="2:10" ht="27.75" customHeight="1" x14ac:dyDescent="0.25">
      <c r="B18" s="90"/>
      <c r="C18" s="270" t="s">
        <v>17</v>
      </c>
      <c r="D18" s="271"/>
      <c r="E18" s="262" t="s">
        <v>18</v>
      </c>
      <c r="F18" s="263"/>
      <c r="G18" s="93"/>
      <c r="H18" s="94"/>
    </row>
    <row r="19" spans="2:10" ht="28.5" customHeight="1" x14ac:dyDescent="0.25">
      <c r="B19" s="90"/>
      <c r="C19" s="270" t="s">
        <v>19</v>
      </c>
      <c r="D19" s="271"/>
      <c r="E19" s="262" t="s">
        <v>20</v>
      </c>
      <c r="F19" s="263"/>
      <c r="G19" s="93"/>
      <c r="H19" s="94"/>
    </row>
    <row r="20" spans="2:10" ht="72.75" customHeight="1" x14ac:dyDescent="0.25">
      <c r="B20" s="90"/>
      <c r="C20" s="270" t="s">
        <v>21</v>
      </c>
      <c r="D20" s="271"/>
      <c r="E20" s="262" t="s">
        <v>22</v>
      </c>
      <c r="F20" s="263"/>
      <c r="G20" s="93"/>
      <c r="H20" s="94"/>
    </row>
    <row r="21" spans="2:10" ht="64.5" customHeight="1" x14ac:dyDescent="0.25">
      <c r="B21" s="90"/>
      <c r="C21" s="270" t="s">
        <v>23</v>
      </c>
      <c r="D21" s="271"/>
      <c r="E21" s="262" t="s">
        <v>24</v>
      </c>
      <c r="F21" s="263"/>
      <c r="G21" s="93"/>
      <c r="H21" s="94"/>
      <c r="J21" s="66" t="s">
        <v>425</v>
      </c>
    </row>
    <row r="22" spans="2:10" ht="71.25" customHeight="1" x14ac:dyDescent="0.25">
      <c r="B22" s="90"/>
      <c r="C22" s="270" t="s">
        <v>25</v>
      </c>
      <c r="D22" s="271"/>
      <c r="E22" s="262" t="s">
        <v>26</v>
      </c>
      <c r="F22" s="263"/>
      <c r="G22" s="93"/>
      <c r="H22" s="94"/>
    </row>
    <row r="23" spans="2:10" ht="55.5" customHeight="1" x14ac:dyDescent="0.25">
      <c r="B23" s="90"/>
      <c r="C23" s="264" t="s">
        <v>27</v>
      </c>
      <c r="D23" s="265"/>
      <c r="E23" s="262" t="s">
        <v>28</v>
      </c>
      <c r="F23" s="263"/>
      <c r="G23" s="93"/>
      <c r="H23" s="94"/>
    </row>
    <row r="24" spans="2:10" ht="42" customHeight="1" x14ac:dyDescent="0.25">
      <c r="B24" s="90"/>
      <c r="C24" s="264" t="s">
        <v>29</v>
      </c>
      <c r="D24" s="265"/>
      <c r="E24" s="262" t="s">
        <v>30</v>
      </c>
      <c r="F24" s="263"/>
      <c r="G24" s="93"/>
      <c r="H24" s="94"/>
    </row>
    <row r="25" spans="2:10" ht="59.25" customHeight="1" x14ac:dyDescent="0.25">
      <c r="B25" s="90"/>
      <c r="C25" s="264" t="s">
        <v>31</v>
      </c>
      <c r="D25" s="265"/>
      <c r="E25" s="262" t="s">
        <v>32</v>
      </c>
      <c r="F25" s="263"/>
      <c r="G25" s="93"/>
      <c r="H25" s="94"/>
      <c r="J25" s="66" t="s">
        <v>426</v>
      </c>
    </row>
    <row r="26" spans="2:10" ht="23.25" customHeight="1" x14ac:dyDescent="0.25">
      <c r="B26" s="90"/>
      <c r="C26" s="264" t="s">
        <v>33</v>
      </c>
      <c r="D26" s="265"/>
      <c r="E26" s="262" t="s">
        <v>34</v>
      </c>
      <c r="F26" s="263"/>
      <c r="G26" s="93"/>
      <c r="H26" s="94"/>
      <c r="J26" s="66" t="s">
        <v>427</v>
      </c>
    </row>
    <row r="27" spans="2:10" ht="30.75" customHeight="1" x14ac:dyDescent="0.25">
      <c r="B27" s="90"/>
      <c r="C27" s="264" t="s">
        <v>35</v>
      </c>
      <c r="D27" s="265"/>
      <c r="E27" s="262" t="s">
        <v>36</v>
      </c>
      <c r="F27" s="263"/>
      <c r="G27" s="93"/>
      <c r="H27" s="94"/>
    </row>
    <row r="28" spans="2:10" ht="35.25" customHeight="1" x14ac:dyDescent="0.25">
      <c r="B28" s="90"/>
      <c r="C28" s="264" t="s">
        <v>37</v>
      </c>
      <c r="D28" s="265"/>
      <c r="E28" s="262" t="s">
        <v>38</v>
      </c>
      <c r="F28" s="263"/>
      <c r="G28" s="93"/>
      <c r="H28" s="94"/>
    </row>
    <row r="29" spans="2:10" ht="33" customHeight="1" x14ac:dyDescent="0.25">
      <c r="B29" s="90"/>
      <c r="C29" s="264" t="s">
        <v>37</v>
      </c>
      <c r="D29" s="265"/>
      <c r="E29" s="262" t="s">
        <v>38</v>
      </c>
      <c r="F29" s="263"/>
      <c r="G29" s="93"/>
      <c r="H29" s="94"/>
    </row>
    <row r="30" spans="2:10" ht="30" customHeight="1" x14ac:dyDescent="0.25">
      <c r="B30" s="90"/>
      <c r="C30" s="264" t="s">
        <v>39</v>
      </c>
      <c r="D30" s="265"/>
      <c r="E30" s="262" t="s">
        <v>40</v>
      </c>
      <c r="F30" s="263"/>
      <c r="G30" s="93"/>
      <c r="H30" s="94"/>
    </row>
    <row r="31" spans="2:10" ht="35.25" customHeight="1" x14ac:dyDescent="0.25">
      <c r="B31" s="90"/>
      <c r="C31" s="264" t="s">
        <v>41</v>
      </c>
      <c r="D31" s="265"/>
      <c r="E31" s="262" t="s">
        <v>42</v>
      </c>
      <c r="F31" s="263"/>
      <c r="G31" s="93"/>
      <c r="H31" s="94"/>
    </row>
    <row r="32" spans="2:10" ht="31.5" customHeight="1" x14ac:dyDescent="0.25">
      <c r="B32" s="90"/>
      <c r="C32" s="264" t="s">
        <v>43</v>
      </c>
      <c r="D32" s="265"/>
      <c r="E32" s="262" t="s">
        <v>44</v>
      </c>
      <c r="F32" s="263"/>
      <c r="G32" s="93"/>
      <c r="H32" s="94"/>
    </row>
    <row r="33" spans="2:8" ht="35.25" customHeight="1" x14ac:dyDescent="0.25">
      <c r="B33" s="90"/>
      <c r="C33" s="264" t="s">
        <v>45</v>
      </c>
      <c r="D33" s="265"/>
      <c r="E33" s="262" t="s">
        <v>46</v>
      </c>
      <c r="F33" s="263"/>
      <c r="G33" s="93"/>
      <c r="H33" s="94"/>
    </row>
    <row r="34" spans="2:8" ht="59.25" customHeight="1" x14ac:dyDescent="0.25">
      <c r="B34" s="90"/>
      <c r="C34" s="264" t="s">
        <v>47</v>
      </c>
      <c r="D34" s="265"/>
      <c r="E34" s="262" t="s">
        <v>48</v>
      </c>
      <c r="F34" s="263"/>
      <c r="G34" s="93"/>
      <c r="H34" s="94"/>
    </row>
    <row r="35" spans="2:8" ht="29.25" customHeight="1" x14ac:dyDescent="0.25">
      <c r="B35" s="90"/>
      <c r="C35" s="264" t="s">
        <v>49</v>
      </c>
      <c r="D35" s="265"/>
      <c r="E35" s="262" t="s">
        <v>50</v>
      </c>
      <c r="F35" s="263"/>
      <c r="G35" s="93"/>
      <c r="H35" s="94"/>
    </row>
    <row r="36" spans="2:8" ht="82.5" customHeight="1" x14ac:dyDescent="0.25">
      <c r="B36" s="90"/>
      <c r="C36" s="264" t="s">
        <v>51</v>
      </c>
      <c r="D36" s="265"/>
      <c r="E36" s="262" t="s">
        <v>52</v>
      </c>
      <c r="F36" s="263"/>
      <c r="G36" s="93"/>
      <c r="H36" s="94"/>
    </row>
    <row r="37" spans="2:8" ht="46.5" customHeight="1" x14ac:dyDescent="0.25">
      <c r="B37" s="90"/>
      <c r="C37" s="264" t="s">
        <v>53</v>
      </c>
      <c r="D37" s="265"/>
      <c r="E37" s="262" t="s">
        <v>54</v>
      </c>
      <c r="F37" s="263"/>
      <c r="G37" s="93"/>
      <c r="H37" s="94"/>
    </row>
    <row r="38" spans="2:8" ht="6.75" customHeight="1" thickBot="1" x14ac:dyDescent="0.3">
      <c r="B38" s="90"/>
      <c r="C38" s="275"/>
      <c r="D38" s="276"/>
      <c r="E38" s="277"/>
      <c r="F38" s="278"/>
      <c r="G38" s="93"/>
      <c r="H38" s="94"/>
    </row>
    <row r="39" spans="2:8" ht="15.75" thickTop="1" x14ac:dyDescent="0.25">
      <c r="B39" s="90"/>
      <c r="C39" s="91"/>
      <c r="D39" s="91"/>
      <c r="E39" s="92"/>
      <c r="F39" s="92"/>
      <c r="G39" s="93"/>
      <c r="H39" s="94"/>
    </row>
    <row r="40" spans="2:8" ht="21" customHeight="1" x14ac:dyDescent="0.25">
      <c r="B40" s="272" t="s">
        <v>55</v>
      </c>
      <c r="C40" s="273"/>
      <c r="D40" s="273"/>
      <c r="E40" s="273"/>
      <c r="F40" s="273"/>
      <c r="G40" s="273"/>
      <c r="H40" s="274"/>
    </row>
    <row r="41" spans="2:8" ht="20.25" customHeight="1" x14ac:dyDescent="0.25">
      <c r="B41" s="272" t="s">
        <v>56</v>
      </c>
      <c r="C41" s="273"/>
      <c r="D41" s="273"/>
      <c r="E41" s="273"/>
      <c r="F41" s="273"/>
      <c r="G41" s="273"/>
      <c r="H41" s="274"/>
    </row>
    <row r="42" spans="2:8" ht="20.25" customHeight="1" x14ac:dyDescent="0.25">
      <c r="B42" s="272" t="s">
        <v>57</v>
      </c>
      <c r="C42" s="273"/>
      <c r="D42" s="273"/>
      <c r="E42" s="273"/>
      <c r="F42" s="273"/>
      <c r="G42" s="273"/>
      <c r="H42" s="274"/>
    </row>
    <row r="43" spans="2:8" ht="20.25" customHeight="1" x14ac:dyDescent="0.25">
      <c r="B43" s="272" t="s">
        <v>58</v>
      </c>
      <c r="C43" s="273"/>
      <c r="D43" s="273"/>
      <c r="E43" s="273"/>
      <c r="F43" s="273"/>
      <c r="G43" s="273"/>
      <c r="H43" s="274"/>
    </row>
    <row r="44" spans="2:8" x14ac:dyDescent="0.25">
      <c r="B44" s="272" t="s">
        <v>59</v>
      </c>
      <c r="C44" s="273"/>
      <c r="D44" s="273"/>
      <c r="E44" s="273"/>
      <c r="F44" s="273"/>
      <c r="G44" s="273"/>
      <c r="H44" s="274"/>
    </row>
    <row r="45" spans="2:8" ht="15.75" thickBot="1" x14ac:dyDescent="0.3">
      <c r="B45" s="95"/>
      <c r="C45" s="96"/>
      <c r="D45" s="96"/>
      <c r="E45" s="96"/>
      <c r="F45" s="96"/>
      <c r="G45" s="96"/>
      <c r="H45" s="97"/>
    </row>
    <row r="300" spans="3:3" ht="31.5" x14ac:dyDescent="0.25">
      <c r="C300" s="167" t="s">
        <v>60</v>
      </c>
    </row>
    <row r="301" spans="3:3" ht="47.25" x14ac:dyDescent="0.25">
      <c r="C301" s="167" t="s">
        <v>61</v>
      </c>
    </row>
    <row r="302" spans="3:3" ht="31.5" x14ac:dyDescent="0.25">
      <c r="C302" s="168" t="s">
        <v>62</v>
      </c>
    </row>
    <row r="303" spans="3:3" ht="31.5" x14ac:dyDescent="0.25">
      <c r="C303" s="167" t="s">
        <v>63</v>
      </c>
    </row>
    <row r="304" spans="3:3" ht="47.25" x14ac:dyDescent="0.25">
      <c r="C304" s="167" t="s">
        <v>64</v>
      </c>
    </row>
    <row r="305" spans="3:3" ht="31.5" x14ac:dyDescent="0.25">
      <c r="C305" s="167" t="s">
        <v>65</v>
      </c>
    </row>
    <row r="306" spans="3:3" ht="47.25" x14ac:dyDescent="0.25">
      <c r="C306" s="168" t="s">
        <v>66</v>
      </c>
    </row>
    <row r="307" spans="3:3" ht="31.5" x14ac:dyDescent="0.25">
      <c r="C307" s="167" t="s">
        <v>67</v>
      </c>
    </row>
    <row r="308" spans="3:3" ht="15.75" x14ac:dyDescent="0.25">
      <c r="C308" s="167" t="s">
        <v>68</v>
      </c>
    </row>
    <row r="309" spans="3:3" ht="15.75" x14ac:dyDescent="0.25">
      <c r="C309" s="167" t="s">
        <v>69</v>
      </c>
    </row>
    <row r="310" spans="3:3" ht="31.5" x14ac:dyDescent="0.25">
      <c r="C310" s="167" t="s">
        <v>70</v>
      </c>
    </row>
    <row r="311" spans="3:3" ht="31.5" x14ac:dyDescent="0.25">
      <c r="C311" s="167" t="s">
        <v>71</v>
      </c>
    </row>
    <row r="312" spans="3:3" ht="15.75" x14ac:dyDescent="0.25">
      <c r="C312" s="167" t="s">
        <v>72</v>
      </c>
    </row>
    <row r="313" spans="3:3" ht="15.75" x14ac:dyDescent="0.25">
      <c r="C313" s="167" t="s">
        <v>73</v>
      </c>
    </row>
    <row r="314" spans="3:3" ht="15.75" x14ac:dyDescent="0.25">
      <c r="C314" s="167" t="s">
        <v>74</v>
      </c>
    </row>
    <row r="315" spans="3:3" ht="31.5" x14ac:dyDescent="0.25">
      <c r="C315" s="167" t="s">
        <v>75</v>
      </c>
    </row>
    <row r="316" spans="3:3" ht="31.5" x14ac:dyDescent="0.25">
      <c r="C316" s="167" t="s">
        <v>76</v>
      </c>
    </row>
  </sheetData>
  <mergeCells count="64">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B42:H42"/>
    <mergeCell ref="B43:H43"/>
    <mergeCell ref="B44:H44"/>
    <mergeCell ref="E23:F23"/>
    <mergeCell ref="C23:D23"/>
    <mergeCell ref="C24:D24"/>
    <mergeCell ref="E24:F24"/>
    <mergeCell ref="C26:D26"/>
    <mergeCell ref="E26:F26"/>
    <mergeCell ref="E34:F34"/>
    <mergeCell ref="C32:D32"/>
    <mergeCell ref="C31:D31"/>
    <mergeCell ref="E31:F31"/>
    <mergeCell ref="E32:F32"/>
    <mergeCell ref="C27:D27"/>
    <mergeCell ref="E27:F27"/>
    <mergeCell ref="C33:D33"/>
    <mergeCell ref="B40:H40"/>
    <mergeCell ref="C29:D29"/>
    <mergeCell ref="E29:F29"/>
    <mergeCell ref="C30:D30"/>
    <mergeCell ref="E30:F30"/>
    <mergeCell ref="E33:F33"/>
    <mergeCell ref="C34:D34"/>
    <mergeCell ref="C35:D35"/>
    <mergeCell ref="E35:F35"/>
    <mergeCell ref="C36:D36"/>
    <mergeCell ref="E36:F36"/>
    <mergeCell ref="B41:H41"/>
    <mergeCell ref="C38:D38"/>
    <mergeCell ref="E38:F38"/>
    <mergeCell ref="C37:D37"/>
    <mergeCell ref="E37:F37"/>
    <mergeCell ref="E28:F28"/>
    <mergeCell ref="C28:D28"/>
    <mergeCell ref="C16:D16"/>
    <mergeCell ref="E16:F16"/>
    <mergeCell ref="C14:D14"/>
    <mergeCell ref="E14:F14"/>
    <mergeCell ref="C15:D15"/>
    <mergeCell ref="E15:F15"/>
    <mergeCell ref="E22:F22"/>
    <mergeCell ref="C22:D22"/>
    <mergeCell ref="C25:D25"/>
    <mergeCell ref="E25:F2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2:AX18"/>
  <sheetViews>
    <sheetView zoomScale="140" zoomScaleNormal="140" workbookViewId="0">
      <pane xSplit="4" ySplit="2" topLeftCell="E7" activePane="bottomRight" state="frozen"/>
      <selection pane="topRight" activeCell="E1" sqref="E1"/>
      <selection pane="bottomLeft" activeCell="A3" sqref="A3"/>
      <selection pane="bottomRight" activeCell="C9" sqref="C9"/>
    </sheetView>
  </sheetViews>
  <sheetFormatPr baseColWidth="10" defaultColWidth="11.42578125" defaultRowHeight="15" x14ac:dyDescent="0.25"/>
  <cols>
    <col min="2" max="2" width="18" customWidth="1"/>
    <col min="3" max="3" width="26.5703125" customWidth="1"/>
    <col min="4" max="4" width="41.85546875" customWidth="1"/>
    <col min="50" max="50" width="15.42578125" customWidth="1"/>
  </cols>
  <sheetData>
    <row r="2" spans="2:50" ht="15.75" thickBot="1" x14ac:dyDescent="0.3"/>
    <row r="3" spans="2:50" ht="33.75" customHeight="1" thickBot="1" x14ac:dyDescent="0.3">
      <c r="B3" s="558" t="s">
        <v>299</v>
      </c>
      <c r="C3" s="154" t="s">
        <v>300</v>
      </c>
      <c r="D3" s="152" t="s">
        <v>301</v>
      </c>
      <c r="AX3" t="s">
        <v>299</v>
      </c>
    </row>
    <row r="4" spans="2:50" ht="48.75" thickBot="1" x14ac:dyDescent="0.3">
      <c r="B4" s="559"/>
      <c r="C4" s="155" t="s">
        <v>302</v>
      </c>
      <c r="D4" s="153" t="s">
        <v>303</v>
      </c>
      <c r="AX4" t="s">
        <v>163</v>
      </c>
    </row>
    <row r="5" spans="2:50" ht="48.75" thickBot="1" x14ac:dyDescent="0.3">
      <c r="B5" s="559"/>
      <c r="C5" s="155" t="s">
        <v>304</v>
      </c>
      <c r="D5" s="153" t="s">
        <v>305</v>
      </c>
      <c r="AX5" t="s">
        <v>188</v>
      </c>
    </row>
    <row r="6" spans="2:50" ht="36.75" thickBot="1" x14ac:dyDescent="0.3">
      <c r="B6" s="560"/>
      <c r="C6" s="155" t="s">
        <v>306</v>
      </c>
      <c r="D6" s="153" t="s">
        <v>307</v>
      </c>
    </row>
    <row r="7" spans="2:50" ht="36.75" thickBot="1" x14ac:dyDescent="0.3">
      <c r="B7" s="558" t="s">
        <v>163</v>
      </c>
      <c r="C7" s="155" t="s">
        <v>308</v>
      </c>
      <c r="D7" s="153" t="s">
        <v>309</v>
      </c>
    </row>
    <row r="8" spans="2:50" ht="96.75" thickBot="1" x14ac:dyDescent="0.3">
      <c r="B8" s="559"/>
      <c r="C8" s="155" t="s">
        <v>310</v>
      </c>
      <c r="D8" s="153" t="s">
        <v>311</v>
      </c>
    </row>
    <row r="9" spans="2:50" ht="48.75" thickBot="1" x14ac:dyDescent="0.3">
      <c r="B9" s="560"/>
      <c r="C9" s="155" t="s">
        <v>312</v>
      </c>
      <c r="D9" s="153" t="s">
        <v>313</v>
      </c>
    </row>
    <row r="10" spans="2:50" x14ac:dyDescent="0.25">
      <c r="B10" s="558" t="s">
        <v>188</v>
      </c>
      <c r="C10" s="156"/>
      <c r="D10" s="561" t="s">
        <v>314</v>
      </c>
    </row>
    <row r="11" spans="2:50" x14ac:dyDescent="0.25">
      <c r="B11" s="559"/>
      <c r="C11" s="156" t="s">
        <v>315</v>
      </c>
      <c r="D11" s="562"/>
    </row>
    <row r="12" spans="2:50" ht="15.75" thickBot="1" x14ac:dyDescent="0.3">
      <c r="B12" s="559"/>
      <c r="C12" s="155"/>
      <c r="D12" s="563"/>
    </row>
    <row r="13" spans="2:50" ht="22.5" customHeight="1" x14ac:dyDescent="0.25">
      <c r="B13" s="559"/>
      <c r="C13" s="156"/>
      <c r="D13" s="561" t="s">
        <v>316</v>
      </c>
    </row>
    <row r="14" spans="2:50" ht="22.5" customHeight="1" x14ac:dyDescent="0.25">
      <c r="B14" s="559"/>
      <c r="C14" s="156" t="s">
        <v>317</v>
      </c>
      <c r="D14" s="562"/>
    </row>
    <row r="15" spans="2:50" ht="22.5" customHeight="1" thickBot="1" x14ac:dyDescent="0.3">
      <c r="B15" s="559"/>
      <c r="C15" s="155"/>
      <c r="D15" s="563"/>
    </row>
    <row r="16" spans="2:50" ht="25.5" customHeight="1" x14ac:dyDescent="0.25">
      <c r="B16" s="559"/>
      <c r="C16" s="156"/>
      <c r="D16" s="561" t="s">
        <v>318</v>
      </c>
    </row>
    <row r="17" spans="2:4" ht="25.5" customHeight="1" x14ac:dyDescent="0.25">
      <c r="B17" s="559"/>
      <c r="C17" s="156" t="s">
        <v>189</v>
      </c>
      <c r="D17" s="562"/>
    </row>
    <row r="18" spans="2:4" ht="25.5" customHeight="1" thickBot="1" x14ac:dyDescent="0.3">
      <c r="B18" s="560"/>
      <c r="C18" s="155"/>
      <c r="D18" s="563"/>
    </row>
  </sheetData>
  <mergeCells count="6">
    <mergeCell ref="B3:B6"/>
    <mergeCell ref="B7:B9"/>
    <mergeCell ref="B10:B18"/>
    <mergeCell ref="D10:D12"/>
    <mergeCell ref="D13:D15"/>
    <mergeCell ref="D16:D1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C1:F48"/>
  <sheetViews>
    <sheetView topLeftCell="A16" zoomScale="110" zoomScaleNormal="110" workbookViewId="0">
      <selection activeCell="F39" sqref="F39"/>
    </sheetView>
  </sheetViews>
  <sheetFormatPr baseColWidth="10" defaultColWidth="11.42578125" defaultRowHeight="15" x14ac:dyDescent="0.25"/>
  <cols>
    <col min="1" max="1" width="3.7109375" customWidth="1"/>
    <col min="2" max="2" width="8.28515625" customWidth="1"/>
    <col min="3" max="3" width="27" customWidth="1"/>
    <col min="5" max="5" width="15" customWidth="1"/>
    <col min="6" max="6" width="33.42578125" customWidth="1"/>
  </cols>
  <sheetData>
    <row r="1" spans="3:6" ht="15.75" thickBot="1" x14ac:dyDescent="0.3">
      <c r="C1" s="173" t="s">
        <v>319</v>
      </c>
    </row>
    <row r="2" spans="3:6" ht="15.75" thickBot="1" x14ac:dyDescent="0.3">
      <c r="C2" s="170" t="s">
        <v>320</v>
      </c>
      <c r="E2" s="174" t="s">
        <v>321</v>
      </c>
      <c r="F2" s="175" t="s">
        <v>322</v>
      </c>
    </row>
    <row r="3" spans="3:6" ht="15.75" thickBot="1" x14ac:dyDescent="0.3">
      <c r="C3" s="171" t="s">
        <v>323</v>
      </c>
      <c r="E3" s="567" t="s">
        <v>324</v>
      </c>
      <c r="F3" s="159" t="s">
        <v>325</v>
      </c>
    </row>
    <row r="4" spans="3:6" ht="15.75" thickBot="1" x14ac:dyDescent="0.3">
      <c r="C4" s="171" t="s">
        <v>165</v>
      </c>
      <c r="E4" s="565"/>
      <c r="F4" s="159" t="s">
        <v>326</v>
      </c>
    </row>
    <row r="5" spans="3:6" ht="15.75" thickBot="1" x14ac:dyDescent="0.3">
      <c r="C5" s="171" t="s">
        <v>327</v>
      </c>
      <c r="E5" s="565"/>
      <c r="F5" s="159" t="s">
        <v>328</v>
      </c>
    </row>
    <row r="6" spans="3:6" ht="15.75" thickBot="1" x14ac:dyDescent="0.3">
      <c r="C6" s="171" t="s">
        <v>329</v>
      </c>
      <c r="E6" s="565"/>
      <c r="F6" s="159" t="s">
        <v>330</v>
      </c>
    </row>
    <row r="7" spans="3:6" ht="15.75" thickBot="1" x14ac:dyDescent="0.3">
      <c r="C7" s="172" t="s">
        <v>331</v>
      </c>
      <c r="E7" s="565"/>
      <c r="F7" s="159" t="s">
        <v>332</v>
      </c>
    </row>
    <row r="8" spans="3:6" ht="15.75" thickBot="1" x14ac:dyDescent="0.3">
      <c r="C8" s="171" t="s">
        <v>333</v>
      </c>
      <c r="E8" s="566"/>
      <c r="F8" s="159" t="s">
        <v>334</v>
      </c>
    </row>
    <row r="9" spans="3:6" ht="15.75" thickBot="1" x14ac:dyDescent="0.3">
      <c r="C9" s="171" t="s">
        <v>335</v>
      </c>
      <c r="E9" s="564" t="s">
        <v>336</v>
      </c>
      <c r="F9" s="159" t="s">
        <v>337</v>
      </c>
    </row>
    <row r="10" spans="3:6" ht="15.75" thickBot="1" x14ac:dyDescent="0.3">
      <c r="C10" s="171" t="s">
        <v>338</v>
      </c>
      <c r="E10" s="565"/>
      <c r="F10" s="159" t="s">
        <v>339</v>
      </c>
    </row>
    <row r="11" spans="3:6" ht="15.75" thickBot="1" x14ac:dyDescent="0.3">
      <c r="E11" s="565"/>
      <c r="F11" s="159" t="s">
        <v>340</v>
      </c>
    </row>
    <row r="12" spans="3:6" ht="15.75" thickBot="1" x14ac:dyDescent="0.3">
      <c r="E12" s="565"/>
      <c r="F12" s="159" t="s">
        <v>341</v>
      </c>
    </row>
    <row r="13" spans="3:6" ht="15.75" thickBot="1" x14ac:dyDescent="0.3">
      <c r="E13" s="566"/>
      <c r="F13" s="159" t="s">
        <v>342</v>
      </c>
    </row>
    <row r="14" spans="3:6" ht="24.75" thickBot="1" x14ac:dyDescent="0.3">
      <c r="E14" s="564" t="s">
        <v>343</v>
      </c>
      <c r="F14" s="159" t="s">
        <v>344</v>
      </c>
    </row>
    <row r="15" spans="3:6" ht="15.75" thickBot="1" x14ac:dyDescent="0.3">
      <c r="E15" s="565"/>
      <c r="F15" s="159" t="s">
        <v>345</v>
      </c>
    </row>
    <row r="16" spans="3:6" ht="15.75" thickBot="1" x14ac:dyDescent="0.3">
      <c r="E16" s="566"/>
      <c r="F16" s="159" t="s">
        <v>346</v>
      </c>
    </row>
    <row r="17" spans="5:6" ht="15.75" thickBot="1" x14ac:dyDescent="0.3">
      <c r="E17" s="564" t="s">
        <v>347</v>
      </c>
      <c r="F17" s="159" t="s">
        <v>348</v>
      </c>
    </row>
    <row r="18" spans="5:6" ht="15.75" thickBot="1" x14ac:dyDescent="0.3">
      <c r="E18" s="565"/>
      <c r="F18" s="159" t="s">
        <v>349</v>
      </c>
    </row>
    <row r="19" spans="5:6" ht="15.75" thickBot="1" x14ac:dyDescent="0.3">
      <c r="E19" s="566"/>
      <c r="F19" s="159" t="s">
        <v>350</v>
      </c>
    </row>
    <row r="20" spans="5:6" ht="24.75" thickBot="1" x14ac:dyDescent="0.3">
      <c r="E20" s="564" t="s">
        <v>190</v>
      </c>
      <c r="F20" s="159" t="s">
        <v>351</v>
      </c>
    </row>
    <row r="21" spans="5:6" ht="15.75" thickBot="1" x14ac:dyDescent="0.3">
      <c r="E21" s="565"/>
      <c r="F21" s="159" t="s">
        <v>352</v>
      </c>
    </row>
    <row r="22" spans="5:6" ht="15.75" thickBot="1" x14ac:dyDescent="0.3">
      <c r="E22" s="565"/>
      <c r="F22" s="159" t="s">
        <v>353</v>
      </c>
    </row>
    <row r="23" spans="5:6" ht="15.75" thickBot="1" x14ac:dyDescent="0.3">
      <c r="E23" s="565"/>
      <c r="F23" s="159" t="s">
        <v>354</v>
      </c>
    </row>
    <row r="24" spans="5:6" ht="15.75" thickBot="1" x14ac:dyDescent="0.3">
      <c r="E24" s="565"/>
      <c r="F24" s="159" t="s">
        <v>355</v>
      </c>
    </row>
    <row r="25" spans="5:6" ht="24.75" thickBot="1" x14ac:dyDescent="0.3">
      <c r="E25" s="565"/>
      <c r="F25" s="159" t="s">
        <v>356</v>
      </c>
    </row>
    <row r="26" spans="5:6" ht="15.75" thickBot="1" x14ac:dyDescent="0.3">
      <c r="E26" s="565"/>
      <c r="F26" s="159" t="s">
        <v>357</v>
      </c>
    </row>
    <row r="27" spans="5:6" ht="24.75" thickBot="1" x14ac:dyDescent="0.3">
      <c r="E27" s="565"/>
      <c r="F27" s="159" t="s">
        <v>191</v>
      </c>
    </row>
    <row r="28" spans="5:6" ht="15.75" thickBot="1" x14ac:dyDescent="0.3">
      <c r="E28" s="565"/>
      <c r="F28" s="159" t="s">
        <v>358</v>
      </c>
    </row>
    <row r="29" spans="5:6" ht="15.75" thickBot="1" x14ac:dyDescent="0.3">
      <c r="E29" s="565"/>
      <c r="F29" s="159" t="s">
        <v>359</v>
      </c>
    </row>
    <row r="30" spans="5:6" ht="15.75" thickBot="1" x14ac:dyDescent="0.3">
      <c r="E30" s="566"/>
      <c r="F30" s="159" t="s">
        <v>360</v>
      </c>
    </row>
    <row r="31" spans="5:6" ht="15.75" thickBot="1" x14ac:dyDescent="0.3">
      <c r="E31" s="564" t="s">
        <v>361</v>
      </c>
      <c r="F31" s="159" t="s">
        <v>362</v>
      </c>
    </row>
    <row r="32" spans="5:6" ht="15.75" thickBot="1" x14ac:dyDescent="0.3">
      <c r="E32" s="565"/>
      <c r="F32" s="159" t="s">
        <v>363</v>
      </c>
    </row>
    <row r="33" spans="5:6" ht="15.75" thickBot="1" x14ac:dyDescent="0.3">
      <c r="E33" s="565"/>
      <c r="F33" s="159" t="s">
        <v>364</v>
      </c>
    </row>
    <row r="34" spans="5:6" ht="15.75" thickBot="1" x14ac:dyDescent="0.3">
      <c r="E34" s="565"/>
      <c r="F34" s="159" t="s">
        <v>365</v>
      </c>
    </row>
    <row r="35" spans="5:6" ht="24.75" thickBot="1" x14ac:dyDescent="0.3">
      <c r="E35" s="566"/>
      <c r="F35" s="159" t="s">
        <v>366</v>
      </c>
    </row>
    <row r="36" spans="5:6" ht="15.75" thickBot="1" x14ac:dyDescent="0.3">
      <c r="E36" s="564" t="s">
        <v>167</v>
      </c>
      <c r="F36" s="159" t="s">
        <v>367</v>
      </c>
    </row>
    <row r="37" spans="5:6" ht="15.75" thickBot="1" x14ac:dyDescent="0.3">
      <c r="E37" s="565"/>
      <c r="F37" s="159" t="s">
        <v>368</v>
      </c>
    </row>
    <row r="38" spans="5:6" ht="15.75" thickBot="1" x14ac:dyDescent="0.3">
      <c r="E38" s="565"/>
      <c r="F38" s="159" t="s">
        <v>369</v>
      </c>
    </row>
    <row r="39" spans="5:6" ht="15.75" thickBot="1" x14ac:dyDescent="0.3">
      <c r="E39" s="565"/>
      <c r="F39" s="159" t="s">
        <v>168</v>
      </c>
    </row>
    <row r="40" spans="5:6" ht="15.75" thickBot="1" x14ac:dyDescent="0.3">
      <c r="E40" s="566"/>
      <c r="F40" s="159" t="s">
        <v>370</v>
      </c>
    </row>
    <row r="41" spans="5:6" ht="15.75" thickBot="1" x14ac:dyDescent="0.3">
      <c r="E41" s="564" t="s">
        <v>371</v>
      </c>
      <c r="F41" s="159" t="s">
        <v>372</v>
      </c>
    </row>
    <row r="42" spans="5:6" ht="15.75" thickBot="1" x14ac:dyDescent="0.3">
      <c r="E42" s="565"/>
      <c r="F42" s="159" t="s">
        <v>373</v>
      </c>
    </row>
    <row r="43" spans="5:6" ht="15.75" thickBot="1" x14ac:dyDescent="0.3">
      <c r="E43" s="565"/>
      <c r="F43" s="159" t="s">
        <v>374</v>
      </c>
    </row>
    <row r="44" spans="5:6" ht="15.75" thickBot="1" x14ac:dyDescent="0.3">
      <c r="E44" s="565"/>
      <c r="F44" s="159" t="s">
        <v>375</v>
      </c>
    </row>
    <row r="45" spans="5:6" ht="24.75" thickBot="1" x14ac:dyDescent="0.3">
      <c r="E45" s="566"/>
      <c r="F45" s="159" t="s">
        <v>376</v>
      </c>
    </row>
    <row r="48" spans="5:6" ht="15" customHeight="1" x14ac:dyDescent="0.25"/>
  </sheetData>
  <mergeCells count="8">
    <mergeCell ref="E36:E40"/>
    <mergeCell ref="E41:E45"/>
    <mergeCell ref="E3:E8"/>
    <mergeCell ref="E9:E13"/>
    <mergeCell ref="E14:E16"/>
    <mergeCell ref="E17:E19"/>
    <mergeCell ref="E20:E30"/>
    <mergeCell ref="E31:E35"/>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topLeftCell="C1" zoomScale="55" zoomScaleNormal="55" workbookViewId="0">
      <selection activeCell="AA44" sqref="AA44"/>
    </sheetView>
  </sheetViews>
  <sheetFormatPr baseColWidth="10" defaultColWidth="11.42578125" defaultRowHeight="15" x14ac:dyDescent="0.25"/>
  <cols>
    <col min="27" max="27" width="36" customWidth="1"/>
  </cols>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7" tint="-0.249977111117893"/>
  </sheetPr>
  <dimension ref="B1:F16"/>
  <sheetViews>
    <sheetView workbookViewId="0">
      <selection activeCell="E9" sqref="E9"/>
    </sheetView>
  </sheetViews>
  <sheetFormatPr baseColWidth="10" defaultColWidth="14.28515625" defaultRowHeight="12.75" x14ac:dyDescent="0.2"/>
  <cols>
    <col min="1" max="2" width="14.28515625" style="71"/>
    <col min="3" max="3" width="17" style="71" customWidth="1"/>
    <col min="4" max="4" width="14.28515625" style="71"/>
    <col min="5" max="5" width="46" style="71" customWidth="1"/>
    <col min="6" max="16384" width="14.28515625" style="71"/>
  </cols>
  <sheetData>
    <row r="1" spans="2:6" ht="24" customHeight="1" thickBot="1" x14ac:dyDescent="0.25">
      <c r="B1" s="568" t="s">
        <v>377</v>
      </c>
      <c r="C1" s="569"/>
      <c r="D1" s="569"/>
      <c r="E1" s="569"/>
      <c r="F1" s="570"/>
    </row>
    <row r="2" spans="2:6" ht="16.5" thickBot="1" x14ac:dyDescent="0.3">
      <c r="B2" s="72"/>
      <c r="C2" s="72"/>
      <c r="D2" s="72"/>
      <c r="E2" s="72"/>
      <c r="F2" s="72"/>
    </row>
    <row r="3" spans="2:6" ht="16.5" thickBot="1" x14ac:dyDescent="0.25">
      <c r="B3" s="572" t="s">
        <v>378</v>
      </c>
      <c r="C3" s="573"/>
      <c r="D3" s="573"/>
      <c r="E3" s="84" t="s">
        <v>379</v>
      </c>
      <c r="F3" s="85" t="s">
        <v>380</v>
      </c>
    </row>
    <row r="4" spans="2:6" ht="31.5" x14ac:dyDescent="0.2">
      <c r="B4" s="574" t="s">
        <v>381</v>
      </c>
      <c r="C4" s="576" t="s">
        <v>155</v>
      </c>
      <c r="D4" s="73" t="s">
        <v>184</v>
      </c>
      <c r="E4" s="74" t="s">
        <v>382</v>
      </c>
      <c r="F4" s="75">
        <v>0.25</v>
      </c>
    </row>
    <row r="5" spans="2:6" ht="47.25" x14ac:dyDescent="0.2">
      <c r="B5" s="575"/>
      <c r="C5" s="577"/>
      <c r="D5" s="76" t="s">
        <v>171</v>
      </c>
      <c r="E5" s="77" t="s">
        <v>383</v>
      </c>
      <c r="F5" s="78">
        <v>0.15</v>
      </c>
    </row>
    <row r="6" spans="2:6" ht="47.25" x14ac:dyDescent="0.2">
      <c r="B6" s="575"/>
      <c r="C6" s="577"/>
      <c r="D6" s="76" t="s">
        <v>384</v>
      </c>
      <c r="E6" s="77" t="s">
        <v>385</v>
      </c>
      <c r="F6" s="78">
        <v>0.1</v>
      </c>
    </row>
    <row r="7" spans="2:6" ht="63" x14ac:dyDescent="0.2">
      <c r="B7" s="575"/>
      <c r="C7" s="577" t="s">
        <v>156</v>
      </c>
      <c r="D7" s="76" t="s">
        <v>386</v>
      </c>
      <c r="E7" s="77" t="s">
        <v>387</v>
      </c>
      <c r="F7" s="78">
        <v>0.25</v>
      </c>
    </row>
    <row r="8" spans="2:6" ht="31.5" x14ac:dyDescent="0.2">
      <c r="B8" s="575"/>
      <c r="C8" s="577"/>
      <c r="D8" s="76" t="s">
        <v>172</v>
      </c>
      <c r="E8" s="77" t="s">
        <v>388</v>
      </c>
      <c r="F8" s="78">
        <v>0.15</v>
      </c>
    </row>
    <row r="9" spans="2:6" ht="47.25" x14ac:dyDescent="0.2">
      <c r="B9" s="575" t="s">
        <v>389</v>
      </c>
      <c r="C9" s="577" t="s">
        <v>158</v>
      </c>
      <c r="D9" s="76" t="s">
        <v>173</v>
      </c>
      <c r="E9" s="77" t="s">
        <v>390</v>
      </c>
      <c r="F9" s="79" t="s">
        <v>391</v>
      </c>
    </row>
    <row r="10" spans="2:6" ht="63" x14ac:dyDescent="0.2">
      <c r="B10" s="575"/>
      <c r="C10" s="577"/>
      <c r="D10" s="76" t="s">
        <v>392</v>
      </c>
      <c r="E10" s="77" t="s">
        <v>393</v>
      </c>
      <c r="F10" s="79" t="s">
        <v>391</v>
      </c>
    </row>
    <row r="11" spans="2:6" ht="47.25" x14ac:dyDescent="0.2">
      <c r="B11" s="575"/>
      <c r="C11" s="577" t="s">
        <v>159</v>
      </c>
      <c r="D11" s="76" t="s">
        <v>174</v>
      </c>
      <c r="E11" s="77" t="s">
        <v>394</v>
      </c>
      <c r="F11" s="79" t="s">
        <v>391</v>
      </c>
    </row>
    <row r="12" spans="2:6" ht="47.25" x14ac:dyDescent="0.2">
      <c r="B12" s="575"/>
      <c r="C12" s="577"/>
      <c r="D12" s="76" t="s">
        <v>395</v>
      </c>
      <c r="E12" s="77" t="s">
        <v>396</v>
      </c>
      <c r="F12" s="79" t="s">
        <v>391</v>
      </c>
    </row>
    <row r="13" spans="2:6" ht="31.5" x14ac:dyDescent="0.2">
      <c r="B13" s="575"/>
      <c r="C13" s="577" t="s">
        <v>160</v>
      </c>
      <c r="D13" s="76" t="s">
        <v>175</v>
      </c>
      <c r="E13" s="77" t="s">
        <v>397</v>
      </c>
      <c r="F13" s="79" t="s">
        <v>391</v>
      </c>
    </row>
    <row r="14" spans="2:6" ht="32.25" thickBot="1" x14ac:dyDescent="0.25">
      <c r="B14" s="578"/>
      <c r="C14" s="579"/>
      <c r="D14" s="80" t="s">
        <v>398</v>
      </c>
      <c r="E14" s="81" t="s">
        <v>399</v>
      </c>
      <c r="F14" s="82" t="s">
        <v>391</v>
      </c>
    </row>
    <row r="15" spans="2:6" ht="49.5" customHeight="1" x14ac:dyDescent="0.2">
      <c r="B15" s="571" t="s">
        <v>400</v>
      </c>
      <c r="C15" s="571"/>
      <c r="D15" s="571"/>
      <c r="E15" s="571"/>
      <c r="F15" s="571"/>
    </row>
    <row r="16" spans="2:6" ht="27" customHeight="1" x14ac:dyDescent="0.25">
      <c r="B16" s="83"/>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G71"/>
  <sheetViews>
    <sheetView topLeftCell="A61" workbookViewId="0">
      <selection activeCell="F28" sqref="F28:G71"/>
    </sheetView>
  </sheetViews>
  <sheetFormatPr baseColWidth="10" defaultColWidth="11.42578125" defaultRowHeight="15" x14ac:dyDescent="0.25"/>
  <cols>
    <col min="6" max="6" width="17.140625" customWidth="1"/>
    <col min="7" max="7" width="29.28515625" customWidth="1"/>
  </cols>
  <sheetData>
    <row r="2" spans="2:5" x14ac:dyDescent="0.25">
      <c r="B2" t="s">
        <v>176</v>
      </c>
      <c r="E2" t="s">
        <v>401</v>
      </c>
    </row>
    <row r="3" spans="2:5" x14ac:dyDescent="0.25">
      <c r="B3" t="s">
        <v>185</v>
      </c>
      <c r="E3" t="s">
        <v>161</v>
      </c>
    </row>
    <row r="4" spans="2:5" x14ac:dyDescent="0.25">
      <c r="B4" t="s">
        <v>402</v>
      </c>
      <c r="E4" t="s">
        <v>403</v>
      </c>
    </row>
    <row r="5" spans="2:5" x14ac:dyDescent="0.25">
      <c r="B5" t="s">
        <v>404</v>
      </c>
    </row>
    <row r="8" spans="2:5" x14ac:dyDescent="0.25">
      <c r="B8" t="s">
        <v>405</v>
      </c>
    </row>
    <row r="9" spans="2:5" x14ac:dyDescent="0.25">
      <c r="B9" t="s">
        <v>406</v>
      </c>
    </row>
    <row r="10" spans="2:5" x14ac:dyDescent="0.25">
      <c r="B10" t="s">
        <v>407</v>
      </c>
    </row>
    <row r="13" spans="2:5" x14ac:dyDescent="0.25">
      <c r="B13" t="s">
        <v>408</v>
      </c>
    </row>
    <row r="14" spans="2:5" x14ac:dyDescent="0.25">
      <c r="B14" t="s">
        <v>409</v>
      </c>
    </row>
    <row r="15" spans="2:5" x14ac:dyDescent="0.25">
      <c r="B15" t="s">
        <v>410</v>
      </c>
    </row>
    <row r="16" spans="2:5" x14ac:dyDescent="0.25">
      <c r="B16" t="s">
        <v>411</v>
      </c>
    </row>
    <row r="17" spans="2:7" x14ac:dyDescent="0.25">
      <c r="B17" t="s">
        <v>164</v>
      </c>
    </row>
    <row r="18" spans="2:7" x14ac:dyDescent="0.25">
      <c r="B18" t="s">
        <v>312</v>
      </c>
    </row>
    <row r="19" spans="2:7" x14ac:dyDescent="0.25">
      <c r="B19" t="s">
        <v>412</v>
      </c>
    </row>
    <row r="20" spans="2:7" x14ac:dyDescent="0.25">
      <c r="B20" t="s">
        <v>413</v>
      </c>
    </row>
    <row r="21" spans="2:7" x14ac:dyDescent="0.25">
      <c r="B21" t="s">
        <v>317</v>
      </c>
    </row>
    <row r="22" spans="2:7" x14ac:dyDescent="0.25">
      <c r="B22" t="s">
        <v>315</v>
      </c>
    </row>
    <row r="23" spans="2:7" x14ac:dyDescent="0.25">
      <c r="B23" t="s">
        <v>189</v>
      </c>
    </row>
    <row r="27" spans="2:7" ht="15.75" thickBot="1" x14ac:dyDescent="0.3"/>
    <row r="28" spans="2:7" ht="15.75" thickBot="1" x14ac:dyDescent="0.3">
      <c r="B28" t="s">
        <v>324</v>
      </c>
      <c r="F28" s="157" t="s">
        <v>321</v>
      </c>
      <c r="G28" s="158" t="s">
        <v>322</v>
      </c>
    </row>
    <row r="29" spans="2:7" ht="15.75" thickBot="1" x14ac:dyDescent="0.3">
      <c r="B29" t="s">
        <v>336</v>
      </c>
      <c r="F29" s="567" t="s">
        <v>324</v>
      </c>
      <c r="G29" s="159" t="s">
        <v>325</v>
      </c>
    </row>
    <row r="30" spans="2:7" ht="15.75" thickBot="1" x14ac:dyDescent="0.3">
      <c r="B30" t="s">
        <v>343</v>
      </c>
      <c r="F30" s="565"/>
      <c r="G30" s="159" t="s">
        <v>326</v>
      </c>
    </row>
    <row r="31" spans="2:7" ht="15.75" thickBot="1" x14ac:dyDescent="0.3">
      <c r="B31" t="s">
        <v>347</v>
      </c>
      <c r="F31" s="565"/>
      <c r="G31" s="159" t="s">
        <v>328</v>
      </c>
    </row>
    <row r="32" spans="2:7" ht="15.75" thickBot="1" x14ac:dyDescent="0.3">
      <c r="B32" t="s">
        <v>190</v>
      </c>
      <c r="F32" s="565"/>
      <c r="G32" s="159" t="s">
        <v>330</v>
      </c>
    </row>
    <row r="33" spans="2:7" ht="15.75" thickBot="1" x14ac:dyDescent="0.3">
      <c r="B33" t="s">
        <v>361</v>
      </c>
      <c r="F33" s="565"/>
      <c r="G33" s="159" t="s">
        <v>332</v>
      </c>
    </row>
    <row r="34" spans="2:7" ht="15.75" thickBot="1" x14ac:dyDescent="0.3">
      <c r="B34" t="s">
        <v>167</v>
      </c>
      <c r="F34" s="566"/>
      <c r="G34" s="159" t="s">
        <v>334</v>
      </c>
    </row>
    <row r="35" spans="2:7" ht="15.75" thickBot="1" x14ac:dyDescent="0.3">
      <c r="B35" t="s">
        <v>371</v>
      </c>
      <c r="F35" s="564" t="s">
        <v>336</v>
      </c>
      <c r="G35" s="159" t="s">
        <v>337</v>
      </c>
    </row>
    <row r="36" spans="2:7" ht="15.75" thickBot="1" x14ac:dyDescent="0.3">
      <c r="F36" s="565"/>
      <c r="G36" s="159" t="s">
        <v>339</v>
      </c>
    </row>
    <row r="37" spans="2:7" ht="15.75" thickBot="1" x14ac:dyDescent="0.3">
      <c r="F37" s="565"/>
      <c r="G37" s="159" t="s">
        <v>340</v>
      </c>
    </row>
    <row r="38" spans="2:7" ht="21.75" customHeight="1" thickBot="1" x14ac:dyDescent="0.3">
      <c r="F38" s="565"/>
      <c r="G38" s="159" t="s">
        <v>341</v>
      </c>
    </row>
    <row r="39" spans="2:7" ht="15.75" thickBot="1" x14ac:dyDescent="0.3">
      <c r="F39" s="566"/>
      <c r="G39" s="159" t="s">
        <v>342</v>
      </c>
    </row>
    <row r="40" spans="2:7" ht="45.75" customHeight="1" thickBot="1" x14ac:dyDescent="0.3">
      <c r="F40" s="564" t="s">
        <v>343</v>
      </c>
      <c r="G40" s="159" t="s">
        <v>344</v>
      </c>
    </row>
    <row r="41" spans="2:7" ht="15.75" thickBot="1" x14ac:dyDescent="0.3">
      <c r="F41" s="565"/>
      <c r="G41" s="159" t="s">
        <v>345</v>
      </c>
    </row>
    <row r="42" spans="2:7" ht="30" customHeight="1" thickBot="1" x14ac:dyDescent="0.3">
      <c r="F42" s="566"/>
      <c r="G42" s="159" t="s">
        <v>346</v>
      </c>
    </row>
    <row r="43" spans="2:7" ht="15.75" thickBot="1" x14ac:dyDescent="0.3">
      <c r="F43" s="564" t="s">
        <v>347</v>
      </c>
      <c r="G43" s="159" t="s">
        <v>348</v>
      </c>
    </row>
    <row r="44" spans="2:7" ht="15.75" thickBot="1" x14ac:dyDescent="0.3">
      <c r="F44" s="565"/>
      <c r="G44" s="159" t="s">
        <v>349</v>
      </c>
    </row>
    <row r="45" spans="2:7" ht="15.75" thickBot="1" x14ac:dyDescent="0.3">
      <c r="F45" s="566"/>
      <c r="G45" s="159" t="s">
        <v>350</v>
      </c>
    </row>
    <row r="46" spans="2:7" ht="24.75" thickBot="1" x14ac:dyDescent="0.3">
      <c r="F46" s="564" t="s">
        <v>190</v>
      </c>
      <c r="G46" s="159" t="s">
        <v>351</v>
      </c>
    </row>
    <row r="47" spans="2:7" ht="15.75" thickBot="1" x14ac:dyDescent="0.3">
      <c r="F47" s="565"/>
      <c r="G47" s="159" t="s">
        <v>352</v>
      </c>
    </row>
    <row r="48" spans="2:7" ht="15.75" thickBot="1" x14ac:dyDescent="0.3">
      <c r="F48" s="565"/>
      <c r="G48" s="159" t="s">
        <v>353</v>
      </c>
    </row>
    <row r="49" spans="6:7" ht="15.75" thickBot="1" x14ac:dyDescent="0.3">
      <c r="F49" s="565"/>
      <c r="G49" s="159" t="s">
        <v>354</v>
      </c>
    </row>
    <row r="50" spans="6:7" ht="15.75" thickBot="1" x14ac:dyDescent="0.3">
      <c r="F50" s="565"/>
      <c r="G50" s="159" t="s">
        <v>355</v>
      </c>
    </row>
    <row r="51" spans="6:7" ht="24.75" thickBot="1" x14ac:dyDescent="0.3">
      <c r="F51" s="565"/>
      <c r="G51" s="159" t="s">
        <v>356</v>
      </c>
    </row>
    <row r="52" spans="6:7" ht="15.75" thickBot="1" x14ac:dyDescent="0.3">
      <c r="F52" s="565"/>
      <c r="G52" s="159" t="s">
        <v>357</v>
      </c>
    </row>
    <row r="53" spans="6:7" ht="24.75" thickBot="1" x14ac:dyDescent="0.3">
      <c r="F53" s="565"/>
      <c r="G53" s="159" t="s">
        <v>191</v>
      </c>
    </row>
    <row r="54" spans="6:7" ht="15.75" thickBot="1" x14ac:dyDescent="0.3">
      <c r="F54" s="565"/>
      <c r="G54" s="159" t="s">
        <v>358</v>
      </c>
    </row>
    <row r="55" spans="6:7" ht="15.75" thickBot="1" x14ac:dyDescent="0.3">
      <c r="F55" s="565"/>
      <c r="G55" s="159" t="s">
        <v>359</v>
      </c>
    </row>
    <row r="56" spans="6:7" ht="15.75" thickBot="1" x14ac:dyDescent="0.3">
      <c r="F56" s="566"/>
      <c r="G56" s="159" t="s">
        <v>360</v>
      </c>
    </row>
    <row r="57" spans="6:7" ht="15.75" thickBot="1" x14ac:dyDescent="0.3">
      <c r="F57" s="564" t="s">
        <v>361</v>
      </c>
      <c r="G57" s="159" t="s">
        <v>362</v>
      </c>
    </row>
    <row r="58" spans="6:7" ht="15.75" thickBot="1" x14ac:dyDescent="0.3">
      <c r="F58" s="565"/>
      <c r="G58" s="159" t="s">
        <v>363</v>
      </c>
    </row>
    <row r="59" spans="6:7" ht="24.75" thickBot="1" x14ac:dyDescent="0.3">
      <c r="F59" s="565"/>
      <c r="G59" s="159" t="s">
        <v>364</v>
      </c>
    </row>
    <row r="60" spans="6:7" ht="15.75" thickBot="1" x14ac:dyDescent="0.3">
      <c r="F60" s="565"/>
      <c r="G60" s="159" t="s">
        <v>365</v>
      </c>
    </row>
    <row r="61" spans="6:7" ht="36.75" thickBot="1" x14ac:dyDescent="0.3">
      <c r="F61" s="566"/>
      <c r="G61" s="159" t="s">
        <v>366</v>
      </c>
    </row>
    <row r="62" spans="6:7" ht="15.75" thickBot="1" x14ac:dyDescent="0.3">
      <c r="F62" s="564" t="s">
        <v>167</v>
      </c>
      <c r="G62" s="159" t="s">
        <v>367</v>
      </c>
    </row>
    <row r="63" spans="6:7" ht="15.75" thickBot="1" x14ac:dyDescent="0.3">
      <c r="F63" s="565"/>
      <c r="G63" s="159" t="s">
        <v>368</v>
      </c>
    </row>
    <row r="64" spans="6:7" ht="15.75" thickBot="1" x14ac:dyDescent="0.3">
      <c r="F64" s="565"/>
      <c r="G64" s="159" t="s">
        <v>369</v>
      </c>
    </row>
    <row r="65" spans="6:7" ht="15.75" thickBot="1" x14ac:dyDescent="0.3">
      <c r="F65" s="565"/>
      <c r="G65" s="159" t="s">
        <v>168</v>
      </c>
    </row>
    <row r="66" spans="6:7" ht="15.75" thickBot="1" x14ac:dyDescent="0.3">
      <c r="F66" s="566"/>
      <c r="G66" s="159" t="s">
        <v>370</v>
      </c>
    </row>
    <row r="67" spans="6:7" ht="15.75" thickBot="1" x14ac:dyDescent="0.3">
      <c r="F67" s="564" t="s">
        <v>371</v>
      </c>
      <c r="G67" s="159" t="s">
        <v>372</v>
      </c>
    </row>
    <row r="68" spans="6:7" ht="15.75" thickBot="1" x14ac:dyDescent="0.3">
      <c r="F68" s="565"/>
      <c r="G68" s="159" t="s">
        <v>373</v>
      </c>
    </row>
    <row r="69" spans="6:7" ht="15.75" thickBot="1" x14ac:dyDescent="0.3">
      <c r="F69" s="565"/>
      <c r="G69" s="159" t="s">
        <v>374</v>
      </c>
    </row>
    <row r="70" spans="6:7" ht="15.75" thickBot="1" x14ac:dyDescent="0.3">
      <c r="F70" s="565"/>
      <c r="G70" s="159" t="s">
        <v>375</v>
      </c>
    </row>
    <row r="71" spans="6:7" ht="24.75" thickBot="1" x14ac:dyDescent="0.3">
      <c r="F71" s="566"/>
      <c r="G71" s="159" t="s">
        <v>376</v>
      </c>
    </row>
  </sheetData>
  <sortState xmlns:xlrd2="http://schemas.microsoft.com/office/spreadsheetml/2017/richdata2" ref="B2:B5">
    <sortCondition ref="B2:B5"/>
  </sortState>
  <mergeCells count="8">
    <mergeCell ref="F62:F66"/>
    <mergeCell ref="F67:F71"/>
    <mergeCell ref="F29:F34"/>
    <mergeCell ref="F35:F39"/>
    <mergeCell ref="F40:F42"/>
    <mergeCell ref="F43:F45"/>
    <mergeCell ref="F46:F56"/>
    <mergeCell ref="F57:F61"/>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3:A21"/>
  <sheetViews>
    <sheetView workbookViewId="0">
      <selection activeCell="A19" sqref="A19"/>
    </sheetView>
  </sheetViews>
  <sheetFormatPr baseColWidth="10" defaultColWidth="11.42578125" defaultRowHeight="12.75" x14ac:dyDescent="0.2"/>
  <cols>
    <col min="1" max="1" width="32.85546875" style="1" customWidth="1"/>
    <col min="2" max="16384" width="11.42578125" style="1"/>
  </cols>
  <sheetData>
    <row r="3" spans="1:1" x14ac:dyDescent="0.2">
      <c r="A3" s="2" t="s">
        <v>184</v>
      </c>
    </row>
    <row r="4" spans="1:1" x14ac:dyDescent="0.2">
      <c r="A4" s="2" t="s">
        <v>171</v>
      </c>
    </row>
    <row r="5" spans="1:1" x14ac:dyDescent="0.2">
      <c r="A5" s="2" t="s">
        <v>384</v>
      </c>
    </row>
    <row r="6" spans="1:1" x14ac:dyDescent="0.2">
      <c r="A6" s="2" t="s">
        <v>386</v>
      </c>
    </row>
    <row r="7" spans="1:1" x14ac:dyDescent="0.2">
      <c r="A7" s="2" t="s">
        <v>172</v>
      </c>
    </row>
    <row r="8" spans="1:1" x14ac:dyDescent="0.2">
      <c r="A8" s="2" t="s">
        <v>173</v>
      </c>
    </row>
    <row r="9" spans="1:1" x14ac:dyDescent="0.2">
      <c r="A9" s="2" t="s">
        <v>392</v>
      </c>
    </row>
    <row r="10" spans="1:1" x14ac:dyDescent="0.2">
      <c r="A10" s="2" t="s">
        <v>174</v>
      </c>
    </row>
    <row r="11" spans="1:1" x14ac:dyDescent="0.2">
      <c r="A11" s="2" t="s">
        <v>395</v>
      </c>
    </row>
    <row r="12" spans="1:1" x14ac:dyDescent="0.2">
      <c r="A12" s="2" t="s">
        <v>414</v>
      </c>
    </row>
    <row r="13" spans="1:1" x14ac:dyDescent="0.2">
      <c r="A13" s="2" t="s">
        <v>415</v>
      </c>
    </row>
    <row r="14" spans="1:1" x14ac:dyDescent="0.2">
      <c r="A14" s="2" t="s">
        <v>416</v>
      </c>
    </row>
    <row r="16" spans="1:1" x14ac:dyDescent="0.2">
      <c r="A16" s="2" t="s">
        <v>417</v>
      </c>
    </row>
    <row r="17" spans="1:1" x14ac:dyDescent="0.2">
      <c r="A17" s="2" t="s">
        <v>176</v>
      </c>
    </row>
    <row r="18" spans="1:1" x14ac:dyDescent="0.2">
      <c r="A18" s="2" t="s">
        <v>185</v>
      </c>
    </row>
    <row r="20" spans="1:1" x14ac:dyDescent="0.2">
      <c r="A20" s="2" t="s">
        <v>406</v>
      </c>
    </row>
    <row r="21" spans="1:1" x14ac:dyDescent="0.2">
      <c r="A21" s="2" t="s">
        <v>407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9"/>
  <sheetViews>
    <sheetView zoomScale="60" zoomScaleNormal="60" zoomScaleSheetLayoutView="30" zoomScalePageLayoutView="60" workbookViewId="0">
      <selection activeCell="E17" sqref="E17"/>
    </sheetView>
  </sheetViews>
  <sheetFormatPr baseColWidth="10" defaultColWidth="11.42578125" defaultRowHeight="26.25" x14ac:dyDescent="0.35"/>
  <cols>
    <col min="1" max="1" width="5.28515625" style="119" customWidth="1"/>
    <col min="2" max="2" width="7.42578125" style="120" customWidth="1"/>
    <col min="3" max="3" width="25.7109375" style="121" customWidth="1"/>
    <col min="4" max="4" width="104.42578125" style="147" customWidth="1"/>
    <col min="5" max="5" width="129.7109375" style="121" customWidth="1"/>
    <col min="6" max="6" width="34.42578125" style="119" customWidth="1"/>
    <col min="7" max="16384" width="11.42578125" style="119"/>
  </cols>
  <sheetData>
    <row r="1" spans="1:13" ht="20.25" customHeight="1" x14ac:dyDescent="0.35"/>
    <row r="2" spans="1:13" ht="63.75" customHeight="1" x14ac:dyDescent="0.35">
      <c r="B2" s="311"/>
      <c r="C2" s="311"/>
      <c r="D2" s="312" t="s">
        <v>77</v>
      </c>
      <c r="E2" s="312"/>
      <c r="F2" s="312"/>
      <c r="G2" s="129"/>
      <c r="H2" s="129"/>
      <c r="I2" s="129"/>
      <c r="J2" s="129"/>
      <c r="K2" s="129"/>
      <c r="L2" s="129"/>
      <c r="M2" s="129"/>
    </row>
    <row r="3" spans="1:13" ht="30.75" customHeight="1" x14ac:dyDescent="0.35">
      <c r="B3" s="311"/>
      <c r="C3" s="311"/>
      <c r="D3" s="169" t="s">
        <v>78</v>
      </c>
      <c r="E3" s="314" t="s">
        <v>79</v>
      </c>
      <c r="F3" s="314"/>
      <c r="G3" s="129"/>
      <c r="H3" s="129"/>
      <c r="I3" s="129"/>
      <c r="J3" s="129"/>
      <c r="K3" s="129"/>
      <c r="L3" s="129"/>
    </row>
    <row r="4" spans="1:13" ht="30.75" customHeight="1" x14ac:dyDescent="0.35">
      <c r="B4" s="311"/>
      <c r="C4" s="311"/>
      <c r="D4" s="313" t="s">
        <v>80</v>
      </c>
      <c r="E4" s="313"/>
      <c r="F4" s="313"/>
      <c r="G4" s="129"/>
      <c r="H4" s="129"/>
      <c r="I4" s="129"/>
      <c r="J4" s="129"/>
      <c r="K4" s="129"/>
      <c r="L4" s="129"/>
    </row>
    <row r="5" spans="1:13" ht="10.5" customHeight="1" x14ac:dyDescent="0.35">
      <c r="B5" s="129"/>
      <c r="C5" s="129"/>
      <c r="D5" s="129"/>
      <c r="E5" s="129"/>
      <c r="F5" s="129"/>
      <c r="G5" s="129"/>
      <c r="H5" s="129"/>
      <c r="I5" s="129"/>
      <c r="J5" s="129"/>
      <c r="K5" s="129"/>
      <c r="L5" s="129"/>
    </row>
    <row r="6" spans="1:13" ht="24" customHeight="1" x14ac:dyDescent="0.35">
      <c r="B6" s="310" t="s">
        <v>81</v>
      </c>
      <c r="C6" s="310"/>
      <c r="D6" s="315" t="s">
        <v>76</v>
      </c>
      <c r="E6" s="316"/>
      <c r="F6" s="316"/>
      <c r="G6" s="129"/>
      <c r="H6" s="129"/>
      <c r="I6" s="129"/>
      <c r="J6" s="129"/>
      <c r="K6" s="129"/>
      <c r="L6" s="129"/>
    </row>
    <row r="7" spans="1:13" ht="24" customHeight="1" x14ac:dyDescent="0.35">
      <c r="B7" s="310" t="s">
        <v>82</v>
      </c>
      <c r="C7" s="310"/>
      <c r="D7" s="317"/>
      <c r="E7" s="318"/>
      <c r="F7" s="318"/>
      <c r="G7" s="129"/>
      <c r="H7" s="129"/>
      <c r="I7" s="129"/>
      <c r="J7" s="129"/>
      <c r="K7" s="129"/>
      <c r="L7" s="129"/>
    </row>
    <row r="8" spans="1:13" ht="10.5" customHeight="1" thickBot="1" x14ac:dyDescent="0.4">
      <c r="D8" s="122"/>
      <c r="E8" s="123"/>
      <c r="F8" s="129"/>
      <c r="G8" s="129"/>
      <c r="H8" s="129"/>
      <c r="I8" s="129"/>
      <c r="J8" s="129"/>
      <c r="K8" s="129"/>
      <c r="L8" s="129"/>
    </row>
    <row r="9" spans="1:13" ht="69.75" customHeight="1" thickBot="1" x14ac:dyDescent="0.4">
      <c r="A9" s="124"/>
      <c r="B9" s="305" t="s">
        <v>83</v>
      </c>
      <c r="C9" s="306"/>
      <c r="D9" s="306"/>
      <c r="E9" s="307"/>
      <c r="F9" s="303" t="s">
        <v>84</v>
      </c>
      <c r="G9" s="129"/>
      <c r="H9" s="129"/>
      <c r="I9" s="129"/>
      <c r="J9" s="129"/>
      <c r="K9" s="129"/>
      <c r="L9" s="129"/>
    </row>
    <row r="10" spans="1:13" s="129" customFormat="1" ht="50.25" customHeight="1" x14ac:dyDescent="0.35">
      <c r="A10" s="125"/>
      <c r="B10" s="308" t="s">
        <v>85</v>
      </c>
      <c r="C10" s="183" t="s">
        <v>86</v>
      </c>
      <c r="D10" s="182" t="s">
        <v>87</v>
      </c>
      <c r="E10" s="183" t="s">
        <v>88</v>
      </c>
      <c r="F10" s="304"/>
    </row>
    <row r="11" spans="1:13" s="129" customFormat="1" ht="213.75" customHeight="1" x14ac:dyDescent="0.35">
      <c r="A11" s="125"/>
      <c r="B11" s="309"/>
      <c r="C11" s="247" t="s">
        <v>89</v>
      </c>
      <c r="D11" s="248" t="s">
        <v>439</v>
      </c>
      <c r="E11" s="248" t="s">
        <v>440</v>
      </c>
      <c r="F11" s="249"/>
    </row>
    <row r="12" spans="1:13" s="129" customFormat="1" ht="234.75" customHeight="1" x14ac:dyDescent="0.35">
      <c r="A12" s="125"/>
      <c r="B12" s="309"/>
      <c r="C12" s="247" t="s">
        <v>90</v>
      </c>
      <c r="D12" s="248" t="s">
        <v>428</v>
      </c>
      <c r="E12" s="248" t="s">
        <v>429</v>
      </c>
      <c r="F12" s="250"/>
    </row>
    <row r="13" spans="1:13" s="129" customFormat="1" ht="214.5" customHeight="1" x14ac:dyDescent="0.35">
      <c r="A13" s="125"/>
      <c r="B13" s="309"/>
      <c r="C13" s="247" t="s">
        <v>91</v>
      </c>
      <c r="D13" s="248" t="s">
        <v>430</v>
      </c>
      <c r="E13" s="248" t="s">
        <v>431</v>
      </c>
      <c r="F13" s="250"/>
    </row>
    <row r="14" spans="1:13" s="129" customFormat="1" ht="240" customHeight="1" x14ac:dyDescent="0.35">
      <c r="A14" s="125"/>
      <c r="B14" s="309"/>
      <c r="C14" s="247" t="s">
        <v>92</v>
      </c>
      <c r="D14" s="248" t="s">
        <v>432</v>
      </c>
      <c r="E14" s="248" t="s">
        <v>433</v>
      </c>
      <c r="F14" s="249"/>
    </row>
    <row r="15" spans="1:13" s="129" customFormat="1" ht="242.25" customHeight="1" x14ac:dyDescent="0.35">
      <c r="A15" s="125"/>
      <c r="B15" s="309"/>
      <c r="C15" s="247" t="s">
        <v>93</v>
      </c>
      <c r="D15" s="248" t="s">
        <v>441</v>
      </c>
      <c r="E15" s="248" t="s">
        <v>434</v>
      </c>
      <c r="F15" s="249"/>
    </row>
    <row r="16" spans="1:13" s="129" customFormat="1" ht="325.5" x14ac:dyDescent="0.35">
      <c r="A16" s="125"/>
      <c r="B16" s="309"/>
      <c r="C16" s="247" t="s">
        <v>94</v>
      </c>
      <c r="D16" s="248" t="s">
        <v>435</v>
      </c>
      <c r="E16" s="248" t="s">
        <v>436</v>
      </c>
      <c r="F16" s="254" t="s">
        <v>442</v>
      </c>
    </row>
    <row r="17" spans="1:6" s="141" customFormat="1" ht="228.75" customHeight="1" x14ac:dyDescent="0.35">
      <c r="A17" s="139"/>
      <c r="B17" s="309"/>
      <c r="C17" s="251" t="s">
        <v>95</v>
      </c>
      <c r="D17" s="248" t="s">
        <v>437</v>
      </c>
      <c r="E17" s="248" t="s">
        <v>438</v>
      </c>
      <c r="F17" s="252"/>
    </row>
    <row r="18" spans="1:6" ht="168" customHeight="1" x14ac:dyDescent="0.25">
      <c r="B18" s="309"/>
      <c r="C18" s="251" t="s">
        <v>96</v>
      </c>
      <c r="D18" s="248"/>
      <c r="E18" s="248"/>
      <c r="F18" s="253"/>
    </row>
    <row r="20" spans="1:6" x14ac:dyDescent="0.25">
      <c r="B20" s="301"/>
      <c r="C20" s="301"/>
      <c r="D20" s="301"/>
      <c r="E20" s="301"/>
    </row>
    <row r="21" spans="1:6" ht="27" x14ac:dyDescent="0.25">
      <c r="B21" s="302"/>
      <c r="C21" s="184"/>
      <c r="D21" s="184"/>
      <c r="E21" s="184"/>
    </row>
    <row r="22" spans="1:6" x14ac:dyDescent="0.25">
      <c r="B22" s="302"/>
      <c r="C22" s="185"/>
      <c r="D22" s="186"/>
      <c r="E22" s="186"/>
    </row>
    <row r="23" spans="1:6" x14ac:dyDescent="0.25">
      <c r="B23" s="302"/>
      <c r="C23" s="185"/>
      <c r="D23" s="187"/>
      <c r="E23" s="187"/>
    </row>
    <row r="24" spans="1:6" x14ac:dyDescent="0.25">
      <c r="B24" s="302"/>
      <c r="C24" s="185"/>
      <c r="D24" s="187"/>
      <c r="E24" s="187"/>
    </row>
    <row r="25" spans="1:6" x14ac:dyDescent="0.25">
      <c r="B25" s="302"/>
      <c r="C25" s="185"/>
      <c r="D25" s="187"/>
      <c r="E25" s="187"/>
    </row>
    <row r="26" spans="1:6" x14ac:dyDescent="0.25">
      <c r="B26" s="302"/>
      <c r="C26" s="185"/>
      <c r="D26" s="187"/>
      <c r="E26" s="186"/>
    </row>
    <row r="27" spans="1:6" x14ac:dyDescent="0.25">
      <c r="B27" s="302"/>
      <c r="C27" s="185"/>
      <c r="D27" s="187"/>
      <c r="E27" s="186"/>
    </row>
    <row r="28" spans="1:6" x14ac:dyDescent="0.25">
      <c r="B28" s="302"/>
      <c r="C28" s="188"/>
      <c r="D28" s="187"/>
      <c r="E28" s="187"/>
    </row>
    <row r="29" spans="1:6" ht="27.75" x14ac:dyDescent="0.35">
      <c r="B29" s="302"/>
      <c r="C29" s="141"/>
      <c r="D29" s="189"/>
      <c r="E29" s="189"/>
    </row>
  </sheetData>
  <mergeCells count="13">
    <mergeCell ref="B7:C7"/>
    <mergeCell ref="B2:C4"/>
    <mergeCell ref="B6:C6"/>
    <mergeCell ref="D2:F2"/>
    <mergeCell ref="D4:F4"/>
    <mergeCell ref="E3:F3"/>
    <mergeCell ref="D6:F6"/>
    <mergeCell ref="D7:F7"/>
    <mergeCell ref="B20:E20"/>
    <mergeCell ref="B21:B29"/>
    <mergeCell ref="F9:F10"/>
    <mergeCell ref="B9:E9"/>
    <mergeCell ref="B10:B18"/>
  </mergeCells>
  <pageMargins left="0.70866141732283472" right="0.70866141732283472" top="0.74803149606299213" bottom="0.74803149606299213" header="0.31496062992125984" footer="0.31496062992125984"/>
  <pageSetup scale="32" orientation="landscape" r:id="rId1"/>
  <headerFooter>
    <oddFooter>&amp;LAvenida Calle 26 No. 57-83 Torre 8, Piso 8 CEMSA - C.P. 111321 
PBX:(+57) 601-3779555 - Información: Línea 195 
Sede Operativa - Atención al Ciudadano: Calle 22D No. 120-40 
www.umv.gov.co&amp;CDESI-FM-029
Página &amp;P de &amp;N</oddFooter>
  </headerFooter>
  <rowBreaks count="1" manualBreakCount="1">
    <brk id="9" min="1" max="4"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Intructivo!$C$300:$C$316</xm:f>
          </x14:formula1>
          <xm:sqref>D6:F6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19"/>
  <sheetViews>
    <sheetView topLeftCell="B1" zoomScale="50" zoomScaleNormal="50" workbookViewId="0">
      <selection activeCell="I4" sqref="I4"/>
    </sheetView>
  </sheetViews>
  <sheetFormatPr baseColWidth="10" defaultColWidth="11.42578125" defaultRowHeight="26.25" x14ac:dyDescent="0.35"/>
  <cols>
    <col min="1" max="1" width="11.85546875" style="119" customWidth="1"/>
    <col min="2" max="2" width="7.42578125" style="120" customWidth="1"/>
    <col min="3" max="3" width="36.85546875" style="121" customWidth="1"/>
    <col min="4" max="4" width="150" style="147" customWidth="1"/>
    <col min="5" max="5" width="168" style="121" customWidth="1"/>
    <col min="6" max="6" width="51.7109375" style="119" customWidth="1"/>
    <col min="7" max="16384" width="11.42578125" style="119"/>
  </cols>
  <sheetData>
    <row r="1" spans="1:6" x14ac:dyDescent="0.35">
      <c r="D1" s="122"/>
      <c r="E1" s="123"/>
    </row>
    <row r="2" spans="1:6" ht="40.5" customHeight="1" thickBot="1" x14ac:dyDescent="0.3">
      <c r="A2" s="124"/>
      <c r="B2" s="319" t="s">
        <v>97</v>
      </c>
      <c r="C2" s="319"/>
      <c r="D2" s="319"/>
      <c r="E2" s="320"/>
      <c r="F2" s="324" t="s">
        <v>98</v>
      </c>
    </row>
    <row r="3" spans="1:6" s="129" customFormat="1" ht="40.5" customHeight="1" thickBot="1" x14ac:dyDescent="0.4">
      <c r="A3" s="125"/>
      <c r="B3" s="321" t="s">
        <v>99</v>
      </c>
      <c r="C3" s="126" t="s">
        <v>86</v>
      </c>
      <c r="D3" s="127" t="s">
        <v>87</v>
      </c>
      <c r="E3" s="128" t="s">
        <v>88</v>
      </c>
      <c r="F3" s="325"/>
    </row>
    <row r="4" spans="1:6" s="129" customFormat="1" ht="228.75" customHeight="1" thickBot="1" x14ac:dyDescent="0.4">
      <c r="A4" s="125"/>
      <c r="B4" s="322"/>
      <c r="C4" s="130" t="s">
        <v>89</v>
      </c>
      <c r="D4" s="131" t="s">
        <v>100</v>
      </c>
      <c r="E4" s="160" t="s">
        <v>101</v>
      </c>
      <c r="F4" s="165" t="s">
        <v>102</v>
      </c>
    </row>
    <row r="5" spans="1:6" s="129" customFormat="1" ht="289.5" thickBot="1" x14ac:dyDescent="0.4">
      <c r="A5" s="125"/>
      <c r="B5" s="322"/>
      <c r="C5" s="132" t="s">
        <v>90</v>
      </c>
      <c r="D5" s="133" t="s">
        <v>103</v>
      </c>
      <c r="E5" s="161" t="s">
        <v>104</v>
      </c>
      <c r="F5" s="164" t="s">
        <v>105</v>
      </c>
    </row>
    <row r="6" spans="1:6" s="129" customFormat="1" ht="237" thickBot="1" x14ac:dyDescent="0.4">
      <c r="A6" s="125"/>
      <c r="B6" s="322"/>
      <c r="C6" s="134" t="s">
        <v>91</v>
      </c>
      <c r="D6" s="135" t="s">
        <v>106</v>
      </c>
      <c r="E6" s="162" t="s">
        <v>107</v>
      </c>
      <c r="F6" s="164"/>
    </row>
    <row r="7" spans="1:6" s="129" customFormat="1" ht="154.5" customHeight="1" thickBot="1" x14ac:dyDescent="0.4">
      <c r="A7" s="125"/>
      <c r="B7" s="322"/>
      <c r="C7" s="136" t="s">
        <v>92</v>
      </c>
      <c r="D7" s="137"/>
      <c r="E7" s="161"/>
      <c r="F7" s="164"/>
    </row>
    <row r="8" spans="1:6" s="129" customFormat="1" ht="144.75" thickBot="1" x14ac:dyDescent="0.4">
      <c r="A8" s="125"/>
      <c r="B8" s="322"/>
      <c r="C8" s="138" t="s">
        <v>93</v>
      </c>
      <c r="D8" s="135" t="s">
        <v>108</v>
      </c>
      <c r="E8" s="163" t="s">
        <v>109</v>
      </c>
      <c r="F8" s="164"/>
    </row>
    <row r="9" spans="1:6" s="129" customFormat="1" ht="138" thickBot="1" x14ac:dyDescent="0.4">
      <c r="A9" s="125"/>
      <c r="B9" s="322"/>
      <c r="C9" s="136" t="s">
        <v>94</v>
      </c>
      <c r="D9" s="133" t="s">
        <v>110</v>
      </c>
      <c r="E9" s="163" t="s">
        <v>111</v>
      </c>
      <c r="F9" s="164"/>
    </row>
    <row r="10" spans="1:6" s="141" customFormat="1" ht="263.25" thickBot="1" x14ac:dyDescent="0.4">
      <c r="A10" s="139"/>
      <c r="B10" s="322"/>
      <c r="C10" s="140" t="s">
        <v>95</v>
      </c>
      <c r="D10" s="133" t="s">
        <v>112</v>
      </c>
      <c r="E10" s="162" t="s">
        <v>113</v>
      </c>
      <c r="F10" s="166"/>
    </row>
    <row r="11" spans="1:6" s="141" customFormat="1" ht="28.5" thickBot="1" x14ac:dyDescent="0.4">
      <c r="A11" s="139"/>
      <c r="B11" s="323"/>
      <c r="C11" s="142"/>
      <c r="D11" s="143"/>
      <c r="E11" s="144"/>
    </row>
    <row r="12" spans="1:6" ht="27" x14ac:dyDescent="0.35">
      <c r="D12" s="145"/>
      <c r="E12" s="146"/>
    </row>
    <row r="17" spans="4:4" x14ac:dyDescent="0.35">
      <c r="D17" s="122"/>
    </row>
    <row r="18" spans="4:4" x14ac:dyDescent="0.35">
      <c r="D18" s="122"/>
    </row>
    <row r="19" spans="4:4" x14ac:dyDescent="0.35">
      <c r="D19" s="122"/>
    </row>
  </sheetData>
  <mergeCells count="3">
    <mergeCell ref="B2:E2"/>
    <mergeCell ref="B3:B11"/>
    <mergeCell ref="F2:F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JJ22"/>
  <sheetViews>
    <sheetView tabSelected="1" zoomScale="50" zoomScaleNormal="50" zoomScaleSheetLayoutView="30" zoomScalePageLayoutView="60" workbookViewId="0">
      <selection sqref="A1:C4"/>
    </sheetView>
  </sheetViews>
  <sheetFormatPr baseColWidth="10" defaultColWidth="11.42578125" defaultRowHeight="15" x14ac:dyDescent="0.2"/>
  <cols>
    <col min="1" max="1" width="6.5703125" style="228" customWidth="1"/>
    <col min="2" max="2" width="16" style="228" customWidth="1"/>
    <col min="3" max="3" width="33.85546875" style="228" customWidth="1"/>
    <col min="4" max="4" width="24.7109375" style="228" customWidth="1"/>
    <col min="5" max="5" width="50.42578125" style="202" customWidth="1"/>
    <col min="6" max="6" width="15.140625" style="202" customWidth="1"/>
    <col min="7" max="7" width="16.7109375" style="229" customWidth="1"/>
    <col min="8" max="11" width="14.5703125" style="229" customWidth="1"/>
    <col min="12" max="12" width="16.7109375" style="202" customWidth="1"/>
    <col min="13" max="13" width="20.42578125" style="202" customWidth="1"/>
    <col min="14" max="14" width="10" style="202" customWidth="1"/>
    <col min="15" max="15" width="35.85546875" style="202" customWidth="1"/>
    <col min="16" max="16" width="30.5703125" style="202" hidden="1" customWidth="1"/>
    <col min="17" max="17" width="17.5703125" style="202" customWidth="1"/>
    <col min="18" max="18" width="8.42578125" style="202" customWidth="1"/>
    <col min="19" max="19" width="16" style="202" customWidth="1"/>
    <col min="20" max="20" width="11.28515625" style="202" customWidth="1"/>
    <col min="21" max="21" width="67.7109375" style="202" customWidth="1"/>
    <col min="22" max="22" width="10.42578125" style="202" hidden="1" customWidth="1"/>
    <col min="23" max="23" width="6.85546875" style="202" customWidth="1"/>
    <col min="24" max="24" width="5" style="202" customWidth="1"/>
    <col min="25" max="25" width="5.5703125" style="202" hidden="1" customWidth="1"/>
    <col min="26" max="26" width="7.140625" style="202" customWidth="1"/>
    <col min="27" max="27" width="6.7109375" style="202" customWidth="1"/>
    <col min="28" max="28" width="7.5703125" style="202" customWidth="1"/>
    <col min="29" max="29" width="38.28515625" style="202" hidden="1" customWidth="1"/>
    <col min="30" max="34" width="10.85546875" style="202" customWidth="1"/>
    <col min="35" max="35" width="10.85546875" style="227" customWidth="1"/>
    <col min="36" max="36" width="23" style="202" customWidth="1"/>
    <col min="37" max="38" width="18.85546875" style="202" customWidth="1"/>
    <col min="39" max="39" width="22.42578125" style="202" customWidth="1"/>
    <col min="40" max="40" width="22.140625" style="202" customWidth="1"/>
    <col min="41" max="41" width="16.42578125" style="202" customWidth="1"/>
    <col min="42" max="42" width="26.140625" style="202" customWidth="1"/>
    <col min="43" max="16384" width="11.42578125" style="202"/>
  </cols>
  <sheetData>
    <row r="1" spans="1:270" s="205" customFormat="1" ht="24" customHeight="1" x14ac:dyDescent="0.3">
      <c r="A1" s="333"/>
      <c r="B1" s="334"/>
      <c r="C1" s="335"/>
      <c r="D1" s="342" t="s">
        <v>114</v>
      </c>
      <c r="E1" s="343"/>
      <c r="F1" s="343"/>
      <c r="G1" s="343"/>
      <c r="H1" s="343"/>
      <c r="I1" s="343"/>
      <c r="J1" s="343"/>
      <c r="K1" s="343"/>
      <c r="L1" s="343"/>
      <c r="M1" s="343"/>
      <c r="N1" s="343"/>
      <c r="O1" s="343"/>
      <c r="P1" s="343"/>
      <c r="Q1" s="343"/>
      <c r="R1" s="343"/>
      <c r="S1" s="344"/>
      <c r="T1" s="203"/>
      <c r="U1" s="363" t="s">
        <v>114</v>
      </c>
      <c r="V1" s="343"/>
      <c r="W1" s="343"/>
      <c r="X1" s="343"/>
      <c r="Y1" s="343"/>
      <c r="Z1" s="343"/>
      <c r="AA1" s="343"/>
      <c r="AB1" s="343"/>
      <c r="AC1" s="343"/>
      <c r="AD1" s="343"/>
      <c r="AE1" s="343"/>
      <c r="AF1" s="343"/>
      <c r="AG1" s="343"/>
      <c r="AH1" s="343"/>
      <c r="AI1" s="343"/>
      <c r="AJ1" s="343"/>
      <c r="AK1" s="343"/>
      <c r="AL1" s="343"/>
      <c r="AM1" s="343"/>
      <c r="AN1" s="343"/>
      <c r="AO1" s="343"/>
      <c r="AP1" s="344"/>
      <c r="AQ1" s="204"/>
      <c r="AR1" s="204"/>
      <c r="AS1" s="204"/>
      <c r="AT1" s="204"/>
      <c r="AU1" s="204"/>
      <c r="AV1" s="204"/>
      <c r="AW1" s="204"/>
      <c r="AX1" s="204"/>
      <c r="AY1" s="204"/>
      <c r="AZ1" s="204"/>
      <c r="BA1" s="204"/>
      <c r="BB1" s="204"/>
      <c r="BC1" s="204"/>
      <c r="BD1" s="204"/>
      <c r="BE1" s="204"/>
      <c r="BF1" s="204"/>
      <c r="BG1" s="204"/>
      <c r="BH1" s="204"/>
      <c r="BI1" s="204"/>
      <c r="BJ1" s="204"/>
      <c r="BK1" s="204"/>
      <c r="BL1" s="204"/>
      <c r="BM1" s="204"/>
    </row>
    <row r="2" spans="1:270" s="205" customFormat="1" ht="24" customHeight="1" thickBot="1" x14ac:dyDescent="0.35">
      <c r="A2" s="336"/>
      <c r="B2" s="337"/>
      <c r="C2" s="338"/>
      <c r="D2" s="345"/>
      <c r="E2" s="346"/>
      <c r="F2" s="346"/>
      <c r="G2" s="346"/>
      <c r="H2" s="346"/>
      <c r="I2" s="346"/>
      <c r="J2" s="346"/>
      <c r="K2" s="346"/>
      <c r="L2" s="346"/>
      <c r="M2" s="346"/>
      <c r="N2" s="346"/>
      <c r="O2" s="346"/>
      <c r="P2" s="346"/>
      <c r="Q2" s="346"/>
      <c r="R2" s="346"/>
      <c r="S2" s="347"/>
      <c r="T2" s="203"/>
      <c r="U2" s="364"/>
      <c r="V2" s="346"/>
      <c r="W2" s="346"/>
      <c r="X2" s="346"/>
      <c r="Y2" s="346"/>
      <c r="Z2" s="346"/>
      <c r="AA2" s="346"/>
      <c r="AB2" s="346"/>
      <c r="AC2" s="346"/>
      <c r="AD2" s="346"/>
      <c r="AE2" s="346"/>
      <c r="AF2" s="346"/>
      <c r="AG2" s="346"/>
      <c r="AH2" s="346"/>
      <c r="AI2" s="346"/>
      <c r="AJ2" s="346"/>
      <c r="AK2" s="346"/>
      <c r="AL2" s="346"/>
      <c r="AM2" s="346"/>
      <c r="AN2" s="346"/>
      <c r="AO2" s="346"/>
      <c r="AP2" s="347"/>
      <c r="AQ2" s="204"/>
      <c r="AR2" s="204"/>
      <c r="AS2" s="204"/>
      <c r="AT2" s="204"/>
      <c r="AU2" s="204"/>
      <c r="AV2" s="204"/>
      <c r="AW2" s="204"/>
      <c r="AX2" s="204"/>
      <c r="AY2" s="204"/>
      <c r="AZ2" s="204"/>
      <c r="BA2" s="204"/>
      <c r="BB2" s="204"/>
      <c r="BC2" s="204"/>
      <c r="BD2" s="204"/>
      <c r="BE2" s="204"/>
      <c r="BF2" s="204"/>
      <c r="BG2" s="204"/>
      <c r="BH2" s="204"/>
      <c r="BI2" s="204"/>
      <c r="BJ2" s="204"/>
      <c r="BK2" s="204"/>
      <c r="BL2" s="204"/>
      <c r="BM2" s="204"/>
    </row>
    <row r="3" spans="1:270" s="205" customFormat="1" ht="24" customHeight="1" x14ac:dyDescent="0.3">
      <c r="A3" s="336"/>
      <c r="B3" s="337"/>
      <c r="C3" s="338"/>
      <c r="D3" s="348" t="s">
        <v>115</v>
      </c>
      <c r="E3" s="349"/>
      <c r="F3" s="349"/>
      <c r="G3" s="349"/>
      <c r="H3" s="349"/>
      <c r="I3" s="349"/>
      <c r="J3" s="349"/>
      <c r="K3" s="349"/>
      <c r="L3" s="349" t="s">
        <v>116</v>
      </c>
      <c r="M3" s="349"/>
      <c r="N3" s="349"/>
      <c r="O3" s="349"/>
      <c r="P3" s="349"/>
      <c r="Q3" s="349"/>
      <c r="R3" s="349"/>
      <c r="S3" s="350"/>
      <c r="T3" s="203"/>
      <c r="U3" s="365" t="s">
        <v>117</v>
      </c>
      <c r="V3" s="366"/>
      <c r="W3" s="366"/>
      <c r="X3" s="366"/>
      <c r="Y3" s="366"/>
      <c r="Z3" s="366"/>
      <c r="AA3" s="366"/>
      <c r="AB3" s="366"/>
      <c r="AC3" s="366"/>
      <c r="AD3" s="366"/>
      <c r="AE3" s="366"/>
      <c r="AF3" s="366"/>
      <c r="AG3" s="366"/>
      <c r="AH3" s="366"/>
      <c r="AI3" s="366"/>
      <c r="AJ3" s="366" t="s">
        <v>116</v>
      </c>
      <c r="AK3" s="366"/>
      <c r="AL3" s="366"/>
      <c r="AM3" s="366"/>
      <c r="AN3" s="366"/>
      <c r="AO3" s="366"/>
      <c r="AP3" s="368"/>
      <c r="AQ3" s="206"/>
      <c r="AR3" s="204"/>
      <c r="AS3" s="204"/>
      <c r="AT3" s="204"/>
      <c r="AU3" s="204"/>
      <c r="AV3" s="204"/>
      <c r="AW3" s="204"/>
      <c r="AX3" s="204"/>
      <c r="AY3" s="204"/>
      <c r="AZ3" s="204"/>
      <c r="BA3" s="204"/>
      <c r="BB3" s="204"/>
      <c r="BC3" s="204"/>
      <c r="BD3" s="204"/>
      <c r="BE3" s="204"/>
      <c r="BF3" s="204"/>
      <c r="BG3" s="204"/>
      <c r="BH3" s="204"/>
      <c r="BI3" s="204"/>
      <c r="BJ3" s="204"/>
      <c r="BK3" s="204"/>
      <c r="BL3" s="204"/>
      <c r="BM3" s="204"/>
    </row>
    <row r="4" spans="1:270" s="205" customFormat="1" ht="24" customHeight="1" thickBot="1" x14ac:dyDescent="0.35">
      <c r="A4" s="339"/>
      <c r="B4" s="340"/>
      <c r="C4" s="341"/>
      <c r="D4" s="351" t="s">
        <v>80</v>
      </c>
      <c r="E4" s="352"/>
      <c r="F4" s="352"/>
      <c r="G4" s="352"/>
      <c r="H4" s="352"/>
      <c r="I4" s="352"/>
      <c r="J4" s="352"/>
      <c r="K4" s="352"/>
      <c r="L4" s="352"/>
      <c r="M4" s="352"/>
      <c r="N4" s="352"/>
      <c r="O4" s="352"/>
      <c r="P4" s="352"/>
      <c r="Q4" s="352"/>
      <c r="R4" s="352"/>
      <c r="S4" s="353"/>
      <c r="T4" s="203"/>
      <c r="U4" s="367" t="s">
        <v>118</v>
      </c>
      <c r="V4" s="352"/>
      <c r="W4" s="352"/>
      <c r="X4" s="352"/>
      <c r="Y4" s="352"/>
      <c r="Z4" s="352"/>
      <c r="AA4" s="352"/>
      <c r="AB4" s="352"/>
      <c r="AC4" s="352"/>
      <c r="AD4" s="352"/>
      <c r="AE4" s="352"/>
      <c r="AF4" s="352"/>
      <c r="AG4" s="352"/>
      <c r="AH4" s="352"/>
      <c r="AI4" s="352"/>
      <c r="AJ4" s="352"/>
      <c r="AK4" s="352"/>
      <c r="AL4" s="352"/>
      <c r="AM4" s="352"/>
      <c r="AN4" s="352"/>
      <c r="AO4" s="352"/>
      <c r="AP4" s="353"/>
      <c r="AQ4" s="204"/>
      <c r="AR4" s="204"/>
      <c r="AS4" s="204"/>
      <c r="AT4" s="204"/>
      <c r="AU4" s="204"/>
      <c r="AV4" s="204"/>
      <c r="AW4" s="204"/>
      <c r="AX4" s="204"/>
      <c r="AY4" s="204"/>
      <c r="AZ4" s="204"/>
      <c r="BA4" s="204"/>
      <c r="BB4" s="204"/>
      <c r="BC4" s="204"/>
      <c r="BD4" s="204"/>
      <c r="BE4" s="204"/>
      <c r="BF4" s="204"/>
      <c r="BG4" s="204"/>
      <c r="BH4" s="204"/>
      <c r="BI4" s="204"/>
      <c r="BJ4" s="204"/>
      <c r="BK4" s="204"/>
      <c r="BL4" s="204"/>
      <c r="BM4" s="204"/>
    </row>
    <row r="5" spans="1:270" ht="15.75" thickBot="1" x14ac:dyDescent="0.25">
      <c r="A5" s="207"/>
      <c r="B5" s="208"/>
      <c r="C5" s="207"/>
      <c r="D5" s="207"/>
      <c r="E5" s="209"/>
      <c r="F5" s="209"/>
      <c r="G5" s="210"/>
      <c r="H5" s="210"/>
      <c r="I5" s="210"/>
      <c r="J5" s="210"/>
      <c r="K5" s="210"/>
      <c r="L5" s="209"/>
      <c r="M5" s="209"/>
      <c r="N5" s="209"/>
      <c r="O5" s="209"/>
      <c r="P5" s="209"/>
      <c r="Q5" s="209"/>
      <c r="R5" s="209"/>
      <c r="S5" s="209"/>
      <c r="T5" s="209"/>
      <c r="U5" s="209"/>
      <c r="V5" s="209"/>
      <c r="W5" s="209"/>
      <c r="X5" s="209"/>
      <c r="Y5" s="209"/>
      <c r="Z5" s="209"/>
      <c r="AA5" s="209"/>
      <c r="AB5" s="209"/>
      <c r="AC5" s="209"/>
      <c r="AD5" s="209"/>
      <c r="AE5" s="209"/>
      <c r="AF5" s="209"/>
      <c r="AG5" s="209"/>
      <c r="AH5" s="209"/>
      <c r="AI5" s="211"/>
      <c r="AJ5" s="209"/>
      <c r="AK5" s="209"/>
      <c r="AL5" s="209"/>
      <c r="AM5" s="209"/>
      <c r="AN5" s="209"/>
      <c r="AO5" s="209"/>
      <c r="AP5" s="209"/>
      <c r="AQ5" s="209"/>
      <c r="AR5" s="209"/>
      <c r="AS5" s="209"/>
      <c r="AT5" s="209"/>
      <c r="AU5" s="209"/>
      <c r="AV5" s="209"/>
      <c r="AW5" s="209"/>
      <c r="AX5" s="209"/>
      <c r="AY5" s="209"/>
      <c r="AZ5" s="209"/>
      <c r="BA5" s="209"/>
      <c r="BB5" s="209"/>
      <c r="BC5" s="209"/>
      <c r="BD5" s="209"/>
      <c r="BE5" s="209"/>
      <c r="BF5" s="209"/>
      <c r="BG5" s="209"/>
      <c r="BH5" s="209"/>
      <c r="BI5" s="209"/>
      <c r="BJ5" s="209"/>
      <c r="BK5" s="209"/>
      <c r="BL5" s="209"/>
      <c r="BM5" s="209"/>
    </row>
    <row r="6" spans="1:270" ht="27.75" customHeight="1" x14ac:dyDescent="0.2">
      <c r="A6" s="369" t="s">
        <v>119</v>
      </c>
      <c r="B6" s="370"/>
      <c r="C6" s="326" t="s">
        <v>76</v>
      </c>
      <c r="D6" s="327"/>
      <c r="E6" s="327"/>
      <c r="F6" s="327"/>
      <c r="G6" s="327"/>
      <c r="H6" s="327"/>
      <c r="I6" s="327"/>
      <c r="J6" s="327"/>
      <c r="K6" s="327"/>
      <c r="L6" s="327"/>
      <c r="M6" s="327"/>
      <c r="N6" s="327"/>
      <c r="O6" s="327"/>
      <c r="P6" s="327"/>
      <c r="Q6" s="327"/>
      <c r="R6" s="327"/>
      <c r="S6" s="328"/>
      <c r="T6" s="329" t="s">
        <v>119</v>
      </c>
      <c r="U6" s="330"/>
      <c r="V6" s="331"/>
      <c r="W6" s="354" t="str">
        <f>C6</f>
        <v>17. Control disciplinario interno</v>
      </c>
      <c r="X6" s="355"/>
      <c r="Y6" s="355"/>
      <c r="Z6" s="355"/>
      <c r="AA6" s="355"/>
      <c r="AB6" s="355"/>
      <c r="AC6" s="355"/>
      <c r="AD6" s="355"/>
      <c r="AE6" s="355"/>
      <c r="AF6" s="355"/>
      <c r="AG6" s="355"/>
      <c r="AH6" s="355"/>
      <c r="AI6" s="355"/>
      <c r="AJ6" s="355"/>
      <c r="AK6" s="355"/>
      <c r="AL6" s="355"/>
      <c r="AM6" s="355"/>
      <c r="AN6" s="355"/>
      <c r="AO6" s="355"/>
      <c r="AP6" s="356"/>
      <c r="AQ6" s="209"/>
      <c r="AR6" s="209"/>
      <c r="AS6" s="209"/>
      <c r="AT6" s="209"/>
      <c r="AU6" s="209"/>
      <c r="AV6" s="209"/>
      <c r="AW6" s="209"/>
      <c r="AX6" s="209"/>
      <c r="AY6" s="209"/>
      <c r="AZ6" s="209"/>
      <c r="BA6" s="209"/>
      <c r="BB6" s="209"/>
      <c r="BC6" s="209"/>
      <c r="BD6" s="209"/>
      <c r="BE6" s="209"/>
      <c r="BF6" s="209"/>
      <c r="BG6" s="209"/>
      <c r="BH6" s="209"/>
      <c r="BI6" s="209"/>
      <c r="BJ6" s="209"/>
      <c r="BK6" s="209"/>
      <c r="BL6" s="209"/>
      <c r="BM6" s="209"/>
    </row>
    <row r="7" spans="1:270" ht="36.75" customHeight="1" x14ac:dyDescent="0.25">
      <c r="A7" s="371" t="s">
        <v>120</v>
      </c>
      <c r="B7" s="372"/>
      <c r="C7" s="375" t="s">
        <v>121</v>
      </c>
      <c r="D7" s="376"/>
      <c r="E7" s="376"/>
      <c r="F7" s="376"/>
      <c r="G7" s="376"/>
      <c r="H7" s="376"/>
      <c r="I7" s="376"/>
      <c r="J7" s="376"/>
      <c r="K7" s="376"/>
      <c r="L7" s="376"/>
      <c r="M7" s="376"/>
      <c r="N7" s="376"/>
      <c r="O7" s="376"/>
      <c r="P7" s="376"/>
      <c r="Q7" s="376"/>
      <c r="R7" s="376"/>
      <c r="S7" s="377"/>
      <c r="T7" s="212" t="s">
        <v>120</v>
      </c>
      <c r="U7" s="213"/>
      <c r="V7" s="214"/>
      <c r="W7" s="357" t="str">
        <f>C7</f>
        <v>Determinar la responsabilidad disciplinaria de los servidores y exservidores públicos cuando se haya incurrido en conductas con relevancia disciplinaria con el fin de proteger la función pública en la Unidad.</v>
      </c>
      <c r="X7" s="358"/>
      <c r="Y7" s="358"/>
      <c r="Z7" s="358"/>
      <c r="AA7" s="358"/>
      <c r="AB7" s="358"/>
      <c r="AC7" s="358"/>
      <c r="AD7" s="358"/>
      <c r="AE7" s="358"/>
      <c r="AF7" s="358"/>
      <c r="AG7" s="358"/>
      <c r="AH7" s="358"/>
      <c r="AI7" s="358"/>
      <c r="AJ7" s="358"/>
      <c r="AK7" s="358"/>
      <c r="AL7" s="358"/>
      <c r="AM7" s="358"/>
      <c r="AN7" s="358"/>
      <c r="AO7" s="358"/>
      <c r="AP7" s="359"/>
      <c r="AQ7" s="209"/>
      <c r="AR7" s="209"/>
      <c r="AS7" s="209"/>
      <c r="AT7" s="209"/>
      <c r="AU7" s="209"/>
      <c r="AV7" s="209"/>
      <c r="AW7" s="209"/>
      <c r="AX7" s="209"/>
      <c r="AY7" s="209"/>
      <c r="AZ7" s="209"/>
      <c r="BA7" s="209"/>
      <c r="BB7" s="209"/>
      <c r="BC7" s="209"/>
      <c r="BD7" s="209"/>
      <c r="BE7" s="209"/>
      <c r="BF7" s="209"/>
      <c r="BG7" s="209"/>
      <c r="BH7" s="209"/>
      <c r="BI7" s="209"/>
      <c r="BJ7" s="209"/>
      <c r="BK7" s="209"/>
      <c r="BL7" s="209"/>
      <c r="BM7" s="209"/>
    </row>
    <row r="8" spans="1:270" ht="42" customHeight="1" thickBot="1" x14ac:dyDescent="0.3">
      <c r="A8" s="373" t="s">
        <v>122</v>
      </c>
      <c r="B8" s="374"/>
      <c r="C8" s="378" t="s">
        <v>123</v>
      </c>
      <c r="D8" s="379"/>
      <c r="E8" s="379"/>
      <c r="F8" s="379"/>
      <c r="G8" s="379"/>
      <c r="H8" s="379"/>
      <c r="I8" s="379"/>
      <c r="J8" s="379"/>
      <c r="K8" s="379"/>
      <c r="L8" s="379"/>
      <c r="M8" s="379"/>
      <c r="N8" s="379"/>
      <c r="O8" s="379"/>
      <c r="P8" s="379"/>
      <c r="Q8" s="379"/>
      <c r="R8" s="379"/>
      <c r="S8" s="380"/>
      <c r="T8" s="215" t="s">
        <v>122</v>
      </c>
      <c r="U8" s="216"/>
      <c r="V8" s="217"/>
      <c r="W8" s="360" t="str">
        <f>C8</f>
        <v>Inicia por medio de una queja, de oficio, o informe presentado por servidor público radicado o por denuncia anónima y/o cualquier otro medio que amerite credibilidad,con destino a la Oficina de Control Disciplinario Interno (OCDI) y que aplique a los servidores y exservidores públicos de la UAERMV que se encuentren presuntamente incursos en falta disciplinaria y finaliza con un  auto de archivo o con fallo que puede ser sancionatorio o absolutorio.</v>
      </c>
      <c r="X8" s="361"/>
      <c r="Y8" s="361"/>
      <c r="Z8" s="361"/>
      <c r="AA8" s="361"/>
      <c r="AB8" s="361"/>
      <c r="AC8" s="361"/>
      <c r="AD8" s="361"/>
      <c r="AE8" s="361"/>
      <c r="AF8" s="361"/>
      <c r="AG8" s="361"/>
      <c r="AH8" s="361"/>
      <c r="AI8" s="361"/>
      <c r="AJ8" s="361"/>
      <c r="AK8" s="361"/>
      <c r="AL8" s="361"/>
      <c r="AM8" s="361"/>
      <c r="AN8" s="361"/>
      <c r="AO8" s="361"/>
      <c r="AP8" s="362"/>
      <c r="AQ8" s="209"/>
      <c r="AR8" s="209"/>
      <c r="AS8" s="209"/>
      <c r="AT8" s="209"/>
      <c r="AU8" s="209"/>
      <c r="AV8" s="209"/>
      <c r="AW8" s="209"/>
      <c r="AX8" s="209"/>
      <c r="AY8" s="209"/>
      <c r="AZ8" s="209"/>
      <c r="BA8" s="209"/>
      <c r="BB8" s="209"/>
      <c r="BC8" s="209"/>
      <c r="BD8" s="209"/>
      <c r="BE8" s="209"/>
      <c r="BF8" s="209"/>
      <c r="BG8" s="209"/>
      <c r="BH8" s="209"/>
      <c r="BI8" s="209"/>
      <c r="BJ8" s="209"/>
      <c r="BK8" s="209"/>
      <c r="BL8" s="209"/>
      <c r="BM8" s="209"/>
    </row>
    <row r="9" spans="1:270" ht="12" customHeight="1" x14ac:dyDescent="0.25">
      <c r="A9" s="218"/>
      <c r="B9" s="218"/>
      <c r="C9" s="219"/>
      <c r="D9" s="219"/>
      <c r="E9" s="219"/>
      <c r="F9" s="219"/>
      <c r="G9" s="219"/>
      <c r="H9" s="219"/>
      <c r="I9" s="219"/>
      <c r="J9" s="219"/>
      <c r="K9" s="219"/>
      <c r="L9" s="219"/>
      <c r="M9" s="219"/>
      <c r="N9" s="219"/>
      <c r="O9" s="219"/>
      <c r="P9" s="219"/>
      <c r="Q9" s="219"/>
      <c r="R9" s="219"/>
      <c r="S9" s="219"/>
      <c r="T9" s="220"/>
      <c r="U9" s="220"/>
      <c r="V9" s="220"/>
      <c r="W9" s="221"/>
      <c r="X9" s="221"/>
      <c r="Y9" s="221"/>
      <c r="Z9" s="221"/>
      <c r="AA9" s="221"/>
      <c r="AB9" s="221"/>
      <c r="AC9" s="221"/>
      <c r="AD9" s="221"/>
      <c r="AE9" s="221"/>
      <c r="AF9" s="221"/>
      <c r="AG9" s="221"/>
      <c r="AH9" s="221"/>
      <c r="AI9" s="221"/>
      <c r="AJ9" s="221"/>
      <c r="AK9" s="221"/>
      <c r="AL9" s="221"/>
      <c r="AM9" s="221"/>
      <c r="AN9" s="221"/>
      <c r="AO9" s="221"/>
      <c r="AP9" s="221"/>
    </row>
    <row r="10" spans="1:270" ht="27.75" customHeight="1" x14ac:dyDescent="0.2">
      <c r="A10" s="332" t="s">
        <v>124</v>
      </c>
      <c r="B10" s="332"/>
      <c r="C10" s="332"/>
      <c r="D10" s="332"/>
      <c r="E10" s="332"/>
      <c r="F10" s="332"/>
      <c r="G10" s="332"/>
      <c r="H10" s="332"/>
      <c r="I10" s="332"/>
      <c r="J10" s="332"/>
      <c r="K10" s="332"/>
      <c r="L10" s="332"/>
      <c r="M10" s="332" t="s">
        <v>125</v>
      </c>
      <c r="N10" s="332"/>
      <c r="O10" s="332"/>
      <c r="P10" s="332"/>
      <c r="Q10" s="332"/>
      <c r="R10" s="332"/>
      <c r="S10" s="332"/>
      <c r="T10" s="332" t="s">
        <v>126</v>
      </c>
      <c r="U10" s="332"/>
      <c r="V10" s="332"/>
      <c r="W10" s="332"/>
      <c r="X10" s="332"/>
      <c r="Y10" s="332"/>
      <c r="Z10" s="332"/>
      <c r="AA10" s="332"/>
      <c r="AB10" s="332"/>
      <c r="AC10" s="332" t="s">
        <v>127</v>
      </c>
      <c r="AD10" s="332"/>
      <c r="AE10" s="332"/>
      <c r="AF10" s="332"/>
      <c r="AG10" s="332"/>
      <c r="AH10" s="332"/>
      <c r="AI10" s="332"/>
      <c r="AJ10" s="332" t="s">
        <v>128</v>
      </c>
      <c r="AK10" s="332"/>
      <c r="AL10" s="332"/>
      <c r="AM10" s="332"/>
      <c r="AN10" s="332" t="s">
        <v>129</v>
      </c>
      <c r="AO10" s="332"/>
      <c r="AP10" s="332"/>
      <c r="AQ10" s="209"/>
      <c r="AR10" s="209"/>
      <c r="AS10" s="209"/>
      <c r="AT10" s="209"/>
      <c r="AU10" s="209"/>
      <c r="AV10" s="209"/>
      <c r="AW10" s="209"/>
      <c r="AX10" s="209"/>
      <c r="AY10" s="209"/>
      <c r="AZ10" s="209"/>
      <c r="BA10" s="209"/>
      <c r="BB10" s="209"/>
      <c r="BC10" s="209"/>
      <c r="BD10" s="209"/>
      <c r="BE10" s="209"/>
      <c r="BF10" s="209"/>
      <c r="BG10" s="209"/>
      <c r="BH10" s="209"/>
      <c r="BI10" s="209"/>
      <c r="BJ10" s="209"/>
      <c r="BK10" s="209"/>
      <c r="BL10" s="209"/>
      <c r="BM10" s="209"/>
    </row>
    <row r="11" spans="1:270" ht="26.25" customHeight="1" x14ac:dyDescent="0.2">
      <c r="A11" s="381" t="s">
        <v>130</v>
      </c>
      <c r="B11" s="383" t="s">
        <v>15</v>
      </c>
      <c r="C11" s="384" t="s">
        <v>17</v>
      </c>
      <c r="D11" s="384" t="s">
        <v>19</v>
      </c>
      <c r="E11" s="383" t="s">
        <v>21</v>
      </c>
      <c r="F11" s="384" t="s">
        <v>131</v>
      </c>
      <c r="G11" s="382" t="s">
        <v>23</v>
      </c>
      <c r="H11" s="387" t="s">
        <v>132</v>
      </c>
      <c r="I11" s="382" t="s">
        <v>133</v>
      </c>
      <c r="J11" s="382" t="s">
        <v>134</v>
      </c>
      <c r="K11" s="382" t="s">
        <v>135</v>
      </c>
      <c r="L11" s="384" t="s">
        <v>136</v>
      </c>
      <c r="M11" s="384" t="s">
        <v>137</v>
      </c>
      <c r="N11" s="383" t="s">
        <v>138</v>
      </c>
      <c r="O11" s="384" t="s">
        <v>139</v>
      </c>
      <c r="P11" s="384" t="s">
        <v>140</v>
      </c>
      <c r="Q11" s="384" t="s">
        <v>141</v>
      </c>
      <c r="R11" s="383" t="s">
        <v>138</v>
      </c>
      <c r="S11" s="384" t="s">
        <v>29</v>
      </c>
      <c r="T11" s="390" t="s">
        <v>142</v>
      </c>
      <c r="U11" s="384" t="s">
        <v>31</v>
      </c>
      <c r="V11" s="384" t="s">
        <v>33</v>
      </c>
      <c r="W11" s="384" t="s">
        <v>143</v>
      </c>
      <c r="X11" s="384"/>
      <c r="Y11" s="384"/>
      <c r="Z11" s="384"/>
      <c r="AA11" s="384"/>
      <c r="AB11" s="384"/>
      <c r="AC11" s="390" t="s">
        <v>144</v>
      </c>
      <c r="AD11" s="390" t="s">
        <v>145</v>
      </c>
      <c r="AE11" s="390" t="s">
        <v>138</v>
      </c>
      <c r="AF11" s="390" t="s">
        <v>146</v>
      </c>
      <c r="AG11" s="390" t="s">
        <v>138</v>
      </c>
      <c r="AH11" s="390" t="s">
        <v>147</v>
      </c>
      <c r="AI11" s="390" t="s">
        <v>49</v>
      </c>
      <c r="AJ11" s="384" t="s">
        <v>148</v>
      </c>
      <c r="AK11" s="384" t="s">
        <v>149</v>
      </c>
      <c r="AL11" s="384" t="s">
        <v>150</v>
      </c>
      <c r="AM11" s="384" t="s">
        <v>151</v>
      </c>
      <c r="AN11" s="384" t="s">
        <v>152</v>
      </c>
      <c r="AO11" s="384" t="s">
        <v>153</v>
      </c>
      <c r="AP11" s="384" t="s">
        <v>154</v>
      </c>
      <c r="AQ11" s="209"/>
      <c r="AR11" s="209"/>
      <c r="AS11" s="209"/>
      <c r="AT11" s="209"/>
      <c r="AU11" s="209"/>
      <c r="AV11" s="209"/>
      <c r="AW11" s="209"/>
      <c r="AX11" s="209"/>
      <c r="AY11" s="209"/>
      <c r="AZ11" s="209"/>
      <c r="BA11" s="209"/>
      <c r="BB11" s="209"/>
      <c r="BC11" s="209"/>
      <c r="BD11" s="209"/>
      <c r="BE11" s="209"/>
      <c r="BF11" s="209"/>
      <c r="BG11" s="209"/>
      <c r="BH11" s="209"/>
      <c r="BI11" s="209"/>
      <c r="BJ11" s="209"/>
      <c r="BK11" s="209"/>
      <c r="BL11" s="209"/>
      <c r="BM11" s="209"/>
    </row>
    <row r="12" spans="1:270" s="225" customFormat="1" ht="24.75" customHeight="1" thickBot="1" x14ac:dyDescent="0.3">
      <c r="A12" s="381"/>
      <c r="B12" s="383"/>
      <c r="C12" s="384"/>
      <c r="D12" s="384"/>
      <c r="E12" s="383"/>
      <c r="F12" s="384"/>
      <c r="G12" s="382"/>
      <c r="H12" s="388"/>
      <c r="I12" s="382"/>
      <c r="J12" s="382"/>
      <c r="K12" s="382"/>
      <c r="L12" s="384"/>
      <c r="M12" s="384"/>
      <c r="N12" s="383"/>
      <c r="O12" s="384"/>
      <c r="P12" s="384"/>
      <c r="Q12" s="383"/>
      <c r="R12" s="383"/>
      <c r="S12" s="384"/>
      <c r="T12" s="390"/>
      <c r="U12" s="384"/>
      <c r="V12" s="384"/>
      <c r="W12" s="222" t="s">
        <v>155</v>
      </c>
      <c r="X12" s="222" t="s">
        <v>156</v>
      </c>
      <c r="Y12" s="222" t="s">
        <v>157</v>
      </c>
      <c r="Z12" s="222" t="s">
        <v>158</v>
      </c>
      <c r="AA12" s="222" t="s">
        <v>159</v>
      </c>
      <c r="AB12" s="222" t="s">
        <v>160</v>
      </c>
      <c r="AC12" s="390"/>
      <c r="AD12" s="390"/>
      <c r="AE12" s="390"/>
      <c r="AF12" s="390"/>
      <c r="AG12" s="390"/>
      <c r="AH12" s="390"/>
      <c r="AI12" s="390"/>
      <c r="AJ12" s="384"/>
      <c r="AK12" s="384"/>
      <c r="AL12" s="384"/>
      <c r="AM12" s="384"/>
      <c r="AN12" s="384"/>
      <c r="AO12" s="384"/>
      <c r="AP12" s="384"/>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4"/>
      <c r="BO12" s="224"/>
      <c r="BP12" s="224"/>
      <c r="BQ12" s="224"/>
      <c r="BR12" s="224"/>
      <c r="BS12" s="224"/>
      <c r="BT12" s="224"/>
      <c r="BU12" s="224"/>
      <c r="BV12" s="224"/>
      <c r="BW12" s="224"/>
      <c r="BX12" s="224"/>
      <c r="BY12" s="224"/>
      <c r="BZ12" s="224"/>
      <c r="CA12" s="224"/>
      <c r="CB12" s="224"/>
      <c r="CC12" s="224"/>
      <c r="CD12" s="224"/>
      <c r="CE12" s="224"/>
      <c r="CF12" s="224"/>
      <c r="CG12" s="224"/>
      <c r="CH12" s="224"/>
      <c r="CI12" s="224"/>
      <c r="CJ12" s="224"/>
      <c r="CK12" s="224"/>
      <c r="CL12" s="224"/>
      <c r="CM12" s="224"/>
      <c r="CN12" s="224"/>
      <c r="CO12" s="224"/>
      <c r="CP12" s="224"/>
      <c r="CQ12" s="224"/>
      <c r="CR12" s="224"/>
      <c r="CS12" s="224"/>
      <c r="CT12" s="224"/>
      <c r="CU12" s="224"/>
      <c r="CV12" s="224"/>
      <c r="CW12" s="224"/>
      <c r="CX12" s="224"/>
      <c r="CY12" s="224"/>
      <c r="CZ12" s="224"/>
      <c r="DA12" s="224"/>
      <c r="DB12" s="224"/>
      <c r="DC12" s="224"/>
      <c r="DD12" s="224"/>
      <c r="DE12" s="224"/>
      <c r="DF12" s="224"/>
      <c r="DG12" s="224"/>
      <c r="DH12" s="224"/>
      <c r="DI12" s="224"/>
      <c r="DJ12" s="224"/>
      <c r="DK12" s="224"/>
      <c r="DL12" s="224"/>
      <c r="DM12" s="224"/>
      <c r="DN12" s="224"/>
      <c r="DO12" s="224"/>
      <c r="DP12" s="224"/>
      <c r="DQ12" s="224"/>
      <c r="DR12" s="224"/>
      <c r="DS12" s="224"/>
      <c r="DT12" s="224"/>
      <c r="DU12" s="224"/>
      <c r="DV12" s="224"/>
      <c r="DW12" s="224"/>
      <c r="DX12" s="224"/>
      <c r="DY12" s="224"/>
      <c r="DZ12" s="224"/>
      <c r="EA12" s="224"/>
      <c r="EB12" s="224"/>
      <c r="EC12" s="224"/>
      <c r="ED12" s="224"/>
      <c r="EE12" s="224"/>
      <c r="EF12" s="224"/>
      <c r="EG12" s="224"/>
      <c r="EH12" s="224"/>
      <c r="EI12" s="224"/>
      <c r="EJ12" s="224"/>
      <c r="EK12" s="224"/>
      <c r="EL12" s="224"/>
      <c r="EM12" s="224"/>
      <c r="EN12" s="224"/>
      <c r="EO12" s="224"/>
      <c r="EP12" s="224"/>
      <c r="EQ12" s="224"/>
      <c r="ER12" s="224"/>
      <c r="ES12" s="224"/>
      <c r="ET12" s="224"/>
      <c r="EU12" s="224"/>
      <c r="EV12" s="224"/>
      <c r="EW12" s="224"/>
      <c r="EX12" s="224"/>
      <c r="EY12" s="224"/>
      <c r="EZ12" s="224"/>
      <c r="FA12" s="224"/>
      <c r="FB12" s="224"/>
      <c r="FC12" s="224"/>
      <c r="FD12" s="224"/>
      <c r="FE12" s="224"/>
      <c r="FF12" s="224"/>
      <c r="FG12" s="224"/>
      <c r="FH12" s="224"/>
      <c r="FI12" s="224"/>
      <c r="FJ12" s="224"/>
      <c r="FK12" s="224"/>
      <c r="FL12" s="224"/>
      <c r="FM12" s="224"/>
      <c r="FN12" s="224"/>
      <c r="FO12" s="224"/>
      <c r="FP12" s="224"/>
      <c r="FQ12" s="224"/>
      <c r="FR12" s="224"/>
      <c r="FS12" s="224"/>
      <c r="FT12" s="224"/>
      <c r="FU12" s="224"/>
      <c r="FV12" s="224"/>
      <c r="FW12" s="224"/>
      <c r="FX12" s="224"/>
      <c r="FY12" s="224"/>
      <c r="FZ12" s="224"/>
      <c r="GA12" s="224"/>
      <c r="GB12" s="224"/>
      <c r="GC12" s="224"/>
      <c r="GD12" s="224"/>
      <c r="GE12" s="224"/>
      <c r="GF12" s="224"/>
      <c r="GG12" s="224"/>
      <c r="GH12" s="224"/>
      <c r="GI12" s="224"/>
      <c r="GJ12" s="224"/>
      <c r="GK12" s="224"/>
      <c r="GL12" s="224"/>
      <c r="GM12" s="224"/>
      <c r="GN12" s="224"/>
      <c r="GO12" s="224"/>
      <c r="GP12" s="224"/>
      <c r="GQ12" s="224"/>
      <c r="GR12" s="224"/>
      <c r="GS12" s="224"/>
      <c r="GT12" s="224"/>
      <c r="GU12" s="224"/>
      <c r="GV12" s="224"/>
      <c r="GW12" s="224"/>
      <c r="GX12" s="224"/>
      <c r="GY12" s="224"/>
      <c r="GZ12" s="224"/>
      <c r="HA12" s="224"/>
      <c r="HB12" s="224"/>
      <c r="HC12" s="224"/>
      <c r="HD12" s="224"/>
      <c r="HE12" s="224"/>
      <c r="HF12" s="224"/>
      <c r="HG12" s="224"/>
      <c r="HH12" s="224"/>
      <c r="HI12" s="224"/>
      <c r="HJ12" s="224"/>
      <c r="HK12" s="224"/>
      <c r="HL12" s="224"/>
      <c r="HM12" s="224"/>
      <c r="HN12" s="224"/>
      <c r="HO12" s="224"/>
      <c r="HP12" s="224"/>
      <c r="HQ12" s="224"/>
      <c r="HR12" s="224"/>
      <c r="HS12" s="224"/>
      <c r="HT12" s="224"/>
      <c r="HU12" s="224"/>
      <c r="HV12" s="224"/>
      <c r="HW12" s="224"/>
      <c r="HX12" s="224"/>
      <c r="HY12" s="224"/>
      <c r="HZ12" s="224"/>
      <c r="IA12" s="224"/>
      <c r="IB12" s="224"/>
      <c r="IC12" s="224"/>
      <c r="ID12" s="224"/>
      <c r="IE12" s="224"/>
      <c r="IF12" s="224"/>
      <c r="IG12" s="224"/>
      <c r="IH12" s="224"/>
      <c r="II12" s="224"/>
      <c r="IJ12" s="224"/>
      <c r="IK12" s="224"/>
      <c r="IL12" s="224"/>
      <c r="IM12" s="224"/>
      <c r="IN12" s="224"/>
      <c r="IO12" s="224"/>
      <c r="IP12" s="224"/>
      <c r="IQ12" s="224"/>
      <c r="IR12" s="224"/>
      <c r="IS12" s="224"/>
      <c r="IT12" s="224"/>
      <c r="IU12" s="224"/>
      <c r="IV12" s="224"/>
      <c r="IW12" s="224"/>
      <c r="IX12" s="224"/>
      <c r="IY12" s="224"/>
      <c r="IZ12" s="224"/>
      <c r="JA12" s="224"/>
      <c r="JB12" s="224"/>
      <c r="JC12" s="224"/>
      <c r="JD12" s="224"/>
      <c r="JE12" s="224"/>
      <c r="JF12" s="224"/>
      <c r="JG12" s="224"/>
      <c r="JH12" s="224"/>
      <c r="JI12" s="224"/>
      <c r="JJ12" s="224"/>
    </row>
    <row r="13" spans="1:270" s="234" customFormat="1" ht="132.75" customHeight="1" x14ac:dyDescent="0.2">
      <c r="A13" s="398">
        <v>1</v>
      </c>
      <c r="B13" s="399" t="s">
        <v>161</v>
      </c>
      <c r="C13" s="400" t="s">
        <v>447</v>
      </c>
      <c r="D13" s="400" t="s">
        <v>162</v>
      </c>
      <c r="E13" s="386" t="s">
        <v>448</v>
      </c>
      <c r="F13" s="401" t="s">
        <v>163</v>
      </c>
      <c r="G13" s="386" t="s">
        <v>310</v>
      </c>
      <c r="H13" s="391"/>
      <c r="I13" s="580"/>
      <c r="J13" s="391"/>
      <c r="K13" s="391"/>
      <c r="L13" s="389">
        <v>60</v>
      </c>
      <c r="M13" s="394" t="str">
        <f>IF(L13&lt;=0,"",IF(L13&lt;=2,"Muy Baja",IF(L13&lt;=24,"Baja",IF(L13&lt;=500,"Media",IF(L13&lt;=5000,"Alta","Muy Alta")))))</f>
        <v>Media</v>
      </c>
      <c r="N13" s="393">
        <f>IF(M13="","",IF(M13="Muy Baja",0.2,IF(M13="Baja",0.4,IF(M13="Media",0.6,IF(M13="Alta",0.8,IF(M13="Muy Alta",1,))))))</f>
        <v>0.6</v>
      </c>
      <c r="O13" s="392" t="s">
        <v>169</v>
      </c>
      <c r="P13" s="393" t="str">
        <f>IF(NOT(ISERROR(MATCH(O13,'[3]Tabla Impacto'!$B$221:$B$223,0))),'[3]Tabla Impacto'!$F$223&amp;"Por favor no seleccionar los criterios de impacto(Afectación Económica o presupuestal y Pérdida Reputacional)",O13)</f>
        <v xml:space="preserve">     El riesgo afecta la imagen de la entidad con algunos usuarios de relevancia frente al logro de los objetivos</v>
      </c>
      <c r="Q13" s="394" t="str">
        <f>IF(OR(P13='[3]Tabla Impacto'!$C$11,P13='[3]Tabla Impacto'!$D$11),"Leve",IF(OR(P13='[3]Tabla Impacto'!$C$12,P13='[3]Tabla Impacto'!$D$12),"Menor",IF(OR(P13='[3]Tabla Impacto'!$C$13,P13='[3]Tabla Impacto'!$D$13),"Moderado",IF(OR(P13='[3]Tabla Impacto'!$C$14,P13='[3]Tabla Impacto'!$D$14),"Mayor",IF(OR(P13='[3]Tabla Impacto'!$C$15,P13='[3]Tabla Impacto'!$D$15),"Catastrófico","")))))</f>
        <v>Moderado</v>
      </c>
      <c r="R13" s="393">
        <f>IF(Q13="","",IF(Q13="Leve",0.2,IF(Q13="Menor",0.4,IF(Q13="Moderado",0.6,IF(Q13="Mayor",0.8,IF(Q13="Catastrófico",1,))))))</f>
        <v>0.6</v>
      </c>
      <c r="S13" s="395" t="str">
        <f>IF(OR(AND(M13="Muy Baja",Q13="Leve"),AND(M13="Muy Baja",Q13="Menor"),AND(M13="Baja",Q13="Leve")),"Bajo",IF(OR(AND(M13="Muy baja",Q13="Moderado"),AND(M13="Baja",Q13="Menor"),AND(M13="Baja",Q13="Moderado"),AND(M13="Media",Q13="Leve"),AND(M13="Media",Q13="Menor"),AND(M13="Media",Q13="Moderado"),AND(M13="Alta",Q13="Leve"),AND(M13="Alta",Q13="Menor")),"Moderado",IF(OR(AND(M13="Muy Baja",Q13="Mayor"),AND(M13="Baja",Q13="Mayor"),AND(M13="Media",Q13="Mayor"),AND(M13="Alta",Q13="Moderado"),AND(M13="Alta",Q13="Mayor"),AND(M13="Muy Alta",Q13="Leve"),AND(M13="Muy Alta",Q13="Menor"),AND(M13="Muy Alta",Q13="Moderado"),AND(M13="Muy Alta",Q13="Mayor")),"Alto",IF(OR(AND(M13="Muy Baja",Q13="Catastrófico"),AND(M13="Baja",Q13="Catastrófico"),AND(M13="Media",Q13="Catastrófico"),AND(M13="Alta",Q13="Catastrófico"),AND(M13="Muy Alta",Q13="Catastrófico")),"Extremo",""))))</f>
        <v>Moderado</v>
      </c>
      <c r="T13" s="231">
        <v>1</v>
      </c>
      <c r="U13" s="191" t="s">
        <v>170</v>
      </c>
      <c r="V13" s="232" t="str">
        <f>IF(OR(W13="Preventivo",W13="Detectivo"),"Probabilidad",IF(W13="Correctivo","Impacto",""))</f>
        <v>Probabilidad</v>
      </c>
      <c r="W13" s="194" t="s">
        <v>171</v>
      </c>
      <c r="X13" s="194" t="s">
        <v>172</v>
      </c>
      <c r="Y13" s="195" t="str">
        <f t="shared" ref="Y13" si="0">IF(AND(W13="Preventivo",X13="Automático"),"50%",IF(AND(W13="Preventivo",X13="Manual"),"40%",IF(AND(W13="Detectivo",X13="Automático"),"40%",IF(AND(W13="Detectivo",X13="Manual"),"30%",IF(AND(W13="Correctivo",X13="Automático"),"35%",IF(AND(W13="Correctivo",X13="Manual"),"25%",""))))))</f>
        <v>30%</v>
      </c>
      <c r="Z13" s="194" t="s">
        <v>173</v>
      </c>
      <c r="AA13" s="194" t="s">
        <v>174</v>
      </c>
      <c r="AB13" s="194" t="s">
        <v>175</v>
      </c>
      <c r="AC13" s="233">
        <f>IFERROR(IF(V13="Probabilidad",(N13-(+N13*Y13)),IF(V13="Impacto",N13,"")),"")</f>
        <v>0.42</v>
      </c>
      <c r="AD13" s="197" t="str">
        <f>IFERROR(IF(AC13="","",IF(AC13&lt;=0.2,"Muy Baja",IF(AC13&lt;=0.4,"Baja",IF(AC13&lt;=0.6,"Media",IF(AC13&lt;=0.8,"Alta","Muy Alta"))))),"")</f>
        <v>Media</v>
      </c>
      <c r="AE13" s="195">
        <f>+AC13</f>
        <v>0.42</v>
      </c>
      <c r="AF13" s="197" t="str">
        <f>IFERROR(IF(AG13="","",IF(AG13&lt;=0.2,"Leve",IF(AG13&lt;=0.4,"Menor",IF(AG13&lt;=0.6,"Moderado",IF(AG13&lt;=0.8,"Mayor","Catastrófico"))))),"")</f>
        <v>Moderado</v>
      </c>
      <c r="AG13" s="195">
        <f>IFERROR(IF(V13="Impacto",(R13-(+R13*Y13)),IF(V13="Probabilidad",R13,"")),"")</f>
        <v>0.6</v>
      </c>
      <c r="AH13" s="198" t="str">
        <f>IFERROR(IF(OR(AND(AD13="Muy Baja",AF13="Leve"),AND(AD13="Muy Baja",AF13="Menor"),AND(AD13="Baja",AF13="Leve")),"Bajo",IF(OR(AND(AD13="Muy baja",AF13="Moderado"),AND(AD13="Baja",AF13="Menor"),AND(AD13="Baja",AF13="Moderado"),AND(AD13="Media",AF13="Leve"),AND(AD13="Media",AF13="Menor"),AND(AD13="Media",AF13="Moderado"),AND(AD13="Alta",AF13="Leve"),AND(AD13="Alta",AF13="Menor")),"Moderado",IF(OR(AND(AD13="Muy Baja",AF13="Mayor"),AND(AD13="Baja",AF13="Mayor"),AND(AD13="Media",AF13="Mayor"),AND(AD13="Alta",AF13="Moderado"),AND(AD13="Alta",AF13="Mayor"),AND(AD13="Muy Alta",AF13="Leve"),AND(AD13="Muy Alta",AF13="Menor"),AND(AD13="Muy Alta",AF13="Moderado"),AND(AD13="Muy Alta",AF13="Mayor")),"Alto",IF(OR(AND(AD13="Muy Baja",AF13="Catastrófico"),AND(AD13="Baja",AF13="Catastrófico"),AND(AD13="Media",AF13="Catastrófico"),AND(AD13="Alta",AF13="Catastrófico"),AND(AD13="Muy Alta",AF13="Catastrófico")),"Extremo","")))),"")</f>
        <v>Moderado</v>
      </c>
      <c r="AI13" s="261" t="s">
        <v>402</v>
      </c>
      <c r="AJ13" s="190" t="s">
        <v>177</v>
      </c>
      <c r="AK13" s="200" t="s">
        <v>178</v>
      </c>
      <c r="AL13" s="190" t="s">
        <v>179</v>
      </c>
      <c r="AM13" s="201">
        <v>44926</v>
      </c>
      <c r="AN13" s="402" t="s">
        <v>180</v>
      </c>
      <c r="AO13" s="396" t="s">
        <v>181</v>
      </c>
      <c r="AP13" s="396" t="s">
        <v>182</v>
      </c>
      <c r="AQ13" s="209"/>
      <c r="AR13" s="209"/>
      <c r="AS13" s="209"/>
      <c r="AT13" s="209"/>
      <c r="AU13" s="209"/>
      <c r="AV13" s="209"/>
      <c r="AW13" s="209"/>
      <c r="AX13" s="209"/>
      <c r="AY13" s="209"/>
      <c r="AZ13" s="209"/>
      <c r="BA13" s="209"/>
      <c r="BB13" s="209"/>
      <c r="BC13" s="209"/>
      <c r="BD13" s="209"/>
      <c r="BE13" s="209"/>
      <c r="BF13" s="209"/>
      <c r="BG13" s="209"/>
      <c r="BH13" s="209"/>
      <c r="BI13" s="209"/>
      <c r="BJ13" s="209"/>
      <c r="BK13" s="209"/>
      <c r="BL13" s="209"/>
      <c r="BM13" s="209"/>
      <c r="BN13" s="202"/>
      <c r="BO13" s="202"/>
      <c r="BP13" s="202"/>
    </row>
    <row r="14" spans="1:270" s="234" customFormat="1" ht="144" customHeight="1" x14ac:dyDescent="0.2">
      <c r="A14" s="398"/>
      <c r="B14" s="399"/>
      <c r="C14" s="386"/>
      <c r="D14" s="386"/>
      <c r="E14" s="386"/>
      <c r="F14" s="401"/>
      <c r="G14" s="386"/>
      <c r="H14" s="391"/>
      <c r="I14" s="391"/>
      <c r="J14" s="391"/>
      <c r="K14" s="391"/>
      <c r="L14" s="389"/>
      <c r="M14" s="394"/>
      <c r="N14" s="393"/>
      <c r="O14" s="392"/>
      <c r="P14" s="393">
        <f>IF(NOT(ISERROR(MATCH(O14,_xlfn.ANCHORARRAY(E15),0))),#REF!&amp;"Por favor no seleccionar los criterios de impacto",O14)</f>
        <v>0</v>
      </c>
      <c r="Q14" s="394"/>
      <c r="R14" s="393"/>
      <c r="S14" s="395"/>
      <c r="T14" s="231">
        <v>2</v>
      </c>
      <c r="U14" s="246" t="s">
        <v>183</v>
      </c>
      <c r="V14" s="232" t="str">
        <f>IF(OR(W14="Preventivo",W14="Detectivo"),"Probabilidad",IF(W14="Correctivo","Impacto",""))</f>
        <v>Probabilidad</v>
      </c>
      <c r="W14" s="194" t="s">
        <v>184</v>
      </c>
      <c r="X14" s="194" t="s">
        <v>172</v>
      </c>
      <c r="Y14" s="195" t="str">
        <f t="shared" ref="Y14" si="1">IF(AND(W14="Preventivo",X14="Automático"),"50%",IF(AND(W14="Preventivo",X14="Manual"),"40%",IF(AND(W14="Detectivo",X14="Automático"),"40%",IF(AND(W14="Detectivo",X14="Manual"),"30%",IF(AND(W14="Correctivo",X14="Automático"),"35%",IF(AND(W14="Correctivo",X14="Manual"),"25%",""))))))</f>
        <v>40%</v>
      </c>
      <c r="Z14" s="194" t="s">
        <v>173</v>
      </c>
      <c r="AA14" s="194" t="s">
        <v>174</v>
      </c>
      <c r="AB14" s="194" t="s">
        <v>175</v>
      </c>
      <c r="AC14" s="233">
        <f>IFERROR(IF(AND(V13="Probabilidad",V14="Probabilidad"),(AE13-(+AE13*Y14)),IF(V14="Probabilidad",(N13-(+N13*Y14)),IF(V14="Impacto",AE13,""))),"")</f>
        <v>0.252</v>
      </c>
      <c r="AD14" s="197" t="str">
        <f t="shared" ref="AD14:AD16" si="2">IFERROR(IF(AC14="","",IF(AC14&lt;=0.2,"Muy Baja",IF(AC14&lt;=0.4,"Baja",IF(AC14&lt;=0.6,"Media",IF(AC14&lt;=0.8,"Alta","Muy Alta"))))),"")</f>
        <v>Baja</v>
      </c>
      <c r="AE14" s="195">
        <f t="shared" ref="AE14" si="3">+AC14</f>
        <v>0.252</v>
      </c>
      <c r="AF14" s="197" t="str">
        <f>IFERROR(IF(AG14="","",IF(AG14&lt;=0.2,"Leve",IF(AG14&lt;=0.4,"Menor",IF(AG14&lt;=0.6,"Moderado",IF(AG14&lt;=0.8,"Mayor","Catastrófico"))))),"")</f>
        <v>Moderado</v>
      </c>
      <c r="AG14" s="260">
        <f>IFERROR(IF(AND(V13="Impacto",V14="Impacto"),(AG13-(+AG13*Y14)),IF(V14="Impacto",($R$13-(+$R$13*Y14)),IF(V14="Probabilidad",AG13,""))),"")</f>
        <v>0.6</v>
      </c>
      <c r="AH14" s="198" t="str">
        <f>IFERROR(IF(OR(AND(AD14="Muy Baja",AF14="Leve"),AND(AD14="Muy Baja",AF14="Menor"),AND(AD14="Baja",AF14="Leve")),"Bajo",IF(OR(AND(AD14="Muy baja",AF14="Moderado"),AND(AD14="Baja",AF14="Menor"),AND(AD14="Baja",AF14="Moderado"),AND(AD14="Media",AF14="Leve"),AND(AD14="Media",AF14="Menor"),AND(AD14="Media",AF14="Moderado"),AND(AD14="Alta",AF14="Leve"),AND(AD14="Alta",AF14="Menor")),"Moderado",IF(OR(AND(AD14="Muy Baja",AF14="Mayor"),AND(AD14="Baja",AF14="Mayor"),AND(AD14="Media",AF14="Mayor"),AND(AD14="Alta",AF14="Moderado"),AND(AD14="Alta",AF14="Mayor"),AND(AD14="Muy Alta",AF14="Leve"),AND(AD14="Muy Alta",AF14="Menor"),AND(AD14="Muy Alta",AF14="Moderado"),AND(AD14="Muy Alta",AF14="Mayor")),"Alto",IF(OR(AND(AD14="Muy Baja",AF14="Catastrófico"),AND(AD14="Baja",AF14="Catastrófico"),AND(AD14="Media",AF14="Catastrófico"),AND(AD14="Alta",AF14="Catastrófico"),AND(AD14="Muy Alta",AF14="Catastrófico")),"Extremo","")))),"")</f>
        <v>Moderado</v>
      </c>
      <c r="AI14" s="261" t="s">
        <v>402</v>
      </c>
      <c r="AJ14" s="190" t="s">
        <v>186</v>
      </c>
      <c r="AK14" s="200" t="s">
        <v>178</v>
      </c>
      <c r="AL14" s="190" t="s">
        <v>187</v>
      </c>
      <c r="AM14" s="201">
        <v>44926</v>
      </c>
      <c r="AN14" s="403"/>
      <c r="AO14" s="397"/>
      <c r="AP14" s="397"/>
      <c r="AQ14" s="209"/>
      <c r="AR14" s="209"/>
      <c r="AS14" s="209"/>
      <c r="AT14" s="209"/>
      <c r="AU14" s="209"/>
      <c r="AV14" s="209"/>
      <c r="AW14" s="209"/>
      <c r="AX14" s="209"/>
      <c r="AY14" s="209"/>
      <c r="AZ14" s="209"/>
      <c r="BA14" s="209"/>
      <c r="BB14" s="209"/>
      <c r="BC14" s="209"/>
      <c r="BD14" s="209"/>
      <c r="BE14" s="209"/>
      <c r="BF14" s="209"/>
      <c r="BG14" s="209"/>
      <c r="BH14" s="209"/>
      <c r="BI14" s="209"/>
      <c r="BJ14" s="209"/>
      <c r="BK14" s="209"/>
      <c r="BL14" s="209"/>
      <c r="BM14" s="209"/>
      <c r="BN14" s="202"/>
      <c r="BO14" s="202"/>
      <c r="BP14" s="202"/>
    </row>
    <row r="15" spans="1:270" s="245" customFormat="1" ht="195.75" customHeight="1" x14ac:dyDescent="0.2">
      <c r="A15" s="404">
        <v>2</v>
      </c>
      <c r="B15" s="399" t="s">
        <v>161</v>
      </c>
      <c r="C15" s="399" t="s">
        <v>445</v>
      </c>
      <c r="D15" s="386" t="s">
        <v>446</v>
      </c>
      <c r="E15" s="386" t="s">
        <v>449</v>
      </c>
      <c r="F15" s="405" t="s">
        <v>188</v>
      </c>
      <c r="G15" s="386" t="s">
        <v>189</v>
      </c>
      <c r="H15" s="386" t="s">
        <v>165</v>
      </c>
      <c r="I15" s="581" t="s">
        <v>166</v>
      </c>
      <c r="J15" s="386" t="s">
        <v>190</v>
      </c>
      <c r="K15" s="386" t="s">
        <v>191</v>
      </c>
      <c r="L15" s="389">
        <v>60</v>
      </c>
      <c r="M15" s="394" t="str">
        <f>IF(L15&lt;=0,"",IF(L15&lt;=2,"Muy Baja",IF(L15&lt;=24,"Baja",IF(L15&lt;=500,"Media",IF(L15&lt;=5000,"Alta","Muy Alta")))))</f>
        <v>Media</v>
      </c>
      <c r="N15" s="393">
        <f>IF(M15="","",IF(M15="Muy Baja",0.2,IF(M15="Baja",0.4,IF(M15="Media",0.6,IF(M15="Alta",0.8,IF(M15="Muy Alta",1,))))))</f>
        <v>0.6</v>
      </c>
      <c r="O15" s="392" t="s">
        <v>169</v>
      </c>
      <c r="P15" s="393" t="str">
        <f>IF(NOT(ISERROR(MATCH(O15,'[3]Tabla Impacto'!$B$221:$B$223,0))),'[3]Tabla Impacto'!$F$223&amp;"Por favor no seleccionar los criterios de impacto(Afectación Económica o presupuestal y Pérdida Reputacional)",O15)</f>
        <v xml:space="preserve">     El riesgo afecta la imagen de la entidad con algunos usuarios de relevancia frente al logro de los objetivos</v>
      </c>
      <c r="Q15" s="394" t="str">
        <f>IF(OR(P15='[3]Tabla Impacto'!$C$11,P15='[3]Tabla Impacto'!$D$11),"Leve",IF(OR(P15='[3]Tabla Impacto'!$C$12,P15='[3]Tabla Impacto'!$D$12),"Menor",IF(OR(P15='[3]Tabla Impacto'!$C$13,P15='[3]Tabla Impacto'!$D$13),"Moderado",IF(OR(P15='[3]Tabla Impacto'!$C$14,P15='[3]Tabla Impacto'!$D$14),"Mayor",IF(OR(P15='[3]Tabla Impacto'!$C$15,P15='[3]Tabla Impacto'!$D$15),"Catastrófico","")))))</f>
        <v>Moderado</v>
      </c>
      <c r="R15" s="393">
        <f>IF(Q15="","",IF(Q15="Leve",0.2,IF(Q15="Menor",0.4,IF(Q15="Moderado",0.6,IF(Q15="Mayor",0.8,IF(Q15="Catastrófico",1,))))))</f>
        <v>0.6</v>
      </c>
      <c r="S15" s="395" t="str">
        <f>IF(OR(AND(M15="Muy Baja",Q15="Leve"),AND(M15="Muy Baja",Q15="Menor"),AND(M15="Baja",Q15="Leve")),"Bajo",IF(OR(AND(M15="Muy baja",Q15="Moderado"),AND(M15="Baja",Q15="Menor"),AND(M15="Baja",Q15="Moderado"),AND(M15="Media",Q15="Leve"),AND(M15="Media",Q15="Menor"),AND(M15="Media",Q15="Moderado"),AND(M15="Alta",Q15="Leve"),AND(M15="Alta",Q15="Menor")),"Moderado",IF(OR(AND(M15="Muy Baja",Q15="Mayor"),AND(M15="Baja",Q15="Mayor"),AND(M15="Media",Q15="Mayor"),AND(M15="Alta",Q15="Moderado"),AND(M15="Alta",Q15="Mayor"),AND(M15="Muy Alta",Q15="Leve"),AND(M15="Muy Alta",Q15="Menor"),AND(M15="Muy Alta",Q15="Moderado"),AND(M15="Muy Alta",Q15="Mayor")),"Alto",IF(OR(AND(M15="Muy Baja",Q15="Catastrófico"),AND(M15="Baja",Q15="Catastrófico"),AND(M15="Media",Q15="Catastrófico"),AND(M15="Alta",Q15="Catastrófico"),AND(M15="Muy Alta",Q15="Catastrófico")),"Extremo",""))))</f>
        <v>Moderado</v>
      </c>
      <c r="T15" s="235">
        <v>1</v>
      </c>
      <c r="U15" s="191" t="s">
        <v>192</v>
      </c>
      <c r="V15" s="237" t="s">
        <v>193</v>
      </c>
      <c r="W15" s="238" t="s">
        <v>184</v>
      </c>
      <c r="X15" s="238" t="s">
        <v>172</v>
      </c>
      <c r="Y15" s="239" t="str">
        <f>IF(AND(W15="Preventivo",X15="Automático"),"50%",IF(AND(W15="Preventivo",X15="Manual"),"40%",IF(AND(W15="Detectivo",X15="Automático"),"40%",IF(AND(W15="Detectivo",X15="Manual"),"30%",IF(AND(W15="Correctivo",X15="Automático"),"35%",IF(AND(W15="Correctivo",X15="Manual"),"25%",""))))))</f>
        <v>40%</v>
      </c>
      <c r="Z15" s="194" t="s">
        <v>173</v>
      </c>
      <c r="AA15" s="194" t="s">
        <v>174</v>
      </c>
      <c r="AB15" s="194" t="s">
        <v>175</v>
      </c>
      <c r="AC15" s="240">
        <f>IFERROR(IF(V15="Probabilidad",(N15-(+N15*Y15)),IF(V15="Impacto",N15,"")),"")</f>
        <v>0.36</v>
      </c>
      <c r="AD15" s="241" t="str">
        <f>IFERROR(IF(AC15="","",IF(AC15&lt;=0.2,"Muy Baja",IF(AC15&lt;=0.4,"Baja",IF(AC15&lt;=0.6,"Media",IF(AC15&lt;=0.8,"Alta","Muy Alta"))))),"")</f>
        <v>Baja</v>
      </c>
      <c r="AE15" s="239">
        <f>+AC15</f>
        <v>0.36</v>
      </c>
      <c r="AF15" s="241" t="str">
        <f>IFERROR(IF(AG15="","",IF(AG15&lt;=0.2,"Leve",IF(AG15&lt;=0.4,"Menor",IF(AG15&lt;=0.6,"Moderado",IF(AG15&lt;=0.8,"Mayor","Catastrófico"))))),"")</f>
        <v>Moderado</v>
      </c>
      <c r="AG15" s="239">
        <f>IFERROR(IF(V15="Impacto",(R15-(+R15*Y15)),IF(V15="Probabilidad",R15,"")),"")</f>
        <v>0.6</v>
      </c>
      <c r="AH15" s="242" t="str">
        <f>IFERROR(IF(OR(AND(AD15="Muy Baja",AF15="Leve"),AND(AD15="Muy Baja",AF15="Menor"),AND(AD15="Baja",AF15="Leve")),"Bajo",IF(OR(AND(AD15="Muy baja",AF15="Moderado"),AND(AD15="Baja",AF15="Menor"),AND(AD15="Baja",AF15="Moderado"),AND(AD15="Media",AF15="Leve"),AND(AD15="Media",AF15="Menor"),AND(AD15="Media",AF15="Moderado"),AND(AD15="Alta",AF15="Leve"),AND(AD15="Alta",AF15="Menor")),"Moderado",IF(OR(AND(AD15="Muy Baja",AF15="Mayor"),AND(AD15="Baja",AF15="Mayor"),AND(AD15="Media",AF15="Mayor"),AND(AD15="Alta",AF15="Moderado"),AND(AD15="Alta",AF15="Mayor"),AND(AD15="Muy Alta",AF15="Leve"),AND(AD15="Muy Alta",AF15="Menor"),AND(AD15="Muy Alta",AF15="Moderado"),AND(AD15="Muy Alta",AF15="Mayor")),"Alto",IF(OR(AND(AD15="Muy Baja",AF15="Catastrófico"),AND(AD15="Baja",AF15="Catastrófico"),AND(AD15="Media",AF15="Catastrófico"),AND(AD15="Alta",AF15="Catastrófico"),AND(AD15="Muy Alta",AF15="Catastrófico")),"Extremo","")))),"")</f>
        <v>Moderado</v>
      </c>
      <c r="AI15" s="261" t="s">
        <v>402</v>
      </c>
      <c r="AJ15" s="190" t="s">
        <v>194</v>
      </c>
      <c r="AK15" s="190" t="s">
        <v>195</v>
      </c>
      <c r="AL15" s="190" t="s">
        <v>196</v>
      </c>
      <c r="AM15" s="201">
        <v>44926</v>
      </c>
      <c r="AN15" s="402" t="s">
        <v>197</v>
      </c>
      <c r="AO15" s="396" t="s">
        <v>198</v>
      </c>
      <c r="AP15" s="396" t="s">
        <v>199</v>
      </c>
      <c r="AQ15" s="244"/>
      <c r="AR15" s="244"/>
      <c r="AS15" s="244"/>
      <c r="AT15" s="244"/>
      <c r="AU15" s="244"/>
      <c r="AV15" s="244"/>
      <c r="AW15" s="244"/>
      <c r="AX15" s="244"/>
      <c r="AY15" s="244"/>
      <c r="AZ15" s="244"/>
      <c r="BA15" s="244"/>
      <c r="BB15" s="244"/>
      <c r="BC15" s="244"/>
      <c r="BD15" s="244"/>
      <c r="BE15" s="244"/>
      <c r="BF15" s="244"/>
      <c r="BG15" s="244"/>
      <c r="BH15" s="244"/>
      <c r="BI15" s="244"/>
      <c r="BJ15" s="244"/>
      <c r="BK15" s="244"/>
      <c r="BL15" s="244"/>
      <c r="BM15" s="244"/>
    </row>
    <row r="16" spans="1:270" s="245" customFormat="1" ht="127.5" customHeight="1" x14ac:dyDescent="0.2">
      <c r="A16" s="404"/>
      <c r="B16" s="399"/>
      <c r="C16" s="399"/>
      <c r="D16" s="386"/>
      <c r="E16" s="386"/>
      <c r="F16" s="405"/>
      <c r="G16" s="386"/>
      <c r="H16" s="386"/>
      <c r="I16" s="386"/>
      <c r="J16" s="386"/>
      <c r="K16" s="386"/>
      <c r="L16" s="389"/>
      <c r="M16" s="394"/>
      <c r="N16" s="393"/>
      <c r="O16" s="392"/>
      <c r="P16" s="393">
        <f>IF(NOT(ISERROR(MATCH(O16,_xlfn.ANCHORARRAY(#REF!),0))),#REF!&amp;"Por favor no seleccionar los criterios de impacto",O16)</f>
        <v>0</v>
      </c>
      <c r="Q16" s="394"/>
      <c r="R16" s="393"/>
      <c r="S16" s="395"/>
      <c r="T16" s="235">
        <v>2</v>
      </c>
      <c r="U16" s="236" t="s">
        <v>444</v>
      </c>
      <c r="V16" s="237" t="s">
        <v>193</v>
      </c>
      <c r="W16" s="238" t="s">
        <v>184</v>
      </c>
      <c r="X16" s="238" t="s">
        <v>172</v>
      </c>
      <c r="Y16" s="239" t="str">
        <f t="shared" ref="Y16" si="4">IF(AND(W16="Preventivo",X16="Automático"),"50%",IF(AND(W16="Preventivo",X16="Manual"),"40%",IF(AND(W16="Detectivo",X16="Automático"),"40%",IF(AND(W16="Detectivo",X16="Manual"),"30%",IF(AND(W16="Correctivo",X16="Automático"),"35%",IF(AND(W16="Correctivo",X16="Manual"),"25%",""))))))</f>
        <v>40%</v>
      </c>
      <c r="Z16" s="194" t="s">
        <v>173</v>
      </c>
      <c r="AA16" s="194" t="s">
        <v>174</v>
      </c>
      <c r="AB16" s="194" t="s">
        <v>175</v>
      </c>
      <c r="AC16" s="240">
        <f>IFERROR(IF(AND(V15="Probabilidad",V16="Probabilidad"),(AE15-(+AE15*Y16)),IF(V16="Probabilidad",(N15-(+N15*Y16)),IF(V16="Impacto",AE15,""))),"")</f>
        <v>0.216</v>
      </c>
      <c r="AD16" s="241" t="str">
        <f t="shared" si="2"/>
        <v>Baja</v>
      </c>
      <c r="AE16" s="239">
        <f t="shared" ref="AE16" si="5">+AC16</f>
        <v>0.216</v>
      </c>
      <c r="AF16" s="241" t="str">
        <f>IFERROR(IF(AG16="","",IF(AG16&lt;=0.2,"Leve",IF(AG16&lt;=0.4,"Menor",IF(AG16&lt;=0.6,"Moderado",IF(AG16&lt;=0.8,"Mayor","Catastrófico"))))),"")</f>
        <v>Moderado</v>
      </c>
      <c r="AG16" s="260">
        <f>IFERROR(IF(AND(V15="Impacto",V16="Impacto"),(AG15-(+AG15*Y16)),IF(V16="Impacto",($R$13-(+$R$13*Y16)),IF(V16="Probabilidad",AG15,""))),"")</f>
        <v>0.6</v>
      </c>
      <c r="AH16" s="242" t="str">
        <f>IFERROR(IF(OR(AND(AD16="Muy Baja",AF16="Leve"),AND(AD16="Muy Baja",AF16="Menor"),AND(AD16="Baja",AF16="Leve")),"Bajo",IF(OR(AND(AD16="Muy baja",AF16="Moderado"),AND(AD16="Baja",AF16="Menor"),AND(AD16="Baja",AF16="Moderado"),AND(AD16="Media",AF16="Leve"),AND(AD16="Media",AF16="Menor"),AND(AD16="Media",AF16="Moderado"),AND(AD16="Alta",AF16="Leve"),AND(AD16="Alta",AF16="Menor")),"Moderado",IF(OR(AND(AD16="Muy Baja",AF16="Mayor"),AND(AD16="Baja",AF16="Mayor"),AND(AD16="Media",AF16="Mayor"),AND(AD16="Alta",AF16="Moderado"),AND(AD16="Alta",AF16="Mayor"),AND(AD16="Muy Alta",AF16="Leve"),AND(AD16="Muy Alta",AF16="Menor"),AND(AD16="Muy Alta",AF16="Moderado"),AND(AD16="Muy Alta",AF16="Mayor")),"Alto",IF(OR(AND(AD16="Muy Baja",AF16="Catastrófico"),AND(AD16="Baja",AF16="Catastrófico"),AND(AD16="Media",AF16="Catastrófico"),AND(AD16="Alta",AF16="Catastrófico"),AND(AD16="Muy Alta",AF16="Catastrófico")),"Extremo","")))),"")</f>
        <v>Moderado</v>
      </c>
      <c r="AI16" s="261" t="s">
        <v>402</v>
      </c>
      <c r="AJ16" s="243" t="s">
        <v>200</v>
      </c>
      <c r="AK16" s="200" t="s">
        <v>178</v>
      </c>
      <c r="AL16" s="190" t="s">
        <v>201</v>
      </c>
      <c r="AM16" s="201">
        <v>44926</v>
      </c>
      <c r="AN16" s="403"/>
      <c r="AO16" s="397"/>
      <c r="AP16" s="397"/>
      <c r="AQ16" s="244"/>
      <c r="AR16" s="244"/>
      <c r="AS16" s="244"/>
      <c r="AT16" s="244"/>
      <c r="AU16" s="244"/>
      <c r="AV16" s="244"/>
      <c r="AW16" s="244"/>
      <c r="AX16" s="244"/>
      <c r="AY16" s="244"/>
      <c r="AZ16" s="244"/>
      <c r="BA16" s="244"/>
      <c r="BB16" s="244"/>
      <c r="BC16" s="244"/>
      <c r="BD16" s="244"/>
      <c r="BE16" s="244"/>
      <c r="BF16" s="244"/>
      <c r="BG16" s="244"/>
      <c r="BH16" s="244"/>
      <c r="BI16" s="244"/>
      <c r="BJ16" s="244"/>
      <c r="BK16" s="244"/>
      <c r="BL16" s="244"/>
      <c r="BM16" s="244"/>
    </row>
    <row r="17" spans="1:42" ht="37.5" customHeight="1" x14ac:dyDescent="0.2">
      <c r="A17" s="385">
        <v>4</v>
      </c>
      <c r="B17" s="386"/>
      <c r="C17" s="386"/>
      <c r="D17" s="386"/>
      <c r="E17" s="386"/>
      <c r="F17" s="386"/>
      <c r="G17" s="386"/>
      <c r="H17" s="386"/>
      <c r="I17" s="386"/>
      <c r="J17" s="386"/>
      <c r="K17" s="386"/>
      <c r="L17" s="389"/>
      <c r="M17" s="394" t="str">
        <f>IF(L17&lt;=0,"",IF(L17&lt;=2,"Muy Baja",IF(L17&lt;=24,"Baja",IF(L17&lt;=500,"Media",IF(L17&lt;=5000,"Alta","Muy Alta")))))</f>
        <v/>
      </c>
      <c r="N17" s="393" t="str">
        <f>IF(M17="","",IF(M17="Muy Baja",0.2,IF(M17="Baja",0.4,IF(M17="Media",0.6,IF(M17="Alta",0.8,IF(M17="Muy Alta",1,))))))</f>
        <v/>
      </c>
      <c r="O17" s="392"/>
      <c r="P17" s="393">
        <f>IF(NOT(ISERROR(MATCH(O17,'Tabla Impacto'!$B$222:$B$224,0))),'Tabla Impacto'!$F$224&amp;"Por favor no seleccionar los criterios de impacto(Afectación Económica o presupuestal y Pérdida Reputacional)",O17)</f>
        <v>0</v>
      </c>
      <c r="Q17" s="394" t="str">
        <f>IF(OR(P17='Tabla Impacto'!$C$12,P17='Tabla Impacto'!$D$12),"Leve",IF(OR(P17='Tabla Impacto'!$C$13,P17='Tabla Impacto'!$D$13),"Menor",IF(OR(P17='Tabla Impacto'!$C$14,P17='Tabla Impacto'!$D$14),"Moderado",IF(OR(P17='Tabla Impacto'!$C$15,P17='Tabla Impacto'!$D$15),"Mayor",IF(OR(P17='Tabla Impacto'!$C$16,P17='Tabla Impacto'!$D$16),"Catastrófico","")))))</f>
        <v/>
      </c>
      <c r="R17" s="393" t="str">
        <f>IF(Q17="","",IF(Q17="Leve",0.2,IF(Q17="Menor",0.4,IF(Q17="Moderado",0.6,IF(Q17="Mayor",0.8,IF(Q17="Catastrófico",1,))))))</f>
        <v/>
      </c>
      <c r="S17" s="395" t="str">
        <f>IF(OR(AND(M17="Muy Baja",Q17="Leve"),AND(M17="Muy Baja",Q17="Menor"),AND(M17="Baja",Q17="Leve")),"Bajo",IF(OR(AND(M17="Muy baja",Q17="Moderado"),AND(M17="Baja",Q17="Menor"),AND(M17="Baja",Q17="Moderado"),AND(M17="Media",Q17="Leve"),AND(M17="Media",Q17="Menor"),AND(M17="Media",Q17="Moderado"),AND(M17="Alta",Q17="Leve"),AND(M17="Alta",Q17="Menor")),"Moderado",IF(OR(AND(M17="Muy Baja",Q17="Mayor"),AND(M17="Baja",Q17="Mayor"),AND(M17="Media",Q17="Mayor"),AND(M17="Alta",Q17="Moderado"),AND(M17="Alta",Q17="Mayor"),AND(M17="Muy Alta",Q17="Leve"),AND(M17="Muy Alta",Q17="Menor"),AND(M17="Muy Alta",Q17="Moderado"),AND(M17="Muy Alta",Q17="Mayor")),"Alto",IF(OR(AND(M17="Muy Baja",Q17="Catastrófico"),AND(M17="Baja",Q17="Catastrófico"),AND(M17="Media",Q17="Catastrófico"),AND(M17="Alta",Q17="Catastrófico"),AND(M17="Muy Alta",Q17="Catastrófico")),"Extremo",""))))</f>
        <v/>
      </c>
      <c r="T17" s="226">
        <v>1</v>
      </c>
      <c r="U17" s="191"/>
      <c r="V17" s="193" t="str">
        <f>IF(OR(W17="Preventivo",W17="Detectivo"),"Probabilidad",IF(W17="Correctivo","Impacto",""))</f>
        <v/>
      </c>
      <c r="W17" s="194"/>
      <c r="X17" s="194"/>
      <c r="Y17" s="195" t="str">
        <f>IF(AND(W17="Preventivo",X17="Automático"),"50%",IF(AND(W17="Preventivo",X17="Manual"),"40%",IF(AND(W17="Detectivo",X17="Automático"),"40%",IF(AND(W17="Detectivo",X17="Manual"),"30%",IF(AND(W17="Correctivo",X17="Automático"),"35%",IF(AND(W17="Correctivo",X17="Manual"),"25%",""))))))</f>
        <v/>
      </c>
      <c r="Z17" s="194"/>
      <c r="AA17" s="194"/>
      <c r="AB17" s="194"/>
      <c r="AC17" s="196" t="str">
        <f>IFERROR(IF(V17="Probabilidad",(N17-(+N17*Y17)),IF(V17="Impacto",N17,"")),"")</f>
        <v/>
      </c>
      <c r="AD17" s="197" t="str">
        <f>IFERROR(IF(AC17="","",IF(AC17&lt;=0.2,"Muy Baja",IF(AC17&lt;=0.4,"Baja",IF(AC17&lt;=0.6,"Media",IF(AC17&lt;=0.8,"Alta","Muy Alta"))))),"")</f>
        <v/>
      </c>
      <c r="AE17" s="195" t="str">
        <f>+AC17</f>
        <v/>
      </c>
      <c r="AF17" s="197" t="str">
        <f>IFERROR(IF(AG17="","",IF(AG17&lt;=0.2,"Leve",IF(AG17&lt;=0.4,"Menor",IF(AG17&lt;=0.6,"Moderado",IF(AG17&lt;=0.8,"Mayor","Catastrófico"))))),"")</f>
        <v/>
      </c>
      <c r="AG17" s="195" t="str">
        <f>IFERROR(IF(V17="Impacto",(R17-(+R17*Y17)),IF(V17="Probabilidad",R17,"")),"")</f>
        <v/>
      </c>
      <c r="AH17" s="198" t="str">
        <f>IFERROR(IF(OR(AND(AD17="Muy Baja",AF17="Leve"),AND(AD17="Muy Baja",AF17="Menor"),AND(AD17="Baja",AF17="Leve")),"Bajo",IF(OR(AND(AD17="Muy baja",AF17="Moderado"),AND(AD17="Baja",AF17="Menor"),AND(AD17="Baja",AF17="Moderado"),AND(AD17="Media",AF17="Leve"),AND(AD17="Media",AF17="Menor"),AND(AD17="Media",AF17="Moderado"),AND(AD17="Alta",AF17="Leve"),AND(AD17="Alta",AF17="Menor")),"Moderado",IF(OR(AND(AD17="Muy Baja",AF17="Mayor"),AND(AD17="Baja",AF17="Mayor"),AND(AD17="Media",AF17="Mayor"),AND(AD17="Alta",AF17="Moderado"),AND(AD17="Alta",AF17="Mayor"),AND(AD17="Muy Alta",AF17="Leve"),AND(AD17="Muy Alta",AF17="Menor"),AND(AD17="Muy Alta",AF17="Moderado"),AND(AD17="Muy Alta",AF17="Mayor")),"Alto",IF(OR(AND(AD17="Muy Baja",AF17="Catastrófico"),AND(AD17="Baja",AF17="Catastrófico"),AND(AD17="Media",AF17="Catastrófico"),AND(AD17="Alta",AF17="Catastrófico"),AND(AD17="Muy Alta",AF17="Catastrófico")),"Extremo","")))),"")</f>
        <v/>
      </c>
      <c r="AI17" s="199"/>
      <c r="AJ17" s="190"/>
      <c r="AK17" s="200"/>
      <c r="AL17" s="200"/>
      <c r="AM17" s="201"/>
      <c r="AN17" s="389"/>
      <c r="AO17" s="389"/>
      <c r="AP17" s="389"/>
    </row>
    <row r="18" spans="1:42" ht="37.5" customHeight="1" x14ac:dyDescent="0.2">
      <c r="A18" s="385"/>
      <c r="B18" s="386"/>
      <c r="C18" s="386"/>
      <c r="D18" s="386"/>
      <c r="E18" s="386"/>
      <c r="F18" s="386"/>
      <c r="G18" s="386"/>
      <c r="H18" s="386"/>
      <c r="I18" s="386"/>
      <c r="J18" s="386"/>
      <c r="K18" s="386"/>
      <c r="L18" s="389"/>
      <c r="M18" s="394"/>
      <c r="N18" s="393"/>
      <c r="O18" s="392"/>
      <c r="P18" s="393">
        <f>IF(NOT(ISERROR(MATCH(O18,_xlfn.ANCHORARRAY(#REF!),0))),#REF!&amp;"Por favor no seleccionar los criterios de impacto",O18)</f>
        <v>0</v>
      </c>
      <c r="Q18" s="394"/>
      <c r="R18" s="393"/>
      <c r="S18" s="395"/>
      <c r="T18" s="226">
        <v>2</v>
      </c>
      <c r="U18" s="191"/>
      <c r="V18" s="193" t="str">
        <f>IF(OR(W18="Preventivo",W18="Detectivo"),"Probabilidad",IF(W18="Correctivo","Impacto",""))</f>
        <v/>
      </c>
      <c r="W18" s="194"/>
      <c r="X18" s="194"/>
      <c r="Y18" s="195" t="str">
        <f t="shared" ref="Y18:Y22" si="6">IF(AND(W18="Preventivo",X18="Automático"),"50%",IF(AND(W18="Preventivo",X18="Manual"),"40%",IF(AND(W18="Detectivo",X18="Automático"),"40%",IF(AND(W18="Detectivo",X18="Manual"),"30%",IF(AND(W18="Correctivo",X18="Automático"),"35%",IF(AND(W18="Correctivo",X18="Manual"),"25%",""))))))</f>
        <v/>
      </c>
      <c r="Z18" s="194"/>
      <c r="AA18" s="194"/>
      <c r="AB18" s="194"/>
      <c r="AC18" s="196" t="str">
        <f>IFERROR(IF(AND(V17="Probabilidad",V18="Probabilidad"),(AE17-(+AE17*Y18)),IF(V18="Probabilidad",(N17-(+N17*Y18)),IF(V18="Impacto",AE17,""))),"")</f>
        <v/>
      </c>
      <c r="AD18" s="197" t="str">
        <f t="shared" ref="AD18:AD22" si="7">IFERROR(IF(AC18="","",IF(AC18&lt;=0.2,"Muy Baja",IF(AC18&lt;=0.4,"Baja",IF(AC18&lt;=0.6,"Media",IF(AC18&lt;=0.8,"Alta","Muy Alta"))))),"")</f>
        <v/>
      </c>
      <c r="AE18" s="195" t="str">
        <f t="shared" ref="AE18:AE22" si="8">+AC18</f>
        <v/>
      </c>
      <c r="AF18" s="197" t="str">
        <f t="shared" ref="AF18:AF22" si="9">IFERROR(IF(AG18="","",IF(AG18&lt;=0.2,"Leve",IF(AG18&lt;=0.4,"Menor",IF(AG18&lt;=0.6,"Moderado",IF(AG18&lt;=0.8,"Mayor","Catastrófico"))))),"")</f>
        <v/>
      </c>
      <c r="AG18" s="195" t="str">
        <f>IFERROR(IF(AND(V17="Impacto",V18="Impacto"),(#REF!-(+#REF!*Y18)),IF(V18="Impacto",($R$17-(+$R$17*Y18)),IF(V18="Probabilidad",#REF!,""))),"")</f>
        <v/>
      </c>
      <c r="AH18" s="198" t="str">
        <f t="shared" ref="AH18:AH19" si="10">IFERROR(IF(OR(AND(AD18="Muy Baja",AF18="Leve"),AND(AD18="Muy Baja",AF18="Menor"),AND(AD18="Baja",AF18="Leve")),"Bajo",IF(OR(AND(AD18="Muy baja",AF18="Moderado"),AND(AD18="Baja",AF18="Menor"),AND(AD18="Baja",AF18="Moderado"),AND(AD18="Media",AF18="Leve"),AND(AD18="Media",AF18="Menor"),AND(AD18="Media",AF18="Moderado"),AND(AD18="Alta",AF18="Leve"),AND(AD18="Alta",AF18="Menor")),"Moderado",IF(OR(AND(AD18="Muy Baja",AF18="Mayor"),AND(AD18="Baja",AF18="Mayor"),AND(AD18="Media",AF18="Mayor"),AND(AD18="Alta",AF18="Moderado"),AND(AD18="Alta",AF18="Mayor"),AND(AD18="Muy Alta",AF18="Leve"),AND(AD18="Muy Alta",AF18="Menor"),AND(AD18="Muy Alta",AF18="Moderado"),AND(AD18="Muy Alta",AF18="Mayor")),"Alto",IF(OR(AND(AD18="Muy Baja",AF18="Catastrófico"),AND(AD18="Baja",AF18="Catastrófico"),AND(AD18="Media",AF18="Catastrófico"),AND(AD18="Alta",AF18="Catastrófico"),AND(AD18="Muy Alta",AF18="Catastrófico")),"Extremo","")))),"")</f>
        <v/>
      </c>
      <c r="AI18" s="199"/>
      <c r="AJ18" s="190"/>
      <c r="AK18" s="200"/>
      <c r="AL18" s="200"/>
      <c r="AM18" s="201"/>
      <c r="AN18" s="389"/>
      <c r="AO18" s="389"/>
      <c r="AP18" s="389"/>
    </row>
    <row r="19" spans="1:42" ht="37.5" customHeight="1" x14ac:dyDescent="0.2">
      <c r="A19" s="385"/>
      <c r="B19" s="386"/>
      <c r="C19" s="386"/>
      <c r="D19" s="386"/>
      <c r="E19" s="386"/>
      <c r="F19" s="386"/>
      <c r="G19" s="386"/>
      <c r="H19" s="386"/>
      <c r="I19" s="386"/>
      <c r="J19" s="386"/>
      <c r="K19" s="386"/>
      <c r="L19" s="389"/>
      <c r="M19" s="394"/>
      <c r="N19" s="393"/>
      <c r="O19" s="392"/>
      <c r="P19" s="393">
        <f>IF(NOT(ISERROR(MATCH(O19,_xlfn.ANCHORARRAY(#REF!),0))),#REF!&amp;"Por favor no seleccionar los criterios de impacto",O19)</f>
        <v>0</v>
      </c>
      <c r="Q19" s="394"/>
      <c r="R19" s="393"/>
      <c r="S19" s="395"/>
      <c r="T19" s="226">
        <v>3</v>
      </c>
      <c r="U19" s="192"/>
      <c r="V19" s="193" t="str">
        <f>IF(OR(W19="Preventivo",W19="Detectivo"),"Probabilidad",IF(W19="Correctivo","Impacto",""))</f>
        <v/>
      </c>
      <c r="W19" s="194"/>
      <c r="X19" s="194"/>
      <c r="Y19" s="195" t="str">
        <f t="shared" si="6"/>
        <v/>
      </c>
      <c r="Z19" s="194"/>
      <c r="AA19" s="194"/>
      <c r="AB19" s="194"/>
      <c r="AC19" s="196" t="str">
        <f>IFERROR(IF(AND(V18="Probabilidad",V19="Probabilidad"),(AE18-(+AE18*Y19)),IF(AND(V18="Impacto",V19="Probabilidad"),(AE17-(+AE17*Y19)),IF(V19="Impacto",AE18,""))),"")</f>
        <v/>
      </c>
      <c r="AD19" s="197" t="str">
        <f t="shared" si="7"/>
        <v/>
      </c>
      <c r="AE19" s="195" t="str">
        <f t="shared" si="8"/>
        <v/>
      </c>
      <c r="AF19" s="197" t="str">
        <f t="shared" si="9"/>
        <v/>
      </c>
      <c r="AG19" s="195" t="str">
        <f>IFERROR(IF(AND(V18="Impacto",V19="Impacto"),(AG18-(+AG18*Y19)),IF(AND(V18="Probabilidad",V19="Impacto"),(AG17-(+AG17*Y19)),IF(V19="Probabilidad",AG18,""))),"")</f>
        <v/>
      </c>
      <c r="AH19" s="198" t="str">
        <f t="shared" si="10"/>
        <v/>
      </c>
      <c r="AI19" s="199"/>
      <c r="AJ19" s="190"/>
      <c r="AK19" s="200"/>
      <c r="AL19" s="200"/>
      <c r="AM19" s="201"/>
      <c r="AN19" s="389"/>
      <c r="AO19" s="389"/>
      <c r="AP19" s="389"/>
    </row>
    <row r="20" spans="1:42" ht="37.5" customHeight="1" x14ac:dyDescent="0.2">
      <c r="A20" s="385"/>
      <c r="B20" s="386"/>
      <c r="C20" s="386"/>
      <c r="D20" s="386"/>
      <c r="E20" s="386"/>
      <c r="F20" s="386"/>
      <c r="G20" s="386"/>
      <c r="H20" s="386"/>
      <c r="I20" s="386"/>
      <c r="J20" s="386"/>
      <c r="K20" s="386"/>
      <c r="L20" s="389"/>
      <c r="M20" s="394"/>
      <c r="N20" s="393"/>
      <c r="O20" s="392"/>
      <c r="P20" s="393">
        <f>IF(NOT(ISERROR(MATCH(O20,_xlfn.ANCHORARRAY(#REF!),0))),#REF!&amp;"Por favor no seleccionar los criterios de impacto",O20)</f>
        <v>0</v>
      </c>
      <c r="Q20" s="394"/>
      <c r="R20" s="393"/>
      <c r="S20" s="395"/>
      <c r="T20" s="226">
        <v>4</v>
      </c>
      <c r="U20" s="191"/>
      <c r="V20" s="193" t="str">
        <f t="shared" ref="V20:V22" si="11">IF(OR(W20="Preventivo",W20="Detectivo"),"Probabilidad",IF(W20="Correctivo","Impacto",""))</f>
        <v/>
      </c>
      <c r="W20" s="194"/>
      <c r="X20" s="194"/>
      <c r="Y20" s="195" t="str">
        <f t="shared" si="6"/>
        <v/>
      </c>
      <c r="Z20" s="194"/>
      <c r="AA20" s="194"/>
      <c r="AB20" s="194"/>
      <c r="AC20" s="196" t="str">
        <f t="shared" ref="AC20:AC22" si="12">IFERROR(IF(AND(V19="Probabilidad",V20="Probabilidad"),(AE19-(+AE19*Y20)),IF(AND(V19="Impacto",V20="Probabilidad"),(AE18-(+AE18*Y20)),IF(V20="Impacto",AE19,""))),"")</f>
        <v/>
      </c>
      <c r="AD20" s="197" t="str">
        <f t="shared" si="7"/>
        <v/>
      </c>
      <c r="AE20" s="195" t="str">
        <f t="shared" si="8"/>
        <v/>
      </c>
      <c r="AF20" s="197" t="str">
        <f t="shared" si="9"/>
        <v/>
      </c>
      <c r="AG20" s="195" t="str">
        <f t="shared" ref="AG20:AG22" si="13">IFERROR(IF(AND(V19="Impacto",V20="Impacto"),(AG19-(+AG19*Y20)),IF(AND(V19="Probabilidad",V20="Impacto"),(AG18-(+AG18*Y20)),IF(V20="Probabilidad",AG19,""))),"")</f>
        <v/>
      </c>
      <c r="AH20" s="198" t="str">
        <f>IFERROR(IF(OR(AND(AD20="Muy Baja",AF20="Leve"),AND(AD20="Muy Baja",AF20="Menor"),AND(AD20="Baja",AF20="Leve")),"Bajo",IF(OR(AND(AD20="Muy baja",AF20="Moderado"),AND(AD20="Baja",AF20="Menor"),AND(AD20="Baja",AF20="Moderado"),AND(AD20="Media",AF20="Leve"),AND(AD20="Media",AF20="Menor"),AND(AD20="Media",AF20="Moderado"),AND(AD20="Alta",AF20="Leve"),AND(AD20="Alta",AF20="Menor")),"Moderado",IF(OR(AND(AD20="Muy Baja",AF20="Mayor"),AND(AD20="Baja",AF20="Mayor"),AND(AD20="Media",AF20="Mayor"),AND(AD20="Alta",AF20="Moderado"),AND(AD20="Alta",AF20="Mayor"),AND(AD20="Muy Alta",AF20="Leve"),AND(AD20="Muy Alta",AF20="Menor"),AND(AD20="Muy Alta",AF20="Moderado"),AND(AD20="Muy Alta",AF20="Mayor")),"Alto",IF(OR(AND(AD20="Muy Baja",AF20="Catastrófico"),AND(AD20="Baja",AF20="Catastrófico"),AND(AD20="Media",AF20="Catastrófico"),AND(AD20="Alta",AF20="Catastrófico"),AND(AD20="Muy Alta",AF20="Catastrófico")),"Extremo","")))),"")</f>
        <v/>
      </c>
      <c r="AI20" s="199"/>
      <c r="AJ20" s="190"/>
      <c r="AK20" s="200"/>
      <c r="AL20" s="200"/>
      <c r="AM20" s="201"/>
      <c r="AN20" s="389"/>
      <c r="AO20" s="389"/>
      <c r="AP20" s="389"/>
    </row>
    <row r="21" spans="1:42" ht="37.5" customHeight="1" x14ac:dyDescent="0.2">
      <c r="A21" s="385"/>
      <c r="B21" s="386"/>
      <c r="C21" s="386"/>
      <c r="D21" s="386"/>
      <c r="E21" s="386"/>
      <c r="F21" s="386"/>
      <c r="G21" s="386"/>
      <c r="H21" s="386"/>
      <c r="I21" s="386"/>
      <c r="J21" s="386"/>
      <c r="K21" s="386"/>
      <c r="L21" s="389"/>
      <c r="M21" s="394"/>
      <c r="N21" s="393"/>
      <c r="O21" s="392"/>
      <c r="P21" s="393">
        <f>IF(NOT(ISERROR(MATCH(O21,_xlfn.ANCHORARRAY(#REF!),0))),#REF!&amp;"Por favor no seleccionar los criterios de impacto",O21)</f>
        <v>0</v>
      </c>
      <c r="Q21" s="394"/>
      <c r="R21" s="393"/>
      <c r="S21" s="395"/>
      <c r="T21" s="226">
        <v>5</v>
      </c>
      <c r="U21" s="191"/>
      <c r="V21" s="193" t="str">
        <f t="shared" si="11"/>
        <v/>
      </c>
      <c r="W21" s="194"/>
      <c r="X21" s="194"/>
      <c r="Y21" s="195" t="str">
        <f t="shared" si="6"/>
        <v/>
      </c>
      <c r="Z21" s="194"/>
      <c r="AA21" s="194"/>
      <c r="AB21" s="194"/>
      <c r="AC21" s="196" t="str">
        <f t="shared" si="12"/>
        <v/>
      </c>
      <c r="AD21" s="197" t="str">
        <f>IFERROR(IF(AC21="","",IF(AC21&lt;=0.2,"Muy Baja",IF(AC21&lt;=0.4,"Baja",IF(AC21&lt;=0.6,"Media",IF(AC21&lt;=0.8,"Alta","Muy Alta"))))),"")</f>
        <v/>
      </c>
      <c r="AE21" s="195" t="str">
        <f t="shared" si="8"/>
        <v/>
      </c>
      <c r="AF21" s="197" t="str">
        <f t="shared" si="9"/>
        <v/>
      </c>
      <c r="AG21" s="195" t="str">
        <f t="shared" si="13"/>
        <v/>
      </c>
      <c r="AH21" s="198" t="str">
        <f t="shared" ref="AH21:AH22" si="14">IFERROR(IF(OR(AND(AD21="Muy Baja",AF21="Leve"),AND(AD21="Muy Baja",AF21="Menor"),AND(AD21="Baja",AF21="Leve")),"Bajo",IF(OR(AND(AD21="Muy baja",AF21="Moderado"),AND(AD21="Baja",AF21="Menor"),AND(AD21="Baja",AF21="Moderado"),AND(AD21="Media",AF21="Leve"),AND(AD21="Media",AF21="Menor"),AND(AD21="Media",AF21="Moderado"),AND(AD21="Alta",AF21="Leve"),AND(AD21="Alta",AF21="Menor")),"Moderado",IF(OR(AND(AD21="Muy Baja",AF21="Mayor"),AND(AD21="Baja",AF21="Mayor"),AND(AD21="Media",AF21="Mayor"),AND(AD21="Alta",AF21="Moderado"),AND(AD21="Alta",AF21="Mayor"),AND(AD21="Muy Alta",AF21="Leve"),AND(AD21="Muy Alta",AF21="Menor"),AND(AD21="Muy Alta",AF21="Moderado"),AND(AD21="Muy Alta",AF21="Mayor")),"Alto",IF(OR(AND(AD21="Muy Baja",AF21="Catastrófico"),AND(AD21="Baja",AF21="Catastrófico"),AND(AD21="Media",AF21="Catastrófico"),AND(AD21="Alta",AF21="Catastrófico"),AND(AD21="Muy Alta",AF21="Catastrófico")),"Extremo","")))),"")</f>
        <v/>
      </c>
      <c r="AI21" s="199"/>
      <c r="AJ21" s="190"/>
      <c r="AK21" s="200"/>
      <c r="AL21" s="200"/>
      <c r="AM21" s="201"/>
      <c r="AN21" s="389"/>
      <c r="AO21" s="389"/>
      <c r="AP21" s="389"/>
    </row>
    <row r="22" spans="1:42" ht="37.5" customHeight="1" x14ac:dyDescent="0.2">
      <c r="A22" s="385"/>
      <c r="B22" s="386"/>
      <c r="C22" s="386"/>
      <c r="D22" s="386"/>
      <c r="E22" s="386"/>
      <c r="F22" s="386"/>
      <c r="G22" s="386"/>
      <c r="H22" s="386"/>
      <c r="I22" s="386"/>
      <c r="J22" s="386"/>
      <c r="K22" s="386"/>
      <c r="L22" s="389"/>
      <c r="M22" s="394"/>
      <c r="N22" s="393"/>
      <c r="O22" s="392"/>
      <c r="P22" s="393">
        <f>IF(NOT(ISERROR(MATCH(O22,_xlfn.ANCHORARRAY(#REF!),0))),#REF!&amp;"Por favor no seleccionar los criterios de impacto",O22)</f>
        <v>0</v>
      </c>
      <c r="Q22" s="394"/>
      <c r="R22" s="393"/>
      <c r="S22" s="395"/>
      <c r="T22" s="226">
        <v>6</v>
      </c>
      <c r="U22" s="191"/>
      <c r="V22" s="193" t="str">
        <f t="shared" si="11"/>
        <v/>
      </c>
      <c r="W22" s="194"/>
      <c r="X22" s="194"/>
      <c r="Y22" s="195" t="str">
        <f t="shared" si="6"/>
        <v/>
      </c>
      <c r="Z22" s="194"/>
      <c r="AA22" s="194"/>
      <c r="AB22" s="194"/>
      <c r="AC22" s="196" t="str">
        <f t="shared" si="12"/>
        <v/>
      </c>
      <c r="AD22" s="197" t="str">
        <f t="shared" si="7"/>
        <v/>
      </c>
      <c r="AE22" s="195" t="str">
        <f t="shared" si="8"/>
        <v/>
      </c>
      <c r="AF22" s="197" t="str">
        <f t="shared" si="9"/>
        <v/>
      </c>
      <c r="AG22" s="195" t="str">
        <f t="shared" si="13"/>
        <v/>
      </c>
      <c r="AH22" s="198" t="str">
        <f t="shared" si="14"/>
        <v/>
      </c>
      <c r="AI22" s="199"/>
      <c r="AJ22" s="190"/>
      <c r="AK22" s="200"/>
      <c r="AL22" s="200"/>
      <c r="AM22" s="201"/>
      <c r="AN22" s="389"/>
      <c r="AO22" s="389"/>
      <c r="AP22" s="389"/>
    </row>
  </sheetData>
  <dataConsolidate/>
  <mergeCells count="128">
    <mergeCell ref="AP15:AP16"/>
    <mergeCell ref="AN13:AN14"/>
    <mergeCell ref="AO13:AO14"/>
    <mergeCell ref="AP13:AP14"/>
    <mergeCell ref="A15:A16"/>
    <mergeCell ref="B15:B16"/>
    <mergeCell ref="C15:C16"/>
    <mergeCell ref="D15:D16"/>
    <mergeCell ref="E15:E16"/>
    <mergeCell ref="F15:F16"/>
    <mergeCell ref="G15:G16"/>
    <mergeCell ref="H15:H16"/>
    <mergeCell ref="I15:I16"/>
    <mergeCell ref="J15:J16"/>
    <mergeCell ref="K15:K16"/>
    <mergeCell ref="L15:L16"/>
    <mergeCell ref="M15:M16"/>
    <mergeCell ref="N15:N16"/>
    <mergeCell ref="O15:O16"/>
    <mergeCell ref="P15:P16"/>
    <mergeCell ref="Q15:Q16"/>
    <mergeCell ref="R15:R16"/>
    <mergeCell ref="S15:S16"/>
    <mergeCell ref="AN15:AN16"/>
    <mergeCell ref="AO15:AO16"/>
    <mergeCell ref="A13:A14"/>
    <mergeCell ref="B13:B14"/>
    <mergeCell ref="C13:C14"/>
    <mergeCell ref="D13:D14"/>
    <mergeCell ref="E13:E14"/>
    <mergeCell ref="F13:F14"/>
    <mergeCell ref="G13:G14"/>
    <mergeCell ref="H13:H14"/>
    <mergeCell ref="I13:I14"/>
    <mergeCell ref="AJ11:AJ12"/>
    <mergeCell ref="AM11:AM12"/>
    <mergeCell ref="AK11:AK12"/>
    <mergeCell ref="O17:O22"/>
    <mergeCell ref="P17:P22"/>
    <mergeCell ref="Q17:Q22"/>
    <mergeCell ref="R17:R22"/>
    <mergeCell ref="S17:S22"/>
    <mergeCell ref="I17:I22"/>
    <mergeCell ref="J17:J22"/>
    <mergeCell ref="K17:K22"/>
    <mergeCell ref="L17:L22"/>
    <mergeCell ref="M17:M22"/>
    <mergeCell ref="N17:N22"/>
    <mergeCell ref="AN17:AN22"/>
    <mergeCell ref="AO17:AO22"/>
    <mergeCell ref="AP17:AP22"/>
    <mergeCell ref="AN10:AP10"/>
    <mergeCell ref="AN11:AN12"/>
    <mergeCell ref="AO11:AO12"/>
    <mergeCell ref="AP11:AP12"/>
    <mergeCell ref="I11:I12"/>
    <mergeCell ref="J11:J12"/>
    <mergeCell ref="K11:K12"/>
    <mergeCell ref="AI11:AI12"/>
    <mergeCell ref="AL11:AL12"/>
    <mergeCell ref="T11:T12"/>
    <mergeCell ref="AH11:AH12"/>
    <mergeCell ref="AG11:AG12"/>
    <mergeCell ref="AC11:AC12"/>
    <mergeCell ref="U11:U12"/>
    <mergeCell ref="AF11:AF12"/>
    <mergeCell ref="AD11:AD12"/>
    <mergeCell ref="AE11:AE12"/>
    <mergeCell ref="V11:V12"/>
    <mergeCell ref="W11:AB11"/>
    <mergeCell ref="J13:J14"/>
    <mergeCell ref="K13:K14"/>
    <mergeCell ref="H17:H22"/>
    <mergeCell ref="F17:F22"/>
    <mergeCell ref="B11:B12"/>
    <mergeCell ref="L11:L12"/>
    <mergeCell ref="M11:M12"/>
    <mergeCell ref="S11:S12"/>
    <mergeCell ref="O11:O12"/>
    <mergeCell ref="P11:P12"/>
    <mergeCell ref="L13:L14"/>
    <mergeCell ref="M13:M14"/>
    <mergeCell ref="N13:N14"/>
    <mergeCell ref="O13:O14"/>
    <mergeCell ref="P13:P14"/>
    <mergeCell ref="Q13:Q14"/>
    <mergeCell ref="R13:R14"/>
    <mergeCell ref="S13:S14"/>
    <mergeCell ref="H11:H12"/>
    <mergeCell ref="N11:N12"/>
    <mergeCell ref="Q11:Q12"/>
    <mergeCell ref="R11:R12"/>
    <mergeCell ref="F11:F12"/>
    <mergeCell ref="A11:A12"/>
    <mergeCell ref="G11:G12"/>
    <mergeCell ref="E11:E12"/>
    <mergeCell ref="D11:D12"/>
    <mergeCell ref="C11:C12"/>
    <mergeCell ref="A17:A22"/>
    <mergeCell ref="B17:B22"/>
    <mergeCell ref="C17:C22"/>
    <mergeCell ref="D17:D22"/>
    <mergeCell ref="E17:E22"/>
    <mergeCell ref="G17:G22"/>
    <mergeCell ref="C6:S6"/>
    <mergeCell ref="T6:V6"/>
    <mergeCell ref="A10:L10"/>
    <mergeCell ref="M10:S10"/>
    <mergeCell ref="T10:AB10"/>
    <mergeCell ref="AC10:AI10"/>
    <mergeCell ref="AJ10:AM10"/>
    <mergeCell ref="A1:C4"/>
    <mergeCell ref="D1:S2"/>
    <mergeCell ref="D3:K3"/>
    <mergeCell ref="L3:S3"/>
    <mergeCell ref="D4:S4"/>
    <mergeCell ref="W6:AP6"/>
    <mergeCell ref="W7:AP7"/>
    <mergeCell ref="W8:AP8"/>
    <mergeCell ref="U1:AP2"/>
    <mergeCell ref="U3:AI3"/>
    <mergeCell ref="U4:AP4"/>
    <mergeCell ref="AJ3:AP3"/>
    <mergeCell ref="A6:B6"/>
    <mergeCell ref="A7:B7"/>
    <mergeCell ref="A8:B8"/>
    <mergeCell ref="C7:S7"/>
    <mergeCell ref="C8:S8"/>
  </mergeCells>
  <conditionalFormatting sqref="AD13:AD14">
    <cfRule type="cellIs" dxfId="100" priority="493" operator="equal">
      <formula>"Muy Alta"</formula>
    </cfRule>
    <cfRule type="cellIs" dxfId="99" priority="494" operator="equal">
      <formula>"Alta"</formula>
    </cfRule>
    <cfRule type="cellIs" dxfId="98" priority="495" operator="equal">
      <formula>"Media"</formula>
    </cfRule>
    <cfRule type="cellIs" dxfId="97" priority="496" operator="equal">
      <formula>"Baja"</formula>
    </cfRule>
    <cfRule type="cellIs" dxfId="96" priority="497" operator="equal">
      <formula>"Muy Baja"</formula>
    </cfRule>
  </conditionalFormatting>
  <conditionalFormatting sqref="Q17 AF13">
    <cfRule type="cellIs" dxfId="95" priority="488" operator="equal">
      <formula>"Catastrófico"</formula>
    </cfRule>
    <cfRule type="cellIs" dxfId="94" priority="489" operator="equal">
      <formula>"Mayor"</formula>
    </cfRule>
    <cfRule type="cellIs" dxfId="93" priority="490" operator="equal">
      <formula>"Moderado"</formula>
    </cfRule>
    <cfRule type="cellIs" dxfId="92" priority="491" operator="equal">
      <formula>"Menor"</formula>
    </cfRule>
    <cfRule type="cellIs" dxfId="91" priority="492" operator="equal">
      <formula>"Leve"</formula>
    </cfRule>
  </conditionalFormatting>
  <conditionalFormatting sqref="AH13">
    <cfRule type="cellIs" dxfId="90" priority="484" operator="equal">
      <formula>"Extremo"</formula>
    </cfRule>
    <cfRule type="cellIs" dxfId="89" priority="485" operator="equal">
      <formula>"Alto"</formula>
    </cfRule>
    <cfRule type="cellIs" dxfId="88" priority="486" operator="equal">
      <formula>"Moderado"</formula>
    </cfRule>
    <cfRule type="cellIs" dxfId="87" priority="487" operator="equal">
      <formula>"Bajo"</formula>
    </cfRule>
  </conditionalFormatting>
  <conditionalFormatting sqref="M17">
    <cfRule type="cellIs" dxfId="86" priority="367" operator="equal">
      <formula>"Muy Alta"</formula>
    </cfRule>
    <cfRule type="cellIs" dxfId="85" priority="368" operator="equal">
      <formula>"Alta"</formula>
    </cfRule>
    <cfRule type="cellIs" dxfId="84" priority="369" operator="equal">
      <formula>"Media"</formula>
    </cfRule>
    <cfRule type="cellIs" dxfId="83" priority="370" operator="equal">
      <formula>"Baja"</formula>
    </cfRule>
    <cfRule type="cellIs" dxfId="82" priority="371" operator="equal">
      <formula>"Muy Baja"</formula>
    </cfRule>
  </conditionalFormatting>
  <conditionalFormatting sqref="S17">
    <cfRule type="cellIs" dxfId="81" priority="358" operator="equal">
      <formula>"Extremo"</formula>
    </cfRule>
    <cfRule type="cellIs" dxfId="80" priority="359" operator="equal">
      <formula>"Alto"</formula>
    </cfRule>
    <cfRule type="cellIs" dxfId="79" priority="360" operator="equal">
      <formula>"Moderado"</formula>
    </cfRule>
    <cfRule type="cellIs" dxfId="78" priority="361" operator="equal">
      <formula>"Bajo"</formula>
    </cfRule>
  </conditionalFormatting>
  <conditionalFormatting sqref="AD17:AD22">
    <cfRule type="cellIs" dxfId="77" priority="353" operator="equal">
      <formula>"Muy Alta"</formula>
    </cfRule>
    <cfRule type="cellIs" dxfId="76" priority="354" operator="equal">
      <formula>"Alta"</formula>
    </cfRule>
    <cfRule type="cellIs" dxfId="75" priority="355" operator="equal">
      <formula>"Media"</formula>
    </cfRule>
    <cfRule type="cellIs" dxfId="74" priority="356" operator="equal">
      <formula>"Baja"</formula>
    </cfRule>
    <cfRule type="cellIs" dxfId="73" priority="357" operator="equal">
      <formula>"Muy Baja"</formula>
    </cfRule>
  </conditionalFormatting>
  <conditionalFormatting sqref="AF17:AF22">
    <cfRule type="cellIs" dxfId="72" priority="348" operator="equal">
      <formula>"Catastrófico"</formula>
    </cfRule>
    <cfRule type="cellIs" dxfId="71" priority="349" operator="equal">
      <formula>"Mayor"</formula>
    </cfRule>
    <cfRule type="cellIs" dxfId="70" priority="350" operator="equal">
      <formula>"Moderado"</formula>
    </cfRule>
    <cfRule type="cellIs" dxfId="69" priority="351" operator="equal">
      <formula>"Menor"</formula>
    </cfRule>
    <cfRule type="cellIs" dxfId="68" priority="352" operator="equal">
      <formula>"Leve"</formula>
    </cfRule>
  </conditionalFormatting>
  <conditionalFormatting sqref="AH17:AH22">
    <cfRule type="cellIs" dxfId="67" priority="344" operator="equal">
      <formula>"Extremo"</formula>
    </cfRule>
    <cfRule type="cellIs" dxfId="66" priority="345" operator="equal">
      <formula>"Alto"</formula>
    </cfRule>
    <cfRule type="cellIs" dxfId="65" priority="346" operator="equal">
      <formula>"Moderado"</formula>
    </cfRule>
    <cfRule type="cellIs" dxfId="64" priority="347" operator="equal">
      <formula>"Bajo"</formula>
    </cfRule>
  </conditionalFormatting>
  <conditionalFormatting sqref="P13:P22">
    <cfRule type="containsText" dxfId="63" priority="175" operator="containsText" text="❌">
      <formula>NOT(ISERROR(SEARCH("❌",P13)))</formula>
    </cfRule>
  </conditionalFormatting>
  <conditionalFormatting sqref="M13">
    <cfRule type="cellIs" dxfId="62" priority="61" operator="equal">
      <formula>"Muy Alta"</formula>
    </cfRule>
    <cfRule type="cellIs" dxfId="61" priority="62" operator="equal">
      <formula>"Alta"</formula>
    </cfRule>
    <cfRule type="cellIs" dxfId="60" priority="63" operator="equal">
      <formula>"Media"</formula>
    </cfRule>
    <cfRule type="cellIs" dxfId="59" priority="64" operator="equal">
      <formula>"Baja"</formula>
    </cfRule>
    <cfRule type="cellIs" dxfId="58" priority="65" operator="equal">
      <formula>"Muy Baja"</formula>
    </cfRule>
  </conditionalFormatting>
  <conditionalFormatting sqref="M15">
    <cfRule type="cellIs" dxfId="57" priority="38" operator="equal">
      <formula>"Muy Alta"</formula>
    </cfRule>
    <cfRule type="cellIs" dxfId="56" priority="39" operator="equal">
      <formula>"Alta"</formula>
    </cfRule>
    <cfRule type="cellIs" dxfId="55" priority="40" operator="equal">
      <formula>"Media"</formula>
    </cfRule>
    <cfRule type="cellIs" dxfId="54" priority="41" operator="equal">
      <formula>"Baja"</formula>
    </cfRule>
    <cfRule type="cellIs" dxfId="53" priority="42" operator="equal">
      <formula>"Muy Baja"</formula>
    </cfRule>
  </conditionalFormatting>
  <conditionalFormatting sqref="S15">
    <cfRule type="cellIs" dxfId="52" priority="34" operator="equal">
      <formula>"Extremo"</formula>
    </cfRule>
    <cfRule type="cellIs" dxfId="51" priority="35" operator="equal">
      <formula>"Alto"</formula>
    </cfRule>
    <cfRule type="cellIs" dxfId="50" priority="36" operator="equal">
      <formula>"Moderado"</formula>
    </cfRule>
    <cfRule type="cellIs" dxfId="49" priority="37" operator="equal">
      <formula>"Bajo"</formula>
    </cfRule>
  </conditionalFormatting>
  <conditionalFormatting sqref="AD15:AD16">
    <cfRule type="cellIs" dxfId="48" priority="29" operator="equal">
      <formula>"Muy Alta"</formula>
    </cfRule>
    <cfRule type="cellIs" dxfId="47" priority="30" operator="equal">
      <formula>"Alta"</formula>
    </cfRule>
    <cfRule type="cellIs" dxfId="46" priority="31" operator="equal">
      <formula>"Media"</formula>
    </cfRule>
    <cfRule type="cellIs" dxfId="45" priority="32" operator="equal">
      <formula>"Baja"</formula>
    </cfRule>
    <cfRule type="cellIs" dxfId="44" priority="33" operator="equal">
      <formula>"Muy Baja"</formula>
    </cfRule>
  </conditionalFormatting>
  <conditionalFormatting sqref="AF15">
    <cfRule type="cellIs" dxfId="43" priority="24" operator="equal">
      <formula>"Catastrófico"</formula>
    </cfRule>
    <cfRule type="cellIs" dxfId="42" priority="25" operator="equal">
      <formula>"Mayor"</formula>
    </cfRule>
    <cfRule type="cellIs" dxfId="41" priority="26" operator="equal">
      <formula>"Moderado"</formula>
    </cfRule>
    <cfRule type="cellIs" dxfId="40" priority="27" operator="equal">
      <formula>"Menor"</formula>
    </cfRule>
    <cfRule type="cellIs" dxfId="39" priority="28" operator="equal">
      <formula>"Leve"</formula>
    </cfRule>
  </conditionalFormatting>
  <conditionalFormatting sqref="AH15">
    <cfRule type="cellIs" dxfId="38" priority="20" operator="equal">
      <formula>"Extremo"</formula>
    </cfRule>
    <cfRule type="cellIs" dxfId="37" priority="21" operator="equal">
      <formula>"Alto"</formula>
    </cfRule>
    <cfRule type="cellIs" dxfId="36" priority="22" operator="equal">
      <formula>"Moderado"</formula>
    </cfRule>
    <cfRule type="cellIs" dxfId="35" priority="23" operator="equal">
      <formula>"Bajo"</formula>
    </cfRule>
  </conditionalFormatting>
  <conditionalFormatting sqref="Q13 Q15">
    <cfRule type="cellIs" dxfId="34" priority="66" operator="equal">
      <formula>"Catastrófico"</formula>
    </cfRule>
    <cfRule type="cellIs" dxfId="33" priority="67" operator="equal">
      <formula>"Mayor"</formula>
    </cfRule>
    <cfRule type="cellIs" dxfId="32" priority="68" operator="equal">
      <formula>"Moderado"</formula>
    </cfRule>
    <cfRule type="cellIs" dxfId="31" priority="69" operator="equal">
      <formula>"Menor"</formula>
    </cfRule>
    <cfRule type="cellIs" dxfId="30" priority="70" operator="equal">
      <formula>"Leve"</formula>
    </cfRule>
  </conditionalFormatting>
  <conditionalFormatting sqref="S13">
    <cfRule type="cellIs" dxfId="29" priority="57" operator="equal">
      <formula>"Extremo"</formula>
    </cfRule>
    <cfRule type="cellIs" dxfId="28" priority="58" operator="equal">
      <formula>"Alto"</formula>
    </cfRule>
    <cfRule type="cellIs" dxfId="27" priority="59" operator="equal">
      <formula>"Moderado"</formula>
    </cfRule>
    <cfRule type="cellIs" dxfId="26" priority="60" operator="equal">
      <formula>"Bajo"</formula>
    </cfRule>
  </conditionalFormatting>
  <conditionalFormatting sqref="AF16">
    <cfRule type="cellIs" dxfId="25" priority="14" operator="equal">
      <formula>"Catastrófico"</formula>
    </cfRule>
    <cfRule type="cellIs" dxfId="24" priority="15" operator="equal">
      <formula>"Mayor"</formula>
    </cfRule>
    <cfRule type="cellIs" dxfId="23" priority="16" operator="equal">
      <formula>"Moderado"</formula>
    </cfRule>
    <cfRule type="cellIs" dxfId="22" priority="17" operator="equal">
      <formula>"Menor"</formula>
    </cfRule>
    <cfRule type="cellIs" dxfId="21" priority="18" operator="equal">
      <formula>"Leve"</formula>
    </cfRule>
  </conditionalFormatting>
  <conditionalFormatting sqref="AH16">
    <cfRule type="cellIs" dxfId="20" priority="10" operator="equal">
      <formula>"Extremo"</formula>
    </cfRule>
    <cfRule type="cellIs" dxfId="19" priority="11" operator="equal">
      <formula>"Alto"</formula>
    </cfRule>
    <cfRule type="cellIs" dxfId="18" priority="12" operator="equal">
      <formula>"Moderado"</formula>
    </cfRule>
    <cfRule type="cellIs" dxfId="17" priority="13" operator="equal">
      <formula>"Bajo"</formula>
    </cfRule>
  </conditionalFormatting>
  <conditionalFormatting sqref="AF14">
    <cfRule type="cellIs" dxfId="16" priority="5" operator="equal">
      <formula>"Catastrófico"</formula>
    </cfRule>
    <cfRule type="cellIs" dxfId="15" priority="6" operator="equal">
      <formula>"Mayor"</formula>
    </cfRule>
    <cfRule type="cellIs" dxfId="14" priority="7" operator="equal">
      <formula>"Moderado"</formula>
    </cfRule>
    <cfRule type="cellIs" dxfId="13" priority="8" operator="equal">
      <formula>"Menor"</formula>
    </cfRule>
    <cfRule type="cellIs" dxfId="12" priority="9" operator="equal">
      <formula>"Leve"</formula>
    </cfRule>
  </conditionalFormatting>
  <conditionalFormatting sqref="AH14">
    <cfRule type="cellIs" dxfId="11" priority="1" operator="equal">
      <formula>"Extremo"</formula>
    </cfRule>
    <cfRule type="cellIs" dxfId="10" priority="2" operator="equal">
      <formula>"Alto"</formula>
    </cfRule>
    <cfRule type="cellIs" dxfId="9" priority="3" operator="equal">
      <formula>"Moderado"</formula>
    </cfRule>
    <cfRule type="cellIs" dxfId="8" priority="4" operator="equal">
      <formula>"Bajo"</formula>
    </cfRule>
  </conditionalFormatting>
  <pageMargins left="0.70866141732283472" right="0.70866141732283472" top="0.74803149606299213" bottom="0.74803149606299213" header="0.31496062992125984" footer="0.31496062992125984"/>
  <pageSetup scale="40" orientation="landscape" r:id="rId1"/>
  <headerFooter>
    <oddFooter>&amp;LAvenida Calle 26 No. 57-83 Torre 8, Piso 8 CEMSA - C.P. 111321
PBX:(+57) 601-3779555 - Información: Línea 195
Sede Operativa - Atención al Ciudadano: Calle 22D No. 120-40
www.umv.gov.co&amp;CDESI-FM-018
Página &amp;P de &amp;N</oddFooter>
  </headerFooter>
  <rowBreaks count="1" manualBreakCount="1">
    <brk id="16" max="37" man="1"/>
  </rowBreaks>
  <colBreaks count="1" manualBreakCount="1">
    <brk id="19" max="73" man="1"/>
  </colBreaks>
  <drawing r:id="rId2"/>
  <extLst>
    <ext xmlns:x14="http://schemas.microsoft.com/office/spreadsheetml/2009/9/main" uri="{CCE6A557-97BC-4b89-ADB6-D9C93CAAB3DF}">
      <x14:dataValidations xmlns:xm="http://schemas.microsoft.com/office/excel/2006/main" count="24">
        <x14:dataValidation type="custom" allowBlank="1" showInputMessage="1" showErrorMessage="1" error="Recuerde que las acciones se generan bajo la medida de mitigar el riesgo" xr:uid="{00000000-0002-0000-0300-000000000000}">
          <x14:formula1>
            <xm:f>IF(OR(AI14='Opciones Tratamiento'!$B$2,AI14='Opciones Tratamiento'!$B$3,AI14='Opciones Tratamiento'!$B$4),ISBLANK(AI14),ISTEXT(AI14))</xm:f>
          </x14:formula1>
          <xm:sqref>AJ14:AJ15 AJ17:AJ22</xm:sqref>
        </x14:dataValidation>
        <x14:dataValidation type="custom" allowBlank="1" showInputMessage="1" showErrorMessage="1" error="Recuerde que las acciones se generan bajo la medida de mitigar el riesgo" xr:uid="{00000000-0002-0000-0300-000001000000}">
          <x14:formula1>
            <xm:f>IF(OR(AI13='Opciones Tratamiento'!$B$2,AI13='Opciones Tratamiento'!$B$3,AI13='Opciones Tratamiento'!$B$4),ISBLANK(AI13),ISTEXT(AI13))</xm:f>
          </x14:formula1>
          <xm:sqref>AL13:AL14 AK14 AK15:AL22</xm:sqref>
        </x14:dataValidation>
        <x14:dataValidation type="list" allowBlank="1" showInputMessage="1" showErrorMessage="1" xr:uid="{00000000-0002-0000-0300-000002000000}">
          <x14:formula1>
            <xm:f>'Opciones Tratamiento'!$B$28:$B$35</xm:f>
          </x14:formula1>
          <xm:sqref>J17 J15 J13</xm:sqref>
        </x14:dataValidation>
        <x14:dataValidation type="custom" allowBlank="1" showInputMessage="1" showErrorMessage="1" error="Recuerde que las acciones se generan bajo la medida de mitigar el riesgo" xr:uid="{00000000-0002-0000-0300-000003000000}">
          <x14:formula1>
            <xm:f>IF(OR(#REF!='Opciones Tratamiento'!$B$2,#REF!='Opciones Tratamiento'!$B$3,#REF!='Opciones Tratamiento'!$B$4),ISBLANK(#REF!),ISTEXT(#REF!))</xm:f>
          </x14:formula1>
          <xm:sqref>AN17:AP17</xm:sqref>
        </x14:dataValidation>
        <x14:dataValidation type="list" allowBlank="1" showInputMessage="1" showErrorMessage="1" xr:uid="{00000000-0002-0000-0300-000004000000}">
          <x14:formula1>
            <xm:f>Intructivo!$C$300:$C$316</xm:f>
          </x14:formula1>
          <xm:sqref>C6:S6</xm:sqref>
        </x14:dataValidation>
        <x14:dataValidation type="list" allowBlank="1" showInputMessage="1" showErrorMessage="1" xr:uid="{00000000-0002-0000-0300-000005000000}">
          <x14:formula1>
            <xm:f>Amenazas!$C$2:$C$10</xm:f>
          </x14:formula1>
          <xm:sqref>H13:H22</xm:sqref>
        </x14:dataValidation>
        <x14:dataValidation type="custom" allowBlank="1" showInputMessage="1" showErrorMessage="1" error="Recuerde que las acciones se generan bajo la medida de mitigar el riesgo" xr:uid="{00000000-0002-0000-0300-000006000000}">
          <x14:formula1>
            <xm:f>IF(OR(AI13='D:\OneDrive - uaermv\UMV\Descargas\[2 - 13122021 AM DESI-FM-018-V10 Formato Mapa de Riesgos de Proceso - Hoja Trabajo (1).xlsx]Opciones Tratamiento'!#REF!,AI13='D:\OneDrive - uaermv\UMV\Descargas\[2 - 13122021 AM DESI-FM-018-V10 Formato Mapa de Riesgos de Proceso - Hoja Trabajo (1).xlsx]Opciones Tratamiento'!#REF!,AI13='D:\OneDrive - uaermv\UMV\Descargas\[2 - 13122021 AM DESI-FM-018-V10 Formato Mapa de Riesgos de Proceso - Hoja Trabajo (1).xlsx]Opciones Tratamiento'!#REF!),ISBLANK(AI13),ISTEXT(AI13))</xm:f>
          </x14:formula1>
          <xm:sqref>AM13:AM14</xm:sqref>
        </x14:dataValidation>
        <x14:dataValidation type="custom" allowBlank="1" showInputMessage="1" showErrorMessage="1" error="Recuerde que las acciones se generan bajo la medida de mitigar el riesgo" xr:uid="{00000000-0002-0000-0300-000007000000}">
          <x14:formula1>
            <xm:f>IF(OR(AI13='D:\OneDrive - uaermv\UMV\Descargas\[2 - 13122021 AM DESI-FM-018-V10 Formato Mapa de Riesgos de Proceso - Hoja Trabajo (1).xlsx]Opciones Tratamiento'!#REF!,AI13='D:\OneDrive - uaermv\UMV\Descargas\[2 - 13122021 AM DESI-FM-018-V10 Formato Mapa de Riesgos de Proceso - Hoja Trabajo (1).xlsx]Opciones Tratamiento'!#REF!,AI13='D:\OneDrive - uaermv\UMV\Descargas\[2 - 13122021 AM DESI-FM-018-V10 Formato Mapa de Riesgos de Proceso - Hoja Trabajo (1).xlsx]Opciones Tratamiento'!#REF!),ISBLANK(AI13),ISTEXT(AI13))</xm:f>
          </x14:formula1>
          <xm:sqref>AK13</xm:sqref>
        </x14:dataValidation>
        <x14:dataValidation type="custom" allowBlank="1" showInputMessage="1" showErrorMessage="1" error="Recuerde que las acciones se generan bajo la medida de mitigar el riesgo" xr:uid="{00000000-0002-0000-0300-000008000000}">
          <x14:formula1>
            <xm:f>IF(OR(AI13='D:\OneDrive - uaermv\UMV\Descargas\[2 - 13122021 AM DESI-FM-018-V10 Formato Mapa de Riesgos de Proceso - Hoja Trabajo (1).xlsx]Opciones Tratamiento'!#REF!,AI13='D:\OneDrive - uaermv\UMV\Descargas\[2 - 13122021 AM DESI-FM-018-V10 Formato Mapa de Riesgos de Proceso - Hoja Trabajo (1).xlsx]Opciones Tratamiento'!#REF!,AI13='D:\OneDrive - uaermv\UMV\Descargas\[2 - 13122021 AM DESI-FM-018-V10 Formato Mapa de Riesgos de Proceso - Hoja Trabajo (1).xlsx]Opciones Tratamiento'!#REF!),ISBLANK(AI13),ISTEXT(AI13))</xm:f>
          </x14:formula1>
          <xm:sqref>AJ13</xm:sqref>
        </x14:dataValidation>
        <x14:dataValidation type="list" allowBlank="1" showInputMessage="1" showErrorMessage="1" xr:uid="{00000000-0002-0000-0300-000009000000}">
          <x14:formula1>
            <xm:f>'Tabla Valoración controles'!$D$4:$D$6</xm:f>
          </x14:formula1>
          <xm:sqref>W13:W14 W17:W22</xm:sqref>
        </x14:dataValidation>
        <x14:dataValidation type="list" allowBlank="1" showInputMessage="1" showErrorMessage="1" xr:uid="{00000000-0002-0000-0300-00000A000000}">
          <x14:formula1>
            <xm:f>'Tabla Valoración controles'!$D$7:$D$8</xm:f>
          </x14:formula1>
          <xm:sqref>X13:X14 X17:X22</xm:sqref>
        </x14:dataValidation>
        <x14:dataValidation type="list" allowBlank="1" showInputMessage="1" showErrorMessage="1" xr:uid="{00000000-0002-0000-0300-00000B000000}">
          <x14:formula1>
            <xm:f>'D:\OneDrive - uaermv\UMV\Descargas\[2 - 13122021 AM DESI-FM-018-V10 Formato Mapa de Riesgos de Proceso - Hoja Trabajo (1).xlsx]Tabla Impacto'!#REF!</xm:f>
          </x14:formula1>
          <xm:sqref>O13:O14</xm:sqref>
        </x14:dataValidation>
        <x14:dataValidation type="list" allowBlank="1" showInputMessage="1" showErrorMessage="1" xr:uid="{00000000-0002-0000-0300-00000C000000}">
          <x14:formula1>
            <xm:f>'D:\OneDrive - uaermv\UMV\Descargas\[2 - 13122021 AM DESI-FM-018-V10 Formato Mapa de Riesgos de Proceso - Hoja Trabajo (1).xlsx]Opciones Tratamiento'!#REF!</xm:f>
          </x14:formula1>
          <xm:sqref>B13:B16</xm:sqref>
        </x14:dataValidation>
        <x14:dataValidation type="list" allowBlank="1" showInputMessage="1" showErrorMessage="1" xr:uid="{00000000-0002-0000-0300-00000D000000}">
          <x14:formula1>
            <xm:f>'D:\OneDrive - uaermv\UMV\Descargas\[2 - 13122021 AM DESI-FM-018-V10 Formato Mapa de Riesgos de Proceso - Hoja Trabajo (1).xlsx]Tabla Valoración controles'!#REF!</xm:f>
          </x14:formula1>
          <xm:sqref>W15:X16</xm:sqref>
        </x14:dataValidation>
        <x14:dataValidation type="custom" allowBlank="1" showInputMessage="1" showErrorMessage="1" error="Recuerde que las acciones se generan bajo la medida de mitigar el riesgo" xr:uid="{00000000-0002-0000-0300-00000E000000}">
          <x14:formula1>
            <xm:f>IF(OR(#REF!='D:\OneDrive - uaermv\UMV\Descargas\[2 - 13122021 AM DESI-FM-018-V10 Formato Mapa de Riesgos de Proceso - Hoja Trabajo (1).xlsx]Opciones Tratamiento'!#REF!,#REF!='D:\OneDrive - uaermv\UMV\Descargas\[2 - 13122021 AM DESI-FM-018-V10 Formato Mapa de Riesgos de Proceso - Hoja Trabajo (1).xlsx]Opciones Tratamiento'!#REF!,#REF!='D:\OneDrive - uaermv\UMV\Descargas\[2 - 13122021 AM DESI-FM-018-V10 Formato Mapa de Riesgos de Proceso - Hoja Trabajo (1).xlsx]Opciones Tratamiento'!#REF!),ISBLANK(#REF!),ISTEXT(#REF!))</xm:f>
          </x14:formula1>
          <xm:sqref>AJ16</xm:sqref>
        </x14:dataValidation>
        <x14:dataValidation type="list" allowBlank="1" showInputMessage="1" showErrorMessage="1" xr:uid="{00000000-0002-0000-0300-00000F000000}">
          <x14:formula1>
            <xm:f>'Tabla Valoración controles'!$D$9:$D$10</xm:f>
          </x14:formula1>
          <xm:sqref>Z13:Z22</xm:sqref>
        </x14:dataValidation>
        <x14:dataValidation type="list" allowBlank="1" showInputMessage="1" showErrorMessage="1" xr:uid="{00000000-0002-0000-0300-000010000000}">
          <x14:formula1>
            <xm:f>'Tabla Valoración controles'!$D$11:$D$12</xm:f>
          </x14:formula1>
          <xm:sqref>AA13:AA22</xm:sqref>
        </x14:dataValidation>
        <x14:dataValidation type="list" allowBlank="1" showInputMessage="1" showErrorMessage="1" xr:uid="{00000000-0002-0000-0300-000011000000}">
          <x14:formula1>
            <xm:f>'Tabla Valoración controles'!$D$13:$D$14</xm:f>
          </x14:formula1>
          <xm:sqref>AB13:AB22</xm:sqref>
        </x14:dataValidation>
        <x14:dataValidation type="list" allowBlank="1" showInputMessage="1" showErrorMessage="1" xr:uid="{00000000-0002-0000-0300-000012000000}">
          <x14:formula1>
            <xm:f>'Opciones Tratamiento'!$B$2:$B$5</xm:f>
          </x14:formula1>
          <xm:sqref>AI13:AI22</xm:sqref>
        </x14:dataValidation>
        <x14:dataValidation type="custom" allowBlank="1" showInputMessage="1" showErrorMessage="1" error="Recuerde que las acciones se generan bajo la medida de mitigar el riesgo" xr:uid="{00000000-0002-0000-0300-000013000000}">
          <x14:formula1>
            <xm:f>IF(OR(AI13='Opciones Tratamiento'!$B$2,AI13='Opciones Tratamiento'!$B$3,AI13='Opciones Tratamiento'!$B$4),ISBLANK(AI13),ISTEXT(AI13))</xm:f>
          </x14:formula1>
          <xm:sqref>AN13 AN15 AM15:AM22</xm:sqref>
        </x14:dataValidation>
        <x14:dataValidation type="list" allowBlank="1" showInputMessage="1" showErrorMessage="1" xr:uid="{00000000-0002-0000-0300-000014000000}">
          <x14:formula1>
            <xm:f>'Opciones Tratamiento'!$B$13:$B$23</xm:f>
          </x14:formula1>
          <xm:sqref>G13:G22</xm:sqref>
        </x14:dataValidation>
        <x14:dataValidation type="list" allowBlank="1" showInputMessage="1" showErrorMessage="1" xr:uid="{00000000-0002-0000-0300-000015000000}">
          <x14:formula1>
            <xm:f>'Opciones Tratamiento'!$E$2:$E$4</xm:f>
          </x14:formula1>
          <xm:sqref>B17:B22</xm:sqref>
        </x14:dataValidation>
        <x14:dataValidation type="list" allowBlank="1" showInputMessage="1" showErrorMessage="1" xr:uid="{00000000-0002-0000-0300-000016000000}">
          <x14:formula1>
            <xm:f>'Tabla Impacto'!$F$211:$F$222</xm:f>
          </x14:formula1>
          <xm:sqref>O15:O22</xm:sqref>
        </x14:dataValidation>
        <x14:dataValidation type="list" allowBlank="1" showInputMessage="1" showErrorMessage="1" xr:uid="{00000000-0002-0000-0300-000017000000}">
          <x14:formula1>
            <xm:f>'Tipo de riesgos'!$AX$3:$AX$5</xm:f>
          </x14:formula1>
          <xm:sqref>F13:F22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CU140"/>
  <sheetViews>
    <sheetView zoomScale="40" zoomScaleNormal="40" workbookViewId="0">
      <selection activeCell="BB42" sqref="BB42"/>
    </sheetView>
  </sheetViews>
  <sheetFormatPr baseColWidth="10" defaultColWidth="11.42578125" defaultRowHeight="15" x14ac:dyDescent="0.25"/>
  <cols>
    <col min="2" max="39" width="5.7109375" customWidth="1"/>
    <col min="41" max="46" width="5.7109375" customWidth="1"/>
  </cols>
  <sheetData>
    <row r="1" spans="1:99"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row>
    <row r="2" spans="1:99" ht="18" customHeight="1" x14ac:dyDescent="0.25">
      <c r="A2" s="66"/>
      <c r="B2" s="491" t="s">
        <v>202</v>
      </c>
      <c r="C2" s="491"/>
      <c r="D2" s="491"/>
      <c r="E2" s="491"/>
      <c r="F2" s="491"/>
      <c r="G2" s="491"/>
      <c r="H2" s="491"/>
      <c r="I2" s="491"/>
      <c r="J2" s="459" t="s">
        <v>15</v>
      </c>
      <c r="K2" s="459"/>
      <c r="L2" s="459"/>
      <c r="M2" s="459"/>
      <c r="N2" s="459"/>
      <c r="O2" s="459"/>
      <c r="P2" s="459"/>
      <c r="Q2" s="459"/>
      <c r="R2" s="459"/>
      <c r="S2" s="459"/>
      <c r="T2" s="459"/>
      <c r="U2" s="459"/>
      <c r="V2" s="459"/>
      <c r="W2" s="459"/>
      <c r="X2" s="459"/>
      <c r="Y2" s="459"/>
      <c r="Z2" s="459"/>
      <c r="AA2" s="459"/>
      <c r="AB2" s="459"/>
      <c r="AC2" s="459"/>
      <c r="AD2" s="459"/>
      <c r="AE2" s="459"/>
      <c r="AF2" s="459"/>
      <c r="AG2" s="459"/>
      <c r="AH2" s="459"/>
      <c r="AI2" s="459"/>
      <c r="AJ2" s="459"/>
      <c r="AK2" s="459"/>
      <c r="AL2" s="459"/>
      <c r="AM2" s="459"/>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row>
    <row r="3" spans="1:99" ht="18.75" customHeight="1" x14ac:dyDescent="0.25">
      <c r="A3" s="66"/>
      <c r="B3" s="491"/>
      <c r="C3" s="491"/>
      <c r="D3" s="491"/>
      <c r="E3" s="491"/>
      <c r="F3" s="491"/>
      <c r="G3" s="491"/>
      <c r="H3" s="491"/>
      <c r="I3" s="491"/>
      <c r="J3" s="459"/>
      <c r="K3" s="459"/>
      <c r="L3" s="459"/>
      <c r="M3" s="459"/>
      <c r="N3" s="459"/>
      <c r="O3" s="459"/>
      <c r="P3" s="459"/>
      <c r="Q3" s="459"/>
      <c r="R3" s="459"/>
      <c r="S3" s="459"/>
      <c r="T3" s="459"/>
      <c r="U3" s="459"/>
      <c r="V3" s="459"/>
      <c r="W3" s="459"/>
      <c r="X3" s="459"/>
      <c r="Y3" s="459"/>
      <c r="Z3" s="459"/>
      <c r="AA3" s="459"/>
      <c r="AB3" s="459"/>
      <c r="AC3" s="459"/>
      <c r="AD3" s="459"/>
      <c r="AE3" s="459"/>
      <c r="AF3" s="459"/>
      <c r="AG3" s="459"/>
      <c r="AH3" s="459"/>
      <c r="AI3" s="459"/>
      <c r="AJ3" s="459"/>
      <c r="AK3" s="459"/>
      <c r="AL3" s="459"/>
      <c r="AM3" s="459"/>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row>
    <row r="4" spans="1:99" ht="15" customHeight="1" x14ac:dyDescent="0.25">
      <c r="A4" s="66"/>
      <c r="B4" s="491"/>
      <c r="C4" s="491"/>
      <c r="D4" s="491"/>
      <c r="E4" s="491"/>
      <c r="F4" s="491"/>
      <c r="G4" s="491"/>
      <c r="H4" s="491"/>
      <c r="I4" s="491"/>
      <c r="J4" s="459"/>
      <c r="K4" s="459"/>
      <c r="L4" s="459"/>
      <c r="M4" s="459"/>
      <c r="N4" s="459"/>
      <c r="O4" s="459"/>
      <c r="P4" s="459"/>
      <c r="Q4" s="459"/>
      <c r="R4" s="459"/>
      <c r="S4" s="459"/>
      <c r="T4" s="459"/>
      <c r="U4" s="459"/>
      <c r="V4" s="459"/>
      <c r="W4" s="459"/>
      <c r="X4" s="459"/>
      <c r="Y4" s="459"/>
      <c r="Z4" s="459"/>
      <c r="AA4" s="459"/>
      <c r="AB4" s="459"/>
      <c r="AC4" s="459"/>
      <c r="AD4" s="459"/>
      <c r="AE4" s="459"/>
      <c r="AF4" s="459"/>
      <c r="AG4" s="459"/>
      <c r="AH4" s="459"/>
      <c r="AI4" s="459"/>
      <c r="AJ4" s="459"/>
      <c r="AK4" s="459"/>
      <c r="AL4" s="459"/>
      <c r="AM4" s="459"/>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row>
    <row r="5" spans="1:99"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row>
    <row r="6" spans="1:99" ht="15" customHeight="1" x14ac:dyDescent="0.25">
      <c r="A6" s="66"/>
      <c r="B6" s="406" t="s">
        <v>193</v>
      </c>
      <c r="C6" s="406"/>
      <c r="D6" s="407"/>
      <c r="E6" s="444" t="s">
        <v>203</v>
      </c>
      <c r="F6" s="445"/>
      <c r="G6" s="445"/>
      <c r="H6" s="445"/>
      <c r="I6" s="446"/>
      <c r="J6" s="455" t="e">
        <f>IF(AND('Mapa riesgos'!#REF!="Muy Alta",'Mapa riesgos'!#REF!="Leve"),CONCATENATE("R",'Mapa riesgos'!#REF!),"")</f>
        <v>#REF!</v>
      </c>
      <c r="K6" s="456"/>
      <c r="L6" s="456" t="e">
        <f>IF(AND('Mapa riesgos'!#REF!="Muy Alta",'Mapa riesgos'!#REF!="Leve"),CONCATENATE("R",'Mapa riesgos'!#REF!),"")</f>
        <v>#REF!</v>
      </c>
      <c r="M6" s="456"/>
      <c r="N6" s="456" t="e">
        <f>IF(AND('Mapa riesgos'!#REF!="Muy Alta",'Mapa riesgos'!#REF!="Leve"),CONCATENATE("R",'Mapa riesgos'!#REF!),"")</f>
        <v>#REF!</v>
      </c>
      <c r="O6" s="458"/>
      <c r="P6" s="455" t="e">
        <f>IF(AND('Mapa riesgos'!#REF!="Muy Alta",'Mapa riesgos'!#REF!="Menor"),CONCATENATE("R",'Mapa riesgos'!#REF!),"")</f>
        <v>#REF!</v>
      </c>
      <c r="Q6" s="456"/>
      <c r="R6" s="456" t="e">
        <f>IF(AND('Mapa riesgos'!#REF!="Muy Alta",'Mapa riesgos'!#REF!="Menor"),CONCATENATE("R",'Mapa riesgos'!#REF!),"")</f>
        <v>#REF!</v>
      </c>
      <c r="S6" s="456"/>
      <c r="T6" s="456" t="e">
        <f>IF(AND('Mapa riesgos'!#REF!="Muy Alta",'Mapa riesgos'!#REF!="Menor"),CONCATENATE("R",'Mapa riesgos'!#REF!),"")</f>
        <v>#REF!</v>
      </c>
      <c r="U6" s="458"/>
      <c r="V6" s="455" t="e">
        <f>IF(AND('Mapa riesgos'!#REF!="Muy Alta",'Mapa riesgos'!#REF!="Moderado"),CONCATENATE("R",'Mapa riesgos'!#REF!),"")</f>
        <v>#REF!</v>
      </c>
      <c r="W6" s="456"/>
      <c r="X6" s="456" t="e">
        <f>IF(AND('Mapa riesgos'!#REF!="Muy Alta",'Mapa riesgos'!#REF!="Moderado"),CONCATENATE("R",'Mapa riesgos'!#REF!),"")</f>
        <v>#REF!</v>
      </c>
      <c r="Y6" s="456"/>
      <c r="Z6" s="456" t="e">
        <f>IF(AND('Mapa riesgos'!#REF!="Muy Alta",'Mapa riesgos'!#REF!="Moderado"),CONCATENATE("R",'Mapa riesgos'!#REF!),"")</f>
        <v>#REF!</v>
      </c>
      <c r="AA6" s="458"/>
      <c r="AB6" s="455" t="e">
        <f>IF(AND('Mapa riesgos'!#REF!="Muy Alta",'Mapa riesgos'!#REF!="Mayor"),CONCATENATE("R",'Mapa riesgos'!#REF!),"")</f>
        <v>#REF!</v>
      </c>
      <c r="AC6" s="456"/>
      <c r="AD6" s="456" t="e">
        <f>IF(AND('Mapa riesgos'!#REF!="Muy Alta",'Mapa riesgos'!#REF!="Mayor"),CONCATENATE("R",'Mapa riesgos'!#REF!),"")</f>
        <v>#REF!</v>
      </c>
      <c r="AE6" s="456"/>
      <c r="AF6" s="456" t="e">
        <f>IF(AND('Mapa riesgos'!#REF!="Muy Alta",'Mapa riesgos'!#REF!="Mayor"),CONCATENATE("R",'Mapa riesgos'!#REF!),"")</f>
        <v>#REF!</v>
      </c>
      <c r="AG6" s="458"/>
      <c r="AH6" s="470" t="e">
        <f>IF(AND('Mapa riesgos'!#REF!="Muy Alta",'Mapa riesgos'!#REF!="Catastrófico"),CONCATENATE("R",'Mapa riesgos'!#REF!),"")</f>
        <v>#REF!</v>
      </c>
      <c r="AI6" s="471"/>
      <c r="AJ6" s="471" t="e">
        <f>IF(AND('Mapa riesgos'!#REF!="Muy Alta",'Mapa riesgos'!#REF!="Catastrófico"),CONCATENATE("R",'Mapa riesgos'!#REF!),"")</f>
        <v>#REF!</v>
      </c>
      <c r="AK6" s="471"/>
      <c r="AL6" s="471" t="e">
        <f>IF(AND('Mapa riesgos'!#REF!="Muy Alta",'Mapa riesgos'!#REF!="Catastrófico"),CONCATENATE("R",'Mapa riesgos'!#REF!),"")</f>
        <v>#REF!</v>
      </c>
      <c r="AM6" s="472"/>
      <c r="AO6" s="408" t="s">
        <v>204</v>
      </c>
      <c r="AP6" s="409"/>
      <c r="AQ6" s="409"/>
      <c r="AR6" s="409"/>
      <c r="AS6" s="409"/>
      <c r="AT6" s="410"/>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row>
    <row r="7" spans="1:99" ht="15" customHeight="1" x14ac:dyDescent="0.25">
      <c r="A7" s="66"/>
      <c r="B7" s="406"/>
      <c r="C7" s="406"/>
      <c r="D7" s="407"/>
      <c r="E7" s="447"/>
      <c r="F7" s="448"/>
      <c r="G7" s="448"/>
      <c r="H7" s="448"/>
      <c r="I7" s="449"/>
      <c r="J7" s="457"/>
      <c r="K7" s="453"/>
      <c r="L7" s="453"/>
      <c r="M7" s="453"/>
      <c r="N7" s="453"/>
      <c r="O7" s="454"/>
      <c r="P7" s="457"/>
      <c r="Q7" s="453"/>
      <c r="R7" s="453"/>
      <c r="S7" s="453"/>
      <c r="T7" s="453"/>
      <c r="U7" s="454"/>
      <c r="V7" s="457"/>
      <c r="W7" s="453"/>
      <c r="X7" s="453"/>
      <c r="Y7" s="453"/>
      <c r="Z7" s="453"/>
      <c r="AA7" s="454"/>
      <c r="AB7" s="457"/>
      <c r="AC7" s="453"/>
      <c r="AD7" s="453"/>
      <c r="AE7" s="453"/>
      <c r="AF7" s="453"/>
      <c r="AG7" s="454"/>
      <c r="AH7" s="464"/>
      <c r="AI7" s="465"/>
      <c r="AJ7" s="465"/>
      <c r="AK7" s="465"/>
      <c r="AL7" s="465"/>
      <c r="AM7" s="466"/>
      <c r="AN7" s="66"/>
      <c r="AO7" s="411"/>
      <c r="AP7" s="412"/>
      <c r="AQ7" s="412"/>
      <c r="AR7" s="412"/>
      <c r="AS7" s="412"/>
      <c r="AT7" s="413"/>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row>
    <row r="8" spans="1:99" ht="15" customHeight="1" x14ac:dyDescent="0.25">
      <c r="A8" s="66"/>
      <c r="B8" s="406"/>
      <c r="C8" s="406"/>
      <c r="D8" s="407"/>
      <c r="E8" s="447"/>
      <c r="F8" s="448"/>
      <c r="G8" s="448"/>
      <c r="H8" s="448"/>
      <c r="I8" s="449"/>
      <c r="J8" s="457" t="str">
        <f>IF(AND('Mapa riesgos'!$M$17="Muy Alta",'Mapa riesgos'!$Q$17="Leve"),CONCATENATE("R",'Mapa riesgos'!$A$17),"")</f>
        <v/>
      </c>
      <c r="K8" s="453"/>
      <c r="L8" s="453" t="e">
        <f>IF(AND('Mapa riesgos'!#REF!="Muy Alta",'Mapa riesgos'!#REF!="Leve"),CONCATENATE("R",'Mapa riesgos'!#REF!),"")</f>
        <v>#REF!</v>
      </c>
      <c r="M8" s="453"/>
      <c r="N8" s="453" t="e">
        <f>IF(AND('Mapa riesgos'!#REF!="Muy Alta",'Mapa riesgos'!#REF!="Leve"),CONCATENATE("R",'Mapa riesgos'!#REF!),"")</f>
        <v>#REF!</v>
      </c>
      <c r="O8" s="454"/>
      <c r="P8" s="457" t="str">
        <f>IF(AND('Mapa riesgos'!$M$17="Muy Alta",'Mapa riesgos'!$Q$17="Menor"),CONCATENATE("R",'Mapa riesgos'!$A$17),"")</f>
        <v/>
      </c>
      <c r="Q8" s="453"/>
      <c r="R8" s="453" t="e">
        <f>IF(AND('Mapa riesgos'!#REF!="Muy Alta",'Mapa riesgos'!#REF!="Menor"),CONCATENATE("R",'Mapa riesgos'!#REF!),"")</f>
        <v>#REF!</v>
      </c>
      <c r="S8" s="453"/>
      <c r="T8" s="453" t="e">
        <f>IF(AND('Mapa riesgos'!#REF!="Muy Alta",'Mapa riesgos'!#REF!="Menor"),CONCATENATE("R",'Mapa riesgos'!#REF!),"")</f>
        <v>#REF!</v>
      </c>
      <c r="U8" s="454"/>
      <c r="V8" s="457" t="str">
        <f>IF(AND('Mapa riesgos'!$M$17="Muy Alta",'Mapa riesgos'!$Q$17="Moderado"),CONCATENATE("R",'Mapa riesgos'!$A$17),"")</f>
        <v/>
      </c>
      <c r="W8" s="453"/>
      <c r="X8" s="453" t="e">
        <f>IF(AND('Mapa riesgos'!#REF!="Muy Alta",'Mapa riesgos'!#REF!="Moderado"),CONCATENATE("R",'Mapa riesgos'!#REF!),"")</f>
        <v>#REF!</v>
      </c>
      <c r="Y8" s="453"/>
      <c r="Z8" s="453" t="e">
        <f>IF(AND('Mapa riesgos'!#REF!="Muy Alta",'Mapa riesgos'!#REF!="Moderado"),CONCATENATE("R",'Mapa riesgos'!#REF!),"")</f>
        <v>#REF!</v>
      </c>
      <c r="AA8" s="454"/>
      <c r="AB8" s="457" t="str">
        <f>IF(AND('Mapa riesgos'!$M$17="Muy Alta",'Mapa riesgos'!$Q$17="Mayor"),CONCATENATE("R",'Mapa riesgos'!$A$17),"")</f>
        <v/>
      </c>
      <c r="AC8" s="453"/>
      <c r="AD8" s="453" t="e">
        <f>IF(AND('Mapa riesgos'!#REF!="Muy Alta",'Mapa riesgos'!#REF!="Mayor"),CONCATENATE("R",'Mapa riesgos'!#REF!),"")</f>
        <v>#REF!</v>
      </c>
      <c r="AE8" s="453"/>
      <c r="AF8" s="453" t="e">
        <f>IF(AND('Mapa riesgos'!#REF!="Muy Alta",'Mapa riesgos'!#REF!="Mayor"),CONCATENATE("R",'Mapa riesgos'!#REF!),"")</f>
        <v>#REF!</v>
      </c>
      <c r="AG8" s="454"/>
      <c r="AH8" s="464" t="str">
        <f>IF(AND('Mapa riesgos'!$M$17="Muy Alta",'Mapa riesgos'!$Q$17="Catastrófico"),CONCATENATE("R",'Mapa riesgos'!$A$17),"")</f>
        <v/>
      </c>
      <c r="AI8" s="465"/>
      <c r="AJ8" s="465" t="e">
        <f>IF(AND('Mapa riesgos'!#REF!="Muy Alta",'Mapa riesgos'!#REF!="Catastrófico"),CONCATENATE("R",'Mapa riesgos'!#REF!),"")</f>
        <v>#REF!</v>
      </c>
      <c r="AK8" s="465"/>
      <c r="AL8" s="465" t="e">
        <f>IF(AND('Mapa riesgos'!#REF!="Muy Alta",'Mapa riesgos'!#REF!="Catastrófico"),CONCATENATE("R",'Mapa riesgos'!#REF!),"")</f>
        <v>#REF!</v>
      </c>
      <c r="AM8" s="466"/>
      <c r="AN8" s="66"/>
      <c r="AO8" s="411"/>
      <c r="AP8" s="412"/>
      <c r="AQ8" s="412"/>
      <c r="AR8" s="412"/>
      <c r="AS8" s="412"/>
      <c r="AT8" s="413"/>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row>
    <row r="9" spans="1:99" ht="15" customHeight="1" x14ac:dyDescent="0.25">
      <c r="A9" s="66"/>
      <c r="B9" s="406"/>
      <c r="C9" s="406"/>
      <c r="D9" s="407"/>
      <c r="E9" s="447"/>
      <c r="F9" s="448"/>
      <c r="G9" s="448"/>
      <c r="H9" s="448"/>
      <c r="I9" s="449"/>
      <c r="J9" s="457"/>
      <c r="K9" s="453"/>
      <c r="L9" s="453"/>
      <c r="M9" s="453"/>
      <c r="N9" s="453"/>
      <c r="O9" s="454"/>
      <c r="P9" s="457"/>
      <c r="Q9" s="453"/>
      <c r="R9" s="453"/>
      <c r="S9" s="453"/>
      <c r="T9" s="453"/>
      <c r="U9" s="454"/>
      <c r="V9" s="457"/>
      <c r="W9" s="453"/>
      <c r="X9" s="453"/>
      <c r="Y9" s="453"/>
      <c r="Z9" s="453"/>
      <c r="AA9" s="454"/>
      <c r="AB9" s="457"/>
      <c r="AC9" s="453"/>
      <c r="AD9" s="453"/>
      <c r="AE9" s="453"/>
      <c r="AF9" s="453"/>
      <c r="AG9" s="454"/>
      <c r="AH9" s="464"/>
      <c r="AI9" s="465"/>
      <c r="AJ9" s="465"/>
      <c r="AK9" s="465"/>
      <c r="AL9" s="465"/>
      <c r="AM9" s="466"/>
      <c r="AN9" s="66"/>
      <c r="AO9" s="411"/>
      <c r="AP9" s="412"/>
      <c r="AQ9" s="412"/>
      <c r="AR9" s="412"/>
      <c r="AS9" s="412"/>
      <c r="AT9" s="413"/>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row>
    <row r="10" spans="1:99" ht="15" customHeight="1" x14ac:dyDescent="0.25">
      <c r="A10" s="66"/>
      <c r="B10" s="406"/>
      <c r="C10" s="406"/>
      <c r="D10" s="407"/>
      <c r="E10" s="447"/>
      <c r="F10" s="448"/>
      <c r="G10" s="448"/>
      <c r="H10" s="448"/>
      <c r="I10" s="449"/>
      <c r="J10" s="457" t="e">
        <f>IF(AND('Mapa riesgos'!#REF!="Muy Alta",'Mapa riesgos'!#REF!="Leve"),CONCATENATE("R",'Mapa riesgos'!#REF!),"")</f>
        <v>#REF!</v>
      </c>
      <c r="K10" s="453"/>
      <c r="L10" s="453" t="e">
        <f>IF(AND('Mapa riesgos'!#REF!="Muy Alta",'Mapa riesgos'!#REF!="Leve"),CONCATENATE("R",'Mapa riesgos'!#REF!),"")</f>
        <v>#REF!</v>
      </c>
      <c r="M10" s="453"/>
      <c r="N10" s="453" t="e">
        <f>IF(AND('Mapa riesgos'!#REF!="Muy Alta",'Mapa riesgos'!#REF!="Leve"),CONCATENATE("R",'Mapa riesgos'!#REF!),"")</f>
        <v>#REF!</v>
      </c>
      <c r="O10" s="454"/>
      <c r="P10" s="457" t="e">
        <f>IF(AND('Mapa riesgos'!#REF!="Muy Alta",'Mapa riesgos'!#REF!="Menor"),CONCATENATE("R",'Mapa riesgos'!#REF!),"")</f>
        <v>#REF!</v>
      </c>
      <c r="Q10" s="453"/>
      <c r="R10" s="453" t="e">
        <f>IF(AND('Mapa riesgos'!#REF!="Muy Alta",'Mapa riesgos'!#REF!="Menor"),CONCATENATE("R",'Mapa riesgos'!#REF!),"")</f>
        <v>#REF!</v>
      </c>
      <c r="S10" s="453"/>
      <c r="T10" s="453" t="e">
        <f>IF(AND('Mapa riesgos'!#REF!="Muy Alta",'Mapa riesgos'!#REF!="Menor"),CONCATENATE("R",'Mapa riesgos'!#REF!),"")</f>
        <v>#REF!</v>
      </c>
      <c r="U10" s="454"/>
      <c r="V10" s="457" t="e">
        <f>IF(AND('Mapa riesgos'!#REF!="Muy Alta",'Mapa riesgos'!#REF!="Moderado"),CONCATENATE("R",'Mapa riesgos'!#REF!),"")</f>
        <v>#REF!</v>
      </c>
      <c r="W10" s="453"/>
      <c r="X10" s="453" t="e">
        <f>IF(AND('Mapa riesgos'!#REF!="Muy Alta",'Mapa riesgos'!#REF!="Moderado"),CONCATENATE("R",'Mapa riesgos'!#REF!),"")</f>
        <v>#REF!</v>
      </c>
      <c r="Y10" s="453"/>
      <c r="Z10" s="453" t="e">
        <f>IF(AND('Mapa riesgos'!#REF!="Muy Alta",'Mapa riesgos'!#REF!="Moderado"),CONCATENATE("R",'Mapa riesgos'!#REF!),"")</f>
        <v>#REF!</v>
      </c>
      <c r="AA10" s="454"/>
      <c r="AB10" s="457" t="e">
        <f>IF(AND('Mapa riesgos'!#REF!="Muy Alta",'Mapa riesgos'!#REF!="Mayor"),CONCATENATE("R",'Mapa riesgos'!#REF!),"")</f>
        <v>#REF!</v>
      </c>
      <c r="AC10" s="453"/>
      <c r="AD10" s="453" t="e">
        <f>IF(AND('Mapa riesgos'!#REF!="Muy Alta",'Mapa riesgos'!#REF!="Mayor"),CONCATENATE("R",'Mapa riesgos'!#REF!),"")</f>
        <v>#REF!</v>
      </c>
      <c r="AE10" s="453"/>
      <c r="AF10" s="453" t="e">
        <f>IF(AND('Mapa riesgos'!#REF!="Muy Alta",'Mapa riesgos'!#REF!="Mayor"),CONCATENATE("R",'Mapa riesgos'!#REF!),"")</f>
        <v>#REF!</v>
      </c>
      <c r="AG10" s="454"/>
      <c r="AH10" s="464" t="e">
        <f>IF(AND('Mapa riesgos'!#REF!="Muy Alta",'Mapa riesgos'!#REF!="Catastrófico"),CONCATENATE("R",'Mapa riesgos'!#REF!),"")</f>
        <v>#REF!</v>
      </c>
      <c r="AI10" s="465"/>
      <c r="AJ10" s="465" t="e">
        <f>IF(AND('Mapa riesgos'!#REF!="Muy Alta",'Mapa riesgos'!#REF!="Catastrófico"),CONCATENATE("R",'Mapa riesgos'!#REF!),"")</f>
        <v>#REF!</v>
      </c>
      <c r="AK10" s="465"/>
      <c r="AL10" s="465" t="e">
        <f>IF(AND('Mapa riesgos'!#REF!="Muy Alta",'Mapa riesgos'!#REF!="Catastrófico"),CONCATENATE("R",'Mapa riesgos'!#REF!),"")</f>
        <v>#REF!</v>
      </c>
      <c r="AM10" s="466"/>
      <c r="AN10" s="66"/>
      <c r="AO10" s="411"/>
      <c r="AP10" s="412"/>
      <c r="AQ10" s="412"/>
      <c r="AR10" s="412"/>
      <c r="AS10" s="412"/>
      <c r="AT10" s="413"/>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row>
    <row r="11" spans="1:99" ht="15" customHeight="1" x14ac:dyDescent="0.25">
      <c r="A11" s="66"/>
      <c r="B11" s="406"/>
      <c r="C11" s="406"/>
      <c r="D11" s="407"/>
      <c r="E11" s="447"/>
      <c r="F11" s="448"/>
      <c r="G11" s="448"/>
      <c r="H11" s="448"/>
      <c r="I11" s="449"/>
      <c r="J11" s="457"/>
      <c r="K11" s="453"/>
      <c r="L11" s="453"/>
      <c r="M11" s="453"/>
      <c r="N11" s="453"/>
      <c r="O11" s="454"/>
      <c r="P11" s="457"/>
      <c r="Q11" s="453"/>
      <c r="R11" s="453"/>
      <c r="S11" s="453"/>
      <c r="T11" s="453"/>
      <c r="U11" s="454"/>
      <c r="V11" s="457"/>
      <c r="W11" s="453"/>
      <c r="X11" s="453"/>
      <c r="Y11" s="453"/>
      <c r="Z11" s="453"/>
      <c r="AA11" s="454"/>
      <c r="AB11" s="457"/>
      <c r="AC11" s="453"/>
      <c r="AD11" s="453"/>
      <c r="AE11" s="453"/>
      <c r="AF11" s="453"/>
      <c r="AG11" s="454"/>
      <c r="AH11" s="464"/>
      <c r="AI11" s="465"/>
      <c r="AJ11" s="465"/>
      <c r="AK11" s="465"/>
      <c r="AL11" s="465"/>
      <c r="AM11" s="466"/>
      <c r="AN11" s="66"/>
      <c r="AO11" s="411"/>
      <c r="AP11" s="412"/>
      <c r="AQ11" s="412"/>
      <c r="AR11" s="412"/>
      <c r="AS11" s="412"/>
      <c r="AT11" s="413"/>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row>
    <row r="12" spans="1:99" ht="15" customHeight="1" x14ac:dyDescent="0.25">
      <c r="A12" s="66"/>
      <c r="B12" s="406"/>
      <c r="C12" s="406"/>
      <c r="D12" s="407"/>
      <c r="E12" s="447"/>
      <c r="F12" s="448"/>
      <c r="G12" s="448"/>
      <c r="H12" s="448"/>
      <c r="I12" s="449"/>
      <c r="J12" s="457" t="e">
        <f>IF(AND('Mapa riesgos'!#REF!="Muy Alta",'Mapa riesgos'!#REF!="Leve"),CONCATENATE("R",'Mapa riesgos'!#REF!),"")</f>
        <v>#REF!</v>
      </c>
      <c r="K12" s="453"/>
      <c r="L12" s="453" t="e">
        <f>IF(AND('Mapa riesgos'!#REF!="Muy Alta",'Mapa riesgos'!#REF!="Leve"),CONCATENATE("R",'Mapa riesgos'!#REF!),"")</f>
        <v>#REF!</v>
      </c>
      <c r="M12" s="453"/>
      <c r="N12" s="453" t="str">
        <f>IF(AND('Mapa riesgos'!$M$26="Muy Alta",'Mapa riesgos'!$Q$26="Leve"),CONCATENATE("R",'Mapa riesgos'!$A$26),"")</f>
        <v/>
      </c>
      <c r="O12" s="454"/>
      <c r="P12" s="457" t="e">
        <f>IF(AND('Mapa riesgos'!#REF!="Muy Alta",'Mapa riesgos'!#REF!="Menor"),CONCATENATE("R",'Mapa riesgos'!#REF!),"")</f>
        <v>#REF!</v>
      </c>
      <c r="Q12" s="453"/>
      <c r="R12" s="453" t="e">
        <f>IF(AND('Mapa riesgos'!#REF!="Muy Alta",'Mapa riesgos'!#REF!="Menor"),CONCATENATE("R",'Mapa riesgos'!#REF!),"")</f>
        <v>#REF!</v>
      </c>
      <c r="S12" s="453"/>
      <c r="T12" s="453" t="str">
        <f>IF(AND('Mapa riesgos'!$M$26="Muy Alta",'Mapa riesgos'!$Q$26="Menor"),CONCATENATE("R",'Mapa riesgos'!$A$26),"")</f>
        <v/>
      </c>
      <c r="U12" s="454"/>
      <c r="V12" s="457" t="e">
        <f>IF(AND('Mapa riesgos'!#REF!="Muy Alta",'Mapa riesgos'!#REF!="Moderado"),CONCATENATE("R",'Mapa riesgos'!#REF!),"")</f>
        <v>#REF!</v>
      </c>
      <c r="W12" s="453"/>
      <c r="X12" s="453" t="e">
        <f>IF(AND('Mapa riesgos'!#REF!="Muy Alta",'Mapa riesgos'!#REF!="Moderado"),CONCATENATE("R",'Mapa riesgos'!#REF!),"")</f>
        <v>#REF!</v>
      </c>
      <c r="Y12" s="453"/>
      <c r="Z12" s="453" t="str">
        <f>IF(AND('Mapa riesgos'!$M$26="Muy Alta",'Mapa riesgos'!$Q$26="Moderado"),CONCATENATE("R",'Mapa riesgos'!$A$26),"")</f>
        <v/>
      </c>
      <c r="AA12" s="454"/>
      <c r="AB12" s="457" t="e">
        <f>IF(AND('Mapa riesgos'!#REF!="Muy Alta",'Mapa riesgos'!#REF!="Mayor"),CONCATENATE("R",'Mapa riesgos'!#REF!),"")</f>
        <v>#REF!</v>
      </c>
      <c r="AC12" s="453"/>
      <c r="AD12" s="453" t="e">
        <f>IF(AND('Mapa riesgos'!#REF!="Muy Alta",'Mapa riesgos'!#REF!="Mayor"),CONCATENATE("R",'Mapa riesgos'!#REF!),"")</f>
        <v>#REF!</v>
      </c>
      <c r="AE12" s="453"/>
      <c r="AF12" s="453" t="str">
        <f>IF(AND('Mapa riesgos'!$M$26="Muy Alta",'Mapa riesgos'!$Q$26="Mayor"),CONCATENATE("R",'Mapa riesgos'!$A$26),"")</f>
        <v/>
      </c>
      <c r="AG12" s="454"/>
      <c r="AH12" s="464" t="e">
        <f>IF(AND('Mapa riesgos'!#REF!="Muy Alta",'Mapa riesgos'!#REF!="Catastrófico"),CONCATENATE("R",'Mapa riesgos'!#REF!),"")</f>
        <v>#REF!</v>
      </c>
      <c r="AI12" s="465"/>
      <c r="AJ12" s="465" t="e">
        <f>IF(AND('Mapa riesgos'!#REF!="Muy Alta",'Mapa riesgos'!#REF!="Catastrófico"),CONCATENATE("R",'Mapa riesgos'!#REF!),"")</f>
        <v>#REF!</v>
      </c>
      <c r="AK12" s="465"/>
      <c r="AL12" s="465" t="str">
        <f>IF(AND('Mapa riesgos'!$M$26="Muy Alta",'Mapa riesgos'!$Q$26="Catastrófico"),CONCATENATE("R",'Mapa riesgos'!$A$26),"")</f>
        <v/>
      </c>
      <c r="AM12" s="466"/>
      <c r="AN12" s="66"/>
      <c r="AO12" s="411"/>
      <c r="AP12" s="412"/>
      <c r="AQ12" s="412"/>
      <c r="AR12" s="412"/>
      <c r="AS12" s="412"/>
      <c r="AT12" s="413"/>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row>
    <row r="13" spans="1:99" ht="15.75" customHeight="1" thickBot="1" x14ac:dyDescent="0.3">
      <c r="A13" s="66"/>
      <c r="B13" s="406"/>
      <c r="C13" s="406"/>
      <c r="D13" s="407"/>
      <c r="E13" s="450"/>
      <c r="F13" s="451"/>
      <c r="G13" s="451"/>
      <c r="H13" s="451"/>
      <c r="I13" s="452"/>
      <c r="J13" s="457"/>
      <c r="K13" s="453"/>
      <c r="L13" s="453"/>
      <c r="M13" s="453"/>
      <c r="N13" s="453"/>
      <c r="O13" s="454"/>
      <c r="P13" s="457"/>
      <c r="Q13" s="453"/>
      <c r="R13" s="453"/>
      <c r="S13" s="453"/>
      <c r="T13" s="453"/>
      <c r="U13" s="454"/>
      <c r="V13" s="457"/>
      <c r="W13" s="453"/>
      <c r="X13" s="453"/>
      <c r="Y13" s="453"/>
      <c r="Z13" s="453"/>
      <c r="AA13" s="454"/>
      <c r="AB13" s="457"/>
      <c r="AC13" s="453"/>
      <c r="AD13" s="453"/>
      <c r="AE13" s="453"/>
      <c r="AF13" s="453"/>
      <c r="AG13" s="454"/>
      <c r="AH13" s="467"/>
      <c r="AI13" s="468"/>
      <c r="AJ13" s="468"/>
      <c r="AK13" s="468"/>
      <c r="AL13" s="468"/>
      <c r="AM13" s="469"/>
      <c r="AN13" s="66"/>
      <c r="AO13" s="414"/>
      <c r="AP13" s="415"/>
      <c r="AQ13" s="415"/>
      <c r="AR13" s="415"/>
      <c r="AS13" s="415"/>
      <c r="AT13" s="41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row>
    <row r="14" spans="1:99" ht="15" customHeight="1" x14ac:dyDescent="0.25">
      <c r="A14" s="66"/>
      <c r="B14" s="406"/>
      <c r="C14" s="406"/>
      <c r="D14" s="407"/>
      <c r="E14" s="444" t="s">
        <v>205</v>
      </c>
      <c r="F14" s="445"/>
      <c r="G14" s="445"/>
      <c r="H14" s="445"/>
      <c r="I14" s="445"/>
      <c r="J14" s="479" t="e">
        <f>IF(AND('Mapa riesgos'!#REF!="Alta",'Mapa riesgos'!#REF!="Leve"),CONCATENATE("R",'Mapa riesgos'!#REF!),"")</f>
        <v>#REF!</v>
      </c>
      <c r="K14" s="480"/>
      <c r="L14" s="480" t="e">
        <f>IF(AND('Mapa riesgos'!#REF!="Alta",'Mapa riesgos'!#REF!="Leve"),CONCATENATE("R",'Mapa riesgos'!#REF!),"")</f>
        <v>#REF!</v>
      </c>
      <c r="M14" s="480"/>
      <c r="N14" s="480" t="e">
        <f>IF(AND('Mapa riesgos'!#REF!="Alta",'Mapa riesgos'!#REF!="Leve"),CONCATENATE("R",'Mapa riesgos'!#REF!),"")</f>
        <v>#REF!</v>
      </c>
      <c r="O14" s="481"/>
      <c r="P14" s="479" t="e">
        <f>IF(AND('Mapa riesgos'!#REF!="Alta",'Mapa riesgos'!#REF!="Menor"),CONCATENATE("R",'Mapa riesgos'!#REF!),"")</f>
        <v>#REF!</v>
      </c>
      <c r="Q14" s="480"/>
      <c r="R14" s="480" t="e">
        <f>IF(AND('Mapa riesgos'!#REF!="Alta",'Mapa riesgos'!#REF!="Menor"),CONCATENATE("R",'Mapa riesgos'!#REF!),"")</f>
        <v>#REF!</v>
      </c>
      <c r="S14" s="480"/>
      <c r="T14" s="480" t="e">
        <f>IF(AND('Mapa riesgos'!#REF!="Alta",'Mapa riesgos'!#REF!="Menor"),CONCATENATE("R",'Mapa riesgos'!#REF!),"")</f>
        <v>#REF!</v>
      </c>
      <c r="U14" s="481"/>
      <c r="V14" s="455" t="e">
        <f>IF(AND('Mapa riesgos'!#REF!="Alta",'Mapa riesgos'!#REF!="Moderado"),CONCATENATE("R",'Mapa riesgos'!#REF!),"")</f>
        <v>#REF!</v>
      </c>
      <c r="W14" s="456"/>
      <c r="X14" s="456" t="e">
        <f>IF(AND('Mapa riesgos'!#REF!="Alta",'Mapa riesgos'!#REF!="Moderado"),CONCATENATE("R",'Mapa riesgos'!#REF!),"")</f>
        <v>#REF!</v>
      </c>
      <c r="Y14" s="456"/>
      <c r="Z14" s="456" t="e">
        <f>IF(AND('Mapa riesgos'!#REF!="Alta",'Mapa riesgos'!#REF!="Moderado"),CONCATENATE("R",'Mapa riesgos'!#REF!),"")</f>
        <v>#REF!</v>
      </c>
      <c r="AA14" s="458"/>
      <c r="AB14" s="455" t="e">
        <f>IF(AND('Mapa riesgos'!#REF!="Alta",'Mapa riesgos'!#REF!="Mayor"),CONCATENATE("R",'Mapa riesgos'!#REF!),"")</f>
        <v>#REF!</v>
      </c>
      <c r="AC14" s="456"/>
      <c r="AD14" s="456" t="e">
        <f>IF(AND('Mapa riesgos'!#REF!="Alta",'Mapa riesgos'!#REF!="Mayor"),CONCATENATE("R",'Mapa riesgos'!#REF!),"")</f>
        <v>#REF!</v>
      </c>
      <c r="AE14" s="456"/>
      <c r="AF14" s="456" t="e">
        <f>IF(AND('Mapa riesgos'!#REF!="Alta",'Mapa riesgos'!#REF!="Mayor"),CONCATENATE("R",'Mapa riesgos'!#REF!),"")</f>
        <v>#REF!</v>
      </c>
      <c r="AG14" s="458"/>
      <c r="AH14" s="470" t="e">
        <f>IF(AND('Mapa riesgos'!#REF!="Alta",'Mapa riesgos'!#REF!="Catastrófico"),CONCATENATE("R",'Mapa riesgos'!#REF!),"")</f>
        <v>#REF!</v>
      </c>
      <c r="AI14" s="471"/>
      <c r="AJ14" s="471" t="e">
        <f>IF(AND('Mapa riesgos'!#REF!="Alta",'Mapa riesgos'!#REF!="Catastrófico"),CONCATENATE("R",'Mapa riesgos'!#REF!),"")</f>
        <v>#REF!</v>
      </c>
      <c r="AK14" s="471"/>
      <c r="AL14" s="471" t="e">
        <f>IF(AND('Mapa riesgos'!#REF!="Alta",'Mapa riesgos'!#REF!="Catastrófico"),CONCATENATE("R",'Mapa riesgos'!#REF!),"")</f>
        <v>#REF!</v>
      </c>
      <c r="AM14" s="472"/>
      <c r="AN14" s="66"/>
      <c r="AO14" s="417" t="s">
        <v>206</v>
      </c>
      <c r="AP14" s="418"/>
      <c r="AQ14" s="418"/>
      <c r="AR14" s="418"/>
      <c r="AS14" s="418"/>
      <c r="AT14" s="419"/>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row>
    <row r="15" spans="1:99" ht="15" customHeight="1" x14ac:dyDescent="0.25">
      <c r="A15" s="66"/>
      <c r="B15" s="406"/>
      <c r="C15" s="406"/>
      <c r="D15" s="407"/>
      <c r="E15" s="447"/>
      <c r="F15" s="448"/>
      <c r="G15" s="448"/>
      <c r="H15" s="448"/>
      <c r="I15" s="448"/>
      <c r="J15" s="473"/>
      <c r="K15" s="474"/>
      <c r="L15" s="474"/>
      <c r="M15" s="474"/>
      <c r="N15" s="474"/>
      <c r="O15" s="475"/>
      <c r="P15" s="473"/>
      <c r="Q15" s="474"/>
      <c r="R15" s="474"/>
      <c r="S15" s="474"/>
      <c r="T15" s="474"/>
      <c r="U15" s="475"/>
      <c r="V15" s="457"/>
      <c r="W15" s="453"/>
      <c r="X15" s="453"/>
      <c r="Y15" s="453"/>
      <c r="Z15" s="453"/>
      <c r="AA15" s="454"/>
      <c r="AB15" s="457"/>
      <c r="AC15" s="453"/>
      <c r="AD15" s="453"/>
      <c r="AE15" s="453"/>
      <c r="AF15" s="453"/>
      <c r="AG15" s="454"/>
      <c r="AH15" s="464"/>
      <c r="AI15" s="465"/>
      <c r="AJ15" s="465"/>
      <c r="AK15" s="465"/>
      <c r="AL15" s="465"/>
      <c r="AM15" s="466"/>
      <c r="AN15" s="66"/>
      <c r="AO15" s="420"/>
      <c r="AP15" s="421"/>
      <c r="AQ15" s="421"/>
      <c r="AR15" s="421"/>
      <c r="AS15" s="421"/>
      <c r="AT15" s="422"/>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row>
    <row r="16" spans="1:99" ht="15" customHeight="1" x14ac:dyDescent="0.25">
      <c r="A16" s="66"/>
      <c r="B16" s="406"/>
      <c r="C16" s="406"/>
      <c r="D16" s="407"/>
      <c r="E16" s="447"/>
      <c r="F16" s="448"/>
      <c r="G16" s="448"/>
      <c r="H16" s="448"/>
      <c r="I16" s="448"/>
      <c r="J16" s="473" t="str">
        <f>IF(AND('Mapa riesgos'!$M$17="Alta",'Mapa riesgos'!$Q$17="Leve"),CONCATENATE("R",'Mapa riesgos'!$A$17),"")</f>
        <v/>
      </c>
      <c r="K16" s="474"/>
      <c r="L16" s="474" t="e">
        <f>IF(AND('Mapa riesgos'!#REF!="Alta",'Mapa riesgos'!#REF!="Leve"),CONCATENATE("R",'Mapa riesgos'!#REF!),"")</f>
        <v>#REF!</v>
      </c>
      <c r="M16" s="474"/>
      <c r="N16" s="474" t="e">
        <f>IF(AND('Mapa riesgos'!#REF!="Alta",'Mapa riesgos'!#REF!="Leve"),CONCATENATE("R",'Mapa riesgos'!#REF!),"")</f>
        <v>#REF!</v>
      </c>
      <c r="O16" s="475"/>
      <c r="P16" s="473" t="str">
        <f>IF(AND('Mapa riesgos'!$M$17="Alta",'Mapa riesgos'!$Q$17="Menor"),CONCATENATE("R",'Mapa riesgos'!$A$17),"")</f>
        <v/>
      </c>
      <c r="Q16" s="474"/>
      <c r="R16" s="474" t="e">
        <f>IF(AND('Mapa riesgos'!#REF!="Alta",'Mapa riesgos'!#REF!="Menor"),CONCATENATE("R",'Mapa riesgos'!#REF!),"")</f>
        <v>#REF!</v>
      </c>
      <c r="S16" s="474"/>
      <c r="T16" s="474" t="e">
        <f>IF(AND('Mapa riesgos'!#REF!="Alta",'Mapa riesgos'!#REF!="Menor"),CONCATENATE("R",'Mapa riesgos'!#REF!),"")</f>
        <v>#REF!</v>
      </c>
      <c r="U16" s="475"/>
      <c r="V16" s="457" t="str">
        <f>IF(AND('Mapa riesgos'!$M$17="Alta",'Mapa riesgos'!$Q$17="Moderado"),CONCATENATE("R",'Mapa riesgos'!$A$17),"")</f>
        <v/>
      </c>
      <c r="W16" s="453"/>
      <c r="X16" s="453" t="e">
        <f>IF(AND('Mapa riesgos'!#REF!="Alta",'Mapa riesgos'!#REF!="Moderado"),CONCATENATE("R",'Mapa riesgos'!#REF!),"")</f>
        <v>#REF!</v>
      </c>
      <c r="Y16" s="453"/>
      <c r="Z16" s="453" t="e">
        <f>IF(AND('Mapa riesgos'!#REF!="Alta",'Mapa riesgos'!#REF!="Moderado"),CONCATENATE("R",'Mapa riesgos'!#REF!),"")</f>
        <v>#REF!</v>
      </c>
      <c r="AA16" s="454"/>
      <c r="AB16" s="457" t="str">
        <f>IF(AND('Mapa riesgos'!$M$17="Alta",'Mapa riesgos'!$Q$17="Mayor"),CONCATENATE("R",'Mapa riesgos'!$A$17),"")</f>
        <v/>
      </c>
      <c r="AC16" s="453"/>
      <c r="AD16" s="453" t="e">
        <f>IF(AND('Mapa riesgos'!#REF!="Alta",'Mapa riesgos'!#REF!="Mayor"),CONCATENATE("R",'Mapa riesgos'!#REF!),"")</f>
        <v>#REF!</v>
      </c>
      <c r="AE16" s="453"/>
      <c r="AF16" s="453" t="e">
        <f>IF(AND('Mapa riesgos'!#REF!="Alta",'Mapa riesgos'!#REF!="Mayor"),CONCATENATE("R",'Mapa riesgos'!#REF!),"")</f>
        <v>#REF!</v>
      </c>
      <c r="AG16" s="454"/>
      <c r="AH16" s="464" t="str">
        <f>IF(AND('Mapa riesgos'!$M$17="Alta",'Mapa riesgos'!$Q$17="Catastrófico"),CONCATENATE("R",'Mapa riesgos'!$A$17),"")</f>
        <v/>
      </c>
      <c r="AI16" s="465"/>
      <c r="AJ16" s="465" t="e">
        <f>IF(AND('Mapa riesgos'!#REF!="Alta",'Mapa riesgos'!#REF!="Catastrófico"),CONCATENATE("R",'Mapa riesgos'!#REF!),"")</f>
        <v>#REF!</v>
      </c>
      <c r="AK16" s="465"/>
      <c r="AL16" s="465" t="e">
        <f>IF(AND('Mapa riesgos'!#REF!="Alta",'Mapa riesgos'!#REF!="Catastrófico"),CONCATENATE("R",'Mapa riesgos'!#REF!),"")</f>
        <v>#REF!</v>
      </c>
      <c r="AM16" s="466"/>
      <c r="AN16" s="66"/>
      <c r="AO16" s="420"/>
      <c r="AP16" s="421"/>
      <c r="AQ16" s="421"/>
      <c r="AR16" s="421"/>
      <c r="AS16" s="421"/>
      <c r="AT16" s="422"/>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row>
    <row r="17" spans="1:80" ht="15" customHeight="1" x14ac:dyDescent="0.25">
      <c r="A17" s="66"/>
      <c r="B17" s="406"/>
      <c r="C17" s="406"/>
      <c r="D17" s="407"/>
      <c r="E17" s="447"/>
      <c r="F17" s="448"/>
      <c r="G17" s="448"/>
      <c r="H17" s="448"/>
      <c r="I17" s="448"/>
      <c r="J17" s="473"/>
      <c r="K17" s="474"/>
      <c r="L17" s="474"/>
      <c r="M17" s="474"/>
      <c r="N17" s="474"/>
      <c r="O17" s="475"/>
      <c r="P17" s="473"/>
      <c r="Q17" s="474"/>
      <c r="R17" s="474"/>
      <c r="S17" s="474"/>
      <c r="T17" s="474"/>
      <c r="U17" s="475"/>
      <c r="V17" s="457"/>
      <c r="W17" s="453"/>
      <c r="X17" s="453"/>
      <c r="Y17" s="453"/>
      <c r="Z17" s="453"/>
      <c r="AA17" s="454"/>
      <c r="AB17" s="457"/>
      <c r="AC17" s="453"/>
      <c r="AD17" s="453"/>
      <c r="AE17" s="453"/>
      <c r="AF17" s="453"/>
      <c r="AG17" s="454"/>
      <c r="AH17" s="464"/>
      <c r="AI17" s="465"/>
      <c r="AJ17" s="465"/>
      <c r="AK17" s="465"/>
      <c r="AL17" s="465"/>
      <c r="AM17" s="466"/>
      <c r="AN17" s="66"/>
      <c r="AO17" s="420"/>
      <c r="AP17" s="421"/>
      <c r="AQ17" s="421"/>
      <c r="AR17" s="421"/>
      <c r="AS17" s="421"/>
      <c r="AT17" s="422"/>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row>
    <row r="18" spans="1:80" ht="15" customHeight="1" x14ac:dyDescent="0.25">
      <c r="A18" s="66"/>
      <c r="B18" s="406"/>
      <c r="C18" s="406"/>
      <c r="D18" s="407"/>
      <c r="E18" s="447"/>
      <c r="F18" s="448"/>
      <c r="G18" s="448"/>
      <c r="H18" s="448"/>
      <c r="I18" s="448"/>
      <c r="J18" s="473" t="e">
        <f>IF(AND('Mapa riesgos'!#REF!="Alta",'Mapa riesgos'!#REF!="Leve"),CONCATENATE("R",'Mapa riesgos'!#REF!),"")</f>
        <v>#REF!</v>
      </c>
      <c r="K18" s="474"/>
      <c r="L18" s="474" t="e">
        <f>IF(AND('Mapa riesgos'!#REF!="Alta",'Mapa riesgos'!#REF!="Leve"),CONCATENATE("R",'Mapa riesgos'!#REF!),"")</f>
        <v>#REF!</v>
      </c>
      <c r="M18" s="474"/>
      <c r="N18" s="474" t="e">
        <f>IF(AND('Mapa riesgos'!#REF!="Alta",'Mapa riesgos'!#REF!="Leve"),CONCATENATE("R",'Mapa riesgos'!#REF!),"")</f>
        <v>#REF!</v>
      </c>
      <c r="O18" s="475"/>
      <c r="P18" s="473" t="e">
        <f>IF(AND('Mapa riesgos'!#REF!="Alta",'Mapa riesgos'!#REF!="Menor"),CONCATENATE("R",'Mapa riesgos'!#REF!),"")</f>
        <v>#REF!</v>
      </c>
      <c r="Q18" s="474"/>
      <c r="R18" s="474" t="e">
        <f>IF(AND('Mapa riesgos'!#REF!="Alta",'Mapa riesgos'!#REF!="Menor"),CONCATENATE("R",'Mapa riesgos'!#REF!),"")</f>
        <v>#REF!</v>
      </c>
      <c r="S18" s="474"/>
      <c r="T18" s="474" t="e">
        <f>IF(AND('Mapa riesgos'!#REF!="Alta",'Mapa riesgos'!#REF!="Menor"),CONCATENATE("R",'Mapa riesgos'!#REF!),"")</f>
        <v>#REF!</v>
      </c>
      <c r="U18" s="475"/>
      <c r="V18" s="457" t="e">
        <f>IF(AND('Mapa riesgos'!#REF!="Alta",'Mapa riesgos'!#REF!="Moderado"),CONCATENATE("R",'Mapa riesgos'!#REF!),"")</f>
        <v>#REF!</v>
      </c>
      <c r="W18" s="453"/>
      <c r="X18" s="453" t="e">
        <f>IF(AND('Mapa riesgos'!#REF!="Alta",'Mapa riesgos'!#REF!="Moderado"),CONCATENATE("R",'Mapa riesgos'!#REF!),"")</f>
        <v>#REF!</v>
      </c>
      <c r="Y18" s="453"/>
      <c r="Z18" s="453" t="e">
        <f>IF(AND('Mapa riesgos'!#REF!="Alta",'Mapa riesgos'!#REF!="Moderado"),CONCATENATE("R",'Mapa riesgos'!#REF!),"")</f>
        <v>#REF!</v>
      </c>
      <c r="AA18" s="454"/>
      <c r="AB18" s="457" t="e">
        <f>IF(AND('Mapa riesgos'!#REF!="Alta",'Mapa riesgos'!#REF!="Mayor"),CONCATENATE("R",'Mapa riesgos'!#REF!),"")</f>
        <v>#REF!</v>
      </c>
      <c r="AC18" s="453"/>
      <c r="AD18" s="453" t="e">
        <f>IF(AND('Mapa riesgos'!#REF!="Alta",'Mapa riesgos'!#REF!="Mayor"),CONCATENATE("R",'Mapa riesgos'!#REF!),"")</f>
        <v>#REF!</v>
      </c>
      <c r="AE18" s="453"/>
      <c r="AF18" s="453" t="e">
        <f>IF(AND('Mapa riesgos'!#REF!="Alta",'Mapa riesgos'!#REF!="Mayor"),CONCATENATE("R",'Mapa riesgos'!#REF!),"")</f>
        <v>#REF!</v>
      </c>
      <c r="AG18" s="454"/>
      <c r="AH18" s="464" t="e">
        <f>IF(AND('Mapa riesgos'!#REF!="Alta",'Mapa riesgos'!#REF!="Catastrófico"),CONCATENATE("R",'Mapa riesgos'!#REF!),"")</f>
        <v>#REF!</v>
      </c>
      <c r="AI18" s="465"/>
      <c r="AJ18" s="465" t="e">
        <f>IF(AND('Mapa riesgos'!#REF!="Alta",'Mapa riesgos'!#REF!="Catastrófico"),CONCATENATE("R",'Mapa riesgos'!#REF!),"")</f>
        <v>#REF!</v>
      </c>
      <c r="AK18" s="465"/>
      <c r="AL18" s="465" t="e">
        <f>IF(AND('Mapa riesgos'!#REF!="Alta",'Mapa riesgos'!#REF!="Catastrófico"),CONCATENATE("R",'Mapa riesgos'!#REF!),"")</f>
        <v>#REF!</v>
      </c>
      <c r="AM18" s="466"/>
      <c r="AN18" s="66"/>
      <c r="AO18" s="420"/>
      <c r="AP18" s="421"/>
      <c r="AQ18" s="421"/>
      <c r="AR18" s="421"/>
      <c r="AS18" s="421"/>
      <c r="AT18" s="422"/>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row>
    <row r="19" spans="1:80" ht="15" customHeight="1" x14ac:dyDescent="0.25">
      <c r="A19" s="66"/>
      <c r="B19" s="406"/>
      <c r="C19" s="406"/>
      <c r="D19" s="407"/>
      <c r="E19" s="447"/>
      <c r="F19" s="448"/>
      <c r="G19" s="448"/>
      <c r="H19" s="448"/>
      <c r="I19" s="448"/>
      <c r="J19" s="473"/>
      <c r="K19" s="474"/>
      <c r="L19" s="474"/>
      <c r="M19" s="474"/>
      <c r="N19" s="474"/>
      <c r="O19" s="475"/>
      <c r="P19" s="473"/>
      <c r="Q19" s="474"/>
      <c r="R19" s="474"/>
      <c r="S19" s="474"/>
      <c r="T19" s="474"/>
      <c r="U19" s="475"/>
      <c r="V19" s="457"/>
      <c r="W19" s="453"/>
      <c r="X19" s="453"/>
      <c r="Y19" s="453"/>
      <c r="Z19" s="453"/>
      <c r="AA19" s="454"/>
      <c r="AB19" s="457"/>
      <c r="AC19" s="453"/>
      <c r="AD19" s="453"/>
      <c r="AE19" s="453"/>
      <c r="AF19" s="453"/>
      <c r="AG19" s="454"/>
      <c r="AH19" s="464"/>
      <c r="AI19" s="465"/>
      <c r="AJ19" s="465"/>
      <c r="AK19" s="465"/>
      <c r="AL19" s="465"/>
      <c r="AM19" s="466"/>
      <c r="AN19" s="66"/>
      <c r="AO19" s="420"/>
      <c r="AP19" s="421"/>
      <c r="AQ19" s="421"/>
      <c r="AR19" s="421"/>
      <c r="AS19" s="421"/>
      <c r="AT19" s="422"/>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row>
    <row r="20" spans="1:80" ht="15" customHeight="1" x14ac:dyDescent="0.25">
      <c r="A20" s="66"/>
      <c r="B20" s="406"/>
      <c r="C20" s="406"/>
      <c r="D20" s="407"/>
      <c r="E20" s="447"/>
      <c r="F20" s="448"/>
      <c r="G20" s="448"/>
      <c r="H20" s="448"/>
      <c r="I20" s="448"/>
      <c r="J20" s="473" t="e">
        <f>IF(AND('Mapa riesgos'!#REF!="Alta",'Mapa riesgos'!#REF!="Leve"),CONCATENATE("R",'Mapa riesgos'!#REF!),"")</f>
        <v>#REF!</v>
      </c>
      <c r="K20" s="474"/>
      <c r="L20" s="474" t="e">
        <f>IF(AND('Mapa riesgos'!#REF!="Alta",'Mapa riesgos'!#REF!="Leve"),CONCATENATE("R",'Mapa riesgos'!#REF!),"")</f>
        <v>#REF!</v>
      </c>
      <c r="M20" s="474"/>
      <c r="N20" s="474" t="str">
        <f>IF(AND('Mapa riesgos'!$M$26="Alta",'Mapa riesgos'!$Q$26="Leve"),CONCATENATE("R",'Mapa riesgos'!$A$26),"")</f>
        <v/>
      </c>
      <c r="O20" s="475"/>
      <c r="P20" s="473" t="e">
        <f>IF(AND('Mapa riesgos'!#REF!="Alta",'Mapa riesgos'!#REF!="Menor"),CONCATENATE("R",'Mapa riesgos'!#REF!),"")</f>
        <v>#REF!</v>
      </c>
      <c r="Q20" s="474"/>
      <c r="R20" s="474" t="e">
        <f>IF(AND('Mapa riesgos'!#REF!="Alta",'Mapa riesgos'!#REF!="Menor"),CONCATENATE("R",'Mapa riesgos'!#REF!),"")</f>
        <v>#REF!</v>
      </c>
      <c r="S20" s="474"/>
      <c r="T20" s="474" t="str">
        <f>IF(AND('Mapa riesgos'!$M$26="Alta",'Mapa riesgos'!$Q$26="Menor"),CONCATENATE("R",'Mapa riesgos'!$A$26),"")</f>
        <v/>
      </c>
      <c r="U20" s="475"/>
      <c r="V20" s="457" t="e">
        <f>IF(AND('Mapa riesgos'!#REF!="Alta",'Mapa riesgos'!#REF!="Moderado"),CONCATENATE("R",'Mapa riesgos'!#REF!),"")</f>
        <v>#REF!</v>
      </c>
      <c r="W20" s="453"/>
      <c r="X20" s="453" t="e">
        <f>IF(AND('Mapa riesgos'!#REF!="Alta",'Mapa riesgos'!#REF!="Moderado"),CONCATENATE("R",'Mapa riesgos'!#REF!),"")</f>
        <v>#REF!</v>
      </c>
      <c r="Y20" s="453"/>
      <c r="Z20" s="453" t="str">
        <f>IF(AND('Mapa riesgos'!$M$26="Alta",'Mapa riesgos'!$Q$26="Moderado"),CONCATENATE("R",'Mapa riesgos'!$A$26),"")</f>
        <v/>
      </c>
      <c r="AA20" s="454"/>
      <c r="AB20" s="457" t="e">
        <f>IF(AND('Mapa riesgos'!#REF!="Alta",'Mapa riesgos'!#REF!="Mayor"),CONCATENATE("R",'Mapa riesgos'!#REF!),"")</f>
        <v>#REF!</v>
      </c>
      <c r="AC20" s="453"/>
      <c r="AD20" s="453" t="e">
        <f>IF(AND('Mapa riesgos'!#REF!="Alta",'Mapa riesgos'!#REF!="Mayor"),CONCATENATE("R",'Mapa riesgos'!#REF!),"")</f>
        <v>#REF!</v>
      </c>
      <c r="AE20" s="453"/>
      <c r="AF20" s="453" t="str">
        <f>IF(AND('Mapa riesgos'!$M$26="Alta",'Mapa riesgos'!$Q$26="Mayor"),CONCATENATE("R",'Mapa riesgos'!$A$26),"")</f>
        <v/>
      </c>
      <c r="AG20" s="454"/>
      <c r="AH20" s="464" t="e">
        <f>IF(AND('Mapa riesgos'!#REF!="Alta",'Mapa riesgos'!#REF!="Catastrófico"),CONCATENATE("R",'Mapa riesgos'!#REF!),"")</f>
        <v>#REF!</v>
      </c>
      <c r="AI20" s="465"/>
      <c r="AJ20" s="465" t="e">
        <f>IF(AND('Mapa riesgos'!#REF!="Alta",'Mapa riesgos'!#REF!="Catastrófico"),CONCATENATE("R",'Mapa riesgos'!#REF!),"")</f>
        <v>#REF!</v>
      </c>
      <c r="AK20" s="465"/>
      <c r="AL20" s="465" t="str">
        <f>IF(AND('Mapa riesgos'!$M$26="Alta",'Mapa riesgos'!$Q$26="Catastrófico"),CONCATENATE("R",'Mapa riesgos'!$A$26),"")</f>
        <v/>
      </c>
      <c r="AM20" s="466"/>
      <c r="AN20" s="66"/>
      <c r="AO20" s="420"/>
      <c r="AP20" s="421"/>
      <c r="AQ20" s="421"/>
      <c r="AR20" s="421"/>
      <c r="AS20" s="421"/>
      <c r="AT20" s="422"/>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row>
    <row r="21" spans="1:80" ht="15.75" customHeight="1" thickBot="1" x14ac:dyDescent="0.3">
      <c r="A21" s="66"/>
      <c r="B21" s="406"/>
      <c r="C21" s="406"/>
      <c r="D21" s="407"/>
      <c r="E21" s="450"/>
      <c r="F21" s="451"/>
      <c r="G21" s="451"/>
      <c r="H21" s="451"/>
      <c r="I21" s="451"/>
      <c r="J21" s="476"/>
      <c r="K21" s="477"/>
      <c r="L21" s="477"/>
      <c r="M21" s="477"/>
      <c r="N21" s="477"/>
      <c r="O21" s="478"/>
      <c r="P21" s="476"/>
      <c r="Q21" s="477"/>
      <c r="R21" s="477"/>
      <c r="S21" s="477"/>
      <c r="T21" s="477"/>
      <c r="U21" s="478"/>
      <c r="V21" s="461"/>
      <c r="W21" s="462"/>
      <c r="X21" s="462"/>
      <c r="Y21" s="462"/>
      <c r="Z21" s="462"/>
      <c r="AA21" s="463"/>
      <c r="AB21" s="461"/>
      <c r="AC21" s="462"/>
      <c r="AD21" s="462"/>
      <c r="AE21" s="462"/>
      <c r="AF21" s="462"/>
      <c r="AG21" s="463"/>
      <c r="AH21" s="467"/>
      <c r="AI21" s="468"/>
      <c r="AJ21" s="468"/>
      <c r="AK21" s="468"/>
      <c r="AL21" s="468"/>
      <c r="AM21" s="469"/>
      <c r="AN21" s="66"/>
      <c r="AO21" s="423"/>
      <c r="AP21" s="424"/>
      <c r="AQ21" s="424"/>
      <c r="AR21" s="424"/>
      <c r="AS21" s="424"/>
      <c r="AT21" s="425"/>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row>
    <row r="22" spans="1:80" x14ac:dyDescent="0.25">
      <c r="A22" s="66"/>
      <c r="B22" s="406"/>
      <c r="C22" s="406"/>
      <c r="D22" s="407"/>
      <c r="E22" s="444" t="s">
        <v>207</v>
      </c>
      <c r="F22" s="445"/>
      <c r="G22" s="445"/>
      <c r="H22" s="445"/>
      <c r="I22" s="446"/>
      <c r="J22" s="479" t="e">
        <f>IF(AND('Mapa riesgos'!#REF!="Media",'Mapa riesgos'!#REF!="Leve"),CONCATENATE("R",'Mapa riesgos'!#REF!),"")</f>
        <v>#REF!</v>
      </c>
      <c r="K22" s="480"/>
      <c r="L22" s="480" t="e">
        <f>IF(AND('Mapa riesgos'!#REF!="Media",'Mapa riesgos'!#REF!="Leve"),CONCATENATE("R",'Mapa riesgos'!#REF!),"")</f>
        <v>#REF!</v>
      </c>
      <c r="M22" s="480"/>
      <c r="N22" s="480" t="e">
        <f>IF(AND('Mapa riesgos'!#REF!="Media",'Mapa riesgos'!#REF!="Leve"),CONCATENATE("R",'Mapa riesgos'!#REF!),"")</f>
        <v>#REF!</v>
      </c>
      <c r="O22" s="481"/>
      <c r="P22" s="479" t="e">
        <f>IF(AND('Mapa riesgos'!#REF!="Media",'Mapa riesgos'!#REF!="Menor"),CONCATENATE("R",'Mapa riesgos'!#REF!),"")</f>
        <v>#REF!</v>
      </c>
      <c r="Q22" s="480"/>
      <c r="R22" s="480" t="e">
        <f>IF(AND('Mapa riesgos'!#REF!="Media",'Mapa riesgos'!#REF!="Menor"),CONCATENATE("R",'Mapa riesgos'!#REF!),"")</f>
        <v>#REF!</v>
      </c>
      <c r="S22" s="480"/>
      <c r="T22" s="480" t="e">
        <f>IF(AND('Mapa riesgos'!#REF!="Media",'Mapa riesgos'!#REF!="Menor"),CONCATENATE("R",'Mapa riesgos'!#REF!),"")</f>
        <v>#REF!</v>
      </c>
      <c r="U22" s="481"/>
      <c r="V22" s="479" t="e">
        <f>IF(AND('Mapa riesgos'!#REF!="Media",'Mapa riesgos'!#REF!="Moderado"),CONCATENATE("R",'Mapa riesgos'!#REF!),"")</f>
        <v>#REF!</v>
      </c>
      <c r="W22" s="480"/>
      <c r="X22" s="480" t="e">
        <f>IF(AND('Mapa riesgos'!#REF!="Media",'Mapa riesgos'!#REF!="Moderado"),CONCATENATE("R",'Mapa riesgos'!#REF!),"")</f>
        <v>#REF!</v>
      </c>
      <c r="Y22" s="480"/>
      <c r="Z22" s="480" t="e">
        <f>IF(AND('Mapa riesgos'!#REF!="Media",'Mapa riesgos'!#REF!="Moderado"),CONCATENATE("R",'Mapa riesgos'!#REF!),"")</f>
        <v>#REF!</v>
      </c>
      <c r="AA22" s="481"/>
      <c r="AB22" s="455" t="e">
        <f>IF(AND('Mapa riesgos'!#REF!="Media",'Mapa riesgos'!#REF!="Mayor"),CONCATENATE("R",'Mapa riesgos'!#REF!),"")</f>
        <v>#REF!</v>
      </c>
      <c r="AC22" s="456"/>
      <c r="AD22" s="456" t="e">
        <f>IF(AND('Mapa riesgos'!#REF!="Media",'Mapa riesgos'!#REF!="Mayor"),CONCATENATE("R",'Mapa riesgos'!#REF!),"")</f>
        <v>#REF!</v>
      </c>
      <c r="AE22" s="456"/>
      <c r="AF22" s="456" t="e">
        <f>IF(AND('Mapa riesgos'!#REF!="Media",'Mapa riesgos'!#REF!="Mayor"),CONCATENATE("R",'Mapa riesgos'!#REF!),"")</f>
        <v>#REF!</v>
      </c>
      <c r="AG22" s="458"/>
      <c r="AH22" s="470" t="e">
        <f>IF(AND('Mapa riesgos'!#REF!="Media",'Mapa riesgos'!#REF!="Catastrófico"),CONCATENATE("R",'Mapa riesgos'!#REF!),"")</f>
        <v>#REF!</v>
      </c>
      <c r="AI22" s="471"/>
      <c r="AJ22" s="471" t="e">
        <f>IF(AND('Mapa riesgos'!#REF!="Media",'Mapa riesgos'!#REF!="Catastrófico"),CONCATENATE("R",'Mapa riesgos'!#REF!),"")</f>
        <v>#REF!</v>
      </c>
      <c r="AK22" s="471"/>
      <c r="AL22" s="471" t="e">
        <f>IF(AND('Mapa riesgos'!#REF!="Media",'Mapa riesgos'!#REF!="Catastrófico"),CONCATENATE("R",'Mapa riesgos'!#REF!),"")</f>
        <v>#REF!</v>
      </c>
      <c r="AM22" s="472"/>
      <c r="AN22" s="66"/>
      <c r="AO22" s="426" t="s">
        <v>208</v>
      </c>
      <c r="AP22" s="427"/>
      <c r="AQ22" s="427"/>
      <c r="AR22" s="427"/>
      <c r="AS22" s="427"/>
      <c r="AT22" s="428"/>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row>
    <row r="23" spans="1:80" x14ac:dyDescent="0.25">
      <c r="A23" s="66"/>
      <c r="B23" s="406"/>
      <c r="C23" s="406"/>
      <c r="D23" s="407"/>
      <c r="E23" s="447"/>
      <c r="F23" s="448"/>
      <c r="G23" s="448"/>
      <c r="H23" s="448"/>
      <c r="I23" s="449"/>
      <c r="J23" s="473"/>
      <c r="K23" s="474"/>
      <c r="L23" s="474"/>
      <c r="M23" s="474"/>
      <c r="N23" s="474"/>
      <c r="O23" s="475"/>
      <c r="P23" s="473"/>
      <c r="Q23" s="474"/>
      <c r="R23" s="474"/>
      <c r="S23" s="474"/>
      <c r="T23" s="474"/>
      <c r="U23" s="475"/>
      <c r="V23" s="473"/>
      <c r="W23" s="474"/>
      <c r="X23" s="474"/>
      <c r="Y23" s="474"/>
      <c r="Z23" s="474"/>
      <c r="AA23" s="475"/>
      <c r="AB23" s="457"/>
      <c r="AC23" s="453"/>
      <c r="AD23" s="453"/>
      <c r="AE23" s="453"/>
      <c r="AF23" s="453"/>
      <c r="AG23" s="454"/>
      <c r="AH23" s="464"/>
      <c r="AI23" s="465"/>
      <c r="AJ23" s="465"/>
      <c r="AK23" s="465"/>
      <c r="AL23" s="465"/>
      <c r="AM23" s="466"/>
      <c r="AN23" s="66"/>
      <c r="AO23" s="429"/>
      <c r="AP23" s="430"/>
      <c r="AQ23" s="430"/>
      <c r="AR23" s="430"/>
      <c r="AS23" s="430"/>
      <c r="AT23" s="431"/>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row>
    <row r="24" spans="1:80" x14ac:dyDescent="0.25">
      <c r="A24" s="66"/>
      <c r="B24" s="406"/>
      <c r="C24" s="406"/>
      <c r="D24" s="407"/>
      <c r="E24" s="447"/>
      <c r="F24" s="448"/>
      <c r="G24" s="448"/>
      <c r="H24" s="448"/>
      <c r="I24" s="449"/>
      <c r="J24" s="473" t="str">
        <f>IF(AND('Mapa riesgos'!$M$17="Media",'Mapa riesgos'!$Q$17="Leve"),CONCATENATE("R",'Mapa riesgos'!$A$17),"")</f>
        <v/>
      </c>
      <c r="K24" s="474"/>
      <c r="L24" s="474" t="e">
        <f>IF(AND('Mapa riesgos'!#REF!="Media",'Mapa riesgos'!#REF!="Leve"),CONCATENATE("R",'Mapa riesgos'!#REF!),"")</f>
        <v>#REF!</v>
      </c>
      <c r="M24" s="474"/>
      <c r="N24" s="474" t="e">
        <f>IF(AND('Mapa riesgos'!#REF!="Media",'Mapa riesgos'!#REF!="Leve"),CONCATENATE("R",'Mapa riesgos'!#REF!),"")</f>
        <v>#REF!</v>
      </c>
      <c r="O24" s="475"/>
      <c r="P24" s="473" t="str">
        <f>IF(AND('Mapa riesgos'!$M$17="Media",'Mapa riesgos'!$Q$17="Menor"),CONCATENATE("R",'Mapa riesgos'!$A$17),"")</f>
        <v/>
      </c>
      <c r="Q24" s="474"/>
      <c r="R24" s="474" t="e">
        <f>IF(AND('Mapa riesgos'!#REF!="Media",'Mapa riesgos'!#REF!="Menor"),CONCATENATE("R",'Mapa riesgos'!#REF!),"")</f>
        <v>#REF!</v>
      </c>
      <c r="S24" s="474"/>
      <c r="T24" s="474" t="e">
        <f>IF(AND('Mapa riesgos'!#REF!="Media",'Mapa riesgos'!#REF!="Menor"),CONCATENATE("R",'Mapa riesgos'!#REF!),"")</f>
        <v>#REF!</v>
      </c>
      <c r="U24" s="475"/>
      <c r="V24" s="473" t="str">
        <f>IF(AND('Mapa riesgos'!$M$17="Media",'Mapa riesgos'!$Q$17="Moderado"),CONCATENATE("R",'Mapa riesgos'!$A$17),"")</f>
        <v/>
      </c>
      <c r="W24" s="474"/>
      <c r="X24" s="474" t="e">
        <f>IF(AND('Mapa riesgos'!#REF!="Media",'Mapa riesgos'!#REF!="Moderado"),CONCATENATE("R",'Mapa riesgos'!#REF!),"")</f>
        <v>#REF!</v>
      </c>
      <c r="Y24" s="474"/>
      <c r="Z24" s="474" t="e">
        <f>IF(AND('Mapa riesgos'!#REF!="Media",'Mapa riesgos'!#REF!="Moderado"),CONCATENATE("R",'Mapa riesgos'!#REF!),"")</f>
        <v>#REF!</v>
      </c>
      <c r="AA24" s="475"/>
      <c r="AB24" s="457" t="str">
        <f>IF(AND('Mapa riesgos'!$M$17="Media",'Mapa riesgos'!$Q$17="Mayor"),CONCATENATE("R",'Mapa riesgos'!$A$17),"")</f>
        <v/>
      </c>
      <c r="AC24" s="453"/>
      <c r="AD24" s="453" t="e">
        <f>IF(AND('Mapa riesgos'!#REF!="Media",'Mapa riesgos'!#REF!="Mayor"),CONCATENATE("R",'Mapa riesgos'!#REF!),"")</f>
        <v>#REF!</v>
      </c>
      <c r="AE24" s="453"/>
      <c r="AF24" s="453" t="e">
        <f>IF(AND('Mapa riesgos'!#REF!="Media",'Mapa riesgos'!#REF!="Mayor"),CONCATENATE("R",'Mapa riesgos'!#REF!),"")</f>
        <v>#REF!</v>
      </c>
      <c r="AG24" s="454"/>
      <c r="AH24" s="464" t="str">
        <f>IF(AND('Mapa riesgos'!$M$17="Media",'Mapa riesgos'!$Q$17="Catastrófico"),CONCATENATE("R",'Mapa riesgos'!$A$17),"")</f>
        <v/>
      </c>
      <c r="AI24" s="465"/>
      <c r="AJ24" s="465" t="e">
        <f>IF(AND('Mapa riesgos'!#REF!="Media",'Mapa riesgos'!#REF!="Catastrófico"),CONCATENATE("R",'Mapa riesgos'!#REF!),"")</f>
        <v>#REF!</v>
      </c>
      <c r="AK24" s="465"/>
      <c r="AL24" s="465" t="e">
        <f>IF(AND('Mapa riesgos'!#REF!="Media",'Mapa riesgos'!#REF!="Catastrófico"),CONCATENATE("R",'Mapa riesgos'!#REF!),"")</f>
        <v>#REF!</v>
      </c>
      <c r="AM24" s="466"/>
      <c r="AN24" s="66"/>
      <c r="AO24" s="429"/>
      <c r="AP24" s="430"/>
      <c r="AQ24" s="430"/>
      <c r="AR24" s="430"/>
      <c r="AS24" s="430"/>
      <c r="AT24" s="431"/>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row>
    <row r="25" spans="1:80" x14ac:dyDescent="0.25">
      <c r="A25" s="66"/>
      <c r="B25" s="406"/>
      <c r="C25" s="406"/>
      <c r="D25" s="407"/>
      <c r="E25" s="447"/>
      <c r="F25" s="448"/>
      <c r="G25" s="448"/>
      <c r="H25" s="448"/>
      <c r="I25" s="449"/>
      <c r="J25" s="473"/>
      <c r="K25" s="474"/>
      <c r="L25" s="474"/>
      <c r="M25" s="474"/>
      <c r="N25" s="474"/>
      <c r="O25" s="475"/>
      <c r="P25" s="473"/>
      <c r="Q25" s="474"/>
      <c r="R25" s="474"/>
      <c r="S25" s="474"/>
      <c r="T25" s="474"/>
      <c r="U25" s="475"/>
      <c r="V25" s="473"/>
      <c r="W25" s="474"/>
      <c r="X25" s="474"/>
      <c r="Y25" s="474"/>
      <c r="Z25" s="474"/>
      <c r="AA25" s="475"/>
      <c r="AB25" s="457"/>
      <c r="AC25" s="453"/>
      <c r="AD25" s="453"/>
      <c r="AE25" s="453"/>
      <c r="AF25" s="453"/>
      <c r="AG25" s="454"/>
      <c r="AH25" s="464"/>
      <c r="AI25" s="465"/>
      <c r="AJ25" s="465"/>
      <c r="AK25" s="465"/>
      <c r="AL25" s="465"/>
      <c r="AM25" s="466"/>
      <c r="AN25" s="66"/>
      <c r="AO25" s="429"/>
      <c r="AP25" s="430"/>
      <c r="AQ25" s="430"/>
      <c r="AR25" s="430"/>
      <c r="AS25" s="430"/>
      <c r="AT25" s="431"/>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row>
    <row r="26" spans="1:80" x14ac:dyDescent="0.25">
      <c r="A26" s="66"/>
      <c r="B26" s="406"/>
      <c r="C26" s="406"/>
      <c r="D26" s="407"/>
      <c r="E26" s="447"/>
      <c r="F26" s="448"/>
      <c r="G26" s="448"/>
      <c r="H26" s="448"/>
      <c r="I26" s="449"/>
      <c r="J26" s="473" t="e">
        <f>IF(AND('Mapa riesgos'!#REF!="Media",'Mapa riesgos'!#REF!="Leve"),CONCATENATE("R",'Mapa riesgos'!#REF!),"")</f>
        <v>#REF!</v>
      </c>
      <c r="K26" s="474"/>
      <c r="L26" s="474" t="e">
        <f>IF(AND('Mapa riesgos'!#REF!="Media",'Mapa riesgos'!#REF!="Leve"),CONCATENATE("R",'Mapa riesgos'!#REF!),"")</f>
        <v>#REF!</v>
      </c>
      <c r="M26" s="474"/>
      <c r="N26" s="474" t="e">
        <f>IF(AND('Mapa riesgos'!#REF!="Media",'Mapa riesgos'!#REF!="Leve"),CONCATENATE("R",'Mapa riesgos'!#REF!),"")</f>
        <v>#REF!</v>
      </c>
      <c r="O26" s="475"/>
      <c r="P26" s="473" t="e">
        <f>IF(AND('Mapa riesgos'!#REF!="Media",'Mapa riesgos'!#REF!="Menor"),CONCATENATE("R",'Mapa riesgos'!#REF!),"")</f>
        <v>#REF!</v>
      </c>
      <c r="Q26" s="474"/>
      <c r="R26" s="474" t="e">
        <f>IF(AND('Mapa riesgos'!#REF!="Media",'Mapa riesgos'!#REF!="Menor"),CONCATENATE("R",'Mapa riesgos'!#REF!),"")</f>
        <v>#REF!</v>
      </c>
      <c r="S26" s="474"/>
      <c r="T26" s="474" t="e">
        <f>IF(AND('Mapa riesgos'!#REF!="Media",'Mapa riesgos'!#REF!="Menor"),CONCATENATE("R",'Mapa riesgos'!#REF!),"")</f>
        <v>#REF!</v>
      </c>
      <c r="U26" s="475"/>
      <c r="V26" s="473" t="e">
        <f>IF(AND('Mapa riesgos'!#REF!="Media",'Mapa riesgos'!#REF!="Moderado"),CONCATENATE("R",'Mapa riesgos'!#REF!),"")</f>
        <v>#REF!</v>
      </c>
      <c r="W26" s="474"/>
      <c r="X26" s="474" t="e">
        <f>IF(AND('Mapa riesgos'!#REF!="Media",'Mapa riesgos'!#REF!="Moderado"),CONCATENATE("R",'Mapa riesgos'!#REF!),"")</f>
        <v>#REF!</v>
      </c>
      <c r="Y26" s="474"/>
      <c r="Z26" s="474" t="e">
        <f>IF(AND('Mapa riesgos'!#REF!="Media",'Mapa riesgos'!#REF!="Moderado"),CONCATENATE("R",'Mapa riesgos'!#REF!),"")</f>
        <v>#REF!</v>
      </c>
      <c r="AA26" s="475"/>
      <c r="AB26" s="457" t="e">
        <f>IF(AND('Mapa riesgos'!#REF!="Media",'Mapa riesgos'!#REF!="Mayor"),CONCATENATE("R",'Mapa riesgos'!#REF!),"")</f>
        <v>#REF!</v>
      </c>
      <c r="AC26" s="453"/>
      <c r="AD26" s="453" t="e">
        <f>IF(AND('Mapa riesgos'!#REF!="Media",'Mapa riesgos'!#REF!="Mayor"),CONCATENATE("R",'Mapa riesgos'!#REF!),"")</f>
        <v>#REF!</v>
      </c>
      <c r="AE26" s="453"/>
      <c r="AF26" s="453" t="e">
        <f>IF(AND('Mapa riesgos'!#REF!="Media",'Mapa riesgos'!#REF!="Mayor"),CONCATENATE("R",'Mapa riesgos'!#REF!),"")</f>
        <v>#REF!</v>
      </c>
      <c r="AG26" s="454"/>
      <c r="AH26" s="464" t="e">
        <f>IF(AND('Mapa riesgos'!#REF!="Media",'Mapa riesgos'!#REF!="Catastrófico"),CONCATENATE("R",'Mapa riesgos'!#REF!),"")</f>
        <v>#REF!</v>
      </c>
      <c r="AI26" s="465"/>
      <c r="AJ26" s="465" t="e">
        <f>IF(AND('Mapa riesgos'!#REF!="Media",'Mapa riesgos'!#REF!="Catastrófico"),CONCATENATE("R",'Mapa riesgos'!#REF!),"")</f>
        <v>#REF!</v>
      </c>
      <c r="AK26" s="465"/>
      <c r="AL26" s="465" t="e">
        <f>IF(AND('Mapa riesgos'!#REF!="Media",'Mapa riesgos'!#REF!="Catastrófico"),CONCATENATE("R",'Mapa riesgos'!#REF!),"")</f>
        <v>#REF!</v>
      </c>
      <c r="AM26" s="466"/>
      <c r="AN26" s="66"/>
      <c r="AO26" s="429"/>
      <c r="AP26" s="430"/>
      <c r="AQ26" s="430"/>
      <c r="AR26" s="430"/>
      <c r="AS26" s="430"/>
      <c r="AT26" s="431"/>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row>
    <row r="27" spans="1:80" x14ac:dyDescent="0.25">
      <c r="A27" s="66"/>
      <c r="B27" s="406"/>
      <c r="C27" s="406"/>
      <c r="D27" s="407"/>
      <c r="E27" s="447"/>
      <c r="F27" s="448"/>
      <c r="G27" s="448"/>
      <c r="H27" s="448"/>
      <c r="I27" s="449"/>
      <c r="J27" s="473"/>
      <c r="K27" s="474"/>
      <c r="L27" s="474"/>
      <c r="M27" s="474"/>
      <c r="N27" s="474"/>
      <c r="O27" s="475"/>
      <c r="P27" s="473"/>
      <c r="Q27" s="474"/>
      <c r="R27" s="474"/>
      <c r="S27" s="474"/>
      <c r="T27" s="474"/>
      <c r="U27" s="475"/>
      <c r="V27" s="473"/>
      <c r="W27" s="474"/>
      <c r="X27" s="474"/>
      <c r="Y27" s="474"/>
      <c r="Z27" s="474"/>
      <c r="AA27" s="475"/>
      <c r="AB27" s="457"/>
      <c r="AC27" s="453"/>
      <c r="AD27" s="453"/>
      <c r="AE27" s="453"/>
      <c r="AF27" s="453"/>
      <c r="AG27" s="454"/>
      <c r="AH27" s="464"/>
      <c r="AI27" s="465"/>
      <c r="AJ27" s="465"/>
      <c r="AK27" s="465"/>
      <c r="AL27" s="465"/>
      <c r="AM27" s="466"/>
      <c r="AN27" s="66"/>
      <c r="AO27" s="429"/>
      <c r="AP27" s="430"/>
      <c r="AQ27" s="430"/>
      <c r="AR27" s="430"/>
      <c r="AS27" s="430"/>
      <c r="AT27" s="431"/>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row>
    <row r="28" spans="1:80" x14ac:dyDescent="0.25">
      <c r="A28" s="66"/>
      <c r="B28" s="406"/>
      <c r="C28" s="406"/>
      <c r="D28" s="407"/>
      <c r="E28" s="447"/>
      <c r="F28" s="448"/>
      <c r="G28" s="448"/>
      <c r="H28" s="448"/>
      <c r="I28" s="449"/>
      <c r="J28" s="473" t="e">
        <f>IF(AND('Mapa riesgos'!#REF!="Media",'Mapa riesgos'!#REF!="Leve"),CONCATENATE("R",'Mapa riesgos'!#REF!),"")</f>
        <v>#REF!</v>
      </c>
      <c r="K28" s="474"/>
      <c r="L28" s="474" t="e">
        <f>IF(AND('Mapa riesgos'!#REF!="Media",'Mapa riesgos'!#REF!="Leve"),CONCATENATE("R",'Mapa riesgos'!#REF!),"")</f>
        <v>#REF!</v>
      </c>
      <c r="M28" s="474"/>
      <c r="N28" s="474" t="str">
        <f>IF(AND('Mapa riesgos'!$M$26="Media",'Mapa riesgos'!$Q$26="Leve"),CONCATENATE("R",'Mapa riesgos'!$A$26),"")</f>
        <v/>
      </c>
      <c r="O28" s="475"/>
      <c r="P28" s="473" t="e">
        <f>IF(AND('Mapa riesgos'!#REF!="Media",'Mapa riesgos'!#REF!="Menor"),CONCATENATE("R",'Mapa riesgos'!#REF!),"")</f>
        <v>#REF!</v>
      </c>
      <c r="Q28" s="474"/>
      <c r="R28" s="474" t="e">
        <f>IF(AND('Mapa riesgos'!#REF!="Media",'Mapa riesgos'!#REF!="Menor"),CONCATENATE("R",'Mapa riesgos'!#REF!),"")</f>
        <v>#REF!</v>
      </c>
      <c r="S28" s="474"/>
      <c r="T28" s="474" t="str">
        <f>IF(AND('Mapa riesgos'!$M$26="Media",'Mapa riesgos'!$Q$26="Menor"),CONCATENATE("R",'Mapa riesgos'!$A$26),"")</f>
        <v/>
      </c>
      <c r="U28" s="475"/>
      <c r="V28" s="473" t="e">
        <f>IF(AND('Mapa riesgos'!#REF!="Media",'Mapa riesgos'!#REF!="Moderado"),CONCATENATE("R",'Mapa riesgos'!#REF!),"")</f>
        <v>#REF!</v>
      </c>
      <c r="W28" s="474"/>
      <c r="X28" s="474" t="e">
        <f>IF(AND('Mapa riesgos'!#REF!="Media",'Mapa riesgos'!#REF!="Moderado"),CONCATENATE("R",'Mapa riesgos'!#REF!),"")</f>
        <v>#REF!</v>
      </c>
      <c r="Y28" s="474"/>
      <c r="Z28" s="474" t="str">
        <f>IF(AND('Mapa riesgos'!$M$26="Media",'Mapa riesgos'!$Q$26="Moderado"),CONCATENATE("R",'Mapa riesgos'!$A$26),"")</f>
        <v/>
      </c>
      <c r="AA28" s="475"/>
      <c r="AB28" s="457" t="e">
        <f>IF(AND('Mapa riesgos'!#REF!="Media",'Mapa riesgos'!#REF!="Mayor"),CONCATENATE("R",'Mapa riesgos'!#REF!),"")</f>
        <v>#REF!</v>
      </c>
      <c r="AC28" s="453"/>
      <c r="AD28" s="453" t="e">
        <f>IF(AND('Mapa riesgos'!#REF!="Media",'Mapa riesgos'!#REF!="Mayor"),CONCATENATE("R",'Mapa riesgos'!#REF!),"")</f>
        <v>#REF!</v>
      </c>
      <c r="AE28" s="453"/>
      <c r="AF28" s="453" t="str">
        <f>IF(AND('Mapa riesgos'!$M$26="Media",'Mapa riesgos'!$Q$26="Mayor"),CONCATENATE("R",'Mapa riesgos'!$A$26),"")</f>
        <v/>
      </c>
      <c r="AG28" s="454"/>
      <c r="AH28" s="464" t="e">
        <f>IF(AND('Mapa riesgos'!#REF!="Media",'Mapa riesgos'!#REF!="Catastrófico"),CONCATENATE("R",'Mapa riesgos'!#REF!),"")</f>
        <v>#REF!</v>
      </c>
      <c r="AI28" s="465"/>
      <c r="AJ28" s="465" t="e">
        <f>IF(AND('Mapa riesgos'!#REF!="Media",'Mapa riesgos'!#REF!="Catastrófico"),CONCATENATE("R",'Mapa riesgos'!#REF!),"")</f>
        <v>#REF!</v>
      </c>
      <c r="AK28" s="465"/>
      <c r="AL28" s="465" t="str">
        <f>IF(AND('Mapa riesgos'!$M$26="Media",'Mapa riesgos'!$Q$26="Catastrófico"),CONCATENATE("R",'Mapa riesgos'!$A$26),"")</f>
        <v/>
      </c>
      <c r="AM28" s="466"/>
      <c r="AN28" s="66"/>
      <c r="AO28" s="429"/>
      <c r="AP28" s="430"/>
      <c r="AQ28" s="430"/>
      <c r="AR28" s="430"/>
      <c r="AS28" s="430"/>
      <c r="AT28" s="431"/>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row>
    <row r="29" spans="1:80" ht="15.75" thickBot="1" x14ac:dyDescent="0.3">
      <c r="A29" s="66"/>
      <c r="B29" s="406"/>
      <c r="C29" s="406"/>
      <c r="D29" s="407"/>
      <c r="E29" s="450"/>
      <c r="F29" s="451"/>
      <c r="G29" s="451"/>
      <c r="H29" s="451"/>
      <c r="I29" s="452"/>
      <c r="J29" s="473"/>
      <c r="K29" s="474"/>
      <c r="L29" s="474"/>
      <c r="M29" s="474"/>
      <c r="N29" s="474"/>
      <c r="O29" s="475"/>
      <c r="P29" s="476"/>
      <c r="Q29" s="477"/>
      <c r="R29" s="477"/>
      <c r="S29" s="477"/>
      <c r="T29" s="477"/>
      <c r="U29" s="478"/>
      <c r="V29" s="476"/>
      <c r="W29" s="477"/>
      <c r="X29" s="477"/>
      <c r="Y29" s="477"/>
      <c r="Z29" s="477"/>
      <c r="AA29" s="478"/>
      <c r="AB29" s="461"/>
      <c r="AC29" s="462"/>
      <c r="AD29" s="462"/>
      <c r="AE29" s="462"/>
      <c r="AF29" s="462"/>
      <c r="AG29" s="463"/>
      <c r="AH29" s="467"/>
      <c r="AI29" s="468"/>
      <c r="AJ29" s="468"/>
      <c r="AK29" s="468"/>
      <c r="AL29" s="468"/>
      <c r="AM29" s="469"/>
      <c r="AN29" s="66"/>
      <c r="AO29" s="432"/>
      <c r="AP29" s="433"/>
      <c r="AQ29" s="433"/>
      <c r="AR29" s="433"/>
      <c r="AS29" s="433"/>
      <c r="AT29" s="434"/>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row>
    <row r="30" spans="1:80" x14ac:dyDescent="0.25">
      <c r="A30" s="66"/>
      <c r="B30" s="406"/>
      <c r="C30" s="406"/>
      <c r="D30" s="407"/>
      <c r="E30" s="444" t="s">
        <v>209</v>
      </c>
      <c r="F30" s="445"/>
      <c r="G30" s="445"/>
      <c r="H30" s="445"/>
      <c r="I30" s="445"/>
      <c r="J30" s="488" t="e">
        <f>IF(AND('Mapa riesgos'!#REF!="Baja",'Mapa riesgos'!#REF!="Leve"),CONCATENATE("R",'Mapa riesgos'!#REF!),"")</f>
        <v>#REF!</v>
      </c>
      <c r="K30" s="489"/>
      <c r="L30" s="489" t="e">
        <f>IF(AND('Mapa riesgos'!#REF!="Baja",'Mapa riesgos'!#REF!="Leve"),CONCATENATE("R",'Mapa riesgos'!#REF!),"")</f>
        <v>#REF!</v>
      </c>
      <c r="M30" s="489"/>
      <c r="N30" s="489" t="e">
        <f>IF(AND('Mapa riesgos'!#REF!="Baja",'Mapa riesgos'!#REF!="Leve"),CONCATENATE("R",'Mapa riesgos'!#REF!),"")</f>
        <v>#REF!</v>
      </c>
      <c r="O30" s="490"/>
      <c r="P30" s="480" t="e">
        <f>IF(AND('Mapa riesgos'!#REF!="Baja",'Mapa riesgos'!#REF!="Menor"),CONCATENATE("R",'Mapa riesgos'!#REF!),"")</f>
        <v>#REF!</v>
      </c>
      <c r="Q30" s="480"/>
      <c r="R30" s="480" t="e">
        <f>IF(AND('Mapa riesgos'!#REF!="Baja",'Mapa riesgos'!#REF!="Menor"),CONCATENATE("R",'Mapa riesgos'!#REF!),"")</f>
        <v>#REF!</v>
      </c>
      <c r="S30" s="480"/>
      <c r="T30" s="480" t="e">
        <f>IF(AND('Mapa riesgos'!#REF!="Baja",'Mapa riesgos'!#REF!="Menor"),CONCATENATE("R",'Mapa riesgos'!#REF!),"")</f>
        <v>#REF!</v>
      </c>
      <c r="U30" s="481"/>
      <c r="V30" s="479" t="e">
        <f>IF(AND('Mapa riesgos'!#REF!="Baja",'Mapa riesgos'!#REF!="Moderado"),CONCATENATE("R",'Mapa riesgos'!#REF!),"")</f>
        <v>#REF!</v>
      </c>
      <c r="W30" s="480"/>
      <c r="X30" s="480" t="e">
        <f>IF(AND('Mapa riesgos'!#REF!="Baja",'Mapa riesgos'!#REF!="Moderado"),CONCATENATE("R",'Mapa riesgos'!#REF!),"")</f>
        <v>#REF!</v>
      </c>
      <c r="Y30" s="480"/>
      <c r="Z30" s="480" t="e">
        <f>IF(AND('Mapa riesgos'!#REF!="Baja",'Mapa riesgos'!#REF!="Moderado"),CONCATENATE("R",'Mapa riesgos'!#REF!),"")</f>
        <v>#REF!</v>
      </c>
      <c r="AA30" s="481"/>
      <c r="AB30" s="455" t="e">
        <f>IF(AND('Mapa riesgos'!#REF!="Baja",'Mapa riesgos'!#REF!="Mayor"),CONCATENATE("R",'Mapa riesgos'!#REF!),"")</f>
        <v>#REF!</v>
      </c>
      <c r="AC30" s="456"/>
      <c r="AD30" s="456" t="e">
        <f>IF(AND('Mapa riesgos'!#REF!="Baja",'Mapa riesgos'!#REF!="Mayor"),CONCATENATE("R",'Mapa riesgos'!#REF!),"")</f>
        <v>#REF!</v>
      </c>
      <c r="AE30" s="456"/>
      <c r="AF30" s="456" t="e">
        <f>IF(AND('Mapa riesgos'!#REF!="Baja",'Mapa riesgos'!#REF!="Mayor"),CONCATENATE("R",'Mapa riesgos'!#REF!),"")</f>
        <v>#REF!</v>
      </c>
      <c r="AG30" s="458"/>
      <c r="AH30" s="470" t="e">
        <f>IF(AND('Mapa riesgos'!#REF!="Baja",'Mapa riesgos'!#REF!="Catastrófico"),CONCATENATE("R",'Mapa riesgos'!#REF!),"")</f>
        <v>#REF!</v>
      </c>
      <c r="AI30" s="471"/>
      <c r="AJ30" s="471" t="e">
        <f>IF(AND('Mapa riesgos'!#REF!="Baja",'Mapa riesgos'!#REF!="Catastrófico"),CONCATENATE("R",'Mapa riesgos'!#REF!),"")</f>
        <v>#REF!</v>
      </c>
      <c r="AK30" s="471"/>
      <c r="AL30" s="471" t="e">
        <f>IF(AND('Mapa riesgos'!#REF!="Baja",'Mapa riesgos'!#REF!="Catastrófico"),CONCATENATE("R",'Mapa riesgos'!#REF!),"")</f>
        <v>#REF!</v>
      </c>
      <c r="AM30" s="472"/>
      <c r="AN30" s="66"/>
      <c r="AO30" s="435" t="s">
        <v>210</v>
      </c>
      <c r="AP30" s="436"/>
      <c r="AQ30" s="436"/>
      <c r="AR30" s="436"/>
      <c r="AS30" s="436"/>
      <c r="AT30" s="437"/>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row>
    <row r="31" spans="1:80" x14ac:dyDescent="0.25">
      <c r="A31" s="66"/>
      <c r="B31" s="406"/>
      <c r="C31" s="406"/>
      <c r="D31" s="407"/>
      <c r="E31" s="447"/>
      <c r="F31" s="448"/>
      <c r="G31" s="448"/>
      <c r="H31" s="448"/>
      <c r="I31" s="448"/>
      <c r="J31" s="484"/>
      <c r="K31" s="482"/>
      <c r="L31" s="482"/>
      <c r="M31" s="482"/>
      <c r="N31" s="482"/>
      <c r="O31" s="483"/>
      <c r="P31" s="474"/>
      <c r="Q31" s="474"/>
      <c r="R31" s="474"/>
      <c r="S31" s="474"/>
      <c r="T31" s="474"/>
      <c r="U31" s="475"/>
      <c r="V31" s="473"/>
      <c r="W31" s="474"/>
      <c r="X31" s="474"/>
      <c r="Y31" s="474"/>
      <c r="Z31" s="474"/>
      <c r="AA31" s="475"/>
      <c r="AB31" s="457"/>
      <c r="AC31" s="453"/>
      <c r="AD31" s="453"/>
      <c r="AE31" s="453"/>
      <c r="AF31" s="453"/>
      <c r="AG31" s="454"/>
      <c r="AH31" s="464"/>
      <c r="AI31" s="465"/>
      <c r="AJ31" s="465"/>
      <c r="AK31" s="465"/>
      <c r="AL31" s="465"/>
      <c r="AM31" s="466"/>
      <c r="AN31" s="66"/>
      <c r="AO31" s="438"/>
      <c r="AP31" s="439"/>
      <c r="AQ31" s="439"/>
      <c r="AR31" s="439"/>
      <c r="AS31" s="439"/>
      <c r="AT31" s="440"/>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row>
    <row r="32" spans="1:80" x14ac:dyDescent="0.25">
      <c r="A32" s="66"/>
      <c r="B32" s="406"/>
      <c r="C32" s="406"/>
      <c r="D32" s="407"/>
      <c r="E32" s="447"/>
      <c r="F32" s="448"/>
      <c r="G32" s="448"/>
      <c r="H32" s="448"/>
      <c r="I32" s="448"/>
      <c r="J32" s="484" t="str">
        <f>IF(AND('Mapa riesgos'!$M$17="Baja",'Mapa riesgos'!$Q$17="Leve"),CONCATENATE("R",'Mapa riesgos'!$A$17),"")</f>
        <v/>
      </c>
      <c r="K32" s="482"/>
      <c r="L32" s="482" t="e">
        <f>IF(AND('Mapa riesgos'!#REF!="Baja",'Mapa riesgos'!#REF!="Leve"),CONCATENATE("R",'Mapa riesgos'!#REF!),"")</f>
        <v>#REF!</v>
      </c>
      <c r="M32" s="482"/>
      <c r="N32" s="482" t="e">
        <f>IF(AND('Mapa riesgos'!#REF!="Baja",'Mapa riesgos'!#REF!="Leve"),CONCATENATE("R",'Mapa riesgos'!#REF!),"")</f>
        <v>#REF!</v>
      </c>
      <c r="O32" s="483"/>
      <c r="P32" s="474" t="str">
        <f>IF(AND('Mapa riesgos'!$M$17="Baja",'Mapa riesgos'!$Q$17="Menor"),CONCATENATE("R",'Mapa riesgos'!$A$17),"")</f>
        <v/>
      </c>
      <c r="Q32" s="474"/>
      <c r="R32" s="474" t="e">
        <f>IF(AND('Mapa riesgos'!#REF!="Baja",'Mapa riesgos'!#REF!="Menor"),CONCATENATE("R",'Mapa riesgos'!#REF!),"")</f>
        <v>#REF!</v>
      </c>
      <c r="S32" s="474"/>
      <c r="T32" s="474" t="e">
        <f>IF(AND('Mapa riesgos'!#REF!="Baja",'Mapa riesgos'!#REF!="Menor"),CONCATENATE("R",'Mapa riesgos'!#REF!),"")</f>
        <v>#REF!</v>
      </c>
      <c r="U32" s="475"/>
      <c r="V32" s="473" t="str">
        <f>IF(AND('Mapa riesgos'!$M$17="Baja",'Mapa riesgos'!$Q$17="Moderado"),CONCATENATE("R",'Mapa riesgos'!$A$17),"")</f>
        <v/>
      </c>
      <c r="W32" s="474"/>
      <c r="X32" s="474" t="e">
        <f>IF(AND('Mapa riesgos'!#REF!="Baja",'Mapa riesgos'!#REF!="Moderado"),CONCATENATE("R",'Mapa riesgos'!#REF!),"")</f>
        <v>#REF!</v>
      </c>
      <c r="Y32" s="474"/>
      <c r="Z32" s="474" t="e">
        <f>IF(AND('Mapa riesgos'!#REF!="Baja",'Mapa riesgos'!#REF!="Moderado"),CONCATENATE("R",'Mapa riesgos'!#REF!),"")</f>
        <v>#REF!</v>
      </c>
      <c r="AA32" s="475"/>
      <c r="AB32" s="457" t="str">
        <f>IF(AND('Mapa riesgos'!$M$17="Baja",'Mapa riesgos'!$Q$17="Mayor"),CONCATENATE("R",'Mapa riesgos'!$A$17),"")</f>
        <v/>
      </c>
      <c r="AC32" s="453"/>
      <c r="AD32" s="453" t="e">
        <f>IF(AND('Mapa riesgos'!#REF!="Baja",'Mapa riesgos'!#REF!="Mayor"),CONCATENATE("R",'Mapa riesgos'!#REF!),"")</f>
        <v>#REF!</v>
      </c>
      <c r="AE32" s="453"/>
      <c r="AF32" s="453" t="e">
        <f>IF(AND('Mapa riesgos'!#REF!="Baja",'Mapa riesgos'!#REF!="Mayor"),CONCATENATE("R",'Mapa riesgos'!#REF!),"")</f>
        <v>#REF!</v>
      </c>
      <c r="AG32" s="454"/>
      <c r="AH32" s="464" t="str">
        <f>IF(AND('Mapa riesgos'!$M$17="Baja",'Mapa riesgos'!$Q$17="Catastrófico"),CONCATENATE("R",'Mapa riesgos'!$A$17),"")</f>
        <v/>
      </c>
      <c r="AI32" s="465"/>
      <c r="AJ32" s="465" t="e">
        <f>IF(AND('Mapa riesgos'!#REF!="Baja",'Mapa riesgos'!#REF!="Catastrófico"),CONCATENATE("R",'Mapa riesgos'!#REF!),"")</f>
        <v>#REF!</v>
      </c>
      <c r="AK32" s="465"/>
      <c r="AL32" s="465" t="e">
        <f>IF(AND('Mapa riesgos'!#REF!="Baja",'Mapa riesgos'!#REF!="Catastrófico"),CONCATENATE("R",'Mapa riesgos'!#REF!),"")</f>
        <v>#REF!</v>
      </c>
      <c r="AM32" s="466"/>
      <c r="AN32" s="66"/>
      <c r="AO32" s="438"/>
      <c r="AP32" s="439"/>
      <c r="AQ32" s="439"/>
      <c r="AR32" s="439"/>
      <c r="AS32" s="439"/>
      <c r="AT32" s="440"/>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c r="BY32" s="66"/>
      <c r="BZ32" s="66"/>
      <c r="CA32" s="66"/>
      <c r="CB32" s="66"/>
    </row>
    <row r="33" spans="1:80" x14ac:dyDescent="0.25">
      <c r="A33" s="66"/>
      <c r="B33" s="406"/>
      <c r="C33" s="406"/>
      <c r="D33" s="407"/>
      <c r="E33" s="447"/>
      <c r="F33" s="448"/>
      <c r="G33" s="448"/>
      <c r="H33" s="448"/>
      <c r="I33" s="448"/>
      <c r="J33" s="484"/>
      <c r="K33" s="482"/>
      <c r="L33" s="482"/>
      <c r="M33" s="482"/>
      <c r="N33" s="482"/>
      <c r="O33" s="483"/>
      <c r="P33" s="474"/>
      <c r="Q33" s="474"/>
      <c r="R33" s="474"/>
      <c r="S33" s="474"/>
      <c r="T33" s="474"/>
      <c r="U33" s="475"/>
      <c r="V33" s="473"/>
      <c r="W33" s="474"/>
      <c r="X33" s="474"/>
      <c r="Y33" s="474"/>
      <c r="Z33" s="474"/>
      <c r="AA33" s="475"/>
      <c r="AB33" s="457"/>
      <c r="AC33" s="453"/>
      <c r="AD33" s="453"/>
      <c r="AE33" s="453"/>
      <c r="AF33" s="453"/>
      <c r="AG33" s="454"/>
      <c r="AH33" s="464"/>
      <c r="AI33" s="465"/>
      <c r="AJ33" s="465"/>
      <c r="AK33" s="465"/>
      <c r="AL33" s="465"/>
      <c r="AM33" s="466"/>
      <c r="AN33" s="66"/>
      <c r="AO33" s="438"/>
      <c r="AP33" s="439"/>
      <c r="AQ33" s="439"/>
      <c r="AR33" s="439"/>
      <c r="AS33" s="439"/>
      <c r="AT33" s="440"/>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row>
    <row r="34" spans="1:80" x14ac:dyDescent="0.25">
      <c r="A34" s="66"/>
      <c r="B34" s="406"/>
      <c r="C34" s="406"/>
      <c r="D34" s="407"/>
      <c r="E34" s="447"/>
      <c r="F34" s="448"/>
      <c r="G34" s="448"/>
      <c r="H34" s="448"/>
      <c r="I34" s="448"/>
      <c r="J34" s="484" t="e">
        <f>IF(AND('Mapa riesgos'!#REF!="Baja",'Mapa riesgos'!#REF!="Leve"),CONCATENATE("R",'Mapa riesgos'!#REF!),"")</f>
        <v>#REF!</v>
      </c>
      <c r="K34" s="482"/>
      <c r="L34" s="482" t="e">
        <f>IF(AND('Mapa riesgos'!#REF!="Baja",'Mapa riesgos'!#REF!="Leve"),CONCATENATE("R",'Mapa riesgos'!#REF!),"")</f>
        <v>#REF!</v>
      </c>
      <c r="M34" s="482"/>
      <c r="N34" s="482" t="e">
        <f>IF(AND('Mapa riesgos'!#REF!="Baja",'Mapa riesgos'!#REF!="Leve"),CONCATENATE("R",'Mapa riesgos'!#REF!),"")</f>
        <v>#REF!</v>
      </c>
      <c r="O34" s="483"/>
      <c r="P34" s="474" t="e">
        <f>IF(AND('Mapa riesgos'!#REF!="Baja",'Mapa riesgos'!#REF!="Menor"),CONCATENATE("R",'Mapa riesgos'!#REF!),"")</f>
        <v>#REF!</v>
      </c>
      <c r="Q34" s="474"/>
      <c r="R34" s="474" t="e">
        <f>IF(AND('Mapa riesgos'!#REF!="Baja",'Mapa riesgos'!#REF!="Menor"),CONCATENATE("R",'Mapa riesgos'!#REF!),"")</f>
        <v>#REF!</v>
      </c>
      <c r="S34" s="474"/>
      <c r="T34" s="474" t="e">
        <f>IF(AND('Mapa riesgos'!#REF!="Baja",'Mapa riesgos'!#REF!="Menor"),CONCATENATE("R",'Mapa riesgos'!#REF!),"")</f>
        <v>#REF!</v>
      </c>
      <c r="U34" s="475"/>
      <c r="V34" s="473" t="e">
        <f>IF(AND('Mapa riesgos'!#REF!="Baja",'Mapa riesgos'!#REF!="Moderado"),CONCATENATE("R",'Mapa riesgos'!#REF!),"")</f>
        <v>#REF!</v>
      </c>
      <c r="W34" s="474"/>
      <c r="X34" s="474" t="e">
        <f>IF(AND('Mapa riesgos'!#REF!="Baja",'Mapa riesgos'!#REF!="Moderado"),CONCATENATE("R",'Mapa riesgos'!#REF!),"")</f>
        <v>#REF!</v>
      </c>
      <c r="Y34" s="474"/>
      <c r="Z34" s="474" t="e">
        <f>IF(AND('Mapa riesgos'!#REF!="Baja",'Mapa riesgos'!#REF!="Moderado"),CONCATENATE("R",'Mapa riesgos'!#REF!),"")</f>
        <v>#REF!</v>
      </c>
      <c r="AA34" s="475"/>
      <c r="AB34" s="457" t="e">
        <f>IF(AND('Mapa riesgos'!#REF!="Baja",'Mapa riesgos'!#REF!="Mayor"),CONCATENATE("R",'Mapa riesgos'!#REF!),"")</f>
        <v>#REF!</v>
      </c>
      <c r="AC34" s="453"/>
      <c r="AD34" s="453" t="e">
        <f>IF(AND('Mapa riesgos'!#REF!="Baja",'Mapa riesgos'!#REF!="Mayor"),CONCATENATE("R",'Mapa riesgos'!#REF!),"")</f>
        <v>#REF!</v>
      </c>
      <c r="AE34" s="453"/>
      <c r="AF34" s="453" t="e">
        <f>IF(AND('Mapa riesgos'!#REF!="Baja",'Mapa riesgos'!#REF!="Mayor"),CONCATENATE("R",'Mapa riesgos'!#REF!),"")</f>
        <v>#REF!</v>
      </c>
      <c r="AG34" s="454"/>
      <c r="AH34" s="464" t="e">
        <f>IF(AND('Mapa riesgos'!#REF!="Baja",'Mapa riesgos'!#REF!="Catastrófico"),CONCATENATE("R",'Mapa riesgos'!#REF!),"")</f>
        <v>#REF!</v>
      </c>
      <c r="AI34" s="465"/>
      <c r="AJ34" s="465" t="e">
        <f>IF(AND('Mapa riesgos'!#REF!="Baja",'Mapa riesgos'!#REF!="Catastrófico"),CONCATENATE("R",'Mapa riesgos'!#REF!),"")</f>
        <v>#REF!</v>
      </c>
      <c r="AK34" s="465"/>
      <c r="AL34" s="465" t="e">
        <f>IF(AND('Mapa riesgos'!#REF!="Baja",'Mapa riesgos'!#REF!="Catastrófico"),CONCATENATE("R",'Mapa riesgos'!#REF!),"")</f>
        <v>#REF!</v>
      </c>
      <c r="AM34" s="466"/>
      <c r="AN34" s="66"/>
      <c r="AO34" s="438"/>
      <c r="AP34" s="439"/>
      <c r="AQ34" s="439"/>
      <c r="AR34" s="439"/>
      <c r="AS34" s="439"/>
      <c r="AT34" s="440"/>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row>
    <row r="35" spans="1:80" x14ac:dyDescent="0.25">
      <c r="A35" s="66"/>
      <c r="B35" s="406"/>
      <c r="C35" s="406"/>
      <c r="D35" s="407"/>
      <c r="E35" s="447"/>
      <c r="F35" s="448"/>
      <c r="G35" s="448"/>
      <c r="H35" s="448"/>
      <c r="I35" s="448"/>
      <c r="J35" s="484"/>
      <c r="K35" s="482"/>
      <c r="L35" s="482"/>
      <c r="M35" s="482"/>
      <c r="N35" s="482"/>
      <c r="O35" s="483"/>
      <c r="P35" s="474"/>
      <c r="Q35" s="474"/>
      <c r="R35" s="474"/>
      <c r="S35" s="474"/>
      <c r="T35" s="474"/>
      <c r="U35" s="475"/>
      <c r="V35" s="473"/>
      <c r="W35" s="474"/>
      <c r="X35" s="474"/>
      <c r="Y35" s="474"/>
      <c r="Z35" s="474"/>
      <c r="AA35" s="475"/>
      <c r="AB35" s="457"/>
      <c r="AC35" s="453"/>
      <c r="AD35" s="453"/>
      <c r="AE35" s="453"/>
      <c r="AF35" s="453"/>
      <c r="AG35" s="454"/>
      <c r="AH35" s="464"/>
      <c r="AI35" s="465"/>
      <c r="AJ35" s="465"/>
      <c r="AK35" s="465"/>
      <c r="AL35" s="465"/>
      <c r="AM35" s="466"/>
      <c r="AN35" s="66"/>
      <c r="AO35" s="438"/>
      <c r="AP35" s="439"/>
      <c r="AQ35" s="439"/>
      <c r="AR35" s="439"/>
      <c r="AS35" s="439"/>
      <c r="AT35" s="440"/>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row>
    <row r="36" spans="1:80" x14ac:dyDescent="0.25">
      <c r="A36" s="66"/>
      <c r="B36" s="406"/>
      <c r="C36" s="406"/>
      <c r="D36" s="407"/>
      <c r="E36" s="447"/>
      <c r="F36" s="448"/>
      <c r="G36" s="448"/>
      <c r="H36" s="448"/>
      <c r="I36" s="448"/>
      <c r="J36" s="484" t="e">
        <f>IF(AND('Mapa riesgos'!#REF!="Baja",'Mapa riesgos'!#REF!="Leve"),CONCATENATE("R",'Mapa riesgos'!#REF!),"")</f>
        <v>#REF!</v>
      </c>
      <c r="K36" s="482"/>
      <c r="L36" s="482" t="e">
        <f>IF(AND('Mapa riesgos'!#REF!="Baja",'Mapa riesgos'!#REF!="Leve"),CONCATENATE("R",'Mapa riesgos'!#REF!),"")</f>
        <v>#REF!</v>
      </c>
      <c r="M36" s="482"/>
      <c r="N36" s="482" t="str">
        <f>IF(AND('Mapa riesgos'!$M$26="Baja",'Mapa riesgos'!$Q$26="Leve"),CONCATENATE("R",'Mapa riesgos'!$A$26),"")</f>
        <v/>
      </c>
      <c r="O36" s="483"/>
      <c r="P36" s="474" t="e">
        <f>IF(AND('Mapa riesgos'!#REF!="Baja",'Mapa riesgos'!#REF!="Menor"),CONCATENATE("R",'Mapa riesgos'!#REF!),"")</f>
        <v>#REF!</v>
      </c>
      <c r="Q36" s="474"/>
      <c r="R36" s="474" t="e">
        <f>IF(AND('Mapa riesgos'!#REF!="Baja",'Mapa riesgos'!#REF!="Menor"),CONCATENATE("R",'Mapa riesgos'!#REF!),"")</f>
        <v>#REF!</v>
      </c>
      <c r="S36" s="474"/>
      <c r="T36" s="474" t="str">
        <f>IF(AND('Mapa riesgos'!$M$26="Baja",'Mapa riesgos'!$Q$26="Menor"),CONCATENATE("R",'Mapa riesgos'!$A$26),"")</f>
        <v/>
      </c>
      <c r="U36" s="475"/>
      <c r="V36" s="473" t="e">
        <f>IF(AND('Mapa riesgos'!#REF!="Baja",'Mapa riesgos'!#REF!="Moderado"),CONCATENATE("R",'Mapa riesgos'!#REF!),"")</f>
        <v>#REF!</v>
      </c>
      <c r="W36" s="474"/>
      <c r="X36" s="474" t="e">
        <f>IF(AND('Mapa riesgos'!#REF!="Baja",'Mapa riesgos'!#REF!="Moderado"),CONCATENATE("R",'Mapa riesgos'!#REF!),"")</f>
        <v>#REF!</v>
      </c>
      <c r="Y36" s="474"/>
      <c r="Z36" s="474" t="str">
        <f>IF(AND('Mapa riesgos'!$M$26="Baja",'Mapa riesgos'!$Q$26="Moderado"),CONCATENATE("R",'Mapa riesgos'!$A$26),"")</f>
        <v/>
      </c>
      <c r="AA36" s="475"/>
      <c r="AB36" s="457" t="e">
        <f>IF(AND('Mapa riesgos'!#REF!="Baja",'Mapa riesgos'!#REF!="Mayor"),CONCATENATE("R",'Mapa riesgos'!#REF!),"")</f>
        <v>#REF!</v>
      </c>
      <c r="AC36" s="453"/>
      <c r="AD36" s="453" t="e">
        <f>IF(AND('Mapa riesgos'!#REF!="Baja",'Mapa riesgos'!#REF!="Mayor"),CONCATENATE("R",'Mapa riesgos'!#REF!),"")</f>
        <v>#REF!</v>
      </c>
      <c r="AE36" s="453"/>
      <c r="AF36" s="453" t="str">
        <f>IF(AND('Mapa riesgos'!$M$26="Baja",'Mapa riesgos'!$Q$26="Mayor"),CONCATENATE("R",'Mapa riesgos'!$A$26),"")</f>
        <v/>
      </c>
      <c r="AG36" s="454"/>
      <c r="AH36" s="464" t="e">
        <f>IF(AND('Mapa riesgos'!#REF!="Baja",'Mapa riesgos'!#REF!="Catastrófico"),CONCATENATE("R",'Mapa riesgos'!#REF!),"")</f>
        <v>#REF!</v>
      </c>
      <c r="AI36" s="465"/>
      <c r="AJ36" s="465" t="e">
        <f>IF(AND('Mapa riesgos'!#REF!="Baja",'Mapa riesgos'!#REF!="Catastrófico"),CONCATENATE("R",'Mapa riesgos'!#REF!),"")</f>
        <v>#REF!</v>
      </c>
      <c r="AK36" s="465"/>
      <c r="AL36" s="465" t="str">
        <f>IF(AND('Mapa riesgos'!$M$26="Baja",'Mapa riesgos'!$Q$26="Catastrófico"),CONCATENATE("R",'Mapa riesgos'!$A$26),"")</f>
        <v/>
      </c>
      <c r="AM36" s="466"/>
      <c r="AN36" s="66"/>
      <c r="AO36" s="438"/>
      <c r="AP36" s="439"/>
      <c r="AQ36" s="439"/>
      <c r="AR36" s="439"/>
      <c r="AS36" s="439"/>
      <c r="AT36" s="440"/>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c r="BY36" s="66"/>
      <c r="BZ36" s="66"/>
      <c r="CA36" s="66"/>
      <c r="CB36" s="66"/>
    </row>
    <row r="37" spans="1:80" ht="15.75" thickBot="1" x14ac:dyDescent="0.3">
      <c r="A37" s="66"/>
      <c r="B37" s="406"/>
      <c r="C37" s="406"/>
      <c r="D37" s="407"/>
      <c r="E37" s="450"/>
      <c r="F37" s="451"/>
      <c r="G37" s="451"/>
      <c r="H37" s="451"/>
      <c r="I37" s="451"/>
      <c r="J37" s="485"/>
      <c r="K37" s="486"/>
      <c r="L37" s="486"/>
      <c r="M37" s="486"/>
      <c r="N37" s="486"/>
      <c r="O37" s="487"/>
      <c r="P37" s="477"/>
      <c r="Q37" s="477"/>
      <c r="R37" s="477"/>
      <c r="S37" s="477"/>
      <c r="T37" s="477"/>
      <c r="U37" s="478"/>
      <c r="V37" s="476"/>
      <c r="W37" s="477"/>
      <c r="X37" s="477"/>
      <c r="Y37" s="477"/>
      <c r="Z37" s="477"/>
      <c r="AA37" s="478"/>
      <c r="AB37" s="461"/>
      <c r="AC37" s="462"/>
      <c r="AD37" s="462"/>
      <c r="AE37" s="462"/>
      <c r="AF37" s="462"/>
      <c r="AG37" s="463"/>
      <c r="AH37" s="467"/>
      <c r="AI37" s="468"/>
      <c r="AJ37" s="468"/>
      <c r="AK37" s="468"/>
      <c r="AL37" s="468"/>
      <c r="AM37" s="469"/>
      <c r="AN37" s="66"/>
      <c r="AO37" s="441"/>
      <c r="AP37" s="442"/>
      <c r="AQ37" s="442"/>
      <c r="AR37" s="442"/>
      <c r="AS37" s="442"/>
      <c r="AT37" s="443"/>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c r="BY37" s="66"/>
      <c r="BZ37" s="66"/>
      <c r="CA37" s="66"/>
      <c r="CB37" s="66"/>
    </row>
    <row r="38" spans="1:80" x14ac:dyDescent="0.25">
      <c r="A38" s="66"/>
      <c r="B38" s="406"/>
      <c r="C38" s="406"/>
      <c r="D38" s="407"/>
      <c r="E38" s="444" t="s">
        <v>211</v>
      </c>
      <c r="F38" s="445"/>
      <c r="G38" s="445"/>
      <c r="H38" s="445"/>
      <c r="I38" s="446"/>
      <c r="J38" s="488" t="e">
        <f>IF(AND('Mapa riesgos'!#REF!="Muy Baja",'Mapa riesgos'!#REF!="Leve"),CONCATENATE("R",'Mapa riesgos'!#REF!),"")</f>
        <v>#REF!</v>
      </c>
      <c r="K38" s="489"/>
      <c r="L38" s="489" t="e">
        <f>IF(AND('Mapa riesgos'!#REF!="Muy Baja",'Mapa riesgos'!#REF!="Leve"),CONCATENATE("R",'Mapa riesgos'!#REF!),"")</f>
        <v>#REF!</v>
      </c>
      <c r="M38" s="489"/>
      <c r="N38" s="489" t="e">
        <f>IF(AND('Mapa riesgos'!#REF!="Muy Baja",'Mapa riesgos'!#REF!="Leve"),CONCATENATE("R",'Mapa riesgos'!#REF!),"")</f>
        <v>#REF!</v>
      </c>
      <c r="O38" s="490"/>
      <c r="P38" s="488" t="e">
        <f>IF(AND('Mapa riesgos'!#REF!="Muy Baja",'Mapa riesgos'!#REF!="Menor"),CONCATENATE("R",'Mapa riesgos'!#REF!),"")</f>
        <v>#REF!</v>
      </c>
      <c r="Q38" s="489"/>
      <c r="R38" s="489" t="e">
        <f>IF(AND('Mapa riesgos'!#REF!="Muy Baja",'Mapa riesgos'!#REF!="Menor"),CONCATENATE("R",'Mapa riesgos'!#REF!),"")</f>
        <v>#REF!</v>
      </c>
      <c r="S38" s="489"/>
      <c r="T38" s="489" t="e">
        <f>IF(AND('Mapa riesgos'!#REF!="Muy Baja",'Mapa riesgos'!#REF!="Menor"),CONCATENATE("R",'Mapa riesgos'!#REF!),"")</f>
        <v>#REF!</v>
      </c>
      <c r="U38" s="490"/>
      <c r="V38" s="479" t="e">
        <f>IF(AND('Mapa riesgos'!#REF!="Muy Baja",'Mapa riesgos'!#REF!="Moderado"),CONCATENATE("R",'Mapa riesgos'!#REF!),"")</f>
        <v>#REF!</v>
      </c>
      <c r="W38" s="480"/>
      <c r="X38" s="480" t="e">
        <f>IF(AND('Mapa riesgos'!#REF!="Muy Baja",'Mapa riesgos'!#REF!="Moderado"),CONCATENATE("R",'Mapa riesgos'!#REF!),"")</f>
        <v>#REF!</v>
      </c>
      <c r="Y38" s="480"/>
      <c r="Z38" s="480" t="e">
        <f>IF(AND('Mapa riesgos'!#REF!="Muy Baja",'Mapa riesgos'!#REF!="Moderado"),CONCATENATE("R",'Mapa riesgos'!#REF!),"")</f>
        <v>#REF!</v>
      </c>
      <c r="AA38" s="481"/>
      <c r="AB38" s="455" t="e">
        <f>IF(AND('Mapa riesgos'!#REF!="Muy Baja",'Mapa riesgos'!#REF!="Mayor"),CONCATENATE("R",'Mapa riesgos'!#REF!),"")</f>
        <v>#REF!</v>
      </c>
      <c r="AC38" s="456"/>
      <c r="AD38" s="456" t="e">
        <f>IF(AND('Mapa riesgos'!#REF!="Muy Baja",'Mapa riesgos'!#REF!="Mayor"),CONCATENATE("R",'Mapa riesgos'!#REF!),"")</f>
        <v>#REF!</v>
      </c>
      <c r="AE38" s="456"/>
      <c r="AF38" s="456" t="e">
        <f>IF(AND('Mapa riesgos'!#REF!="Muy Baja",'Mapa riesgos'!#REF!="Mayor"),CONCATENATE("R",'Mapa riesgos'!#REF!),"")</f>
        <v>#REF!</v>
      </c>
      <c r="AG38" s="458"/>
      <c r="AH38" s="470" t="e">
        <f>IF(AND('Mapa riesgos'!#REF!="Muy Baja",'Mapa riesgos'!#REF!="Catastrófico"),CONCATENATE("R",'Mapa riesgos'!#REF!),"")</f>
        <v>#REF!</v>
      </c>
      <c r="AI38" s="471"/>
      <c r="AJ38" s="471" t="e">
        <f>IF(AND('Mapa riesgos'!#REF!="Muy Baja",'Mapa riesgos'!#REF!="Catastrófico"),CONCATENATE("R",'Mapa riesgos'!#REF!),"")</f>
        <v>#REF!</v>
      </c>
      <c r="AK38" s="471"/>
      <c r="AL38" s="471" t="e">
        <f>IF(AND('Mapa riesgos'!#REF!="Muy Baja",'Mapa riesgos'!#REF!="Catastrófico"),CONCATENATE("R",'Mapa riesgos'!#REF!),"")</f>
        <v>#REF!</v>
      </c>
      <c r="AM38" s="472"/>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c r="BY38" s="66"/>
      <c r="BZ38" s="66"/>
      <c r="CA38" s="66"/>
      <c r="CB38" s="66"/>
    </row>
    <row r="39" spans="1:80" x14ac:dyDescent="0.25">
      <c r="A39" s="66"/>
      <c r="B39" s="406"/>
      <c r="C39" s="406"/>
      <c r="D39" s="407"/>
      <c r="E39" s="447"/>
      <c r="F39" s="448"/>
      <c r="G39" s="448"/>
      <c r="H39" s="448"/>
      <c r="I39" s="449"/>
      <c r="J39" s="484"/>
      <c r="K39" s="482"/>
      <c r="L39" s="482"/>
      <c r="M39" s="482"/>
      <c r="N39" s="482"/>
      <c r="O39" s="483"/>
      <c r="P39" s="484"/>
      <c r="Q39" s="482"/>
      <c r="R39" s="482"/>
      <c r="S39" s="482"/>
      <c r="T39" s="482"/>
      <c r="U39" s="483"/>
      <c r="V39" s="473"/>
      <c r="W39" s="474"/>
      <c r="X39" s="474"/>
      <c r="Y39" s="474"/>
      <c r="Z39" s="474"/>
      <c r="AA39" s="475"/>
      <c r="AB39" s="457"/>
      <c r="AC39" s="453"/>
      <c r="AD39" s="453"/>
      <c r="AE39" s="453"/>
      <c r="AF39" s="453"/>
      <c r="AG39" s="454"/>
      <c r="AH39" s="464"/>
      <c r="AI39" s="465"/>
      <c r="AJ39" s="465"/>
      <c r="AK39" s="465"/>
      <c r="AL39" s="465"/>
      <c r="AM39" s="466"/>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c r="BY39" s="66"/>
      <c r="BZ39" s="66"/>
      <c r="CA39" s="66"/>
      <c r="CB39" s="66"/>
    </row>
    <row r="40" spans="1:80" x14ac:dyDescent="0.25">
      <c r="A40" s="66"/>
      <c r="B40" s="406"/>
      <c r="C40" s="406"/>
      <c r="D40" s="407"/>
      <c r="E40" s="447"/>
      <c r="F40" s="448"/>
      <c r="G40" s="448"/>
      <c r="H40" s="448"/>
      <c r="I40" s="449"/>
      <c r="J40" s="484" t="str">
        <f>IF(AND('Mapa riesgos'!$M$17="Muy Baja",'Mapa riesgos'!$Q$17="Leve"),CONCATENATE("R",'Mapa riesgos'!$A$17),"")</f>
        <v/>
      </c>
      <c r="K40" s="482"/>
      <c r="L40" s="482" t="e">
        <f>IF(AND('Mapa riesgos'!#REF!="Muy Baja",'Mapa riesgos'!#REF!="Leve"),CONCATENATE("R",'Mapa riesgos'!#REF!),"")</f>
        <v>#REF!</v>
      </c>
      <c r="M40" s="482"/>
      <c r="N40" s="482" t="e">
        <f>IF(AND('Mapa riesgos'!#REF!="Muy Baja",'Mapa riesgos'!#REF!="Leve"),CONCATENATE("R",'Mapa riesgos'!#REF!),"")</f>
        <v>#REF!</v>
      </c>
      <c r="O40" s="483"/>
      <c r="P40" s="484" t="str">
        <f>IF(AND('Mapa riesgos'!$M$17="Muy Baja",'Mapa riesgos'!$Q$17="Menor"),CONCATENATE("R",'Mapa riesgos'!$A$17),"")</f>
        <v/>
      </c>
      <c r="Q40" s="482"/>
      <c r="R40" s="482" t="e">
        <f>IF(AND('Mapa riesgos'!#REF!="Muy Baja",'Mapa riesgos'!#REF!="Menor"),CONCATENATE("R",'Mapa riesgos'!#REF!),"")</f>
        <v>#REF!</v>
      </c>
      <c r="S40" s="482"/>
      <c r="T40" s="482" t="e">
        <f>IF(AND('Mapa riesgos'!#REF!="Muy Baja",'Mapa riesgos'!#REF!="Menor"),CONCATENATE("R",'Mapa riesgos'!#REF!),"")</f>
        <v>#REF!</v>
      </c>
      <c r="U40" s="483"/>
      <c r="V40" s="473" t="str">
        <f>IF(AND('Mapa riesgos'!$M$17="Muy Baja",'Mapa riesgos'!$Q$17="Moderado"),CONCATENATE("R",'Mapa riesgos'!$A$17),"")</f>
        <v/>
      </c>
      <c r="W40" s="474"/>
      <c r="X40" s="474" t="e">
        <f>IF(AND('Mapa riesgos'!#REF!="Muy Baja",'Mapa riesgos'!#REF!="Moderado"),CONCATENATE("R",'Mapa riesgos'!#REF!),"")</f>
        <v>#REF!</v>
      </c>
      <c r="Y40" s="474"/>
      <c r="Z40" s="474" t="e">
        <f>IF(AND('Mapa riesgos'!#REF!="Muy Baja",'Mapa riesgos'!#REF!="Moderado"),CONCATENATE("R",'Mapa riesgos'!#REF!),"")</f>
        <v>#REF!</v>
      </c>
      <c r="AA40" s="475"/>
      <c r="AB40" s="457" t="str">
        <f>IF(AND('Mapa riesgos'!$M$17="Muy Baja",'Mapa riesgos'!$Q$17="Mayor"),CONCATENATE("R",'Mapa riesgos'!$A$17),"")</f>
        <v/>
      </c>
      <c r="AC40" s="453"/>
      <c r="AD40" s="453" t="e">
        <f>IF(AND('Mapa riesgos'!#REF!="Muy Baja",'Mapa riesgos'!#REF!="Mayor"),CONCATENATE("R",'Mapa riesgos'!#REF!),"")</f>
        <v>#REF!</v>
      </c>
      <c r="AE40" s="453"/>
      <c r="AF40" s="453" t="e">
        <f>IF(AND('Mapa riesgos'!#REF!="Muy Baja",'Mapa riesgos'!#REF!="Mayor"),CONCATENATE("R",'Mapa riesgos'!#REF!),"")</f>
        <v>#REF!</v>
      </c>
      <c r="AG40" s="454"/>
      <c r="AH40" s="464" t="str">
        <f>IF(AND('Mapa riesgos'!$M$17="Muy Baja",'Mapa riesgos'!$Q$17="Catastrófico"),CONCATENATE("R",'Mapa riesgos'!$A$17),"")</f>
        <v/>
      </c>
      <c r="AI40" s="465"/>
      <c r="AJ40" s="465" t="e">
        <f>IF(AND('Mapa riesgos'!#REF!="Muy Baja",'Mapa riesgos'!#REF!="Catastrófico"),CONCATENATE("R",'Mapa riesgos'!#REF!),"")</f>
        <v>#REF!</v>
      </c>
      <c r="AK40" s="465"/>
      <c r="AL40" s="465" t="e">
        <f>IF(AND('Mapa riesgos'!#REF!="Muy Baja",'Mapa riesgos'!#REF!="Catastrófico"),CONCATENATE("R",'Mapa riesgos'!#REF!),"")</f>
        <v>#REF!</v>
      </c>
      <c r="AM40" s="46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row>
    <row r="41" spans="1:80" x14ac:dyDescent="0.25">
      <c r="A41" s="66"/>
      <c r="B41" s="406"/>
      <c r="C41" s="406"/>
      <c r="D41" s="407"/>
      <c r="E41" s="447"/>
      <c r="F41" s="448"/>
      <c r="G41" s="448"/>
      <c r="H41" s="448"/>
      <c r="I41" s="449"/>
      <c r="J41" s="484"/>
      <c r="K41" s="482"/>
      <c r="L41" s="482"/>
      <c r="M41" s="482"/>
      <c r="N41" s="482"/>
      <c r="O41" s="483"/>
      <c r="P41" s="484"/>
      <c r="Q41" s="482"/>
      <c r="R41" s="482"/>
      <c r="S41" s="482"/>
      <c r="T41" s="482"/>
      <c r="U41" s="483"/>
      <c r="V41" s="473"/>
      <c r="W41" s="474"/>
      <c r="X41" s="474"/>
      <c r="Y41" s="474"/>
      <c r="Z41" s="474"/>
      <c r="AA41" s="475"/>
      <c r="AB41" s="457"/>
      <c r="AC41" s="453"/>
      <c r="AD41" s="453"/>
      <c r="AE41" s="453"/>
      <c r="AF41" s="453"/>
      <c r="AG41" s="454"/>
      <c r="AH41" s="464"/>
      <c r="AI41" s="465"/>
      <c r="AJ41" s="465"/>
      <c r="AK41" s="465"/>
      <c r="AL41" s="465"/>
      <c r="AM41" s="466"/>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c r="BY41" s="66"/>
      <c r="BZ41" s="66"/>
      <c r="CA41" s="66"/>
      <c r="CB41" s="66"/>
    </row>
    <row r="42" spans="1:80" x14ac:dyDescent="0.25">
      <c r="A42" s="66"/>
      <c r="B42" s="406"/>
      <c r="C42" s="406"/>
      <c r="D42" s="407"/>
      <c r="E42" s="447"/>
      <c r="F42" s="448"/>
      <c r="G42" s="448"/>
      <c r="H42" s="448"/>
      <c r="I42" s="449"/>
      <c r="J42" s="484" t="e">
        <f>IF(AND('Mapa riesgos'!#REF!="Muy Baja",'Mapa riesgos'!#REF!="Leve"),CONCATENATE("R",'Mapa riesgos'!#REF!),"")</f>
        <v>#REF!</v>
      </c>
      <c r="K42" s="482"/>
      <c r="L42" s="482" t="e">
        <f>IF(AND('Mapa riesgos'!#REF!="Muy Baja",'Mapa riesgos'!#REF!="Leve"),CONCATENATE("R",'Mapa riesgos'!#REF!),"")</f>
        <v>#REF!</v>
      </c>
      <c r="M42" s="482"/>
      <c r="N42" s="482" t="e">
        <f>IF(AND('Mapa riesgos'!#REF!="Muy Baja",'Mapa riesgos'!#REF!="Leve"),CONCATENATE("R",'Mapa riesgos'!#REF!),"")</f>
        <v>#REF!</v>
      </c>
      <c r="O42" s="483"/>
      <c r="P42" s="484" t="e">
        <f>IF(AND('Mapa riesgos'!#REF!="Muy Baja",'Mapa riesgos'!#REF!="Menor"),CONCATENATE("R",'Mapa riesgos'!#REF!),"")</f>
        <v>#REF!</v>
      </c>
      <c r="Q42" s="482"/>
      <c r="R42" s="482" t="e">
        <f>IF(AND('Mapa riesgos'!#REF!="Muy Baja",'Mapa riesgos'!#REF!="Menor"),CONCATENATE("R",'Mapa riesgos'!#REF!),"")</f>
        <v>#REF!</v>
      </c>
      <c r="S42" s="482"/>
      <c r="T42" s="482" t="e">
        <f>IF(AND('Mapa riesgos'!#REF!="Muy Baja",'Mapa riesgos'!#REF!="Menor"),CONCATENATE("R",'Mapa riesgos'!#REF!),"")</f>
        <v>#REF!</v>
      </c>
      <c r="U42" s="483"/>
      <c r="V42" s="473" t="e">
        <f>IF(AND('Mapa riesgos'!#REF!="Muy Baja",'Mapa riesgos'!#REF!="Moderado"),CONCATENATE("R",'Mapa riesgos'!#REF!),"")</f>
        <v>#REF!</v>
      </c>
      <c r="W42" s="474"/>
      <c r="X42" s="474" t="e">
        <f>IF(AND('Mapa riesgos'!#REF!="Muy Baja",'Mapa riesgos'!#REF!="Moderado"),CONCATENATE("R",'Mapa riesgos'!#REF!),"")</f>
        <v>#REF!</v>
      </c>
      <c r="Y42" s="474"/>
      <c r="Z42" s="474" t="e">
        <f>IF(AND('Mapa riesgos'!#REF!="Muy Baja",'Mapa riesgos'!#REF!="Moderado"),CONCATENATE("R",'Mapa riesgos'!#REF!),"")</f>
        <v>#REF!</v>
      </c>
      <c r="AA42" s="475"/>
      <c r="AB42" s="457" t="e">
        <f>IF(AND('Mapa riesgos'!#REF!="Muy Baja",'Mapa riesgos'!#REF!="Mayor"),CONCATENATE("R",'Mapa riesgos'!#REF!),"")</f>
        <v>#REF!</v>
      </c>
      <c r="AC42" s="453"/>
      <c r="AD42" s="453" t="e">
        <f>IF(AND('Mapa riesgos'!#REF!="Muy Baja",'Mapa riesgos'!#REF!="Mayor"),CONCATENATE("R",'Mapa riesgos'!#REF!),"")</f>
        <v>#REF!</v>
      </c>
      <c r="AE42" s="453"/>
      <c r="AF42" s="453" t="e">
        <f>IF(AND('Mapa riesgos'!#REF!="Muy Baja",'Mapa riesgos'!#REF!="Mayor"),CONCATENATE("R",'Mapa riesgos'!#REF!),"")</f>
        <v>#REF!</v>
      </c>
      <c r="AG42" s="454"/>
      <c r="AH42" s="464" t="e">
        <f>IF(AND('Mapa riesgos'!#REF!="Muy Baja",'Mapa riesgos'!#REF!="Catastrófico"),CONCATENATE("R",'Mapa riesgos'!#REF!),"")</f>
        <v>#REF!</v>
      </c>
      <c r="AI42" s="465"/>
      <c r="AJ42" s="465" t="e">
        <f>IF(AND('Mapa riesgos'!#REF!="Muy Baja",'Mapa riesgos'!#REF!="Catastrófico"),CONCATENATE("R",'Mapa riesgos'!#REF!),"")</f>
        <v>#REF!</v>
      </c>
      <c r="AK42" s="465"/>
      <c r="AL42" s="465" t="e">
        <f>IF(AND('Mapa riesgos'!#REF!="Muy Baja",'Mapa riesgos'!#REF!="Catastrófico"),CONCATENATE("R",'Mapa riesgos'!#REF!),"")</f>
        <v>#REF!</v>
      </c>
      <c r="AM42" s="466"/>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c r="BY42" s="66"/>
      <c r="BZ42" s="66"/>
      <c r="CA42" s="66"/>
      <c r="CB42" s="66"/>
    </row>
    <row r="43" spans="1:80" x14ac:dyDescent="0.25">
      <c r="A43" s="66"/>
      <c r="B43" s="406"/>
      <c r="C43" s="406"/>
      <c r="D43" s="407"/>
      <c r="E43" s="447"/>
      <c r="F43" s="448"/>
      <c r="G43" s="448"/>
      <c r="H43" s="448"/>
      <c r="I43" s="449"/>
      <c r="J43" s="484"/>
      <c r="K43" s="482"/>
      <c r="L43" s="482"/>
      <c r="M43" s="482"/>
      <c r="N43" s="482"/>
      <c r="O43" s="483"/>
      <c r="P43" s="484"/>
      <c r="Q43" s="482"/>
      <c r="R43" s="482"/>
      <c r="S43" s="482"/>
      <c r="T43" s="482"/>
      <c r="U43" s="483"/>
      <c r="V43" s="473"/>
      <c r="W43" s="474"/>
      <c r="X43" s="474"/>
      <c r="Y43" s="474"/>
      <c r="Z43" s="474"/>
      <c r="AA43" s="475"/>
      <c r="AB43" s="457"/>
      <c r="AC43" s="453"/>
      <c r="AD43" s="453"/>
      <c r="AE43" s="453"/>
      <c r="AF43" s="453"/>
      <c r="AG43" s="454"/>
      <c r="AH43" s="464"/>
      <c r="AI43" s="465"/>
      <c r="AJ43" s="465"/>
      <c r="AK43" s="465"/>
      <c r="AL43" s="465"/>
      <c r="AM43" s="466"/>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c r="BY43" s="66"/>
      <c r="BZ43" s="66"/>
      <c r="CA43" s="66"/>
      <c r="CB43" s="66"/>
    </row>
    <row r="44" spans="1:80" x14ac:dyDescent="0.25">
      <c r="A44" s="66"/>
      <c r="B44" s="406"/>
      <c r="C44" s="406"/>
      <c r="D44" s="407"/>
      <c r="E44" s="447"/>
      <c r="F44" s="448"/>
      <c r="G44" s="448"/>
      <c r="H44" s="448"/>
      <c r="I44" s="449"/>
      <c r="J44" s="484" t="e">
        <f>IF(AND('Mapa riesgos'!#REF!="Muy Baja",'Mapa riesgos'!#REF!="Leve"),CONCATENATE("R",'Mapa riesgos'!#REF!),"")</f>
        <v>#REF!</v>
      </c>
      <c r="K44" s="482"/>
      <c r="L44" s="482" t="e">
        <f>IF(AND('Mapa riesgos'!#REF!="Muy Baja",'Mapa riesgos'!#REF!="Leve"),CONCATENATE("R",'Mapa riesgos'!#REF!),"")</f>
        <v>#REF!</v>
      </c>
      <c r="M44" s="482"/>
      <c r="N44" s="482" t="str">
        <f>IF(AND('Mapa riesgos'!$M$26="Muy Baja",'Mapa riesgos'!$Q$26="Leve"),CONCATENATE("R",'Mapa riesgos'!$A$26),"")</f>
        <v/>
      </c>
      <c r="O44" s="483"/>
      <c r="P44" s="484" t="e">
        <f>IF(AND('Mapa riesgos'!#REF!="Muy Baja",'Mapa riesgos'!#REF!="Menor"),CONCATENATE("R",'Mapa riesgos'!#REF!),"")</f>
        <v>#REF!</v>
      </c>
      <c r="Q44" s="482"/>
      <c r="R44" s="482" t="e">
        <f>IF(AND('Mapa riesgos'!#REF!="Muy Baja",'Mapa riesgos'!#REF!="Menor"),CONCATENATE("R",'Mapa riesgos'!#REF!),"")</f>
        <v>#REF!</v>
      </c>
      <c r="S44" s="482"/>
      <c r="T44" s="482" t="str">
        <f>IF(AND('Mapa riesgos'!$M$26="Muy Baja",'Mapa riesgos'!$Q$26="Menor"),CONCATENATE("R",'Mapa riesgos'!$A$26),"")</f>
        <v/>
      </c>
      <c r="U44" s="483"/>
      <c r="V44" s="473" t="e">
        <f>IF(AND('Mapa riesgos'!#REF!="Muy Baja",'Mapa riesgos'!#REF!="Moderado"),CONCATENATE("R",'Mapa riesgos'!#REF!),"")</f>
        <v>#REF!</v>
      </c>
      <c r="W44" s="474"/>
      <c r="X44" s="474" t="e">
        <f>IF(AND('Mapa riesgos'!#REF!="Muy Baja",'Mapa riesgos'!#REF!="Moderado"),CONCATENATE("R",'Mapa riesgos'!#REF!),"")</f>
        <v>#REF!</v>
      </c>
      <c r="Y44" s="474"/>
      <c r="Z44" s="474" t="str">
        <f>IF(AND('Mapa riesgos'!$M$26="Muy Baja",'Mapa riesgos'!$Q$26="Moderado"),CONCATENATE("R",'Mapa riesgos'!$A$26),"")</f>
        <v/>
      </c>
      <c r="AA44" s="475"/>
      <c r="AB44" s="457" t="e">
        <f>IF(AND('Mapa riesgos'!#REF!="Muy Baja",'Mapa riesgos'!#REF!="Mayor"),CONCATENATE("R",'Mapa riesgos'!#REF!),"")</f>
        <v>#REF!</v>
      </c>
      <c r="AC44" s="453"/>
      <c r="AD44" s="453" t="e">
        <f>IF(AND('Mapa riesgos'!#REF!="Muy Baja",'Mapa riesgos'!#REF!="Mayor"),CONCATENATE("R",'Mapa riesgos'!#REF!),"")</f>
        <v>#REF!</v>
      </c>
      <c r="AE44" s="453"/>
      <c r="AF44" s="453" t="str">
        <f>IF(AND('Mapa riesgos'!$M$26="Muy Baja",'Mapa riesgos'!$Q$26="Mayor"),CONCATENATE("R",'Mapa riesgos'!$A$26),"")</f>
        <v/>
      </c>
      <c r="AG44" s="454"/>
      <c r="AH44" s="464" t="e">
        <f>IF(AND('Mapa riesgos'!#REF!="Muy Baja",'Mapa riesgos'!#REF!="Catastrófico"),CONCATENATE("R",'Mapa riesgos'!#REF!),"")</f>
        <v>#REF!</v>
      </c>
      <c r="AI44" s="465"/>
      <c r="AJ44" s="465" t="e">
        <f>IF(AND('Mapa riesgos'!#REF!="Muy Baja",'Mapa riesgos'!#REF!="Catastrófico"),CONCATENATE("R",'Mapa riesgos'!#REF!),"")</f>
        <v>#REF!</v>
      </c>
      <c r="AK44" s="465"/>
      <c r="AL44" s="465" t="str">
        <f>IF(AND('Mapa riesgos'!$M$26="Muy Baja",'Mapa riesgos'!$Q$26="Catastrófico"),CONCATENATE("R",'Mapa riesgos'!$A$26),"")</f>
        <v/>
      </c>
      <c r="AM44" s="466"/>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c r="BY44" s="66"/>
      <c r="BZ44" s="66"/>
      <c r="CA44" s="66"/>
      <c r="CB44" s="66"/>
    </row>
    <row r="45" spans="1:80" ht="15.75" thickBot="1" x14ac:dyDescent="0.3">
      <c r="A45" s="66"/>
      <c r="B45" s="406"/>
      <c r="C45" s="406"/>
      <c r="D45" s="407"/>
      <c r="E45" s="450"/>
      <c r="F45" s="451"/>
      <c r="G45" s="451"/>
      <c r="H45" s="451"/>
      <c r="I45" s="452"/>
      <c r="J45" s="485"/>
      <c r="K45" s="486"/>
      <c r="L45" s="486"/>
      <c r="M45" s="486"/>
      <c r="N45" s="486"/>
      <c r="O45" s="487"/>
      <c r="P45" s="485"/>
      <c r="Q45" s="486"/>
      <c r="R45" s="486"/>
      <c r="S45" s="486"/>
      <c r="T45" s="486"/>
      <c r="U45" s="487"/>
      <c r="V45" s="476"/>
      <c r="W45" s="477"/>
      <c r="X45" s="477"/>
      <c r="Y45" s="477"/>
      <c r="Z45" s="477"/>
      <c r="AA45" s="478"/>
      <c r="AB45" s="461"/>
      <c r="AC45" s="462"/>
      <c r="AD45" s="462"/>
      <c r="AE45" s="462"/>
      <c r="AF45" s="462"/>
      <c r="AG45" s="463"/>
      <c r="AH45" s="467"/>
      <c r="AI45" s="468"/>
      <c r="AJ45" s="468"/>
      <c r="AK45" s="468"/>
      <c r="AL45" s="468"/>
      <c r="AM45" s="469"/>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c r="BW45" s="66"/>
      <c r="BX45" s="66"/>
      <c r="BY45" s="66"/>
      <c r="BZ45" s="66"/>
      <c r="CA45" s="66"/>
      <c r="CB45" s="66"/>
    </row>
    <row r="46" spans="1:80" x14ac:dyDescent="0.25">
      <c r="A46" s="66"/>
      <c r="B46" s="66"/>
      <c r="C46" s="66"/>
      <c r="D46" s="66"/>
      <c r="E46" s="66"/>
      <c r="F46" s="66"/>
      <c r="G46" s="66"/>
      <c r="H46" s="66"/>
      <c r="I46" s="66"/>
      <c r="J46" s="444" t="s">
        <v>212</v>
      </c>
      <c r="K46" s="445"/>
      <c r="L46" s="445"/>
      <c r="M46" s="445"/>
      <c r="N46" s="445"/>
      <c r="O46" s="446"/>
      <c r="P46" s="444" t="s">
        <v>213</v>
      </c>
      <c r="Q46" s="445"/>
      <c r="R46" s="445"/>
      <c r="S46" s="445"/>
      <c r="T46" s="445"/>
      <c r="U46" s="446"/>
      <c r="V46" s="444" t="s">
        <v>214</v>
      </c>
      <c r="W46" s="445"/>
      <c r="X46" s="445"/>
      <c r="Y46" s="445"/>
      <c r="Z46" s="445"/>
      <c r="AA46" s="446"/>
      <c r="AB46" s="444" t="s">
        <v>215</v>
      </c>
      <c r="AC46" s="460"/>
      <c r="AD46" s="445"/>
      <c r="AE46" s="445"/>
      <c r="AF46" s="445"/>
      <c r="AG46" s="446"/>
      <c r="AH46" s="444" t="s">
        <v>216</v>
      </c>
      <c r="AI46" s="445"/>
      <c r="AJ46" s="445"/>
      <c r="AK46" s="445"/>
      <c r="AL46" s="445"/>
      <c r="AM46" s="446"/>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x14ac:dyDescent="0.25">
      <c r="A47" s="66"/>
      <c r="B47" s="66"/>
      <c r="C47" s="66"/>
      <c r="D47" s="66"/>
      <c r="E47" s="66"/>
      <c r="F47" s="66"/>
      <c r="G47" s="66"/>
      <c r="H47" s="66"/>
      <c r="I47" s="66"/>
      <c r="J47" s="447"/>
      <c r="K47" s="448"/>
      <c r="L47" s="448"/>
      <c r="M47" s="448"/>
      <c r="N47" s="448"/>
      <c r="O47" s="449"/>
      <c r="P47" s="447"/>
      <c r="Q47" s="448"/>
      <c r="R47" s="448"/>
      <c r="S47" s="448"/>
      <c r="T47" s="448"/>
      <c r="U47" s="449"/>
      <c r="V47" s="447"/>
      <c r="W47" s="448"/>
      <c r="X47" s="448"/>
      <c r="Y47" s="448"/>
      <c r="Z47" s="448"/>
      <c r="AA47" s="449"/>
      <c r="AB47" s="447"/>
      <c r="AC47" s="448"/>
      <c r="AD47" s="448"/>
      <c r="AE47" s="448"/>
      <c r="AF47" s="448"/>
      <c r="AG47" s="449"/>
      <c r="AH47" s="447"/>
      <c r="AI47" s="448"/>
      <c r="AJ47" s="448"/>
      <c r="AK47" s="448"/>
      <c r="AL47" s="448"/>
      <c r="AM47" s="449"/>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x14ac:dyDescent="0.25">
      <c r="A48" s="66"/>
      <c r="B48" s="66"/>
      <c r="C48" s="66"/>
      <c r="D48" s="66"/>
      <c r="E48" s="66"/>
      <c r="F48" s="66"/>
      <c r="G48" s="66"/>
      <c r="H48" s="66"/>
      <c r="I48" s="66"/>
      <c r="J48" s="447"/>
      <c r="K48" s="448"/>
      <c r="L48" s="448"/>
      <c r="M48" s="448"/>
      <c r="N48" s="448"/>
      <c r="O48" s="449"/>
      <c r="P48" s="447"/>
      <c r="Q48" s="448"/>
      <c r="R48" s="448"/>
      <c r="S48" s="448"/>
      <c r="T48" s="448"/>
      <c r="U48" s="449"/>
      <c r="V48" s="447"/>
      <c r="W48" s="448"/>
      <c r="X48" s="448"/>
      <c r="Y48" s="448"/>
      <c r="Z48" s="448"/>
      <c r="AA48" s="449"/>
      <c r="AB48" s="447"/>
      <c r="AC48" s="448"/>
      <c r="AD48" s="448"/>
      <c r="AE48" s="448"/>
      <c r="AF48" s="448"/>
      <c r="AG48" s="449"/>
      <c r="AH48" s="447"/>
      <c r="AI48" s="448"/>
      <c r="AJ48" s="448"/>
      <c r="AK48" s="448"/>
      <c r="AL48" s="448"/>
      <c r="AM48" s="449"/>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x14ac:dyDescent="0.25">
      <c r="A49" s="66"/>
      <c r="B49" s="66"/>
      <c r="C49" s="66"/>
      <c r="D49" s="66"/>
      <c r="E49" s="66"/>
      <c r="F49" s="66"/>
      <c r="G49" s="66"/>
      <c r="H49" s="66"/>
      <c r="I49" s="66"/>
      <c r="J49" s="447"/>
      <c r="K49" s="448"/>
      <c r="L49" s="448"/>
      <c r="M49" s="448"/>
      <c r="N49" s="448"/>
      <c r="O49" s="449"/>
      <c r="P49" s="447"/>
      <c r="Q49" s="448"/>
      <c r="R49" s="448"/>
      <c r="S49" s="448"/>
      <c r="T49" s="448"/>
      <c r="U49" s="449"/>
      <c r="V49" s="447"/>
      <c r="W49" s="448"/>
      <c r="X49" s="448"/>
      <c r="Y49" s="448"/>
      <c r="Z49" s="448"/>
      <c r="AA49" s="449"/>
      <c r="AB49" s="447"/>
      <c r="AC49" s="448"/>
      <c r="AD49" s="448"/>
      <c r="AE49" s="448"/>
      <c r="AF49" s="448"/>
      <c r="AG49" s="449"/>
      <c r="AH49" s="447"/>
      <c r="AI49" s="448"/>
      <c r="AJ49" s="448"/>
      <c r="AK49" s="448"/>
      <c r="AL49" s="448"/>
      <c r="AM49" s="449"/>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x14ac:dyDescent="0.25">
      <c r="A50" s="66"/>
      <c r="B50" s="66"/>
      <c r="C50" s="66"/>
      <c r="D50" s="66"/>
      <c r="E50" s="66"/>
      <c r="F50" s="66"/>
      <c r="G50" s="66"/>
      <c r="H50" s="66"/>
      <c r="I50" s="66"/>
      <c r="J50" s="447"/>
      <c r="K50" s="448"/>
      <c r="L50" s="448"/>
      <c r="M50" s="448"/>
      <c r="N50" s="448"/>
      <c r="O50" s="449"/>
      <c r="P50" s="447"/>
      <c r="Q50" s="448"/>
      <c r="R50" s="448"/>
      <c r="S50" s="448"/>
      <c r="T50" s="448"/>
      <c r="U50" s="449"/>
      <c r="V50" s="447"/>
      <c r="W50" s="448"/>
      <c r="X50" s="448"/>
      <c r="Y50" s="448"/>
      <c r="Z50" s="448"/>
      <c r="AA50" s="449"/>
      <c r="AB50" s="447"/>
      <c r="AC50" s="448"/>
      <c r="AD50" s="448"/>
      <c r="AE50" s="448"/>
      <c r="AF50" s="448"/>
      <c r="AG50" s="449"/>
      <c r="AH50" s="447"/>
      <c r="AI50" s="448"/>
      <c r="AJ50" s="448"/>
      <c r="AK50" s="448"/>
      <c r="AL50" s="448"/>
      <c r="AM50" s="449"/>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75" thickBot="1" x14ac:dyDescent="0.3">
      <c r="A51" s="66"/>
      <c r="B51" s="66"/>
      <c r="C51" s="66"/>
      <c r="D51" s="66"/>
      <c r="E51" s="66"/>
      <c r="F51" s="66"/>
      <c r="G51" s="66"/>
      <c r="H51" s="66"/>
      <c r="I51" s="66"/>
      <c r="J51" s="450"/>
      <c r="K51" s="451"/>
      <c r="L51" s="451"/>
      <c r="M51" s="451"/>
      <c r="N51" s="451"/>
      <c r="O51" s="452"/>
      <c r="P51" s="450"/>
      <c r="Q51" s="451"/>
      <c r="R51" s="451"/>
      <c r="S51" s="451"/>
      <c r="T51" s="451"/>
      <c r="U51" s="452"/>
      <c r="V51" s="450"/>
      <c r="W51" s="451"/>
      <c r="X51" s="451"/>
      <c r="Y51" s="451"/>
      <c r="Z51" s="451"/>
      <c r="AA51" s="452"/>
      <c r="AB51" s="450"/>
      <c r="AC51" s="451"/>
      <c r="AD51" s="451"/>
      <c r="AE51" s="451"/>
      <c r="AF51" s="451"/>
      <c r="AG51" s="452"/>
      <c r="AH51" s="450"/>
      <c r="AI51" s="451"/>
      <c r="AJ51" s="451"/>
      <c r="AK51" s="451"/>
      <c r="AL51" s="451"/>
      <c r="AM51" s="452"/>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x14ac:dyDescent="0.25">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x14ac:dyDescent="0.25">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x14ac:dyDescent="0.25">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66"/>
      <c r="BY62" s="66"/>
      <c r="BZ62" s="66"/>
      <c r="CA62" s="66"/>
      <c r="CB62" s="66"/>
    </row>
    <row r="63" spans="1:80" x14ac:dyDescent="0.25">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c r="BM63" s="66"/>
      <c r="BN63" s="66"/>
      <c r="BO63" s="66"/>
      <c r="BP63" s="66"/>
      <c r="BQ63" s="66"/>
      <c r="BR63" s="66"/>
      <c r="BS63" s="66"/>
      <c r="BT63" s="66"/>
      <c r="BU63" s="66"/>
      <c r="BV63" s="66"/>
      <c r="BW63" s="66"/>
      <c r="BX63" s="66"/>
      <c r="BY63" s="66"/>
      <c r="BZ63" s="66"/>
      <c r="CA63" s="66"/>
      <c r="CB63" s="66"/>
    </row>
    <row r="64" spans="1:80" x14ac:dyDescent="0.25">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6"/>
      <c r="BP64" s="66"/>
      <c r="BQ64" s="66"/>
      <c r="BR64" s="66"/>
      <c r="BS64" s="66"/>
      <c r="BT64" s="66"/>
      <c r="BU64" s="66"/>
      <c r="BV64" s="66"/>
      <c r="BW64" s="66"/>
      <c r="BX64" s="66"/>
      <c r="BY64" s="66"/>
      <c r="BZ64" s="66"/>
      <c r="CA64" s="66"/>
      <c r="CB64" s="66"/>
    </row>
    <row r="65" spans="1:8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c r="BI65" s="66"/>
      <c r="BJ65" s="66"/>
      <c r="BK65" s="66"/>
      <c r="BL65" s="66"/>
      <c r="BM65" s="66"/>
      <c r="BN65" s="66"/>
      <c r="BO65" s="66"/>
      <c r="BP65" s="66"/>
      <c r="BQ65" s="66"/>
      <c r="BR65" s="66"/>
      <c r="BS65" s="66"/>
      <c r="BT65" s="66"/>
      <c r="BU65" s="66"/>
      <c r="BV65" s="66"/>
      <c r="BW65" s="66"/>
      <c r="BX65" s="66"/>
      <c r="BY65" s="66"/>
      <c r="BZ65" s="66"/>
      <c r="CA65" s="66"/>
      <c r="CB65" s="66"/>
    </row>
    <row r="66" spans="1:8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c r="BP66" s="66"/>
      <c r="BQ66" s="66"/>
      <c r="BR66" s="66"/>
      <c r="BS66" s="66"/>
      <c r="BT66" s="66"/>
      <c r="BU66" s="66"/>
      <c r="BV66" s="66"/>
      <c r="BW66" s="66"/>
      <c r="BX66" s="66"/>
      <c r="BY66" s="66"/>
      <c r="BZ66" s="66"/>
      <c r="CA66" s="66"/>
      <c r="CB66" s="66"/>
    </row>
    <row r="67" spans="1:8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c r="BM67" s="66"/>
      <c r="BN67" s="66"/>
      <c r="BO67" s="66"/>
      <c r="BP67" s="66"/>
      <c r="BQ67" s="66"/>
      <c r="BR67" s="66"/>
      <c r="BS67" s="66"/>
      <c r="BT67" s="66"/>
      <c r="BU67" s="66"/>
      <c r="BV67" s="66"/>
      <c r="BW67" s="66"/>
      <c r="BX67" s="66"/>
      <c r="BY67" s="66"/>
      <c r="BZ67" s="66"/>
      <c r="CA67" s="66"/>
      <c r="CB67" s="66"/>
    </row>
    <row r="68" spans="1:8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row>
    <row r="69" spans="1:8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c r="BK69" s="66"/>
      <c r="BL69" s="66"/>
      <c r="BM69" s="66"/>
      <c r="BN69" s="66"/>
      <c r="BO69" s="66"/>
      <c r="BP69" s="66"/>
      <c r="BQ69" s="66"/>
      <c r="BR69" s="66"/>
      <c r="BS69" s="66"/>
      <c r="BT69" s="66"/>
      <c r="BU69" s="66"/>
      <c r="BV69" s="66"/>
      <c r="BW69" s="66"/>
      <c r="BX69" s="66"/>
      <c r="BY69" s="66"/>
      <c r="BZ69" s="66"/>
      <c r="CA69" s="66"/>
      <c r="CB69" s="66"/>
    </row>
    <row r="70" spans="1:8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c r="BM70" s="66"/>
      <c r="BN70" s="66"/>
      <c r="BO70" s="66"/>
      <c r="BP70" s="66"/>
      <c r="BQ70" s="66"/>
      <c r="BR70" s="66"/>
      <c r="BS70" s="66"/>
      <c r="BT70" s="66"/>
      <c r="BU70" s="66"/>
      <c r="BV70" s="66"/>
      <c r="BW70" s="66"/>
      <c r="BX70" s="66"/>
      <c r="BY70" s="66"/>
      <c r="BZ70" s="66"/>
      <c r="CA70" s="66"/>
      <c r="CB70" s="66"/>
    </row>
    <row r="71" spans="1:8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c r="BM71" s="66"/>
      <c r="BN71" s="66"/>
      <c r="BO71" s="66"/>
      <c r="BP71" s="66"/>
      <c r="BQ71" s="66"/>
      <c r="BR71" s="66"/>
      <c r="BS71" s="66"/>
      <c r="BT71" s="66"/>
      <c r="BU71" s="66"/>
      <c r="BV71" s="66"/>
      <c r="BW71" s="66"/>
      <c r="BX71" s="66"/>
      <c r="BY71" s="66"/>
      <c r="BZ71" s="66"/>
      <c r="CA71" s="66"/>
      <c r="CB71" s="66"/>
    </row>
    <row r="72" spans="1:8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c r="BM72" s="66"/>
      <c r="BN72" s="66"/>
      <c r="BO72" s="66"/>
      <c r="BP72" s="66"/>
      <c r="BQ72" s="66"/>
      <c r="BR72" s="66"/>
      <c r="BS72" s="66"/>
      <c r="BT72" s="66"/>
      <c r="BU72" s="66"/>
      <c r="BV72" s="66"/>
      <c r="BW72" s="66"/>
      <c r="BX72" s="66"/>
      <c r="BY72" s="66"/>
      <c r="BZ72" s="66"/>
      <c r="CA72" s="66"/>
      <c r="CB72" s="66"/>
    </row>
    <row r="73" spans="1:8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6"/>
      <c r="BS73" s="66"/>
      <c r="BT73" s="66"/>
      <c r="BU73" s="66"/>
      <c r="BV73" s="66"/>
      <c r="BW73" s="66"/>
      <c r="BX73" s="66"/>
      <c r="BY73" s="66"/>
      <c r="BZ73" s="66"/>
      <c r="CA73" s="66"/>
      <c r="CB73" s="66"/>
    </row>
    <row r="74" spans="1:8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c r="BS74" s="66"/>
      <c r="BT74" s="66"/>
      <c r="BU74" s="66"/>
      <c r="BV74" s="66"/>
      <c r="BW74" s="66"/>
      <c r="BX74" s="66"/>
      <c r="BY74" s="66"/>
      <c r="BZ74" s="66"/>
      <c r="CA74" s="66"/>
      <c r="CB74" s="66"/>
    </row>
    <row r="75" spans="1:8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c r="BS75" s="66"/>
      <c r="BT75" s="66"/>
      <c r="BU75" s="66"/>
      <c r="BV75" s="66"/>
      <c r="BW75" s="66"/>
      <c r="BX75" s="66"/>
      <c r="BY75" s="66"/>
      <c r="BZ75" s="66"/>
      <c r="CA75" s="66"/>
      <c r="CB75" s="66"/>
    </row>
    <row r="76" spans="1:8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c r="BM76" s="66"/>
      <c r="BN76" s="66"/>
      <c r="BO76" s="66"/>
      <c r="BP76" s="66"/>
      <c r="BQ76" s="66"/>
      <c r="BR76" s="66"/>
      <c r="BS76" s="66"/>
      <c r="BT76" s="66"/>
      <c r="BU76" s="66"/>
      <c r="BV76" s="66"/>
      <c r="BW76" s="66"/>
      <c r="BX76" s="66"/>
      <c r="BY76" s="66"/>
      <c r="BZ76" s="66"/>
      <c r="CA76" s="66"/>
      <c r="CB76" s="66"/>
    </row>
    <row r="77" spans="1:8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6"/>
      <c r="BR77" s="66"/>
      <c r="BS77" s="66"/>
      <c r="BT77" s="66"/>
      <c r="BU77" s="66"/>
      <c r="BV77" s="66"/>
      <c r="BW77" s="66"/>
      <c r="BX77" s="66"/>
      <c r="BY77" s="66"/>
      <c r="BZ77" s="66"/>
      <c r="CA77" s="66"/>
      <c r="CB77" s="66"/>
    </row>
    <row r="78" spans="1:8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c r="BM78" s="66"/>
      <c r="BN78" s="66"/>
      <c r="BO78" s="66"/>
      <c r="BP78" s="66"/>
      <c r="BQ78" s="66"/>
      <c r="BR78" s="66"/>
      <c r="BS78" s="66"/>
      <c r="BT78" s="66"/>
      <c r="BU78" s="66"/>
      <c r="BV78" s="66"/>
      <c r="BW78" s="66"/>
      <c r="BX78" s="66"/>
      <c r="BY78" s="66"/>
      <c r="BZ78" s="66"/>
      <c r="CA78" s="66"/>
      <c r="CB78" s="66"/>
    </row>
    <row r="79" spans="1:8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row>
    <row r="80" spans="1:8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row>
    <row r="81" spans="1:63"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row>
    <row r="82" spans="1:63"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row>
    <row r="83" spans="1:63"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row>
    <row r="84" spans="1:63"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row>
    <row r="85" spans="1:63"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row>
    <row r="86" spans="1:63"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row>
    <row r="87" spans="1:63"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row>
    <row r="88" spans="1:63"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row>
    <row r="89" spans="1:63"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row>
    <row r="90" spans="1:63"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66"/>
    </row>
    <row r="91" spans="1:63"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row>
    <row r="92" spans="1:63"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row>
    <row r="93" spans="1:63"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row>
    <row r="94" spans="1:63"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c r="BI94" s="66"/>
      <c r="BJ94" s="66"/>
      <c r="BK94" s="66"/>
    </row>
    <row r="95" spans="1:63"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c r="BI95" s="66"/>
      <c r="BJ95" s="66"/>
      <c r="BK95" s="66"/>
    </row>
    <row r="96" spans="1:63"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c r="BI96" s="66"/>
      <c r="BJ96" s="66"/>
      <c r="BK96" s="66"/>
    </row>
    <row r="97" spans="1:63"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c r="BI97" s="66"/>
      <c r="BJ97" s="66"/>
      <c r="BK97" s="66"/>
    </row>
    <row r="98" spans="1:63"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row>
    <row r="99" spans="1:63"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c r="BI99" s="66"/>
      <c r="BJ99" s="66"/>
      <c r="BK99" s="66"/>
    </row>
    <row r="100" spans="1:63"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c r="BI100" s="66"/>
      <c r="BJ100" s="66"/>
      <c r="BK100" s="66"/>
    </row>
    <row r="101" spans="1:63"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c r="BI101" s="66"/>
      <c r="BJ101" s="66"/>
      <c r="BK101" s="66"/>
    </row>
    <row r="102" spans="1:63"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c r="BI102" s="66"/>
      <c r="BJ102" s="66"/>
      <c r="BK102" s="66"/>
    </row>
    <row r="103" spans="1:63"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c r="BI103" s="66"/>
      <c r="BJ103" s="66"/>
      <c r="BK103" s="66"/>
    </row>
    <row r="104" spans="1:63"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c r="BI104" s="66"/>
      <c r="BJ104" s="66"/>
      <c r="BK104" s="66"/>
    </row>
    <row r="105" spans="1:63"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row>
    <row r="106" spans="1:63"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row>
    <row r="107" spans="1:63"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row>
    <row r="108" spans="1:63"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c r="BI108" s="66"/>
      <c r="BJ108" s="66"/>
      <c r="BK108" s="66"/>
    </row>
    <row r="109" spans="1:63"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c r="BI109" s="66"/>
      <c r="BJ109" s="66"/>
      <c r="BK109" s="66"/>
    </row>
    <row r="110" spans="1:63"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c r="BI110" s="66"/>
      <c r="BJ110" s="66"/>
      <c r="BK110" s="66"/>
    </row>
    <row r="111" spans="1:63"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c r="BI111" s="66"/>
      <c r="BJ111" s="66"/>
      <c r="BK111" s="66"/>
    </row>
    <row r="112" spans="1:63"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c r="BI112" s="66"/>
      <c r="BJ112" s="66"/>
      <c r="BK112" s="66"/>
    </row>
    <row r="113" spans="1:63"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c r="BI113" s="66"/>
      <c r="BJ113" s="66"/>
      <c r="BK113" s="66"/>
    </row>
    <row r="114" spans="1:63"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c r="BI114" s="66"/>
      <c r="BJ114" s="66"/>
      <c r="BK114" s="66"/>
    </row>
    <row r="115" spans="1:63"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c r="BI115" s="66"/>
      <c r="BJ115" s="66"/>
      <c r="BK115" s="66"/>
    </row>
    <row r="116" spans="1:63"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c r="BI116" s="66"/>
      <c r="BJ116" s="66"/>
      <c r="BK116" s="66"/>
    </row>
    <row r="117" spans="1:63"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c r="BI117" s="66"/>
      <c r="BJ117" s="66"/>
      <c r="BK117" s="66"/>
    </row>
    <row r="118" spans="1:63"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c r="BI118" s="66"/>
      <c r="BJ118" s="66"/>
      <c r="BK118" s="66"/>
    </row>
    <row r="119" spans="1:63"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c r="BI119" s="66"/>
      <c r="BJ119" s="66"/>
      <c r="BK119" s="66"/>
    </row>
    <row r="120" spans="1:63"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c r="BI120" s="66"/>
      <c r="BJ120" s="66"/>
      <c r="BK120" s="66"/>
    </row>
    <row r="121" spans="1:63"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c r="BI121" s="66"/>
      <c r="BJ121" s="66"/>
      <c r="BK121" s="66"/>
    </row>
    <row r="122" spans="1:63" x14ac:dyDescent="0.25">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c r="BI122" s="66"/>
      <c r="BJ122" s="66"/>
      <c r="BK122" s="66"/>
    </row>
    <row r="123" spans="1:63" x14ac:dyDescent="0.25">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c r="BI123" s="66"/>
      <c r="BJ123" s="66"/>
      <c r="BK123" s="66"/>
    </row>
    <row r="124" spans="1:63" x14ac:dyDescent="0.25">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c r="BI124" s="66"/>
      <c r="BJ124" s="66"/>
      <c r="BK124" s="66"/>
    </row>
    <row r="125" spans="1:63" x14ac:dyDescent="0.25">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c r="BI125" s="66"/>
      <c r="BJ125" s="66"/>
      <c r="BK125" s="66"/>
    </row>
    <row r="126" spans="1:63" x14ac:dyDescent="0.25">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c r="BI126" s="66"/>
      <c r="BJ126" s="66"/>
      <c r="BK126" s="66"/>
    </row>
    <row r="127" spans="1:63" x14ac:dyDescent="0.25">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c r="BI127" s="66"/>
      <c r="BJ127" s="66"/>
      <c r="BK127" s="66"/>
    </row>
    <row r="128" spans="1:63" x14ac:dyDescent="0.25">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c r="BI128" s="66"/>
      <c r="BJ128" s="66"/>
      <c r="BK128" s="66"/>
    </row>
    <row r="129" spans="2:63" x14ac:dyDescent="0.25">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c r="BI129" s="66"/>
      <c r="BJ129" s="66"/>
      <c r="BK129" s="66"/>
    </row>
    <row r="130" spans="2:63" x14ac:dyDescent="0.25">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c r="BI130" s="66"/>
      <c r="BJ130" s="66"/>
      <c r="BK130" s="66"/>
    </row>
    <row r="131" spans="2:63" x14ac:dyDescent="0.25">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c r="BI131" s="66"/>
      <c r="BJ131" s="66"/>
      <c r="BK131" s="66"/>
    </row>
    <row r="132" spans="2:63" x14ac:dyDescent="0.25">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c r="BI132" s="66"/>
      <c r="BJ132" s="66"/>
      <c r="BK132" s="66"/>
    </row>
    <row r="133" spans="2:63" x14ac:dyDescent="0.25">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c r="BI133" s="66"/>
      <c r="BJ133" s="66"/>
      <c r="BK133" s="66"/>
    </row>
    <row r="134" spans="2:63" x14ac:dyDescent="0.25">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c r="BI134" s="66"/>
      <c r="BJ134" s="66"/>
      <c r="BK134" s="66"/>
    </row>
    <row r="135" spans="2:63" x14ac:dyDescent="0.25">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c r="BI135" s="66"/>
      <c r="BJ135" s="66"/>
      <c r="BK135" s="66"/>
    </row>
    <row r="136" spans="2:63" x14ac:dyDescent="0.25">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c r="BI136" s="66"/>
      <c r="BJ136" s="66"/>
      <c r="BK136" s="66"/>
    </row>
    <row r="137" spans="2:63" x14ac:dyDescent="0.25">
      <c r="B137" s="66"/>
      <c r="C137" s="66"/>
      <c r="D137" s="66"/>
      <c r="E137" s="66"/>
      <c r="F137" s="66"/>
      <c r="G137" s="66"/>
      <c r="H137" s="66"/>
      <c r="I137" s="66"/>
    </row>
    <row r="138" spans="2:63" x14ac:dyDescent="0.25">
      <c r="B138" s="66"/>
      <c r="C138" s="66"/>
      <c r="D138" s="66"/>
      <c r="E138" s="66"/>
      <c r="F138" s="66"/>
      <c r="G138" s="66"/>
      <c r="H138" s="66"/>
      <c r="I138" s="66"/>
    </row>
    <row r="139" spans="2:63" x14ac:dyDescent="0.25">
      <c r="B139" s="66"/>
      <c r="C139" s="66"/>
      <c r="D139" s="66"/>
      <c r="E139" s="66"/>
      <c r="F139" s="66"/>
      <c r="G139" s="66"/>
      <c r="H139" s="66"/>
      <c r="I139" s="66"/>
    </row>
    <row r="140" spans="2:63" x14ac:dyDescent="0.25">
      <c r="B140" s="66"/>
      <c r="C140" s="66"/>
      <c r="D140" s="66"/>
      <c r="E140" s="66"/>
      <c r="F140" s="66"/>
      <c r="G140" s="66"/>
      <c r="H140" s="66"/>
      <c r="I140" s="66"/>
    </row>
  </sheetData>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M248"/>
  <sheetViews>
    <sheetView zoomScale="40" zoomScaleNormal="40" workbookViewId="0">
      <selection activeCell="W45" sqref="W45"/>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row>
    <row r="2" spans="1:91" ht="18" customHeight="1" x14ac:dyDescent="0.25">
      <c r="A2" s="66"/>
      <c r="B2" s="517" t="s">
        <v>217</v>
      </c>
      <c r="C2" s="518"/>
      <c r="D2" s="518"/>
      <c r="E2" s="518"/>
      <c r="F2" s="518"/>
      <c r="G2" s="518"/>
      <c r="H2" s="518"/>
      <c r="I2" s="518"/>
      <c r="J2" s="459" t="s">
        <v>15</v>
      </c>
      <c r="K2" s="459"/>
      <c r="L2" s="459"/>
      <c r="M2" s="459"/>
      <c r="N2" s="459"/>
      <c r="O2" s="459"/>
      <c r="P2" s="459"/>
      <c r="Q2" s="459"/>
      <c r="R2" s="459"/>
      <c r="S2" s="459"/>
      <c r="T2" s="459"/>
      <c r="U2" s="459"/>
      <c r="V2" s="459"/>
      <c r="W2" s="459"/>
      <c r="X2" s="459"/>
      <c r="Y2" s="459"/>
      <c r="Z2" s="459"/>
      <c r="AA2" s="459"/>
      <c r="AB2" s="459"/>
      <c r="AC2" s="459"/>
      <c r="AD2" s="459"/>
      <c r="AE2" s="459"/>
      <c r="AF2" s="459"/>
      <c r="AG2" s="459"/>
      <c r="AH2" s="459"/>
      <c r="AI2" s="459"/>
      <c r="AJ2" s="459"/>
      <c r="AK2" s="459"/>
      <c r="AL2" s="459"/>
      <c r="AM2" s="459"/>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row>
    <row r="3" spans="1:91" ht="18.75" customHeight="1" x14ac:dyDescent="0.25">
      <c r="A3" s="66"/>
      <c r="B3" s="518"/>
      <c r="C3" s="518"/>
      <c r="D3" s="518"/>
      <c r="E3" s="518"/>
      <c r="F3" s="518"/>
      <c r="G3" s="518"/>
      <c r="H3" s="518"/>
      <c r="I3" s="518"/>
      <c r="J3" s="459"/>
      <c r="K3" s="459"/>
      <c r="L3" s="459"/>
      <c r="M3" s="459"/>
      <c r="N3" s="459"/>
      <c r="O3" s="459"/>
      <c r="P3" s="459"/>
      <c r="Q3" s="459"/>
      <c r="R3" s="459"/>
      <c r="S3" s="459"/>
      <c r="T3" s="459"/>
      <c r="U3" s="459"/>
      <c r="V3" s="459"/>
      <c r="W3" s="459"/>
      <c r="X3" s="459"/>
      <c r="Y3" s="459"/>
      <c r="Z3" s="459"/>
      <c r="AA3" s="459"/>
      <c r="AB3" s="459"/>
      <c r="AC3" s="459"/>
      <c r="AD3" s="459"/>
      <c r="AE3" s="459"/>
      <c r="AF3" s="459"/>
      <c r="AG3" s="459"/>
      <c r="AH3" s="459"/>
      <c r="AI3" s="459"/>
      <c r="AJ3" s="459"/>
      <c r="AK3" s="459"/>
      <c r="AL3" s="459"/>
      <c r="AM3" s="459"/>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row>
    <row r="4" spans="1:91" ht="15" customHeight="1" x14ac:dyDescent="0.25">
      <c r="A4" s="66"/>
      <c r="B4" s="518"/>
      <c r="C4" s="518"/>
      <c r="D4" s="518"/>
      <c r="E4" s="518"/>
      <c r="F4" s="518"/>
      <c r="G4" s="518"/>
      <c r="H4" s="518"/>
      <c r="I4" s="518"/>
      <c r="J4" s="459"/>
      <c r="K4" s="459"/>
      <c r="L4" s="459"/>
      <c r="M4" s="459"/>
      <c r="N4" s="459"/>
      <c r="O4" s="459"/>
      <c r="P4" s="459"/>
      <c r="Q4" s="459"/>
      <c r="R4" s="459"/>
      <c r="S4" s="459"/>
      <c r="T4" s="459"/>
      <c r="U4" s="459"/>
      <c r="V4" s="459"/>
      <c r="W4" s="459"/>
      <c r="X4" s="459"/>
      <c r="Y4" s="459"/>
      <c r="Z4" s="459"/>
      <c r="AA4" s="459"/>
      <c r="AB4" s="459"/>
      <c r="AC4" s="459"/>
      <c r="AD4" s="459"/>
      <c r="AE4" s="459"/>
      <c r="AF4" s="459"/>
      <c r="AG4" s="459"/>
      <c r="AH4" s="459"/>
      <c r="AI4" s="459"/>
      <c r="AJ4" s="459"/>
      <c r="AK4" s="459"/>
      <c r="AL4" s="459"/>
      <c r="AM4" s="459"/>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row>
    <row r="5" spans="1:91"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row>
    <row r="6" spans="1:91" ht="15" customHeight="1" x14ac:dyDescent="0.25">
      <c r="A6" s="66"/>
      <c r="B6" s="406" t="s">
        <v>193</v>
      </c>
      <c r="C6" s="406"/>
      <c r="D6" s="407"/>
      <c r="E6" s="501" t="s">
        <v>203</v>
      </c>
      <c r="F6" s="502"/>
      <c r="G6" s="502"/>
      <c r="H6" s="502"/>
      <c r="I6" s="519"/>
      <c r="J6" s="29" t="e">
        <f>IF(AND('Mapa riesgos'!#REF!="Muy Alta",'Mapa riesgos'!#REF!="Leve"),CONCATENATE("R1C",'Mapa riesgos'!#REF!),"")</f>
        <v>#REF!</v>
      </c>
      <c r="K6" s="30" t="e">
        <f>IF(AND('Mapa riesgos'!#REF!="Muy Alta",'Mapa riesgos'!#REF!="Leve"),CONCATENATE("R1C",'Mapa riesgos'!#REF!),"")</f>
        <v>#REF!</v>
      </c>
      <c r="L6" s="30" t="e">
        <f>IF(AND('Mapa riesgos'!#REF!="Muy Alta",'Mapa riesgos'!#REF!="Leve"),CONCATENATE("R1C",'Mapa riesgos'!#REF!),"")</f>
        <v>#REF!</v>
      </c>
      <c r="M6" s="30" t="e">
        <f>IF(AND('Mapa riesgos'!#REF!="Muy Alta",'Mapa riesgos'!#REF!="Leve"),CONCATENATE("R1C",'Mapa riesgos'!#REF!),"")</f>
        <v>#REF!</v>
      </c>
      <c r="N6" s="30" t="e">
        <f>IF(AND('Mapa riesgos'!#REF!="Muy Alta",'Mapa riesgos'!#REF!="Leve"),CONCATENATE("R1C",'Mapa riesgos'!#REF!),"")</f>
        <v>#REF!</v>
      </c>
      <c r="O6" s="31" t="e">
        <f>IF(AND('Mapa riesgos'!#REF!="Muy Alta",'Mapa riesgos'!#REF!="Leve"),CONCATENATE("R1C",'Mapa riesgos'!#REF!),"")</f>
        <v>#REF!</v>
      </c>
      <c r="P6" s="29" t="e">
        <f>IF(AND('Mapa riesgos'!#REF!="Muy Alta",'Mapa riesgos'!#REF!="Menor"),CONCATENATE("R1C",'Mapa riesgos'!#REF!),"")</f>
        <v>#REF!</v>
      </c>
      <c r="Q6" s="30" t="e">
        <f>IF(AND('Mapa riesgos'!#REF!="Muy Alta",'Mapa riesgos'!#REF!="Menor"),CONCATENATE("R1C",'Mapa riesgos'!#REF!),"")</f>
        <v>#REF!</v>
      </c>
      <c r="R6" s="30" t="e">
        <f>IF(AND('Mapa riesgos'!#REF!="Muy Alta",'Mapa riesgos'!#REF!="Menor"),CONCATENATE("R1C",'Mapa riesgos'!#REF!),"")</f>
        <v>#REF!</v>
      </c>
      <c r="S6" s="30" t="e">
        <f>IF(AND('Mapa riesgos'!#REF!="Muy Alta",'Mapa riesgos'!#REF!="Menor"),CONCATENATE("R1C",'Mapa riesgos'!#REF!),"")</f>
        <v>#REF!</v>
      </c>
      <c r="T6" s="30" t="e">
        <f>IF(AND('Mapa riesgos'!#REF!="Muy Alta",'Mapa riesgos'!#REF!="Menor"),CONCATENATE("R1C",'Mapa riesgos'!#REF!),"")</f>
        <v>#REF!</v>
      </c>
      <c r="U6" s="31" t="e">
        <f>IF(AND('Mapa riesgos'!#REF!="Muy Alta",'Mapa riesgos'!#REF!="Menor"),CONCATENATE("R1C",'Mapa riesgos'!#REF!),"")</f>
        <v>#REF!</v>
      </c>
      <c r="V6" s="29" t="e">
        <f>IF(AND('Mapa riesgos'!#REF!="Muy Alta",'Mapa riesgos'!#REF!="Moderado"),CONCATENATE("R1C",'Mapa riesgos'!#REF!),"")</f>
        <v>#REF!</v>
      </c>
      <c r="W6" s="30" t="e">
        <f>IF(AND('Mapa riesgos'!#REF!="Muy Alta",'Mapa riesgos'!#REF!="Moderado"),CONCATENATE("R1C",'Mapa riesgos'!#REF!),"")</f>
        <v>#REF!</v>
      </c>
      <c r="X6" s="30" t="e">
        <f>IF(AND('Mapa riesgos'!#REF!="Muy Alta",'Mapa riesgos'!#REF!="Moderado"),CONCATENATE("R1C",'Mapa riesgos'!#REF!),"")</f>
        <v>#REF!</v>
      </c>
      <c r="Y6" s="30" t="e">
        <f>IF(AND('Mapa riesgos'!#REF!="Muy Alta",'Mapa riesgos'!#REF!="Moderado"),CONCATENATE("R1C",'Mapa riesgos'!#REF!),"")</f>
        <v>#REF!</v>
      </c>
      <c r="Z6" s="30" t="e">
        <f>IF(AND('Mapa riesgos'!#REF!="Muy Alta",'Mapa riesgos'!#REF!="Moderado"),CONCATENATE("R1C",'Mapa riesgos'!#REF!),"")</f>
        <v>#REF!</v>
      </c>
      <c r="AA6" s="31" t="e">
        <f>IF(AND('Mapa riesgos'!#REF!="Muy Alta",'Mapa riesgos'!#REF!="Moderado"),CONCATENATE("R1C",'Mapa riesgos'!#REF!),"")</f>
        <v>#REF!</v>
      </c>
      <c r="AB6" s="29" t="e">
        <f>IF(AND('Mapa riesgos'!#REF!="Muy Alta",'Mapa riesgos'!#REF!="Mayor"),CONCATENATE("R1C",'Mapa riesgos'!#REF!),"")</f>
        <v>#REF!</v>
      </c>
      <c r="AC6" s="30" t="e">
        <f>IF(AND('Mapa riesgos'!#REF!="Muy Alta",'Mapa riesgos'!#REF!="Mayor"),CONCATENATE("R1C",'Mapa riesgos'!#REF!),"")</f>
        <v>#REF!</v>
      </c>
      <c r="AD6" s="30" t="e">
        <f>IF(AND('Mapa riesgos'!#REF!="Muy Alta",'Mapa riesgos'!#REF!="Mayor"),CONCATENATE("R1C",'Mapa riesgos'!#REF!),"")</f>
        <v>#REF!</v>
      </c>
      <c r="AE6" s="30" t="e">
        <f>IF(AND('Mapa riesgos'!#REF!="Muy Alta",'Mapa riesgos'!#REF!="Mayor"),CONCATENATE("R1C",'Mapa riesgos'!#REF!),"")</f>
        <v>#REF!</v>
      </c>
      <c r="AF6" s="30" t="e">
        <f>IF(AND('Mapa riesgos'!#REF!="Muy Alta",'Mapa riesgos'!#REF!="Mayor"),CONCATENATE("R1C",'Mapa riesgos'!#REF!),"")</f>
        <v>#REF!</v>
      </c>
      <c r="AG6" s="31" t="e">
        <f>IF(AND('Mapa riesgos'!#REF!="Muy Alta",'Mapa riesgos'!#REF!="Mayor"),CONCATENATE("R1C",'Mapa riesgos'!#REF!),"")</f>
        <v>#REF!</v>
      </c>
      <c r="AH6" s="32" t="e">
        <f>IF(AND('Mapa riesgos'!#REF!="Muy Alta",'Mapa riesgos'!#REF!="Catastrófico"),CONCATENATE("R1C",'Mapa riesgos'!#REF!),"")</f>
        <v>#REF!</v>
      </c>
      <c r="AI6" s="33" t="e">
        <f>IF(AND('Mapa riesgos'!#REF!="Muy Alta",'Mapa riesgos'!#REF!="Catastrófico"),CONCATENATE("R1C",'Mapa riesgos'!#REF!),"")</f>
        <v>#REF!</v>
      </c>
      <c r="AJ6" s="33" t="e">
        <f>IF(AND('Mapa riesgos'!#REF!="Muy Alta",'Mapa riesgos'!#REF!="Catastrófico"),CONCATENATE("R1C",'Mapa riesgos'!#REF!),"")</f>
        <v>#REF!</v>
      </c>
      <c r="AK6" s="33" t="e">
        <f>IF(AND('Mapa riesgos'!#REF!="Muy Alta",'Mapa riesgos'!#REF!="Catastrófico"),CONCATENATE("R1C",'Mapa riesgos'!#REF!),"")</f>
        <v>#REF!</v>
      </c>
      <c r="AL6" s="33" t="e">
        <f>IF(AND('Mapa riesgos'!#REF!="Muy Alta",'Mapa riesgos'!#REF!="Catastrófico"),CONCATENATE("R1C",'Mapa riesgos'!#REF!),"")</f>
        <v>#REF!</v>
      </c>
      <c r="AM6" s="34" t="e">
        <f>IF(AND('Mapa riesgos'!#REF!="Muy Alta",'Mapa riesgos'!#REF!="Catastrófico"),CONCATENATE("R1C",'Mapa riesgos'!#REF!),"")</f>
        <v>#REF!</v>
      </c>
      <c r="AN6" s="66"/>
      <c r="AO6" s="508" t="s">
        <v>204</v>
      </c>
      <c r="AP6" s="509"/>
      <c r="AQ6" s="509"/>
      <c r="AR6" s="509"/>
      <c r="AS6" s="509"/>
      <c r="AT6" s="510"/>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row>
    <row r="7" spans="1:91" ht="15" customHeight="1" x14ac:dyDescent="0.25">
      <c r="A7" s="66"/>
      <c r="B7" s="406"/>
      <c r="C7" s="406"/>
      <c r="D7" s="407"/>
      <c r="E7" s="505"/>
      <c r="F7" s="504"/>
      <c r="G7" s="504"/>
      <c r="H7" s="504"/>
      <c r="I7" s="520"/>
      <c r="J7" s="35" t="e">
        <f>IF(AND('Mapa riesgos'!#REF!="Muy Alta",'Mapa riesgos'!#REF!="Leve"),CONCATENATE("R2C",'Mapa riesgos'!#REF!),"")</f>
        <v>#REF!</v>
      </c>
      <c r="K7" s="36" t="e">
        <f>IF(AND('Mapa riesgos'!#REF!="Muy Alta",'Mapa riesgos'!#REF!="Leve"),CONCATENATE("R2C",'Mapa riesgos'!#REF!),"")</f>
        <v>#REF!</v>
      </c>
      <c r="L7" s="36" t="e">
        <f>IF(AND('Mapa riesgos'!#REF!="Muy Alta",'Mapa riesgos'!#REF!="Leve"),CONCATENATE("R2C",'Mapa riesgos'!#REF!),"")</f>
        <v>#REF!</v>
      </c>
      <c r="M7" s="36" t="e">
        <f>IF(AND('Mapa riesgos'!#REF!="Muy Alta",'Mapa riesgos'!#REF!="Leve"),CONCATENATE("R2C",'Mapa riesgos'!#REF!),"")</f>
        <v>#REF!</v>
      </c>
      <c r="N7" s="36" t="e">
        <f>IF(AND('Mapa riesgos'!#REF!="Muy Alta",'Mapa riesgos'!#REF!="Leve"),CONCATENATE("R2C",'Mapa riesgos'!#REF!),"")</f>
        <v>#REF!</v>
      </c>
      <c r="O7" s="37" t="e">
        <f>IF(AND('Mapa riesgos'!#REF!="Muy Alta",'Mapa riesgos'!#REF!="Leve"),CONCATENATE("R2C",'Mapa riesgos'!#REF!),"")</f>
        <v>#REF!</v>
      </c>
      <c r="P7" s="35" t="e">
        <f>IF(AND('Mapa riesgos'!#REF!="Muy Alta",'Mapa riesgos'!#REF!="Menor"),CONCATENATE("R2C",'Mapa riesgos'!#REF!),"")</f>
        <v>#REF!</v>
      </c>
      <c r="Q7" s="36" t="e">
        <f>IF(AND('Mapa riesgos'!#REF!="Muy Alta",'Mapa riesgos'!#REF!="Menor"),CONCATENATE("R2C",'Mapa riesgos'!#REF!),"")</f>
        <v>#REF!</v>
      </c>
      <c r="R7" s="36" t="e">
        <f>IF(AND('Mapa riesgos'!#REF!="Muy Alta",'Mapa riesgos'!#REF!="Menor"),CONCATENATE("R2C",'Mapa riesgos'!#REF!),"")</f>
        <v>#REF!</v>
      </c>
      <c r="S7" s="36" t="e">
        <f>IF(AND('Mapa riesgos'!#REF!="Muy Alta",'Mapa riesgos'!#REF!="Menor"),CONCATENATE("R2C",'Mapa riesgos'!#REF!),"")</f>
        <v>#REF!</v>
      </c>
      <c r="T7" s="36" t="e">
        <f>IF(AND('Mapa riesgos'!#REF!="Muy Alta",'Mapa riesgos'!#REF!="Menor"),CONCATENATE("R2C",'Mapa riesgos'!#REF!),"")</f>
        <v>#REF!</v>
      </c>
      <c r="U7" s="37" t="e">
        <f>IF(AND('Mapa riesgos'!#REF!="Muy Alta",'Mapa riesgos'!#REF!="Menor"),CONCATENATE("R2C",'Mapa riesgos'!#REF!),"")</f>
        <v>#REF!</v>
      </c>
      <c r="V7" s="35" t="e">
        <f>IF(AND('Mapa riesgos'!#REF!="Muy Alta",'Mapa riesgos'!#REF!="Moderado"),CONCATENATE("R2C",'Mapa riesgos'!#REF!),"")</f>
        <v>#REF!</v>
      </c>
      <c r="W7" s="36" t="e">
        <f>IF(AND('Mapa riesgos'!#REF!="Muy Alta",'Mapa riesgos'!#REF!="Moderado"),CONCATENATE("R2C",'Mapa riesgos'!#REF!),"")</f>
        <v>#REF!</v>
      </c>
      <c r="X7" s="36" t="e">
        <f>IF(AND('Mapa riesgos'!#REF!="Muy Alta",'Mapa riesgos'!#REF!="Moderado"),CONCATENATE("R2C",'Mapa riesgos'!#REF!),"")</f>
        <v>#REF!</v>
      </c>
      <c r="Y7" s="36" t="e">
        <f>IF(AND('Mapa riesgos'!#REF!="Muy Alta",'Mapa riesgos'!#REF!="Moderado"),CONCATENATE("R2C",'Mapa riesgos'!#REF!),"")</f>
        <v>#REF!</v>
      </c>
      <c r="Z7" s="36" t="e">
        <f>IF(AND('Mapa riesgos'!#REF!="Muy Alta",'Mapa riesgos'!#REF!="Moderado"),CONCATENATE("R2C",'Mapa riesgos'!#REF!),"")</f>
        <v>#REF!</v>
      </c>
      <c r="AA7" s="37" t="e">
        <f>IF(AND('Mapa riesgos'!#REF!="Muy Alta",'Mapa riesgos'!#REF!="Moderado"),CONCATENATE("R2C",'Mapa riesgos'!#REF!),"")</f>
        <v>#REF!</v>
      </c>
      <c r="AB7" s="35" t="e">
        <f>IF(AND('Mapa riesgos'!#REF!="Muy Alta",'Mapa riesgos'!#REF!="Mayor"),CONCATENATE("R2C",'Mapa riesgos'!#REF!),"")</f>
        <v>#REF!</v>
      </c>
      <c r="AC7" s="36" t="e">
        <f>IF(AND('Mapa riesgos'!#REF!="Muy Alta",'Mapa riesgos'!#REF!="Mayor"),CONCATENATE("R2C",'Mapa riesgos'!#REF!),"")</f>
        <v>#REF!</v>
      </c>
      <c r="AD7" s="36" t="e">
        <f>IF(AND('Mapa riesgos'!#REF!="Muy Alta",'Mapa riesgos'!#REF!="Mayor"),CONCATENATE("R2C",'Mapa riesgos'!#REF!),"")</f>
        <v>#REF!</v>
      </c>
      <c r="AE7" s="36" t="e">
        <f>IF(AND('Mapa riesgos'!#REF!="Muy Alta",'Mapa riesgos'!#REF!="Mayor"),CONCATENATE("R2C",'Mapa riesgos'!#REF!),"")</f>
        <v>#REF!</v>
      </c>
      <c r="AF7" s="36" t="e">
        <f>IF(AND('Mapa riesgos'!#REF!="Muy Alta",'Mapa riesgos'!#REF!="Mayor"),CONCATENATE("R2C",'Mapa riesgos'!#REF!),"")</f>
        <v>#REF!</v>
      </c>
      <c r="AG7" s="37" t="e">
        <f>IF(AND('Mapa riesgos'!#REF!="Muy Alta",'Mapa riesgos'!#REF!="Mayor"),CONCATENATE("R2C",'Mapa riesgos'!#REF!),"")</f>
        <v>#REF!</v>
      </c>
      <c r="AH7" s="38" t="e">
        <f>IF(AND('Mapa riesgos'!#REF!="Muy Alta",'Mapa riesgos'!#REF!="Catastrófico"),CONCATENATE("R2C",'Mapa riesgos'!#REF!),"")</f>
        <v>#REF!</v>
      </c>
      <c r="AI7" s="39" t="e">
        <f>IF(AND('Mapa riesgos'!#REF!="Muy Alta",'Mapa riesgos'!#REF!="Catastrófico"),CONCATENATE("R2C",'Mapa riesgos'!#REF!),"")</f>
        <v>#REF!</v>
      </c>
      <c r="AJ7" s="39" t="e">
        <f>IF(AND('Mapa riesgos'!#REF!="Muy Alta",'Mapa riesgos'!#REF!="Catastrófico"),CONCATENATE("R2C",'Mapa riesgos'!#REF!),"")</f>
        <v>#REF!</v>
      </c>
      <c r="AK7" s="39" t="e">
        <f>IF(AND('Mapa riesgos'!#REF!="Muy Alta",'Mapa riesgos'!#REF!="Catastrófico"),CONCATENATE("R2C",'Mapa riesgos'!#REF!),"")</f>
        <v>#REF!</v>
      </c>
      <c r="AL7" s="39" t="e">
        <f>IF(AND('Mapa riesgos'!#REF!="Muy Alta",'Mapa riesgos'!#REF!="Catastrófico"),CONCATENATE("R2C",'Mapa riesgos'!#REF!),"")</f>
        <v>#REF!</v>
      </c>
      <c r="AM7" s="40" t="e">
        <f>IF(AND('Mapa riesgos'!#REF!="Muy Alta",'Mapa riesgos'!#REF!="Catastrófico"),CONCATENATE("R2C",'Mapa riesgos'!#REF!),"")</f>
        <v>#REF!</v>
      </c>
      <c r="AN7" s="66"/>
      <c r="AO7" s="511"/>
      <c r="AP7" s="512"/>
      <c r="AQ7" s="512"/>
      <c r="AR7" s="512"/>
      <c r="AS7" s="512"/>
      <c r="AT7" s="513"/>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row>
    <row r="8" spans="1:91" ht="15" customHeight="1" x14ac:dyDescent="0.25">
      <c r="A8" s="66"/>
      <c r="B8" s="406"/>
      <c r="C8" s="406"/>
      <c r="D8" s="407"/>
      <c r="E8" s="505"/>
      <c r="F8" s="504"/>
      <c r="G8" s="504"/>
      <c r="H8" s="504"/>
      <c r="I8" s="520"/>
      <c r="J8" s="35" t="e">
        <f>IF(AND('Mapa riesgos'!#REF!="Muy Alta",'Mapa riesgos'!#REF!="Leve"),CONCATENATE("R3C",'Mapa riesgos'!#REF!),"")</f>
        <v>#REF!</v>
      </c>
      <c r="K8" s="36" t="e">
        <f>IF(AND('Mapa riesgos'!#REF!="Muy Alta",'Mapa riesgos'!#REF!="Leve"),CONCATENATE("R3C",'Mapa riesgos'!#REF!),"")</f>
        <v>#REF!</v>
      </c>
      <c r="L8" s="36" t="e">
        <f>IF(AND('Mapa riesgos'!#REF!="Muy Alta",'Mapa riesgos'!#REF!="Leve"),CONCATENATE("R3C",'Mapa riesgos'!#REF!),"")</f>
        <v>#REF!</v>
      </c>
      <c r="M8" s="36" t="e">
        <f>IF(AND('Mapa riesgos'!#REF!="Muy Alta",'Mapa riesgos'!#REF!="Leve"),CONCATENATE("R3C",'Mapa riesgos'!#REF!),"")</f>
        <v>#REF!</v>
      </c>
      <c r="N8" s="36" t="e">
        <f>IF(AND('Mapa riesgos'!#REF!="Muy Alta",'Mapa riesgos'!#REF!="Leve"),CONCATENATE("R3C",'Mapa riesgos'!#REF!),"")</f>
        <v>#REF!</v>
      </c>
      <c r="O8" s="37" t="e">
        <f>IF(AND('Mapa riesgos'!#REF!="Muy Alta",'Mapa riesgos'!#REF!="Leve"),CONCATENATE("R3C",'Mapa riesgos'!#REF!),"")</f>
        <v>#REF!</v>
      </c>
      <c r="P8" s="35" t="e">
        <f>IF(AND('Mapa riesgos'!#REF!="Muy Alta",'Mapa riesgos'!#REF!="Menor"),CONCATENATE("R3C",'Mapa riesgos'!#REF!),"")</f>
        <v>#REF!</v>
      </c>
      <c r="Q8" s="36" t="e">
        <f>IF(AND('Mapa riesgos'!#REF!="Muy Alta",'Mapa riesgos'!#REF!="Menor"),CONCATENATE("R3C",'Mapa riesgos'!#REF!),"")</f>
        <v>#REF!</v>
      </c>
      <c r="R8" s="36" t="e">
        <f>IF(AND('Mapa riesgos'!#REF!="Muy Alta",'Mapa riesgos'!#REF!="Menor"),CONCATENATE("R3C",'Mapa riesgos'!#REF!),"")</f>
        <v>#REF!</v>
      </c>
      <c r="S8" s="36" t="e">
        <f>IF(AND('Mapa riesgos'!#REF!="Muy Alta",'Mapa riesgos'!#REF!="Menor"),CONCATENATE("R3C",'Mapa riesgos'!#REF!),"")</f>
        <v>#REF!</v>
      </c>
      <c r="T8" s="36" t="e">
        <f>IF(AND('Mapa riesgos'!#REF!="Muy Alta",'Mapa riesgos'!#REF!="Menor"),CONCATENATE("R3C",'Mapa riesgos'!#REF!),"")</f>
        <v>#REF!</v>
      </c>
      <c r="U8" s="37" t="e">
        <f>IF(AND('Mapa riesgos'!#REF!="Muy Alta",'Mapa riesgos'!#REF!="Menor"),CONCATENATE("R3C",'Mapa riesgos'!#REF!),"")</f>
        <v>#REF!</v>
      </c>
      <c r="V8" s="35" t="e">
        <f>IF(AND('Mapa riesgos'!#REF!="Muy Alta",'Mapa riesgos'!#REF!="Moderado"),CONCATENATE("R3C",'Mapa riesgos'!#REF!),"")</f>
        <v>#REF!</v>
      </c>
      <c r="W8" s="36" t="e">
        <f>IF(AND('Mapa riesgos'!#REF!="Muy Alta",'Mapa riesgos'!#REF!="Moderado"),CONCATENATE("R3C",'Mapa riesgos'!#REF!),"")</f>
        <v>#REF!</v>
      </c>
      <c r="X8" s="36" t="e">
        <f>IF(AND('Mapa riesgos'!#REF!="Muy Alta",'Mapa riesgos'!#REF!="Moderado"),CONCATENATE("R3C",'Mapa riesgos'!#REF!),"")</f>
        <v>#REF!</v>
      </c>
      <c r="Y8" s="36" t="e">
        <f>IF(AND('Mapa riesgos'!#REF!="Muy Alta",'Mapa riesgos'!#REF!="Moderado"),CONCATENATE("R3C",'Mapa riesgos'!#REF!),"")</f>
        <v>#REF!</v>
      </c>
      <c r="Z8" s="36" t="e">
        <f>IF(AND('Mapa riesgos'!#REF!="Muy Alta",'Mapa riesgos'!#REF!="Moderado"),CONCATENATE("R3C",'Mapa riesgos'!#REF!),"")</f>
        <v>#REF!</v>
      </c>
      <c r="AA8" s="37" t="e">
        <f>IF(AND('Mapa riesgos'!#REF!="Muy Alta",'Mapa riesgos'!#REF!="Moderado"),CONCATENATE("R3C",'Mapa riesgos'!#REF!),"")</f>
        <v>#REF!</v>
      </c>
      <c r="AB8" s="35" t="e">
        <f>IF(AND('Mapa riesgos'!#REF!="Muy Alta",'Mapa riesgos'!#REF!="Mayor"),CONCATENATE("R3C",'Mapa riesgos'!#REF!),"")</f>
        <v>#REF!</v>
      </c>
      <c r="AC8" s="36" t="e">
        <f>IF(AND('Mapa riesgos'!#REF!="Muy Alta",'Mapa riesgos'!#REF!="Mayor"),CONCATENATE("R3C",'Mapa riesgos'!#REF!),"")</f>
        <v>#REF!</v>
      </c>
      <c r="AD8" s="36" t="e">
        <f>IF(AND('Mapa riesgos'!#REF!="Muy Alta",'Mapa riesgos'!#REF!="Mayor"),CONCATENATE("R3C",'Mapa riesgos'!#REF!),"")</f>
        <v>#REF!</v>
      </c>
      <c r="AE8" s="36" t="e">
        <f>IF(AND('Mapa riesgos'!#REF!="Muy Alta",'Mapa riesgos'!#REF!="Mayor"),CONCATENATE("R3C",'Mapa riesgos'!#REF!),"")</f>
        <v>#REF!</v>
      </c>
      <c r="AF8" s="36" t="e">
        <f>IF(AND('Mapa riesgos'!#REF!="Muy Alta",'Mapa riesgos'!#REF!="Mayor"),CONCATENATE("R3C",'Mapa riesgos'!#REF!),"")</f>
        <v>#REF!</v>
      </c>
      <c r="AG8" s="37" t="e">
        <f>IF(AND('Mapa riesgos'!#REF!="Muy Alta",'Mapa riesgos'!#REF!="Mayor"),CONCATENATE("R3C",'Mapa riesgos'!#REF!),"")</f>
        <v>#REF!</v>
      </c>
      <c r="AH8" s="38" t="e">
        <f>IF(AND('Mapa riesgos'!#REF!="Muy Alta",'Mapa riesgos'!#REF!="Catastrófico"),CONCATENATE("R3C",'Mapa riesgos'!#REF!),"")</f>
        <v>#REF!</v>
      </c>
      <c r="AI8" s="39" t="e">
        <f>IF(AND('Mapa riesgos'!#REF!="Muy Alta",'Mapa riesgos'!#REF!="Catastrófico"),CONCATENATE("R3C",'Mapa riesgos'!#REF!),"")</f>
        <v>#REF!</v>
      </c>
      <c r="AJ8" s="39" t="e">
        <f>IF(AND('Mapa riesgos'!#REF!="Muy Alta",'Mapa riesgos'!#REF!="Catastrófico"),CONCATENATE("R3C",'Mapa riesgos'!#REF!),"")</f>
        <v>#REF!</v>
      </c>
      <c r="AK8" s="39" t="e">
        <f>IF(AND('Mapa riesgos'!#REF!="Muy Alta",'Mapa riesgos'!#REF!="Catastrófico"),CONCATENATE("R3C",'Mapa riesgos'!#REF!),"")</f>
        <v>#REF!</v>
      </c>
      <c r="AL8" s="39" t="e">
        <f>IF(AND('Mapa riesgos'!#REF!="Muy Alta",'Mapa riesgos'!#REF!="Catastrófico"),CONCATENATE("R3C",'Mapa riesgos'!#REF!),"")</f>
        <v>#REF!</v>
      </c>
      <c r="AM8" s="40" t="e">
        <f>IF(AND('Mapa riesgos'!#REF!="Muy Alta",'Mapa riesgos'!#REF!="Catastrófico"),CONCATENATE("R3C",'Mapa riesgos'!#REF!),"")</f>
        <v>#REF!</v>
      </c>
      <c r="AN8" s="66"/>
      <c r="AO8" s="511"/>
      <c r="AP8" s="512"/>
      <c r="AQ8" s="512"/>
      <c r="AR8" s="512"/>
      <c r="AS8" s="512"/>
      <c r="AT8" s="513"/>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row>
    <row r="9" spans="1:91" ht="15" customHeight="1" x14ac:dyDescent="0.25">
      <c r="A9" s="66"/>
      <c r="B9" s="406"/>
      <c r="C9" s="406"/>
      <c r="D9" s="407"/>
      <c r="E9" s="505"/>
      <c r="F9" s="504"/>
      <c r="G9" s="504"/>
      <c r="H9" s="504"/>
      <c r="I9" s="520"/>
      <c r="J9" s="35" t="str">
        <f>IF(AND('Mapa riesgos'!$AD$17="Muy Alta",'Mapa riesgos'!$AF$17="Leve"),CONCATENATE("R4C",'Mapa riesgos'!$T$17),"")</f>
        <v/>
      </c>
      <c r="K9" s="36" t="str">
        <f>IF(AND('Mapa riesgos'!$AD$18="Muy Alta",'Mapa riesgos'!$AF$18="Leve"),CONCATENATE("R4C",'Mapa riesgos'!$T$18),"")</f>
        <v/>
      </c>
      <c r="L9" s="36" t="str">
        <f>IF(AND('Mapa riesgos'!$AD$19="Muy Alta",'Mapa riesgos'!$AF$19="Leve"),CONCATENATE("R4C",'Mapa riesgos'!$T$19),"")</f>
        <v/>
      </c>
      <c r="M9" s="36" t="str">
        <f>IF(AND('Mapa riesgos'!$AD$20="Muy Alta",'Mapa riesgos'!$AF$20="Leve"),CONCATENATE("R4C",'Mapa riesgos'!$T$20),"")</f>
        <v/>
      </c>
      <c r="N9" s="36" t="str">
        <f>IF(AND('Mapa riesgos'!$AD$21="Muy Alta",'Mapa riesgos'!$AF$21="Leve"),CONCATENATE("R4C",'Mapa riesgos'!$T$21),"")</f>
        <v/>
      </c>
      <c r="O9" s="37" t="str">
        <f>IF(AND('Mapa riesgos'!$AD$22="Muy Alta",'Mapa riesgos'!$AF$22="Leve"),CONCATENATE("R4C",'Mapa riesgos'!$T$22),"")</f>
        <v/>
      </c>
      <c r="P9" s="35" t="str">
        <f>IF(AND('Mapa riesgos'!$AD$17="Muy Alta",'Mapa riesgos'!$AF$17="Menor"),CONCATENATE("R4C",'Mapa riesgos'!$T$17),"")</f>
        <v/>
      </c>
      <c r="Q9" s="36" t="str">
        <f>IF(AND('Mapa riesgos'!$AD$18="Muy Alta",'Mapa riesgos'!$AF$18="Menor"),CONCATENATE("R4C",'Mapa riesgos'!$T$18),"")</f>
        <v/>
      </c>
      <c r="R9" s="36" t="str">
        <f>IF(AND('Mapa riesgos'!$AD$19="Muy Alta",'Mapa riesgos'!$AF$19="Menor"),CONCATENATE("R4C",'Mapa riesgos'!$T$19),"")</f>
        <v/>
      </c>
      <c r="S9" s="36" t="str">
        <f>IF(AND('Mapa riesgos'!$AD$20="Muy Alta",'Mapa riesgos'!$AF$20="Menor"),CONCATENATE("R4C",'Mapa riesgos'!$T$20),"")</f>
        <v/>
      </c>
      <c r="T9" s="36" t="str">
        <f>IF(AND('Mapa riesgos'!$AD$21="Muy Alta",'Mapa riesgos'!$AF$21="Menor"),CONCATENATE("R4C",'Mapa riesgos'!$T$21),"")</f>
        <v/>
      </c>
      <c r="U9" s="37" t="str">
        <f>IF(AND('Mapa riesgos'!$AD$22="Muy Alta",'Mapa riesgos'!$AF$22="Menor"),CONCATENATE("R4C",'Mapa riesgos'!$T$22),"")</f>
        <v/>
      </c>
      <c r="V9" s="35" t="str">
        <f>IF(AND('Mapa riesgos'!$AD$17="Muy Alta",'Mapa riesgos'!$AF$17="Moderado"),CONCATENATE("R4C",'Mapa riesgos'!$T$17),"")</f>
        <v/>
      </c>
      <c r="W9" s="36" t="str">
        <f>IF(AND('Mapa riesgos'!$AD$18="Muy Alta",'Mapa riesgos'!$AF$18="Moderado"),CONCATENATE("R4C",'Mapa riesgos'!$T$18),"")</f>
        <v/>
      </c>
      <c r="X9" s="36" t="str">
        <f>IF(AND('Mapa riesgos'!$AD$19="Muy Alta",'Mapa riesgos'!$AF$19="Moderado"),CONCATENATE("R4C",'Mapa riesgos'!$T$19),"")</f>
        <v/>
      </c>
      <c r="Y9" s="36" t="str">
        <f>IF(AND('Mapa riesgos'!$AD$20="Muy Alta",'Mapa riesgos'!$AF$20="Moderado"),CONCATENATE("R4C",'Mapa riesgos'!$T$20),"")</f>
        <v/>
      </c>
      <c r="Z9" s="36" t="str">
        <f>IF(AND('Mapa riesgos'!$AD$21="Muy Alta",'Mapa riesgos'!$AF$21="Moderado"),CONCATENATE("R4C",'Mapa riesgos'!$T$21),"")</f>
        <v/>
      </c>
      <c r="AA9" s="37" t="str">
        <f>IF(AND('Mapa riesgos'!$AD$22="Muy Alta",'Mapa riesgos'!$AF$22="Moderado"),CONCATENATE("R4C",'Mapa riesgos'!$T$22),"")</f>
        <v/>
      </c>
      <c r="AB9" s="35" t="str">
        <f>IF(AND('Mapa riesgos'!$AD$17="Muy Alta",'Mapa riesgos'!$AF$17="Mayor"),CONCATENATE("R4C",'Mapa riesgos'!$T$17),"")</f>
        <v/>
      </c>
      <c r="AC9" s="36" t="str">
        <f>IF(AND('Mapa riesgos'!$AD$18="Muy Alta",'Mapa riesgos'!$AF$18="Mayor"),CONCATENATE("R4C",'Mapa riesgos'!$T$18),"")</f>
        <v/>
      </c>
      <c r="AD9" s="36" t="str">
        <f>IF(AND('Mapa riesgos'!$AD$19="Muy Alta",'Mapa riesgos'!$AF$19="Mayor"),CONCATENATE("R4C",'Mapa riesgos'!$T$19),"")</f>
        <v/>
      </c>
      <c r="AE9" s="36" t="str">
        <f>IF(AND('Mapa riesgos'!$AD$20="Muy Alta",'Mapa riesgos'!$AF$20="Mayor"),CONCATENATE("R4C",'Mapa riesgos'!$T$20),"")</f>
        <v/>
      </c>
      <c r="AF9" s="36" t="str">
        <f>IF(AND('Mapa riesgos'!$AD$21="Muy Alta",'Mapa riesgos'!$AF$21="Mayor"),CONCATENATE("R4C",'Mapa riesgos'!$T$21),"")</f>
        <v/>
      </c>
      <c r="AG9" s="37" t="str">
        <f>IF(AND('Mapa riesgos'!$AD$22="Muy Alta",'Mapa riesgos'!$AF$22="Mayor"),CONCATENATE("R4C",'Mapa riesgos'!$T$22),"")</f>
        <v/>
      </c>
      <c r="AH9" s="38" t="str">
        <f>IF(AND('Mapa riesgos'!$AD$17="Muy Alta",'Mapa riesgos'!$AF$17="Catastrófico"),CONCATENATE("R4C",'Mapa riesgos'!$T$17),"")</f>
        <v/>
      </c>
      <c r="AI9" s="39" t="str">
        <f>IF(AND('Mapa riesgos'!$AD$18="Muy Alta",'Mapa riesgos'!$AF$18="Catastrófico"),CONCATENATE("R4C",'Mapa riesgos'!$T$18),"")</f>
        <v/>
      </c>
      <c r="AJ9" s="39" t="str">
        <f>IF(AND('Mapa riesgos'!$AD$19="Muy Alta",'Mapa riesgos'!$AF$19="Catastrófico"),CONCATENATE("R4C",'Mapa riesgos'!$T$19),"")</f>
        <v/>
      </c>
      <c r="AK9" s="39" t="str">
        <f>IF(AND('Mapa riesgos'!$AD$20="Muy Alta",'Mapa riesgos'!$AF$20="Catastrófico"),CONCATENATE("R4C",'Mapa riesgos'!$T$20),"")</f>
        <v/>
      </c>
      <c r="AL9" s="39" t="str">
        <f>IF(AND('Mapa riesgos'!$AD$21="Muy Alta",'Mapa riesgos'!$AF$21="Catastrófico"),CONCATENATE("R4C",'Mapa riesgos'!$T$21),"")</f>
        <v/>
      </c>
      <c r="AM9" s="40" t="str">
        <f>IF(AND('Mapa riesgos'!$AD$22="Muy Alta",'Mapa riesgos'!$AF$22="Catastrófico"),CONCATENATE("R4C",'Mapa riesgos'!$T$22),"")</f>
        <v/>
      </c>
      <c r="AN9" s="66"/>
      <c r="AO9" s="511"/>
      <c r="AP9" s="512"/>
      <c r="AQ9" s="512"/>
      <c r="AR9" s="512"/>
      <c r="AS9" s="512"/>
      <c r="AT9" s="513"/>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row>
    <row r="10" spans="1:91" ht="15" customHeight="1" x14ac:dyDescent="0.25">
      <c r="A10" s="66"/>
      <c r="B10" s="406"/>
      <c r="C10" s="406"/>
      <c r="D10" s="407"/>
      <c r="E10" s="505"/>
      <c r="F10" s="504"/>
      <c r="G10" s="504"/>
      <c r="H10" s="504"/>
      <c r="I10" s="520"/>
      <c r="J10" s="35" t="e">
        <f>IF(AND('Mapa riesgos'!#REF!="Muy Alta",'Mapa riesgos'!#REF!="Leve"),CONCATENATE("R5C",'Mapa riesgos'!#REF!),"")</f>
        <v>#REF!</v>
      </c>
      <c r="K10" s="36" t="e">
        <f>IF(AND('Mapa riesgos'!#REF!="Muy Alta",'Mapa riesgos'!#REF!="Leve"),CONCATENATE("R5C",'Mapa riesgos'!#REF!),"")</f>
        <v>#REF!</v>
      </c>
      <c r="L10" s="36" t="e">
        <f>IF(AND('Mapa riesgos'!#REF!="Muy Alta",'Mapa riesgos'!#REF!="Leve"),CONCATENATE("R5C",'Mapa riesgos'!#REF!),"")</f>
        <v>#REF!</v>
      </c>
      <c r="M10" s="36" t="e">
        <f>IF(AND('Mapa riesgos'!#REF!="Muy Alta",'Mapa riesgos'!#REF!="Leve"),CONCATENATE("R5C",'Mapa riesgos'!#REF!),"")</f>
        <v>#REF!</v>
      </c>
      <c r="N10" s="36" t="e">
        <f>IF(AND('Mapa riesgos'!#REF!="Muy Alta",'Mapa riesgos'!#REF!="Leve"),CONCATENATE("R5C",'Mapa riesgos'!#REF!),"")</f>
        <v>#REF!</v>
      </c>
      <c r="O10" s="37" t="e">
        <f>IF(AND('Mapa riesgos'!#REF!="Muy Alta",'Mapa riesgos'!#REF!="Leve"),CONCATENATE("R5C",'Mapa riesgos'!#REF!),"")</f>
        <v>#REF!</v>
      </c>
      <c r="P10" s="35" t="e">
        <f>IF(AND('Mapa riesgos'!#REF!="Muy Alta",'Mapa riesgos'!#REF!="Menor"),CONCATENATE("R5C",'Mapa riesgos'!#REF!),"")</f>
        <v>#REF!</v>
      </c>
      <c r="Q10" s="36" t="e">
        <f>IF(AND('Mapa riesgos'!#REF!="Muy Alta",'Mapa riesgos'!#REF!="Menor"),CONCATENATE("R5C",'Mapa riesgos'!#REF!),"")</f>
        <v>#REF!</v>
      </c>
      <c r="R10" s="36" t="e">
        <f>IF(AND('Mapa riesgos'!#REF!="Muy Alta",'Mapa riesgos'!#REF!="Menor"),CONCATENATE("R5C",'Mapa riesgos'!#REF!),"")</f>
        <v>#REF!</v>
      </c>
      <c r="S10" s="36" t="e">
        <f>IF(AND('Mapa riesgos'!#REF!="Muy Alta",'Mapa riesgos'!#REF!="Menor"),CONCATENATE("R5C",'Mapa riesgos'!#REF!),"")</f>
        <v>#REF!</v>
      </c>
      <c r="T10" s="36" t="e">
        <f>IF(AND('Mapa riesgos'!#REF!="Muy Alta",'Mapa riesgos'!#REF!="Menor"),CONCATENATE("R5C",'Mapa riesgos'!#REF!),"")</f>
        <v>#REF!</v>
      </c>
      <c r="U10" s="37" t="e">
        <f>IF(AND('Mapa riesgos'!#REF!="Muy Alta",'Mapa riesgos'!#REF!="Menor"),CONCATENATE("R5C",'Mapa riesgos'!#REF!),"")</f>
        <v>#REF!</v>
      </c>
      <c r="V10" s="35" t="e">
        <f>IF(AND('Mapa riesgos'!#REF!="Muy Alta",'Mapa riesgos'!#REF!="Moderado"),CONCATENATE("R5C",'Mapa riesgos'!#REF!),"")</f>
        <v>#REF!</v>
      </c>
      <c r="W10" s="36" t="e">
        <f>IF(AND('Mapa riesgos'!#REF!="Muy Alta",'Mapa riesgos'!#REF!="Moderado"),CONCATENATE("R5C",'Mapa riesgos'!#REF!),"")</f>
        <v>#REF!</v>
      </c>
      <c r="X10" s="36" t="e">
        <f>IF(AND('Mapa riesgos'!#REF!="Muy Alta",'Mapa riesgos'!#REF!="Moderado"),CONCATENATE("R5C",'Mapa riesgos'!#REF!),"")</f>
        <v>#REF!</v>
      </c>
      <c r="Y10" s="36" t="e">
        <f>IF(AND('Mapa riesgos'!#REF!="Muy Alta",'Mapa riesgos'!#REF!="Moderado"),CONCATENATE("R5C",'Mapa riesgos'!#REF!),"")</f>
        <v>#REF!</v>
      </c>
      <c r="Z10" s="36" t="e">
        <f>IF(AND('Mapa riesgos'!#REF!="Muy Alta",'Mapa riesgos'!#REF!="Moderado"),CONCATENATE("R5C",'Mapa riesgos'!#REF!),"")</f>
        <v>#REF!</v>
      </c>
      <c r="AA10" s="37" t="e">
        <f>IF(AND('Mapa riesgos'!#REF!="Muy Alta",'Mapa riesgos'!#REF!="Moderado"),CONCATENATE("R5C",'Mapa riesgos'!#REF!),"")</f>
        <v>#REF!</v>
      </c>
      <c r="AB10" s="35" t="e">
        <f>IF(AND('Mapa riesgos'!#REF!="Muy Alta",'Mapa riesgos'!#REF!="Mayor"),CONCATENATE("R5C",'Mapa riesgos'!#REF!),"")</f>
        <v>#REF!</v>
      </c>
      <c r="AC10" s="36" t="e">
        <f>IF(AND('Mapa riesgos'!#REF!="Muy Alta",'Mapa riesgos'!#REF!="Mayor"),CONCATENATE("R5C",'Mapa riesgos'!#REF!),"")</f>
        <v>#REF!</v>
      </c>
      <c r="AD10" s="36" t="e">
        <f>IF(AND('Mapa riesgos'!#REF!="Muy Alta",'Mapa riesgos'!#REF!="Mayor"),CONCATENATE("R5C",'Mapa riesgos'!#REF!),"")</f>
        <v>#REF!</v>
      </c>
      <c r="AE10" s="36" t="e">
        <f>IF(AND('Mapa riesgos'!#REF!="Muy Alta",'Mapa riesgos'!#REF!="Mayor"),CONCATENATE("R5C",'Mapa riesgos'!#REF!),"")</f>
        <v>#REF!</v>
      </c>
      <c r="AF10" s="36" t="e">
        <f>IF(AND('Mapa riesgos'!#REF!="Muy Alta",'Mapa riesgos'!#REF!="Mayor"),CONCATENATE("R5C",'Mapa riesgos'!#REF!),"")</f>
        <v>#REF!</v>
      </c>
      <c r="AG10" s="37" t="e">
        <f>IF(AND('Mapa riesgos'!#REF!="Muy Alta",'Mapa riesgos'!#REF!="Mayor"),CONCATENATE("R5C",'Mapa riesgos'!#REF!),"")</f>
        <v>#REF!</v>
      </c>
      <c r="AH10" s="38" t="e">
        <f>IF(AND('Mapa riesgos'!#REF!="Muy Alta",'Mapa riesgos'!#REF!="Catastrófico"),CONCATENATE("R5C",'Mapa riesgos'!#REF!),"")</f>
        <v>#REF!</v>
      </c>
      <c r="AI10" s="39" t="e">
        <f>IF(AND('Mapa riesgos'!#REF!="Muy Alta",'Mapa riesgos'!#REF!="Catastrófico"),CONCATENATE("R5C",'Mapa riesgos'!#REF!),"")</f>
        <v>#REF!</v>
      </c>
      <c r="AJ10" s="39" t="e">
        <f>IF(AND('Mapa riesgos'!#REF!="Muy Alta",'Mapa riesgos'!#REF!="Catastrófico"),CONCATENATE("R5C",'Mapa riesgos'!#REF!),"")</f>
        <v>#REF!</v>
      </c>
      <c r="AK10" s="39" t="e">
        <f>IF(AND('Mapa riesgos'!#REF!="Muy Alta",'Mapa riesgos'!#REF!="Catastrófico"),CONCATENATE("R5C",'Mapa riesgos'!#REF!),"")</f>
        <v>#REF!</v>
      </c>
      <c r="AL10" s="39" t="e">
        <f>IF(AND('Mapa riesgos'!#REF!="Muy Alta",'Mapa riesgos'!#REF!="Catastrófico"),CONCATENATE("R5C",'Mapa riesgos'!#REF!),"")</f>
        <v>#REF!</v>
      </c>
      <c r="AM10" s="40" t="e">
        <f>IF(AND('Mapa riesgos'!#REF!="Muy Alta",'Mapa riesgos'!#REF!="Catastrófico"),CONCATENATE("R5C",'Mapa riesgos'!#REF!),"")</f>
        <v>#REF!</v>
      </c>
      <c r="AN10" s="66"/>
      <c r="AO10" s="511"/>
      <c r="AP10" s="512"/>
      <c r="AQ10" s="512"/>
      <c r="AR10" s="512"/>
      <c r="AS10" s="512"/>
      <c r="AT10" s="513"/>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row>
    <row r="11" spans="1:91" ht="15" customHeight="1" x14ac:dyDescent="0.25">
      <c r="A11" s="66"/>
      <c r="B11" s="406"/>
      <c r="C11" s="406"/>
      <c r="D11" s="407"/>
      <c r="E11" s="505"/>
      <c r="F11" s="504"/>
      <c r="G11" s="504"/>
      <c r="H11" s="504"/>
      <c r="I11" s="520"/>
      <c r="J11" s="35" t="e">
        <f>IF(AND('Mapa riesgos'!#REF!="Muy Alta",'Mapa riesgos'!#REF!="Leve"),CONCATENATE("R6C",'Mapa riesgos'!#REF!),"")</f>
        <v>#REF!</v>
      </c>
      <c r="K11" s="36" t="e">
        <f>IF(AND('Mapa riesgos'!#REF!="Muy Alta",'Mapa riesgos'!#REF!="Leve"),CONCATENATE("R6C",'Mapa riesgos'!#REF!),"")</f>
        <v>#REF!</v>
      </c>
      <c r="L11" s="36" t="e">
        <f>IF(AND('Mapa riesgos'!#REF!="Muy Alta",'Mapa riesgos'!#REF!="Leve"),CONCATENATE("R6C",'Mapa riesgos'!#REF!),"")</f>
        <v>#REF!</v>
      </c>
      <c r="M11" s="36" t="e">
        <f>IF(AND('Mapa riesgos'!#REF!="Muy Alta",'Mapa riesgos'!#REF!="Leve"),CONCATENATE("R6C",'Mapa riesgos'!#REF!),"")</f>
        <v>#REF!</v>
      </c>
      <c r="N11" s="36" t="e">
        <f>IF(AND('Mapa riesgos'!#REF!="Muy Alta",'Mapa riesgos'!#REF!="Leve"),CONCATENATE("R6C",'Mapa riesgos'!#REF!),"")</f>
        <v>#REF!</v>
      </c>
      <c r="O11" s="37" t="e">
        <f>IF(AND('Mapa riesgos'!#REF!="Muy Alta",'Mapa riesgos'!#REF!="Leve"),CONCATENATE("R6C",'Mapa riesgos'!#REF!),"")</f>
        <v>#REF!</v>
      </c>
      <c r="P11" s="35" t="e">
        <f>IF(AND('Mapa riesgos'!#REF!="Muy Alta",'Mapa riesgos'!#REF!="Menor"),CONCATENATE("R6C",'Mapa riesgos'!#REF!),"")</f>
        <v>#REF!</v>
      </c>
      <c r="Q11" s="36" t="e">
        <f>IF(AND('Mapa riesgos'!#REF!="Muy Alta",'Mapa riesgos'!#REF!="Menor"),CONCATENATE("R6C",'Mapa riesgos'!#REF!),"")</f>
        <v>#REF!</v>
      </c>
      <c r="R11" s="36" t="e">
        <f>IF(AND('Mapa riesgos'!#REF!="Muy Alta",'Mapa riesgos'!#REF!="Menor"),CONCATENATE("R6C",'Mapa riesgos'!#REF!),"")</f>
        <v>#REF!</v>
      </c>
      <c r="S11" s="36" t="e">
        <f>IF(AND('Mapa riesgos'!#REF!="Muy Alta",'Mapa riesgos'!#REF!="Menor"),CONCATENATE("R6C",'Mapa riesgos'!#REF!),"")</f>
        <v>#REF!</v>
      </c>
      <c r="T11" s="36" t="e">
        <f>IF(AND('Mapa riesgos'!#REF!="Muy Alta",'Mapa riesgos'!#REF!="Menor"),CONCATENATE("R6C",'Mapa riesgos'!#REF!),"")</f>
        <v>#REF!</v>
      </c>
      <c r="U11" s="37" t="e">
        <f>IF(AND('Mapa riesgos'!#REF!="Muy Alta",'Mapa riesgos'!#REF!="Menor"),CONCATENATE("R6C",'Mapa riesgos'!#REF!),"")</f>
        <v>#REF!</v>
      </c>
      <c r="V11" s="35" t="e">
        <f>IF(AND('Mapa riesgos'!#REF!="Muy Alta",'Mapa riesgos'!#REF!="Moderado"),CONCATENATE("R6C",'Mapa riesgos'!#REF!),"")</f>
        <v>#REF!</v>
      </c>
      <c r="W11" s="36" t="e">
        <f>IF(AND('Mapa riesgos'!#REF!="Muy Alta",'Mapa riesgos'!#REF!="Moderado"),CONCATENATE("R6C",'Mapa riesgos'!#REF!),"")</f>
        <v>#REF!</v>
      </c>
      <c r="X11" s="36" t="e">
        <f>IF(AND('Mapa riesgos'!#REF!="Muy Alta",'Mapa riesgos'!#REF!="Moderado"),CONCATENATE("R6C",'Mapa riesgos'!#REF!),"")</f>
        <v>#REF!</v>
      </c>
      <c r="Y11" s="36" t="e">
        <f>IF(AND('Mapa riesgos'!#REF!="Muy Alta",'Mapa riesgos'!#REF!="Moderado"),CONCATENATE("R6C",'Mapa riesgos'!#REF!),"")</f>
        <v>#REF!</v>
      </c>
      <c r="Z11" s="36" t="e">
        <f>IF(AND('Mapa riesgos'!#REF!="Muy Alta",'Mapa riesgos'!#REF!="Moderado"),CONCATENATE("R6C",'Mapa riesgos'!#REF!),"")</f>
        <v>#REF!</v>
      </c>
      <c r="AA11" s="37" t="e">
        <f>IF(AND('Mapa riesgos'!#REF!="Muy Alta",'Mapa riesgos'!#REF!="Moderado"),CONCATENATE("R6C",'Mapa riesgos'!#REF!),"")</f>
        <v>#REF!</v>
      </c>
      <c r="AB11" s="35" t="e">
        <f>IF(AND('Mapa riesgos'!#REF!="Muy Alta",'Mapa riesgos'!#REF!="Mayor"),CONCATENATE("R6C",'Mapa riesgos'!#REF!),"")</f>
        <v>#REF!</v>
      </c>
      <c r="AC11" s="36" t="e">
        <f>IF(AND('Mapa riesgos'!#REF!="Muy Alta",'Mapa riesgos'!#REF!="Mayor"),CONCATENATE("R6C",'Mapa riesgos'!#REF!),"")</f>
        <v>#REF!</v>
      </c>
      <c r="AD11" s="36" t="e">
        <f>IF(AND('Mapa riesgos'!#REF!="Muy Alta",'Mapa riesgos'!#REF!="Mayor"),CONCATENATE("R6C",'Mapa riesgos'!#REF!),"")</f>
        <v>#REF!</v>
      </c>
      <c r="AE11" s="36" t="e">
        <f>IF(AND('Mapa riesgos'!#REF!="Muy Alta",'Mapa riesgos'!#REF!="Mayor"),CONCATENATE("R6C",'Mapa riesgos'!#REF!),"")</f>
        <v>#REF!</v>
      </c>
      <c r="AF11" s="36" t="e">
        <f>IF(AND('Mapa riesgos'!#REF!="Muy Alta",'Mapa riesgos'!#REF!="Mayor"),CONCATENATE("R6C",'Mapa riesgos'!#REF!),"")</f>
        <v>#REF!</v>
      </c>
      <c r="AG11" s="37" t="e">
        <f>IF(AND('Mapa riesgos'!#REF!="Muy Alta",'Mapa riesgos'!#REF!="Mayor"),CONCATENATE("R6C",'Mapa riesgos'!#REF!),"")</f>
        <v>#REF!</v>
      </c>
      <c r="AH11" s="38" t="e">
        <f>IF(AND('Mapa riesgos'!#REF!="Muy Alta",'Mapa riesgos'!#REF!="Catastrófico"),CONCATENATE("R6C",'Mapa riesgos'!#REF!),"")</f>
        <v>#REF!</v>
      </c>
      <c r="AI11" s="39" t="e">
        <f>IF(AND('Mapa riesgos'!#REF!="Muy Alta",'Mapa riesgos'!#REF!="Catastrófico"),CONCATENATE("R6C",'Mapa riesgos'!#REF!),"")</f>
        <v>#REF!</v>
      </c>
      <c r="AJ11" s="39" t="e">
        <f>IF(AND('Mapa riesgos'!#REF!="Muy Alta",'Mapa riesgos'!#REF!="Catastrófico"),CONCATENATE("R6C",'Mapa riesgos'!#REF!),"")</f>
        <v>#REF!</v>
      </c>
      <c r="AK11" s="39" t="e">
        <f>IF(AND('Mapa riesgos'!#REF!="Muy Alta",'Mapa riesgos'!#REF!="Catastrófico"),CONCATENATE("R6C",'Mapa riesgos'!#REF!),"")</f>
        <v>#REF!</v>
      </c>
      <c r="AL11" s="39" t="e">
        <f>IF(AND('Mapa riesgos'!#REF!="Muy Alta",'Mapa riesgos'!#REF!="Catastrófico"),CONCATENATE("R6C",'Mapa riesgos'!#REF!),"")</f>
        <v>#REF!</v>
      </c>
      <c r="AM11" s="40" t="e">
        <f>IF(AND('Mapa riesgos'!#REF!="Muy Alta",'Mapa riesgos'!#REF!="Catastrófico"),CONCATENATE("R6C",'Mapa riesgos'!#REF!),"")</f>
        <v>#REF!</v>
      </c>
      <c r="AN11" s="66"/>
      <c r="AO11" s="511"/>
      <c r="AP11" s="512"/>
      <c r="AQ11" s="512"/>
      <c r="AR11" s="512"/>
      <c r="AS11" s="512"/>
      <c r="AT11" s="513"/>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row>
    <row r="12" spans="1:91" ht="15" customHeight="1" x14ac:dyDescent="0.25">
      <c r="A12" s="66"/>
      <c r="B12" s="406"/>
      <c r="C12" s="406"/>
      <c r="D12" s="407"/>
      <c r="E12" s="505"/>
      <c r="F12" s="504"/>
      <c r="G12" s="504"/>
      <c r="H12" s="504"/>
      <c r="I12" s="520"/>
      <c r="J12" s="35" t="e">
        <f>IF(AND('Mapa riesgos'!#REF!="Muy Alta",'Mapa riesgos'!#REF!="Leve"),CONCATENATE("R7C",'Mapa riesgos'!#REF!),"")</f>
        <v>#REF!</v>
      </c>
      <c r="K12" s="36" t="e">
        <f>IF(AND('Mapa riesgos'!#REF!="Muy Alta",'Mapa riesgos'!#REF!="Leve"),CONCATENATE("R7C",'Mapa riesgos'!#REF!),"")</f>
        <v>#REF!</v>
      </c>
      <c r="L12" s="36" t="e">
        <f>IF(AND('Mapa riesgos'!#REF!="Muy Alta",'Mapa riesgos'!#REF!="Leve"),CONCATENATE("R7C",'Mapa riesgos'!#REF!),"")</f>
        <v>#REF!</v>
      </c>
      <c r="M12" s="36" t="e">
        <f>IF(AND('Mapa riesgos'!#REF!="Muy Alta",'Mapa riesgos'!#REF!="Leve"),CONCATENATE("R7C",'Mapa riesgos'!#REF!),"")</f>
        <v>#REF!</v>
      </c>
      <c r="N12" s="36" t="e">
        <f>IF(AND('Mapa riesgos'!#REF!="Muy Alta",'Mapa riesgos'!#REF!="Leve"),CONCATENATE("R7C",'Mapa riesgos'!#REF!),"")</f>
        <v>#REF!</v>
      </c>
      <c r="O12" s="37" t="e">
        <f>IF(AND('Mapa riesgos'!#REF!="Muy Alta",'Mapa riesgos'!#REF!="Leve"),CONCATENATE("R7C",'Mapa riesgos'!#REF!),"")</f>
        <v>#REF!</v>
      </c>
      <c r="P12" s="35" t="e">
        <f>IF(AND('Mapa riesgos'!#REF!="Muy Alta",'Mapa riesgos'!#REF!="Menor"),CONCATENATE("R7C",'Mapa riesgos'!#REF!),"")</f>
        <v>#REF!</v>
      </c>
      <c r="Q12" s="36" t="e">
        <f>IF(AND('Mapa riesgos'!#REF!="Muy Alta",'Mapa riesgos'!#REF!="Menor"),CONCATENATE("R7C",'Mapa riesgos'!#REF!),"")</f>
        <v>#REF!</v>
      </c>
      <c r="R12" s="36" t="e">
        <f>IF(AND('Mapa riesgos'!#REF!="Muy Alta",'Mapa riesgos'!#REF!="Menor"),CONCATENATE("R7C",'Mapa riesgos'!#REF!),"")</f>
        <v>#REF!</v>
      </c>
      <c r="S12" s="36" t="e">
        <f>IF(AND('Mapa riesgos'!#REF!="Muy Alta",'Mapa riesgos'!#REF!="Menor"),CONCATENATE("R7C",'Mapa riesgos'!#REF!),"")</f>
        <v>#REF!</v>
      </c>
      <c r="T12" s="36" t="e">
        <f>IF(AND('Mapa riesgos'!#REF!="Muy Alta",'Mapa riesgos'!#REF!="Menor"),CONCATENATE("R7C",'Mapa riesgos'!#REF!),"")</f>
        <v>#REF!</v>
      </c>
      <c r="U12" s="37" t="e">
        <f>IF(AND('Mapa riesgos'!#REF!="Muy Alta",'Mapa riesgos'!#REF!="Menor"),CONCATENATE("R7C",'Mapa riesgos'!#REF!),"")</f>
        <v>#REF!</v>
      </c>
      <c r="V12" s="35" t="e">
        <f>IF(AND('Mapa riesgos'!#REF!="Muy Alta",'Mapa riesgos'!#REF!="Moderado"),CONCATENATE("R7C",'Mapa riesgos'!#REF!),"")</f>
        <v>#REF!</v>
      </c>
      <c r="W12" s="36" t="e">
        <f>IF(AND('Mapa riesgos'!#REF!="Muy Alta",'Mapa riesgos'!#REF!="Moderado"),CONCATENATE("R7C",'Mapa riesgos'!#REF!),"")</f>
        <v>#REF!</v>
      </c>
      <c r="X12" s="36" t="e">
        <f>IF(AND('Mapa riesgos'!#REF!="Muy Alta",'Mapa riesgos'!#REF!="Moderado"),CONCATENATE("R7C",'Mapa riesgos'!#REF!),"")</f>
        <v>#REF!</v>
      </c>
      <c r="Y12" s="36" t="e">
        <f>IF(AND('Mapa riesgos'!#REF!="Muy Alta",'Mapa riesgos'!#REF!="Moderado"),CONCATENATE("R7C",'Mapa riesgos'!#REF!),"")</f>
        <v>#REF!</v>
      </c>
      <c r="Z12" s="36" t="e">
        <f>IF(AND('Mapa riesgos'!#REF!="Muy Alta",'Mapa riesgos'!#REF!="Moderado"),CONCATENATE("R7C",'Mapa riesgos'!#REF!),"")</f>
        <v>#REF!</v>
      </c>
      <c r="AA12" s="37" t="e">
        <f>IF(AND('Mapa riesgos'!#REF!="Muy Alta",'Mapa riesgos'!#REF!="Moderado"),CONCATENATE("R7C",'Mapa riesgos'!#REF!),"")</f>
        <v>#REF!</v>
      </c>
      <c r="AB12" s="35" t="e">
        <f>IF(AND('Mapa riesgos'!#REF!="Muy Alta",'Mapa riesgos'!#REF!="Mayor"),CONCATENATE("R7C",'Mapa riesgos'!#REF!),"")</f>
        <v>#REF!</v>
      </c>
      <c r="AC12" s="36" t="e">
        <f>IF(AND('Mapa riesgos'!#REF!="Muy Alta",'Mapa riesgos'!#REF!="Mayor"),CONCATENATE("R7C",'Mapa riesgos'!#REF!),"")</f>
        <v>#REF!</v>
      </c>
      <c r="AD12" s="36" t="e">
        <f>IF(AND('Mapa riesgos'!#REF!="Muy Alta",'Mapa riesgos'!#REF!="Mayor"),CONCATENATE("R7C",'Mapa riesgos'!#REF!),"")</f>
        <v>#REF!</v>
      </c>
      <c r="AE12" s="36" t="e">
        <f>IF(AND('Mapa riesgos'!#REF!="Muy Alta",'Mapa riesgos'!#REF!="Mayor"),CONCATENATE("R7C",'Mapa riesgos'!#REF!),"")</f>
        <v>#REF!</v>
      </c>
      <c r="AF12" s="36" t="e">
        <f>IF(AND('Mapa riesgos'!#REF!="Muy Alta",'Mapa riesgos'!#REF!="Mayor"),CONCATENATE("R7C",'Mapa riesgos'!#REF!),"")</f>
        <v>#REF!</v>
      </c>
      <c r="AG12" s="37" t="e">
        <f>IF(AND('Mapa riesgos'!#REF!="Muy Alta",'Mapa riesgos'!#REF!="Mayor"),CONCATENATE("R7C",'Mapa riesgos'!#REF!),"")</f>
        <v>#REF!</v>
      </c>
      <c r="AH12" s="38" t="e">
        <f>IF(AND('Mapa riesgos'!#REF!="Muy Alta",'Mapa riesgos'!#REF!="Catastrófico"),CONCATENATE("R7C",'Mapa riesgos'!#REF!),"")</f>
        <v>#REF!</v>
      </c>
      <c r="AI12" s="39" t="e">
        <f>IF(AND('Mapa riesgos'!#REF!="Muy Alta",'Mapa riesgos'!#REF!="Catastrófico"),CONCATENATE("R7C",'Mapa riesgos'!#REF!),"")</f>
        <v>#REF!</v>
      </c>
      <c r="AJ12" s="39" t="e">
        <f>IF(AND('Mapa riesgos'!#REF!="Muy Alta",'Mapa riesgos'!#REF!="Catastrófico"),CONCATENATE("R7C",'Mapa riesgos'!#REF!),"")</f>
        <v>#REF!</v>
      </c>
      <c r="AK12" s="39" t="e">
        <f>IF(AND('Mapa riesgos'!#REF!="Muy Alta",'Mapa riesgos'!#REF!="Catastrófico"),CONCATENATE("R7C",'Mapa riesgos'!#REF!),"")</f>
        <v>#REF!</v>
      </c>
      <c r="AL12" s="39" t="e">
        <f>IF(AND('Mapa riesgos'!#REF!="Muy Alta",'Mapa riesgos'!#REF!="Catastrófico"),CONCATENATE("R7C",'Mapa riesgos'!#REF!),"")</f>
        <v>#REF!</v>
      </c>
      <c r="AM12" s="40" t="e">
        <f>IF(AND('Mapa riesgos'!#REF!="Muy Alta",'Mapa riesgos'!#REF!="Catastrófico"),CONCATENATE("R7C",'Mapa riesgos'!#REF!),"")</f>
        <v>#REF!</v>
      </c>
      <c r="AN12" s="66"/>
      <c r="AO12" s="511"/>
      <c r="AP12" s="512"/>
      <c r="AQ12" s="512"/>
      <c r="AR12" s="512"/>
      <c r="AS12" s="512"/>
      <c r="AT12" s="513"/>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row>
    <row r="13" spans="1:91" ht="15" customHeight="1" x14ac:dyDescent="0.25">
      <c r="A13" s="66"/>
      <c r="B13" s="406"/>
      <c r="C13" s="406"/>
      <c r="D13" s="407"/>
      <c r="E13" s="505"/>
      <c r="F13" s="504"/>
      <c r="G13" s="504"/>
      <c r="H13" s="504"/>
      <c r="I13" s="520"/>
      <c r="J13" s="35" t="e">
        <f>IF(AND('Mapa riesgos'!#REF!="Muy Alta",'Mapa riesgos'!#REF!="Leve"),CONCATENATE("R8C",'Mapa riesgos'!#REF!),"")</f>
        <v>#REF!</v>
      </c>
      <c r="K13" s="36" t="e">
        <f>IF(AND('Mapa riesgos'!#REF!="Muy Alta",'Mapa riesgos'!#REF!="Leve"),CONCATENATE("R8C",'Mapa riesgos'!#REF!),"")</f>
        <v>#REF!</v>
      </c>
      <c r="L13" s="36" t="e">
        <f>IF(AND('Mapa riesgos'!#REF!="Muy Alta",'Mapa riesgos'!#REF!="Leve"),CONCATENATE("R8C",'Mapa riesgos'!#REF!),"")</f>
        <v>#REF!</v>
      </c>
      <c r="M13" s="36" t="e">
        <f>IF(AND('Mapa riesgos'!#REF!="Muy Alta",'Mapa riesgos'!#REF!="Leve"),CONCATENATE("R8C",'Mapa riesgos'!#REF!),"")</f>
        <v>#REF!</v>
      </c>
      <c r="N13" s="36" t="e">
        <f>IF(AND('Mapa riesgos'!#REF!="Muy Alta",'Mapa riesgos'!#REF!="Leve"),CONCATENATE("R8C",'Mapa riesgos'!#REF!),"")</f>
        <v>#REF!</v>
      </c>
      <c r="O13" s="37" t="e">
        <f>IF(AND('Mapa riesgos'!#REF!="Muy Alta",'Mapa riesgos'!#REF!="Leve"),CONCATENATE("R8C",'Mapa riesgos'!#REF!),"")</f>
        <v>#REF!</v>
      </c>
      <c r="P13" s="35" t="e">
        <f>IF(AND('Mapa riesgos'!#REF!="Muy Alta",'Mapa riesgos'!#REF!="Menor"),CONCATENATE("R8C",'Mapa riesgos'!#REF!),"")</f>
        <v>#REF!</v>
      </c>
      <c r="Q13" s="36" t="e">
        <f>IF(AND('Mapa riesgos'!#REF!="Muy Alta",'Mapa riesgos'!#REF!="Menor"),CONCATENATE("R8C",'Mapa riesgos'!#REF!),"")</f>
        <v>#REF!</v>
      </c>
      <c r="R13" s="36" t="e">
        <f>IF(AND('Mapa riesgos'!#REF!="Muy Alta",'Mapa riesgos'!#REF!="Menor"),CONCATENATE("R8C",'Mapa riesgos'!#REF!),"")</f>
        <v>#REF!</v>
      </c>
      <c r="S13" s="36" t="e">
        <f>IF(AND('Mapa riesgos'!#REF!="Muy Alta",'Mapa riesgos'!#REF!="Menor"),CONCATENATE("R8C",'Mapa riesgos'!#REF!),"")</f>
        <v>#REF!</v>
      </c>
      <c r="T13" s="36" t="e">
        <f>IF(AND('Mapa riesgos'!#REF!="Muy Alta",'Mapa riesgos'!#REF!="Menor"),CONCATENATE("R8C",'Mapa riesgos'!#REF!),"")</f>
        <v>#REF!</v>
      </c>
      <c r="U13" s="37" t="e">
        <f>IF(AND('Mapa riesgos'!#REF!="Muy Alta",'Mapa riesgos'!#REF!="Menor"),CONCATENATE("R8C",'Mapa riesgos'!#REF!),"")</f>
        <v>#REF!</v>
      </c>
      <c r="V13" s="35" t="e">
        <f>IF(AND('Mapa riesgos'!#REF!="Muy Alta",'Mapa riesgos'!#REF!="Moderado"),CONCATENATE("R8C",'Mapa riesgos'!#REF!),"")</f>
        <v>#REF!</v>
      </c>
      <c r="W13" s="36" t="e">
        <f>IF(AND('Mapa riesgos'!#REF!="Muy Alta",'Mapa riesgos'!#REF!="Moderado"),CONCATENATE("R8C",'Mapa riesgos'!#REF!),"")</f>
        <v>#REF!</v>
      </c>
      <c r="X13" s="36" t="e">
        <f>IF(AND('Mapa riesgos'!#REF!="Muy Alta",'Mapa riesgos'!#REF!="Moderado"),CONCATENATE("R8C",'Mapa riesgos'!#REF!),"")</f>
        <v>#REF!</v>
      </c>
      <c r="Y13" s="36" t="e">
        <f>IF(AND('Mapa riesgos'!#REF!="Muy Alta",'Mapa riesgos'!#REF!="Moderado"),CONCATENATE("R8C",'Mapa riesgos'!#REF!),"")</f>
        <v>#REF!</v>
      </c>
      <c r="Z13" s="36" t="e">
        <f>IF(AND('Mapa riesgos'!#REF!="Muy Alta",'Mapa riesgos'!#REF!="Moderado"),CONCATENATE("R8C",'Mapa riesgos'!#REF!),"")</f>
        <v>#REF!</v>
      </c>
      <c r="AA13" s="37" t="e">
        <f>IF(AND('Mapa riesgos'!#REF!="Muy Alta",'Mapa riesgos'!#REF!="Moderado"),CONCATENATE("R8C",'Mapa riesgos'!#REF!),"")</f>
        <v>#REF!</v>
      </c>
      <c r="AB13" s="35" t="e">
        <f>IF(AND('Mapa riesgos'!#REF!="Muy Alta",'Mapa riesgos'!#REF!="Mayor"),CONCATENATE("R8C",'Mapa riesgos'!#REF!),"")</f>
        <v>#REF!</v>
      </c>
      <c r="AC13" s="36" t="e">
        <f>IF(AND('Mapa riesgos'!#REF!="Muy Alta",'Mapa riesgos'!#REF!="Mayor"),CONCATENATE("R8C",'Mapa riesgos'!#REF!),"")</f>
        <v>#REF!</v>
      </c>
      <c r="AD13" s="36" t="e">
        <f>IF(AND('Mapa riesgos'!#REF!="Muy Alta",'Mapa riesgos'!#REF!="Mayor"),CONCATENATE("R8C",'Mapa riesgos'!#REF!),"")</f>
        <v>#REF!</v>
      </c>
      <c r="AE13" s="36" t="e">
        <f>IF(AND('Mapa riesgos'!#REF!="Muy Alta",'Mapa riesgos'!#REF!="Mayor"),CONCATENATE("R8C",'Mapa riesgos'!#REF!),"")</f>
        <v>#REF!</v>
      </c>
      <c r="AF13" s="36" t="e">
        <f>IF(AND('Mapa riesgos'!#REF!="Muy Alta",'Mapa riesgos'!#REF!="Mayor"),CONCATENATE("R8C",'Mapa riesgos'!#REF!),"")</f>
        <v>#REF!</v>
      </c>
      <c r="AG13" s="37" t="e">
        <f>IF(AND('Mapa riesgos'!#REF!="Muy Alta",'Mapa riesgos'!#REF!="Mayor"),CONCATENATE("R8C",'Mapa riesgos'!#REF!),"")</f>
        <v>#REF!</v>
      </c>
      <c r="AH13" s="38" t="e">
        <f>IF(AND('Mapa riesgos'!#REF!="Muy Alta",'Mapa riesgos'!#REF!="Catastrófico"),CONCATENATE("R8C",'Mapa riesgos'!#REF!),"")</f>
        <v>#REF!</v>
      </c>
      <c r="AI13" s="39" t="e">
        <f>IF(AND('Mapa riesgos'!#REF!="Muy Alta",'Mapa riesgos'!#REF!="Catastrófico"),CONCATENATE("R8C",'Mapa riesgos'!#REF!),"")</f>
        <v>#REF!</v>
      </c>
      <c r="AJ13" s="39" t="e">
        <f>IF(AND('Mapa riesgos'!#REF!="Muy Alta",'Mapa riesgos'!#REF!="Catastrófico"),CONCATENATE("R8C",'Mapa riesgos'!#REF!),"")</f>
        <v>#REF!</v>
      </c>
      <c r="AK13" s="39" t="e">
        <f>IF(AND('Mapa riesgos'!#REF!="Muy Alta",'Mapa riesgos'!#REF!="Catastrófico"),CONCATENATE("R8C",'Mapa riesgos'!#REF!),"")</f>
        <v>#REF!</v>
      </c>
      <c r="AL13" s="39" t="e">
        <f>IF(AND('Mapa riesgos'!#REF!="Muy Alta",'Mapa riesgos'!#REF!="Catastrófico"),CONCATENATE("R8C",'Mapa riesgos'!#REF!),"")</f>
        <v>#REF!</v>
      </c>
      <c r="AM13" s="40" t="e">
        <f>IF(AND('Mapa riesgos'!#REF!="Muy Alta",'Mapa riesgos'!#REF!="Catastrófico"),CONCATENATE("R8C",'Mapa riesgos'!#REF!),"")</f>
        <v>#REF!</v>
      </c>
      <c r="AN13" s="66"/>
      <c r="AO13" s="511"/>
      <c r="AP13" s="512"/>
      <c r="AQ13" s="512"/>
      <c r="AR13" s="512"/>
      <c r="AS13" s="512"/>
      <c r="AT13" s="513"/>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row>
    <row r="14" spans="1:91" ht="15" customHeight="1" x14ac:dyDescent="0.25">
      <c r="A14" s="66"/>
      <c r="B14" s="406"/>
      <c r="C14" s="406"/>
      <c r="D14" s="407"/>
      <c r="E14" s="505"/>
      <c r="F14" s="504"/>
      <c r="G14" s="504"/>
      <c r="H14" s="504"/>
      <c r="I14" s="520"/>
      <c r="J14" s="35" t="e">
        <f>IF(AND('Mapa riesgos'!#REF!="Muy Alta",'Mapa riesgos'!#REF!="Leve"),CONCATENATE("R9C",'Mapa riesgos'!#REF!),"")</f>
        <v>#REF!</v>
      </c>
      <c r="K14" s="36" t="e">
        <f>IF(AND('Mapa riesgos'!#REF!="Muy Alta",'Mapa riesgos'!#REF!="Leve"),CONCATENATE("R9C",'Mapa riesgos'!#REF!),"")</f>
        <v>#REF!</v>
      </c>
      <c r="L14" s="36" t="e">
        <f>IF(AND('Mapa riesgos'!#REF!="Muy Alta",'Mapa riesgos'!#REF!="Leve"),CONCATENATE("R9C",'Mapa riesgos'!#REF!),"")</f>
        <v>#REF!</v>
      </c>
      <c r="M14" s="36" t="e">
        <f>IF(AND('Mapa riesgos'!#REF!="Muy Alta",'Mapa riesgos'!#REF!="Leve"),CONCATENATE("R9C",'Mapa riesgos'!#REF!),"")</f>
        <v>#REF!</v>
      </c>
      <c r="N14" s="36" t="e">
        <f>IF(AND('Mapa riesgos'!#REF!="Muy Alta",'Mapa riesgos'!#REF!="Leve"),CONCATENATE("R9C",'Mapa riesgos'!#REF!),"")</f>
        <v>#REF!</v>
      </c>
      <c r="O14" s="37" t="e">
        <f>IF(AND('Mapa riesgos'!#REF!="Muy Alta",'Mapa riesgos'!#REF!="Leve"),CONCATENATE("R9C",'Mapa riesgos'!#REF!),"")</f>
        <v>#REF!</v>
      </c>
      <c r="P14" s="35" t="e">
        <f>IF(AND('Mapa riesgos'!#REF!="Muy Alta",'Mapa riesgos'!#REF!="Menor"),CONCATENATE("R9C",'Mapa riesgos'!#REF!),"")</f>
        <v>#REF!</v>
      </c>
      <c r="Q14" s="36" t="e">
        <f>IF(AND('Mapa riesgos'!#REF!="Muy Alta",'Mapa riesgos'!#REF!="Menor"),CONCATENATE("R9C",'Mapa riesgos'!#REF!),"")</f>
        <v>#REF!</v>
      </c>
      <c r="R14" s="36" t="e">
        <f>IF(AND('Mapa riesgos'!#REF!="Muy Alta",'Mapa riesgos'!#REF!="Menor"),CONCATENATE("R9C",'Mapa riesgos'!#REF!),"")</f>
        <v>#REF!</v>
      </c>
      <c r="S14" s="36" t="e">
        <f>IF(AND('Mapa riesgos'!#REF!="Muy Alta",'Mapa riesgos'!#REF!="Menor"),CONCATENATE("R9C",'Mapa riesgos'!#REF!),"")</f>
        <v>#REF!</v>
      </c>
      <c r="T14" s="36" t="e">
        <f>IF(AND('Mapa riesgos'!#REF!="Muy Alta",'Mapa riesgos'!#REF!="Menor"),CONCATENATE("R9C",'Mapa riesgos'!#REF!),"")</f>
        <v>#REF!</v>
      </c>
      <c r="U14" s="37" t="e">
        <f>IF(AND('Mapa riesgos'!#REF!="Muy Alta",'Mapa riesgos'!#REF!="Menor"),CONCATENATE("R9C",'Mapa riesgos'!#REF!),"")</f>
        <v>#REF!</v>
      </c>
      <c r="V14" s="35" t="e">
        <f>IF(AND('Mapa riesgos'!#REF!="Muy Alta",'Mapa riesgos'!#REF!="Moderado"),CONCATENATE("R9C",'Mapa riesgos'!#REF!),"")</f>
        <v>#REF!</v>
      </c>
      <c r="W14" s="36" t="e">
        <f>IF(AND('Mapa riesgos'!#REF!="Muy Alta",'Mapa riesgos'!#REF!="Moderado"),CONCATENATE("R9C",'Mapa riesgos'!#REF!),"")</f>
        <v>#REF!</v>
      </c>
      <c r="X14" s="36" t="e">
        <f>IF(AND('Mapa riesgos'!#REF!="Muy Alta",'Mapa riesgos'!#REF!="Moderado"),CONCATENATE("R9C",'Mapa riesgos'!#REF!),"")</f>
        <v>#REF!</v>
      </c>
      <c r="Y14" s="36" t="e">
        <f>IF(AND('Mapa riesgos'!#REF!="Muy Alta",'Mapa riesgos'!#REF!="Moderado"),CONCATENATE("R9C",'Mapa riesgos'!#REF!),"")</f>
        <v>#REF!</v>
      </c>
      <c r="Z14" s="36" t="e">
        <f>IF(AND('Mapa riesgos'!#REF!="Muy Alta",'Mapa riesgos'!#REF!="Moderado"),CONCATENATE("R9C",'Mapa riesgos'!#REF!),"")</f>
        <v>#REF!</v>
      </c>
      <c r="AA14" s="37" t="e">
        <f>IF(AND('Mapa riesgos'!#REF!="Muy Alta",'Mapa riesgos'!#REF!="Moderado"),CONCATENATE("R9C",'Mapa riesgos'!#REF!),"")</f>
        <v>#REF!</v>
      </c>
      <c r="AB14" s="35" t="e">
        <f>IF(AND('Mapa riesgos'!#REF!="Muy Alta",'Mapa riesgos'!#REF!="Mayor"),CONCATENATE("R9C",'Mapa riesgos'!#REF!),"")</f>
        <v>#REF!</v>
      </c>
      <c r="AC14" s="36" t="e">
        <f>IF(AND('Mapa riesgos'!#REF!="Muy Alta",'Mapa riesgos'!#REF!="Mayor"),CONCATENATE("R9C",'Mapa riesgos'!#REF!),"")</f>
        <v>#REF!</v>
      </c>
      <c r="AD14" s="36" t="e">
        <f>IF(AND('Mapa riesgos'!#REF!="Muy Alta",'Mapa riesgos'!#REF!="Mayor"),CONCATENATE("R9C",'Mapa riesgos'!#REF!),"")</f>
        <v>#REF!</v>
      </c>
      <c r="AE14" s="36" t="e">
        <f>IF(AND('Mapa riesgos'!#REF!="Muy Alta",'Mapa riesgos'!#REF!="Mayor"),CONCATENATE("R9C",'Mapa riesgos'!#REF!),"")</f>
        <v>#REF!</v>
      </c>
      <c r="AF14" s="36" t="e">
        <f>IF(AND('Mapa riesgos'!#REF!="Muy Alta",'Mapa riesgos'!#REF!="Mayor"),CONCATENATE("R9C",'Mapa riesgos'!#REF!),"")</f>
        <v>#REF!</v>
      </c>
      <c r="AG14" s="37" t="e">
        <f>IF(AND('Mapa riesgos'!#REF!="Muy Alta",'Mapa riesgos'!#REF!="Mayor"),CONCATENATE("R9C",'Mapa riesgos'!#REF!),"")</f>
        <v>#REF!</v>
      </c>
      <c r="AH14" s="38" t="e">
        <f>IF(AND('Mapa riesgos'!#REF!="Muy Alta",'Mapa riesgos'!#REF!="Catastrófico"),CONCATENATE("R9C",'Mapa riesgos'!#REF!),"")</f>
        <v>#REF!</v>
      </c>
      <c r="AI14" s="39" t="e">
        <f>IF(AND('Mapa riesgos'!#REF!="Muy Alta",'Mapa riesgos'!#REF!="Catastrófico"),CONCATENATE("R9C",'Mapa riesgos'!#REF!),"")</f>
        <v>#REF!</v>
      </c>
      <c r="AJ14" s="39" t="e">
        <f>IF(AND('Mapa riesgos'!#REF!="Muy Alta",'Mapa riesgos'!#REF!="Catastrófico"),CONCATENATE("R9C",'Mapa riesgos'!#REF!),"")</f>
        <v>#REF!</v>
      </c>
      <c r="AK14" s="39" t="e">
        <f>IF(AND('Mapa riesgos'!#REF!="Muy Alta",'Mapa riesgos'!#REF!="Catastrófico"),CONCATENATE("R9C",'Mapa riesgos'!#REF!),"")</f>
        <v>#REF!</v>
      </c>
      <c r="AL14" s="39" t="e">
        <f>IF(AND('Mapa riesgos'!#REF!="Muy Alta",'Mapa riesgos'!#REF!="Catastrófico"),CONCATENATE("R9C",'Mapa riesgos'!#REF!),"")</f>
        <v>#REF!</v>
      </c>
      <c r="AM14" s="40" t="e">
        <f>IF(AND('Mapa riesgos'!#REF!="Muy Alta",'Mapa riesgos'!#REF!="Catastrófico"),CONCATENATE("R9C",'Mapa riesgos'!#REF!),"")</f>
        <v>#REF!</v>
      </c>
      <c r="AN14" s="66"/>
      <c r="AO14" s="511"/>
      <c r="AP14" s="512"/>
      <c r="AQ14" s="512"/>
      <c r="AR14" s="512"/>
      <c r="AS14" s="512"/>
      <c r="AT14" s="513"/>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row>
    <row r="15" spans="1:91" ht="15.75" customHeight="1" thickBot="1" x14ac:dyDescent="0.3">
      <c r="A15" s="66"/>
      <c r="B15" s="406"/>
      <c r="C15" s="406"/>
      <c r="D15" s="407"/>
      <c r="E15" s="506"/>
      <c r="F15" s="507"/>
      <c r="G15" s="507"/>
      <c r="H15" s="507"/>
      <c r="I15" s="521"/>
      <c r="J15" s="41" t="e">
        <f>IF(AND('Mapa riesgos'!#REF!="Muy Alta",'Mapa riesgos'!#REF!="Leve"),CONCATENATE("R10C",'Mapa riesgos'!#REF!),"")</f>
        <v>#REF!</v>
      </c>
      <c r="K15" s="42" t="e">
        <f>IF(AND('Mapa riesgos'!#REF!="Muy Alta",'Mapa riesgos'!#REF!="Leve"),CONCATENATE("R10C",'Mapa riesgos'!#REF!),"")</f>
        <v>#REF!</v>
      </c>
      <c r="L15" s="42" t="e">
        <f>IF(AND('Mapa riesgos'!#REF!="Muy Alta",'Mapa riesgos'!#REF!="Leve"),CONCATENATE("R10C",'Mapa riesgos'!#REF!),"")</f>
        <v>#REF!</v>
      </c>
      <c r="M15" s="42" t="e">
        <f>IF(AND('Mapa riesgos'!#REF!="Muy Alta",'Mapa riesgos'!#REF!="Leve"),CONCATENATE("R10C",'Mapa riesgos'!#REF!),"")</f>
        <v>#REF!</v>
      </c>
      <c r="N15" s="42" t="e">
        <f>IF(AND('Mapa riesgos'!#REF!="Muy Alta",'Mapa riesgos'!#REF!="Leve"),CONCATENATE("R10C",'Mapa riesgos'!#REF!),"")</f>
        <v>#REF!</v>
      </c>
      <c r="O15" s="43" t="e">
        <f>IF(AND('Mapa riesgos'!#REF!="Muy Alta",'Mapa riesgos'!#REF!="Leve"),CONCATENATE("R10C",'Mapa riesgos'!#REF!),"")</f>
        <v>#REF!</v>
      </c>
      <c r="P15" s="35" t="e">
        <f>IF(AND('Mapa riesgos'!#REF!="Muy Alta",'Mapa riesgos'!#REF!="Menor"),CONCATENATE("R10C",'Mapa riesgos'!#REF!),"")</f>
        <v>#REF!</v>
      </c>
      <c r="Q15" s="36" t="e">
        <f>IF(AND('Mapa riesgos'!#REF!="Muy Alta",'Mapa riesgos'!#REF!="Menor"),CONCATENATE("R10C",'Mapa riesgos'!#REF!),"")</f>
        <v>#REF!</v>
      </c>
      <c r="R15" s="36" t="e">
        <f>IF(AND('Mapa riesgos'!#REF!="Muy Alta",'Mapa riesgos'!#REF!="Menor"),CONCATENATE("R10C",'Mapa riesgos'!#REF!),"")</f>
        <v>#REF!</v>
      </c>
      <c r="S15" s="36" t="e">
        <f>IF(AND('Mapa riesgos'!#REF!="Muy Alta",'Mapa riesgos'!#REF!="Menor"),CONCATENATE("R10C",'Mapa riesgos'!#REF!),"")</f>
        <v>#REF!</v>
      </c>
      <c r="T15" s="36" t="e">
        <f>IF(AND('Mapa riesgos'!#REF!="Muy Alta",'Mapa riesgos'!#REF!="Menor"),CONCATENATE("R10C",'Mapa riesgos'!#REF!),"")</f>
        <v>#REF!</v>
      </c>
      <c r="U15" s="37" t="e">
        <f>IF(AND('Mapa riesgos'!#REF!="Muy Alta",'Mapa riesgos'!#REF!="Menor"),CONCATENATE("R10C",'Mapa riesgos'!#REF!),"")</f>
        <v>#REF!</v>
      </c>
      <c r="V15" s="41" t="e">
        <f>IF(AND('Mapa riesgos'!#REF!="Muy Alta",'Mapa riesgos'!#REF!="Moderado"),CONCATENATE("R10C",'Mapa riesgos'!#REF!),"")</f>
        <v>#REF!</v>
      </c>
      <c r="W15" s="42" t="e">
        <f>IF(AND('Mapa riesgos'!#REF!="Muy Alta",'Mapa riesgos'!#REF!="Moderado"),CONCATENATE("R10C",'Mapa riesgos'!#REF!),"")</f>
        <v>#REF!</v>
      </c>
      <c r="X15" s="42" t="e">
        <f>IF(AND('Mapa riesgos'!#REF!="Muy Alta",'Mapa riesgos'!#REF!="Moderado"),CONCATENATE("R10C",'Mapa riesgos'!#REF!),"")</f>
        <v>#REF!</v>
      </c>
      <c r="Y15" s="42" t="e">
        <f>IF(AND('Mapa riesgos'!#REF!="Muy Alta",'Mapa riesgos'!#REF!="Moderado"),CONCATENATE("R10C",'Mapa riesgos'!#REF!),"")</f>
        <v>#REF!</v>
      </c>
      <c r="Z15" s="42" t="e">
        <f>IF(AND('Mapa riesgos'!#REF!="Muy Alta",'Mapa riesgos'!#REF!="Moderado"),CONCATENATE("R10C",'Mapa riesgos'!#REF!),"")</f>
        <v>#REF!</v>
      </c>
      <c r="AA15" s="43" t="e">
        <f>IF(AND('Mapa riesgos'!#REF!="Muy Alta",'Mapa riesgos'!#REF!="Moderado"),CONCATENATE("R10C",'Mapa riesgos'!#REF!),"")</f>
        <v>#REF!</v>
      </c>
      <c r="AB15" s="35" t="e">
        <f>IF(AND('Mapa riesgos'!#REF!="Muy Alta",'Mapa riesgos'!#REF!="Mayor"),CONCATENATE("R10C",'Mapa riesgos'!#REF!),"")</f>
        <v>#REF!</v>
      </c>
      <c r="AC15" s="36" t="e">
        <f>IF(AND('Mapa riesgos'!#REF!="Muy Alta",'Mapa riesgos'!#REF!="Mayor"),CONCATENATE("R10C",'Mapa riesgos'!#REF!),"")</f>
        <v>#REF!</v>
      </c>
      <c r="AD15" s="36" t="e">
        <f>IF(AND('Mapa riesgos'!#REF!="Muy Alta",'Mapa riesgos'!#REF!="Mayor"),CONCATENATE("R10C",'Mapa riesgos'!#REF!),"")</f>
        <v>#REF!</v>
      </c>
      <c r="AE15" s="36" t="e">
        <f>IF(AND('Mapa riesgos'!#REF!="Muy Alta",'Mapa riesgos'!#REF!="Mayor"),CONCATENATE("R10C",'Mapa riesgos'!#REF!),"")</f>
        <v>#REF!</v>
      </c>
      <c r="AF15" s="36" t="e">
        <f>IF(AND('Mapa riesgos'!#REF!="Muy Alta",'Mapa riesgos'!#REF!="Mayor"),CONCATENATE("R10C",'Mapa riesgos'!#REF!),"")</f>
        <v>#REF!</v>
      </c>
      <c r="AG15" s="37" t="e">
        <f>IF(AND('Mapa riesgos'!#REF!="Muy Alta",'Mapa riesgos'!#REF!="Mayor"),CONCATENATE("R10C",'Mapa riesgos'!#REF!),"")</f>
        <v>#REF!</v>
      </c>
      <c r="AH15" s="44" t="e">
        <f>IF(AND('Mapa riesgos'!#REF!="Muy Alta",'Mapa riesgos'!#REF!="Catastrófico"),CONCATENATE("R10C",'Mapa riesgos'!#REF!),"")</f>
        <v>#REF!</v>
      </c>
      <c r="AI15" s="45" t="e">
        <f>IF(AND('Mapa riesgos'!#REF!="Muy Alta",'Mapa riesgos'!#REF!="Catastrófico"),CONCATENATE("R10C",'Mapa riesgos'!#REF!),"")</f>
        <v>#REF!</v>
      </c>
      <c r="AJ15" s="45" t="e">
        <f>IF(AND('Mapa riesgos'!#REF!="Muy Alta",'Mapa riesgos'!#REF!="Catastrófico"),CONCATENATE("R10C",'Mapa riesgos'!#REF!),"")</f>
        <v>#REF!</v>
      </c>
      <c r="AK15" s="45" t="e">
        <f>IF(AND('Mapa riesgos'!#REF!="Muy Alta",'Mapa riesgos'!#REF!="Catastrófico"),CONCATENATE("R10C",'Mapa riesgos'!#REF!),"")</f>
        <v>#REF!</v>
      </c>
      <c r="AL15" s="45" t="e">
        <f>IF(AND('Mapa riesgos'!#REF!="Muy Alta",'Mapa riesgos'!#REF!="Catastrófico"),CONCATENATE("R10C",'Mapa riesgos'!#REF!),"")</f>
        <v>#REF!</v>
      </c>
      <c r="AM15" s="46" t="e">
        <f>IF(AND('Mapa riesgos'!#REF!="Muy Alta",'Mapa riesgos'!#REF!="Catastrófico"),CONCATENATE("R10C",'Mapa riesgos'!#REF!),"")</f>
        <v>#REF!</v>
      </c>
      <c r="AN15" s="66"/>
      <c r="AO15" s="514"/>
      <c r="AP15" s="515"/>
      <c r="AQ15" s="515"/>
      <c r="AR15" s="515"/>
      <c r="AS15" s="515"/>
      <c r="AT15" s="51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row>
    <row r="16" spans="1:91" ht="15" customHeight="1" x14ac:dyDescent="0.25">
      <c r="A16" s="66"/>
      <c r="B16" s="406"/>
      <c r="C16" s="406"/>
      <c r="D16" s="407"/>
      <c r="E16" s="501" t="s">
        <v>205</v>
      </c>
      <c r="F16" s="502"/>
      <c r="G16" s="502"/>
      <c r="H16" s="502"/>
      <c r="I16" s="502"/>
      <c r="J16" s="47" t="e">
        <f>IF(AND('Mapa riesgos'!#REF!="Alta",'Mapa riesgos'!#REF!="Leve"),CONCATENATE("R1C",'Mapa riesgos'!#REF!),"")</f>
        <v>#REF!</v>
      </c>
      <c r="K16" s="48" t="e">
        <f>IF(AND('Mapa riesgos'!#REF!="Alta",'Mapa riesgos'!#REF!="Leve"),CONCATENATE("R1C",'Mapa riesgos'!#REF!),"")</f>
        <v>#REF!</v>
      </c>
      <c r="L16" s="48" t="e">
        <f>IF(AND('Mapa riesgos'!#REF!="Alta",'Mapa riesgos'!#REF!="Leve"),CONCATENATE("R1C",'Mapa riesgos'!#REF!),"")</f>
        <v>#REF!</v>
      </c>
      <c r="M16" s="48" t="e">
        <f>IF(AND('Mapa riesgos'!#REF!="Alta",'Mapa riesgos'!#REF!="Leve"),CONCATENATE("R1C",'Mapa riesgos'!#REF!),"")</f>
        <v>#REF!</v>
      </c>
      <c r="N16" s="48" t="e">
        <f>IF(AND('Mapa riesgos'!#REF!="Alta",'Mapa riesgos'!#REF!="Leve"),CONCATENATE("R1C",'Mapa riesgos'!#REF!),"")</f>
        <v>#REF!</v>
      </c>
      <c r="O16" s="49" t="e">
        <f>IF(AND('Mapa riesgos'!#REF!="Alta",'Mapa riesgos'!#REF!="Leve"),CONCATENATE("R1C",'Mapa riesgos'!#REF!),"")</f>
        <v>#REF!</v>
      </c>
      <c r="P16" s="47" t="e">
        <f>IF(AND('Mapa riesgos'!#REF!="Alta",'Mapa riesgos'!#REF!="Menor"),CONCATENATE("R1C",'Mapa riesgos'!#REF!),"")</f>
        <v>#REF!</v>
      </c>
      <c r="Q16" s="48" t="e">
        <f>IF(AND('Mapa riesgos'!#REF!="Alta",'Mapa riesgos'!#REF!="Menor"),CONCATENATE("R1C",'Mapa riesgos'!#REF!),"")</f>
        <v>#REF!</v>
      </c>
      <c r="R16" s="48" t="e">
        <f>IF(AND('Mapa riesgos'!#REF!="Alta",'Mapa riesgos'!#REF!="Menor"),CONCATENATE("R1C",'Mapa riesgos'!#REF!),"")</f>
        <v>#REF!</v>
      </c>
      <c r="S16" s="48" t="e">
        <f>IF(AND('Mapa riesgos'!#REF!="Alta",'Mapa riesgos'!#REF!="Menor"),CONCATENATE("R1C",'Mapa riesgos'!#REF!),"")</f>
        <v>#REF!</v>
      </c>
      <c r="T16" s="48" t="e">
        <f>IF(AND('Mapa riesgos'!#REF!="Alta",'Mapa riesgos'!#REF!="Menor"),CONCATENATE("R1C",'Mapa riesgos'!#REF!),"")</f>
        <v>#REF!</v>
      </c>
      <c r="U16" s="49" t="e">
        <f>IF(AND('Mapa riesgos'!#REF!="Alta",'Mapa riesgos'!#REF!="Menor"),CONCATENATE("R1C",'Mapa riesgos'!#REF!),"")</f>
        <v>#REF!</v>
      </c>
      <c r="V16" s="29" t="e">
        <f>IF(AND('Mapa riesgos'!#REF!="Alta",'Mapa riesgos'!#REF!="Moderado"),CONCATENATE("R1C",'Mapa riesgos'!#REF!),"")</f>
        <v>#REF!</v>
      </c>
      <c r="W16" s="30" t="e">
        <f>IF(AND('Mapa riesgos'!#REF!="Alta",'Mapa riesgos'!#REF!="Moderado"),CONCATENATE("R1C",'Mapa riesgos'!#REF!),"")</f>
        <v>#REF!</v>
      </c>
      <c r="X16" s="30" t="e">
        <f>IF(AND('Mapa riesgos'!#REF!="Alta",'Mapa riesgos'!#REF!="Moderado"),CONCATENATE("R1C",'Mapa riesgos'!#REF!),"")</f>
        <v>#REF!</v>
      </c>
      <c r="Y16" s="30" t="e">
        <f>IF(AND('Mapa riesgos'!#REF!="Alta",'Mapa riesgos'!#REF!="Moderado"),CONCATENATE("R1C",'Mapa riesgos'!#REF!),"")</f>
        <v>#REF!</v>
      </c>
      <c r="Z16" s="30" t="e">
        <f>IF(AND('Mapa riesgos'!#REF!="Alta",'Mapa riesgos'!#REF!="Moderado"),CONCATENATE("R1C",'Mapa riesgos'!#REF!),"")</f>
        <v>#REF!</v>
      </c>
      <c r="AA16" s="31" t="e">
        <f>IF(AND('Mapa riesgos'!#REF!="Alta",'Mapa riesgos'!#REF!="Moderado"),CONCATENATE("R1C",'Mapa riesgos'!#REF!),"")</f>
        <v>#REF!</v>
      </c>
      <c r="AB16" s="29" t="e">
        <f>IF(AND('Mapa riesgos'!#REF!="Alta",'Mapa riesgos'!#REF!="Mayor"),CONCATENATE("R1C",'Mapa riesgos'!#REF!),"")</f>
        <v>#REF!</v>
      </c>
      <c r="AC16" s="30" t="e">
        <f>IF(AND('Mapa riesgos'!#REF!="Alta",'Mapa riesgos'!#REF!="Mayor"),CONCATENATE("R1C",'Mapa riesgos'!#REF!),"")</f>
        <v>#REF!</v>
      </c>
      <c r="AD16" s="30" t="e">
        <f>IF(AND('Mapa riesgos'!#REF!="Alta",'Mapa riesgos'!#REF!="Mayor"),CONCATENATE("R1C",'Mapa riesgos'!#REF!),"")</f>
        <v>#REF!</v>
      </c>
      <c r="AE16" s="30" t="e">
        <f>IF(AND('Mapa riesgos'!#REF!="Alta",'Mapa riesgos'!#REF!="Mayor"),CONCATENATE("R1C",'Mapa riesgos'!#REF!),"")</f>
        <v>#REF!</v>
      </c>
      <c r="AF16" s="30" t="e">
        <f>IF(AND('Mapa riesgos'!#REF!="Alta",'Mapa riesgos'!#REF!="Mayor"),CONCATENATE("R1C",'Mapa riesgos'!#REF!),"")</f>
        <v>#REF!</v>
      </c>
      <c r="AG16" s="31" t="e">
        <f>IF(AND('Mapa riesgos'!#REF!="Alta",'Mapa riesgos'!#REF!="Mayor"),CONCATENATE("R1C",'Mapa riesgos'!#REF!),"")</f>
        <v>#REF!</v>
      </c>
      <c r="AH16" s="32" t="e">
        <f>IF(AND('Mapa riesgos'!#REF!="Alta",'Mapa riesgos'!#REF!="Catastrófico"),CONCATENATE("R1C",'Mapa riesgos'!#REF!),"")</f>
        <v>#REF!</v>
      </c>
      <c r="AI16" s="33" t="e">
        <f>IF(AND('Mapa riesgos'!#REF!="Alta",'Mapa riesgos'!#REF!="Catastrófico"),CONCATENATE("R1C",'Mapa riesgos'!#REF!),"")</f>
        <v>#REF!</v>
      </c>
      <c r="AJ16" s="33" t="e">
        <f>IF(AND('Mapa riesgos'!#REF!="Alta",'Mapa riesgos'!#REF!="Catastrófico"),CONCATENATE("R1C",'Mapa riesgos'!#REF!),"")</f>
        <v>#REF!</v>
      </c>
      <c r="AK16" s="33" t="e">
        <f>IF(AND('Mapa riesgos'!#REF!="Alta",'Mapa riesgos'!#REF!="Catastrófico"),CONCATENATE("R1C",'Mapa riesgos'!#REF!),"")</f>
        <v>#REF!</v>
      </c>
      <c r="AL16" s="33" t="e">
        <f>IF(AND('Mapa riesgos'!#REF!="Alta",'Mapa riesgos'!#REF!="Catastrófico"),CONCATENATE("R1C",'Mapa riesgos'!#REF!),"")</f>
        <v>#REF!</v>
      </c>
      <c r="AM16" s="34" t="e">
        <f>IF(AND('Mapa riesgos'!#REF!="Alta",'Mapa riesgos'!#REF!="Catastrófico"),CONCATENATE("R1C",'Mapa riesgos'!#REF!),"")</f>
        <v>#REF!</v>
      </c>
      <c r="AN16" s="66"/>
      <c r="AO16" s="492" t="s">
        <v>206</v>
      </c>
      <c r="AP16" s="493"/>
      <c r="AQ16" s="493"/>
      <c r="AR16" s="493"/>
      <c r="AS16" s="493"/>
      <c r="AT16" s="494"/>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row>
    <row r="17" spans="1:76" ht="15" customHeight="1" x14ac:dyDescent="0.25">
      <c r="A17" s="66"/>
      <c r="B17" s="406"/>
      <c r="C17" s="406"/>
      <c r="D17" s="407"/>
      <c r="E17" s="503"/>
      <c r="F17" s="504"/>
      <c r="G17" s="504"/>
      <c r="H17" s="504"/>
      <c r="I17" s="504"/>
      <c r="J17" s="50" t="e">
        <f>IF(AND('Mapa riesgos'!#REF!="Alta",'Mapa riesgos'!#REF!="Leve"),CONCATENATE("R2C",'Mapa riesgos'!#REF!),"")</f>
        <v>#REF!</v>
      </c>
      <c r="K17" s="51" t="e">
        <f>IF(AND('Mapa riesgos'!#REF!="Alta",'Mapa riesgos'!#REF!="Leve"),CONCATENATE("R2C",'Mapa riesgos'!#REF!),"")</f>
        <v>#REF!</v>
      </c>
      <c r="L17" s="51" t="e">
        <f>IF(AND('Mapa riesgos'!#REF!="Alta",'Mapa riesgos'!#REF!="Leve"),CONCATENATE("R2C",'Mapa riesgos'!#REF!),"")</f>
        <v>#REF!</v>
      </c>
      <c r="M17" s="51" t="e">
        <f>IF(AND('Mapa riesgos'!#REF!="Alta",'Mapa riesgos'!#REF!="Leve"),CONCATENATE("R2C",'Mapa riesgos'!#REF!),"")</f>
        <v>#REF!</v>
      </c>
      <c r="N17" s="51" t="e">
        <f>IF(AND('Mapa riesgos'!#REF!="Alta",'Mapa riesgos'!#REF!="Leve"),CONCATENATE("R2C",'Mapa riesgos'!#REF!),"")</f>
        <v>#REF!</v>
      </c>
      <c r="O17" s="52" t="e">
        <f>IF(AND('Mapa riesgos'!#REF!="Alta",'Mapa riesgos'!#REF!="Leve"),CONCATENATE("R2C",'Mapa riesgos'!#REF!),"")</f>
        <v>#REF!</v>
      </c>
      <c r="P17" s="50" t="e">
        <f>IF(AND('Mapa riesgos'!#REF!="Alta",'Mapa riesgos'!#REF!="Menor"),CONCATENATE("R2C",'Mapa riesgos'!#REF!),"")</f>
        <v>#REF!</v>
      </c>
      <c r="Q17" s="51" t="e">
        <f>IF(AND('Mapa riesgos'!#REF!="Alta",'Mapa riesgos'!#REF!="Menor"),CONCATENATE("R2C",'Mapa riesgos'!#REF!),"")</f>
        <v>#REF!</v>
      </c>
      <c r="R17" s="51" t="e">
        <f>IF(AND('Mapa riesgos'!#REF!="Alta",'Mapa riesgos'!#REF!="Menor"),CONCATENATE("R2C",'Mapa riesgos'!#REF!),"")</f>
        <v>#REF!</v>
      </c>
      <c r="S17" s="51" t="e">
        <f>IF(AND('Mapa riesgos'!#REF!="Alta",'Mapa riesgos'!#REF!="Menor"),CONCATENATE("R2C",'Mapa riesgos'!#REF!),"")</f>
        <v>#REF!</v>
      </c>
      <c r="T17" s="51" t="e">
        <f>IF(AND('Mapa riesgos'!#REF!="Alta",'Mapa riesgos'!#REF!="Menor"),CONCATENATE("R2C",'Mapa riesgos'!#REF!),"")</f>
        <v>#REF!</v>
      </c>
      <c r="U17" s="52" t="e">
        <f>IF(AND('Mapa riesgos'!#REF!="Alta",'Mapa riesgos'!#REF!="Menor"),CONCATENATE("R2C",'Mapa riesgos'!#REF!),"")</f>
        <v>#REF!</v>
      </c>
      <c r="V17" s="35" t="e">
        <f>IF(AND('Mapa riesgos'!#REF!="Alta",'Mapa riesgos'!#REF!="Moderado"),CONCATENATE("R2C",'Mapa riesgos'!#REF!),"")</f>
        <v>#REF!</v>
      </c>
      <c r="W17" s="36" t="e">
        <f>IF(AND('Mapa riesgos'!#REF!="Alta",'Mapa riesgos'!#REF!="Moderado"),CONCATENATE("R2C",'Mapa riesgos'!#REF!),"")</f>
        <v>#REF!</v>
      </c>
      <c r="X17" s="36" t="e">
        <f>IF(AND('Mapa riesgos'!#REF!="Alta",'Mapa riesgos'!#REF!="Moderado"),CONCATENATE("R2C",'Mapa riesgos'!#REF!),"")</f>
        <v>#REF!</v>
      </c>
      <c r="Y17" s="36" t="e">
        <f>IF(AND('Mapa riesgos'!#REF!="Alta",'Mapa riesgos'!#REF!="Moderado"),CONCATENATE("R2C",'Mapa riesgos'!#REF!),"")</f>
        <v>#REF!</v>
      </c>
      <c r="Z17" s="36" t="e">
        <f>IF(AND('Mapa riesgos'!#REF!="Alta",'Mapa riesgos'!#REF!="Moderado"),CONCATENATE("R2C",'Mapa riesgos'!#REF!),"")</f>
        <v>#REF!</v>
      </c>
      <c r="AA17" s="37" t="e">
        <f>IF(AND('Mapa riesgos'!#REF!="Alta",'Mapa riesgos'!#REF!="Moderado"),CONCATENATE("R2C",'Mapa riesgos'!#REF!),"")</f>
        <v>#REF!</v>
      </c>
      <c r="AB17" s="35" t="e">
        <f>IF(AND('Mapa riesgos'!#REF!="Alta",'Mapa riesgos'!#REF!="Mayor"),CONCATENATE("R2C",'Mapa riesgos'!#REF!),"")</f>
        <v>#REF!</v>
      </c>
      <c r="AC17" s="36" t="e">
        <f>IF(AND('Mapa riesgos'!#REF!="Alta",'Mapa riesgos'!#REF!="Mayor"),CONCATENATE("R2C",'Mapa riesgos'!#REF!),"")</f>
        <v>#REF!</v>
      </c>
      <c r="AD17" s="36" t="e">
        <f>IF(AND('Mapa riesgos'!#REF!="Alta",'Mapa riesgos'!#REF!="Mayor"),CONCATENATE("R2C",'Mapa riesgos'!#REF!),"")</f>
        <v>#REF!</v>
      </c>
      <c r="AE17" s="36" t="e">
        <f>IF(AND('Mapa riesgos'!#REF!="Alta",'Mapa riesgos'!#REF!="Mayor"),CONCATENATE("R2C",'Mapa riesgos'!#REF!),"")</f>
        <v>#REF!</v>
      </c>
      <c r="AF17" s="36" t="e">
        <f>IF(AND('Mapa riesgos'!#REF!="Alta",'Mapa riesgos'!#REF!="Mayor"),CONCATENATE("R2C",'Mapa riesgos'!#REF!),"")</f>
        <v>#REF!</v>
      </c>
      <c r="AG17" s="37" t="e">
        <f>IF(AND('Mapa riesgos'!#REF!="Alta",'Mapa riesgos'!#REF!="Mayor"),CONCATENATE("R2C",'Mapa riesgos'!#REF!),"")</f>
        <v>#REF!</v>
      </c>
      <c r="AH17" s="38" t="e">
        <f>IF(AND('Mapa riesgos'!#REF!="Alta",'Mapa riesgos'!#REF!="Catastrófico"),CONCATENATE("R2C",'Mapa riesgos'!#REF!),"")</f>
        <v>#REF!</v>
      </c>
      <c r="AI17" s="39" t="e">
        <f>IF(AND('Mapa riesgos'!#REF!="Alta",'Mapa riesgos'!#REF!="Catastrófico"),CONCATENATE("R2C",'Mapa riesgos'!#REF!),"")</f>
        <v>#REF!</v>
      </c>
      <c r="AJ17" s="39" t="e">
        <f>IF(AND('Mapa riesgos'!#REF!="Alta",'Mapa riesgos'!#REF!="Catastrófico"),CONCATENATE("R2C",'Mapa riesgos'!#REF!),"")</f>
        <v>#REF!</v>
      </c>
      <c r="AK17" s="39" t="e">
        <f>IF(AND('Mapa riesgos'!#REF!="Alta",'Mapa riesgos'!#REF!="Catastrófico"),CONCATENATE("R2C",'Mapa riesgos'!#REF!),"")</f>
        <v>#REF!</v>
      </c>
      <c r="AL17" s="39" t="e">
        <f>IF(AND('Mapa riesgos'!#REF!="Alta",'Mapa riesgos'!#REF!="Catastrófico"),CONCATENATE("R2C",'Mapa riesgos'!#REF!),"")</f>
        <v>#REF!</v>
      </c>
      <c r="AM17" s="40" t="e">
        <f>IF(AND('Mapa riesgos'!#REF!="Alta",'Mapa riesgos'!#REF!="Catastrófico"),CONCATENATE("R2C",'Mapa riesgos'!#REF!),"")</f>
        <v>#REF!</v>
      </c>
      <c r="AN17" s="66"/>
      <c r="AO17" s="495"/>
      <c r="AP17" s="496"/>
      <c r="AQ17" s="496"/>
      <c r="AR17" s="496"/>
      <c r="AS17" s="496"/>
      <c r="AT17" s="497"/>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row>
    <row r="18" spans="1:76" ht="15" customHeight="1" x14ac:dyDescent="0.25">
      <c r="A18" s="66"/>
      <c r="B18" s="406"/>
      <c r="C18" s="406"/>
      <c r="D18" s="407"/>
      <c r="E18" s="505"/>
      <c r="F18" s="504"/>
      <c r="G18" s="504"/>
      <c r="H18" s="504"/>
      <c r="I18" s="504"/>
      <c r="J18" s="50" t="e">
        <f>IF(AND('Mapa riesgos'!#REF!="Alta",'Mapa riesgos'!#REF!="Leve"),CONCATENATE("R3C",'Mapa riesgos'!#REF!),"")</f>
        <v>#REF!</v>
      </c>
      <c r="K18" s="51" t="e">
        <f>IF(AND('Mapa riesgos'!#REF!="Alta",'Mapa riesgos'!#REF!="Leve"),CONCATENATE("R3C",'Mapa riesgos'!#REF!),"")</f>
        <v>#REF!</v>
      </c>
      <c r="L18" s="51" t="e">
        <f>IF(AND('Mapa riesgos'!#REF!="Alta",'Mapa riesgos'!#REF!="Leve"),CONCATENATE("R3C",'Mapa riesgos'!#REF!),"")</f>
        <v>#REF!</v>
      </c>
      <c r="M18" s="51" t="e">
        <f>IF(AND('Mapa riesgos'!#REF!="Alta",'Mapa riesgos'!#REF!="Leve"),CONCATENATE("R3C",'Mapa riesgos'!#REF!),"")</f>
        <v>#REF!</v>
      </c>
      <c r="N18" s="51" t="e">
        <f>IF(AND('Mapa riesgos'!#REF!="Alta",'Mapa riesgos'!#REF!="Leve"),CONCATENATE("R3C",'Mapa riesgos'!#REF!),"")</f>
        <v>#REF!</v>
      </c>
      <c r="O18" s="52" t="e">
        <f>IF(AND('Mapa riesgos'!#REF!="Alta",'Mapa riesgos'!#REF!="Leve"),CONCATENATE("R3C",'Mapa riesgos'!#REF!),"")</f>
        <v>#REF!</v>
      </c>
      <c r="P18" s="50" t="e">
        <f>IF(AND('Mapa riesgos'!#REF!="Alta",'Mapa riesgos'!#REF!="Menor"),CONCATENATE("R3C",'Mapa riesgos'!#REF!),"")</f>
        <v>#REF!</v>
      </c>
      <c r="Q18" s="51" t="e">
        <f>IF(AND('Mapa riesgos'!#REF!="Alta",'Mapa riesgos'!#REF!="Menor"),CONCATENATE("R3C",'Mapa riesgos'!#REF!),"")</f>
        <v>#REF!</v>
      </c>
      <c r="R18" s="51" t="e">
        <f>IF(AND('Mapa riesgos'!#REF!="Alta",'Mapa riesgos'!#REF!="Menor"),CONCATENATE("R3C",'Mapa riesgos'!#REF!),"")</f>
        <v>#REF!</v>
      </c>
      <c r="S18" s="51" t="e">
        <f>IF(AND('Mapa riesgos'!#REF!="Alta",'Mapa riesgos'!#REF!="Menor"),CONCATENATE("R3C",'Mapa riesgos'!#REF!),"")</f>
        <v>#REF!</v>
      </c>
      <c r="T18" s="51" t="e">
        <f>IF(AND('Mapa riesgos'!#REF!="Alta",'Mapa riesgos'!#REF!="Menor"),CONCATENATE("R3C",'Mapa riesgos'!#REF!),"")</f>
        <v>#REF!</v>
      </c>
      <c r="U18" s="52" t="e">
        <f>IF(AND('Mapa riesgos'!#REF!="Alta",'Mapa riesgos'!#REF!="Menor"),CONCATENATE("R3C",'Mapa riesgos'!#REF!),"")</f>
        <v>#REF!</v>
      </c>
      <c r="V18" s="35" t="e">
        <f>IF(AND('Mapa riesgos'!#REF!="Alta",'Mapa riesgos'!#REF!="Moderado"),CONCATENATE("R3C",'Mapa riesgos'!#REF!),"")</f>
        <v>#REF!</v>
      </c>
      <c r="W18" s="36" t="e">
        <f>IF(AND('Mapa riesgos'!#REF!="Alta",'Mapa riesgos'!#REF!="Moderado"),CONCATENATE("R3C",'Mapa riesgos'!#REF!),"")</f>
        <v>#REF!</v>
      </c>
      <c r="X18" s="36" t="e">
        <f>IF(AND('Mapa riesgos'!#REF!="Alta",'Mapa riesgos'!#REF!="Moderado"),CONCATENATE("R3C",'Mapa riesgos'!#REF!),"")</f>
        <v>#REF!</v>
      </c>
      <c r="Y18" s="36" t="e">
        <f>IF(AND('Mapa riesgos'!#REF!="Alta",'Mapa riesgos'!#REF!="Moderado"),CONCATENATE("R3C",'Mapa riesgos'!#REF!),"")</f>
        <v>#REF!</v>
      </c>
      <c r="Z18" s="36" t="e">
        <f>IF(AND('Mapa riesgos'!#REF!="Alta",'Mapa riesgos'!#REF!="Moderado"),CONCATENATE("R3C",'Mapa riesgos'!#REF!),"")</f>
        <v>#REF!</v>
      </c>
      <c r="AA18" s="37" t="e">
        <f>IF(AND('Mapa riesgos'!#REF!="Alta",'Mapa riesgos'!#REF!="Moderado"),CONCATENATE("R3C",'Mapa riesgos'!#REF!),"")</f>
        <v>#REF!</v>
      </c>
      <c r="AB18" s="35" t="e">
        <f>IF(AND('Mapa riesgos'!#REF!="Alta",'Mapa riesgos'!#REF!="Mayor"),CONCATENATE("R3C",'Mapa riesgos'!#REF!),"")</f>
        <v>#REF!</v>
      </c>
      <c r="AC18" s="36" t="e">
        <f>IF(AND('Mapa riesgos'!#REF!="Alta",'Mapa riesgos'!#REF!="Mayor"),CONCATENATE("R3C",'Mapa riesgos'!#REF!),"")</f>
        <v>#REF!</v>
      </c>
      <c r="AD18" s="36" t="e">
        <f>IF(AND('Mapa riesgos'!#REF!="Alta",'Mapa riesgos'!#REF!="Mayor"),CONCATENATE("R3C",'Mapa riesgos'!#REF!),"")</f>
        <v>#REF!</v>
      </c>
      <c r="AE18" s="36" t="e">
        <f>IF(AND('Mapa riesgos'!#REF!="Alta",'Mapa riesgos'!#REF!="Mayor"),CONCATENATE("R3C",'Mapa riesgos'!#REF!),"")</f>
        <v>#REF!</v>
      </c>
      <c r="AF18" s="36" t="e">
        <f>IF(AND('Mapa riesgos'!#REF!="Alta",'Mapa riesgos'!#REF!="Mayor"),CONCATENATE("R3C",'Mapa riesgos'!#REF!),"")</f>
        <v>#REF!</v>
      </c>
      <c r="AG18" s="37" t="e">
        <f>IF(AND('Mapa riesgos'!#REF!="Alta",'Mapa riesgos'!#REF!="Mayor"),CONCATENATE("R3C",'Mapa riesgos'!#REF!),"")</f>
        <v>#REF!</v>
      </c>
      <c r="AH18" s="38" t="e">
        <f>IF(AND('Mapa riesgos'!#REF!="Alta",'Mapa riesgos'!#REF!="Catastrófico"),CONCATENATE("R3C",'Mapa riesgos'!#REF!),"")</f>
        <v>#REF!</v>
      </c>
      <c r="AI18" s="39" t="e">
        <f>IF(AND('Mapa riesgos'!#REF!="Alta",'Mapa riesgos'!#REF!="Catastrófico"),CONCATENATE("R3C",'Mapa riesgos'!#REF!),"")</f>
        <v>#REF!</v>
      </c>
      <c r="AJ18" s="39" t="e">
        <f>IF(AND('Mapa riesgos'!#REF!="Alta",'Mapa riesgos'!#REF!="Catastrófico"),CONCATENATE("R3C",'Mapa riesgos'!#REF!),"")</f>
        <v>#REF!</v>
      </c>
      <c r="AK18" s="39" t="e">
        <f>IF(AND('Mapa riesgos'!#REF!="Alta",'Mapa riesgos'!#REF!="Catastrófico"),CONCATENATE("R3C",'Mapa riesgos'!#REF!),"")</f>
        <v>#REF!</v>
      </c>
      <c r="AL18" s="39" t="e">
        <f>IF(AND('Mapa riesgos'!#REF!="Alta",'Mapa riesgos'!#REF!="Catastrófico"),CONCATENATE("R3C",'Mapa riesgos'!#REF!),"")</f>
        <v>#REF!</v>
      </c>
      <c r="AM18" s="40" t="e">
        <f>IF(AND('Mapa riesgos'!#REF!="Alta",'Mapa riesgos'!#REF!="Catastrófico"),CONCATENATE("R3C",'Mapa riesgos'!#REF!),"")</f>
        <v>#REF!</v>
      </c>
      <c r="AN18" s="66"/>
      <c r="AO18" s="495"/>
      <c r="AP18" s="496"/>
      <c r="AQ18" s="496"/>
      <c r="AR18" s="496"/>
      <c r="AS18" s="496"/>
      <c r="AT18" s="497"/>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row>
    <row r="19" spans="1:76" ht="15" customHeight="1" x14ac:dyDescent="0.25">
      <c r="A19" s="66"/>
      <c r="B19" s="406"/>
      <c r="C19" s="406"/>
      <c r="D19" s="407"/>
      <c r="E19" s="505"/>
      <c r="F19" s="504"/>
      <c r="G19" s="504"/>
      <c r="H19" s="504"/>
      <c r="I19" s="504"/>
      <c r="J19" s="50" t="str">
        <f>IF(AND('Mapa riesgos'!$AD$17="Alta",'Mapa riesgos'!$AF$17="Leve"),CONCATENATE("R4C",'Mapa riesgos'!$T$17),"")</f>
        <v/>
      </c>
      <c r="K19" s="51" t="str">
        <f>IF(AND('Mapa riesgos'!$AD$18="Alta",'Mapa riesgos'!$AF$18="Leve"),CONCATENATE("R4C",'Mapa riesgos'!$T$18),"")</f>
        <v/>
      </c>
      <c r="L19" s="51" t="str">
        <f>IF(AND('Mapa riesgos'!$AD$19="Alta",'Mapa riesgos'!$AF$19="Leve"),CONCATENATE("R4C",'Mapa riesgos'!$T$19),"")</f>
        <v/>
      </c>
      <c r="M19" s="51" t="str">
        <f>IF(AND('Mapa riesgos'!$AD$20="Alta",'Mapa riesgos'!$AF$20="Leve"),CONCATENATE("R4C",'Mapa riesgos'!$T$20),"")</f>
        <v/>
      </c>
      <c r="N19" s="51" t="str">
        <f>IF(AND('Mapa riesgos'!$AD$21="Alta",'Mapa riesgos'!$AF$21="Leve"),CONCATENATE("R4C",'Mapa riesgos'!$T$21),"")</f>
        <v/>
      </c>
      <c r="O19" s="52" t="str">
        <f>IF(AND('Mapa riesgos'!$AD$22="Alta",'Mapa riesgos'!$AF$22="Leve"),CONCATENATE("R4C",'Mapa riesgos'!$T$22),"")</f>
        <v/>
      </c>
      <c r="P19" s="50" t="str">
        <f>IF(AND('Mapa riesgos'!$AD$17="Alta",'Mapa riesgos'!$AF$17="Menor"),CONCATENATE("R4C",'Mapa riesgos'!$T$17),"")</f>
        <v/>
      </c>
      <c r="Q19" s="51" t="str">
        <f>IF(AND('Mapa riesgos'!$AD$18="Alta",'Mapa riesgos'!$AF$18="Menor"),CONCATENATE("R4C",'Mapa riesgos'!$T$18),"")</f>
        <v/>
      </c>
      <c r="R19" s="51" t="str">
        <f>IF(AND('Mapa riesgos'!$AD$19="Alta",'Mapa riesgos'!$AF$19="Menor"),CONCATENATE("R4C",'Mapa riesgos'!$T$19),"")</f>
        <v/>
      </c>
      <c r="S19" s="51" t="str">
        <f>IF(AND('Mapa riesgos'!$AD$20="Alta",'Mapa riesgos'!$AF$20="Menor"),CONCATENATE("R4C",'Mapa riesgos'!$T$20),"")</f>
        <v/>
      </c>
      <c r="T19" s="51" t="str">
        <f>IF(AND('Mapa riesgos'!$AD$21="Alta",'Mapa riesgos'!$AF$21="Menor"),CONCATENATE("R4C",'Mapa riesgos'!$T$21),"")</f>
        <v/>
      </c>
      <c r="U19" s="52" t="str">
        <f>IF(AND('Mapa riesgos'!$AD$22="Alta",'Mapa riesgos'!$AF$22="Menor"),CONCATENATE("R4C",'Mapa riesgos'!$T$22),"")</f>
        <v/>
      </c>
      <c r="V19" s="35" t="str">
        <f>IF(AND('Mapa riesgos'!$AD$17="Alta",'Mapa riesgos'!$AF$17="Moderado"),CONCATENATE("R4C",'Mapa riesgos'!$T$17),"")</f>
        <v/>
      </c>
      <c r="W19" s="36" t="str">
        <f>IF(AND('Mapa riesgos'!$AD$18="Alta",'Mapa riesgos'!$AF$18="Moderado"),CONCATENATE("R4C",'Mapa riesgos'!$T$18),"")</f>
        <v/>
      </c>
      <c r="X19" s="36" t="str">
        <f>IF(AND('Mapa riesgos'!$AD$19="Alta",'Mapa riesgos'!$AF$19="Moderado"),CONCATENATE("R4C",'Mapa riesgos'!$T$19),"")</f>
        <v/>
      </c>
      <c r="Y19" s="36" t="str">
        <f>IF(AND('Mapa riesgos'!$AD$20="Alta",'Mapa riesgos'!$AF$20="Moderado"),CONCATENATE("R4C",'Mapa riesgos'!$T$20),"")</f>
        <v/>
      </c>
      <c r="Z19" s="36" t="str">
        <f>IF(AND('Mapa riesgos'!$AD$21="Alta",'Mapa riesgos'!$AF$21="Moderado"),CONCATENATE("R4C",'Mapa riesgos'!$T$21),"")</f>
        <v/>
      </c>
      <c r="AA19" s="37" t="str">
        <f>IF(AND('Mapa riesgos'!$AD$22="Alta",'Mapa riesgos'!$AF$22="Moderado"),CONCATENATE("R4C",'Mapa riesgos'!$T$22),"")</f>
        <v/>
      </c>
      <c r="AB19" s="35" t="str">
        <f>IF(AND('Mapa riesgos'!$AD$17="Alta",'Mapa riesgos'!$AF$17="Mayor"),CONCATENATE("R4C",'Mapa riesgos'!$T$17),"")</f>
        <v/>
      </c>
      <c r="AC19" s="36" t="str">
        <f>IF(AND('Mapa riesgos'!$AD$18="Alta",'Mapa riesgos'!$AF$18="Mayor"),CONCATENATE("R4C",'Mapa riesgos'!$T$18),"")</f>
        <v/>
      </c>
      <c r="AD19" s="36" t="str">
        <f>IF(AND('Mapa riesgos'!$AD$19="Alta",'Mapa riesgos'!$AF$19="Mayor"),CONCATENATE("R4C",'Mapa riesgos'!$T$19),"")</f>
        <v/>
      </c>
      <c r="AE19" s="36" t="str">
        <f>IF(AND('Mapa riesgos'!$AD$20="Alta",'Mapa riesgos'!$AF$20="Mayor"),CONCATENATE("R4C",'Mapa riesgos'!$T$20),"")</f>
        <v/>
      </c>
      <c r="AF19" s="36" t="str">
        <f>IF(AND('Mapa riesgos'!$AD$21="Alta",'Mapa riesgos'!$AF$21="Mayor"),CONCATENATE("R4C",'Mapa riesgos'!$T$21),"")</f>
        <v/>
      </c>
      <c r="AG19" s="37" t="str">
        <f>IF(AND('Mapa riesgos'!$AD$22="Alta",'Mapa riesgos'!$AF$22="Mayor"),CONCATENATE("R4C",'Mapa riesgos'!$T$22),"")</f>
        <v/>
      </c>
      <c r="AH19" s="38" t="str">
        <f>IF(AND('Mapa riesgos'!$AD$17="Alta",'Mapa riesgos'!$AF$17="Catastrófico"),CONCATENATE("R4C",'Mapa riesgos'!$T$17),"")</f>
        <v/>
      </c>
      <c r="AI19" s="39" t="str">
        <f>IF(AND('Mapa riesgos'!$AD$18="Alta",'Mapa riesgos'!$AF$18="Catastrófico"),CONCATENATE("R4C",'Mapa riesgos'!$T$18),"")</f>
        <v/>
      </c>
      <c r="AJ19" s="39" t="str">
        <f>IF(AND('Mapa riesgos'!$AD$19="Alta",'Mapa riesgos'!$AF$19="Catastrófico"),CONCATENATE("R4C",'Mapa riesgos'!$T$19),"")</f>
        <v/>
      </c>
      <c r="AK19" s="39" t="str">
        <f>IF(AND('Mapa riesgos'!$AD$20="Alta",'Mapa riesgos'!$AF$20="Catastrófico"),CONCATENATE("R4C",'Mapa riesgos'!$T$20),"")</f>
        <v/>
      </c>
      <c r="AL19" s="39" t="str">
        <f>IF(AND('Mapa riesgos'!$AD$21="Alta",'Mapa riesgos'!$AF$21="Catastrófico"),CONCATENATE("R4C",'Mapa riesgos'!$T$21),"")</f>
        <v/>
      </c>
      <c r="AM19" s="40" t="str">
        <f>IF(AND('Mapa riesgos'!$AD$22="Alta",'Mapa riesgos'!$AF$22="Catastrófico"),CONCATENATE("R4C",'Mapa riesgos'!$T$22),"")</f>
        <v/>
      </c>
      <c r="AN19" s="66"/>
      <c r="AO19" s="495"/>
      <c r="AP19" s="496"/>
      <c r="AQ19" s="496"/>
      <c r="AR19" s="496"/>
      <c r="AS19" s="496"/>
      <c r="AT19" s="497"/>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row>
    <row r="20" spans="1:76" ht="15" customHeight="1" x14ac:dyDescent="0.25">
      <c r="A20" s="66"/>
      <c r="B20" s="406"/>
      <c r="C20" s="406"/>
      <c r="D20" s="407"/>
      <c r="E20" s="505"/>
      <c r="F20" s="504"/>
      <c r="G20" s="504"/>
      <c r="H20" s="504"/>
      <c r="I20" s="504"/>
      <c r="J20" s="50" t="e">
        <f>IF(AND('Mapa riesgos'!#REF!="Alta",'Mapa riesgos'!#REF!="Leve"),CONCATENATE("R5C",'Mapa riesgos'!#REF!),"")</f>
        <v>#REF!</v>
      </c>
      <c r="K20" s="51" t="e">
        <f>IF(AND('Mapa riesgos'!#REF!="Alta",'Mapa riesgos'!#REF!="Leve"),CONCATENATE("R5C",'Mapa riesgos'!#REF!),"")</f>
        <v>#REF!</v>
      </c>
      <c r="L20" s="51" t="e">
        <f>IF(AND('Mapa riesgos'!#REF!="Alta",'Mapa riesgos'!#REF!="Leve"),CONCATENATE("R5C",'Mapa riesgos'!#REF!),"")</f>
        <v>#REF!</v>
      </c>
      <c r="M20" s="51" t="e">
        <f>IF(AND('Mapa riesgos'!#REF!="Alta",'Mapa riesgos'!#REF!="Leve"),CONCATENATE("R5C",'Mapa riesgos'!#REF!),"")</f>
        <v>#REF!</v>
      </c>
      <c r="N20" s="51" t="e">
        <f>IF(AND('Mapa riesgos'!#REF!="Alta",'Mapa riesgos'!#REF!="Leve"),CONCATENATE("R5C",'Mapa riesgos'!#REF!),"")</f>
        <v>#REF!</v>
      </c>
      <c r="O20" s="52" t="e">
        <f>IF(AND('Mapa riesgos'!#REF!="Alta",'Mapa riesgos'!#REF!="Leve"),CONCATENATE("R5C",'Mapa riesgos'!#REF!),"")</f>
        <v>#REF!</v>
      </c>
      <c r="P20" s="50" t="e">
        <f>IF(AND('Mapa riesgos'!#REF!="Alta",'Mapa riesgos'!#REF!="Menor"),CONCATENATE("R5C",'Mapa riesgos'!#REF!),"")</f>
        <v>#REF!</v>
      </c>
      <c r="Q20" s="51" t="e">
        <f>IF(AND('Mapa riesgos'!#REF!="Alta",'Mapa riesgos'!#REF!="Menor"),CONCATENATE("R5C",'Mapa riesgos'!#REF!),"")</f>
        <v>#REF!</v>
      </c>
      <c r="R20" s="51" t="e">
        <f>IF(AND('Mapa riesgos'!#REF!="Alta",'Mapa riesgos'!#REF!="Menor"),CONCATENATE("R5C",'Mapa riesgos'!#REF!),"")</f>
        <v>#REF!</v>
      </c>
      <c r="S20" s="51" t="e">
        <f>IF(AND('Mapa riesgos'!#REF!="Alta",'Mapa riesgos'!#REF!="Menor"),CONCATENATE("R5C",'Mapa riesgos'!#REF!),"")</f>
        <v>#REF!</v>
      </c>
      <c r="T20" s="51" t="e">
        <f>IF(AND('Mapa riesgos'!#REF!="Alta",'Mapa riesgos'!#REF!="Menor"),CONCATENATE("R5C",'Mapa riesgos'!#REF!),"")</f>
        <v>#REF!</v>
      </c>
      <c r="U20" s="52" t="e">
        <f>IF(AND('Mapa riesgos'!#REF!="Alta",'Mapa riesgos'!#REF!="Menor"),CONCATENATE("R5C",'Mapa riesgos'!#REF!),"")</f>
        <v>#REF!</v>
      </c>
      <c r="V20" s="35" t="e">
        <f>IF(AND('Mapa riesgos'!#REF!="Alta",'Mapa riesgos'!#REF!="Moderado"),CONCATENATE("R5C",'Mapa riesgos'!#REF!),"")</f>
        <v>#REF!</v>
      </c>
      <c r="W20" s="36" t="e">
        <f>IF(AND('Mapa riesgos'!#REF!="Alta",'Mapa riesgos'!#REF!="Moderado"),CONCATENATE("R5C",'Mapa riesgos'!#REF!),"")</f>
        <v>#REF!</v>
      </c>
      <c r="X20" s="36" t="e">
        <f>IF(AND('Mapa riesgos'!#REF!="Alta",'Mapa riesgos'!#REF!="Moderado"),CONCATENATE("R5C",'Mapa riesgos'!#REF!),"")</f>
        <v>#REF!</v>
      </c>
      <c r="Y20" s="36" t="e">
        <f>IF(AND('Mapa riesgos'!#REF!="Alta",'Mapa riesgos'!#REF!="Moderado"),CONCATENATE("R5C",'Mapa riesgos'!#REF!),"")</f>
        <v>#REF!</v>
      </c>
      <c r="Z20" s="36" t="e">
        <f>IF(AND('Mapa riesgos'!#REF!="Alta",'Mapa riesgos'!#REF!="Moderado"),CONCATENATE("R5C",'Mapa riesgos'!#REF!),"")</f>
        <v>#REF!</v>
      </c>
      <c r="AA20" s="37" t="e">
        <f>IF(AND('Mapa riesgos'!#REF!="Alta",'Mapa riesgos'!#REF!="Moderado"),CONCATENATE("R5C",'Mapa riesgos'!#REF!),"")</f>
        <v>#REF!</v>
      </c>
      <c r="AB20" s="35" t="e">
        <f>IF(AND('Mapa riesgos'!#REF!="Alta",'Mapa riesgos'!#REF!="Mayor"),CONCATENATE("R5C",'Mapa riesgos'!#REF!),"")</f>
        <v>#REF!</v>
      </c>
      <c r="AC20" s="36" t="e">
        <f>IF(AND('Mapa riesgos'!#REF!="Alta",'Mapa riesgos'!#REF!="Mayor"),CONCATENATE("R5C",'Mapa riesgos'!#REF!),"")</f>
        <v>#REF!</v>
      </c>
      <c r="AD20" s="36" t="e">
        <f>IF(AND('Mapa riesgos'!#REF!="Alta",'Mapa riesgos'!#REF!="Mayor"),CONCATENATE("R5C",'Mapa riesgos'!#REF!),"")</f>
        <v>#REF!</v>
      </c>
      <c r="AE20" s="36" t="e">
        <f>IF(AND('Mapa riesgos'!#REF!="Alta",'Mapa riesgos'!#REF!="Mayor"),CONCATENATE("R5C",'Mapa riesgos'!#REF!),"")</f>
        <v>#REF!</v>
      </c>
      <c r="AF20" s="36" t="e">
        <f>IF(AND('Mapa riesgos'!#REF!="Alta",'Mapa riesgos'!#REF!="Mayor"),CONCATENATE("R5C",'Mapa riesgos'!#REF!),"")</f>
        <v>#REF!</v>
      </c>
      <c r="AG20" s="37" t="e">
        <f>IF(AND('Mapa riesgos'!#REF!="Alta",'Mapa riesgos'!#REF!="Mayor"),CONCATENATE("R5C",'Mapa riesgos'!#REF!),"")</f>
        <v>#REF!</v>
      </c>
      <c r="AH20" s="38" t="e">
        <f>IF(AND('Mapa riesgos'!#REF!="Alta",'Mapa riesgos'!#REF!="Catastrófico"),CONCATENATE("R5C",'Mapa riesgos'!#REF!),"")</f>
        <v>#REF!</v>
      </c>
      <c r="AI20" s="39" t="e">
        <f>IF(AND('Mapa riesgos'!#REF!="Alta",'Mapa riesgos'!#REF!="Catastrófico"),CONCATENATE("R5C",'Mapa riesgos'!#REF!),"")</f>
        <v>#REF!</v>
      </c>
      <c r="AJ20" s="39" t="e">
        <f>IF(AND('Mapa riesgos'!#REF!="Alta",'Mapa riesgos'!#REF!="Catastrófico"),CONCATENATE("R5C",'Mapa riesgos'!#REF!),"")</f>
        <v>#REF!</v>
      </c>
      <c r="AK20" s="39" t="e">
        <f>IF(AND('Mapa riesgos'!#REF!="Alta",'Mapa riesgos'!#REF!="Catastrófico"),CONCATENATE("R5C",'Mapa riesgos'!#REF!),"")</f>
        <v>#REF!</v>
      </c>
      <c r="AL20" s="39" t="e">
        <f>IF(AND('Mapa riesgos'!#REF!="Alta",'Mapa riesgos'!#REF!="Catastrófico"),CONCATENATE("R5C",'Mapa riesgos'!#REF!),"")</f>
        <v>#REF!</v>
      </c>
      <c r="AM20" s="40" t="e">
        <f>IF(AND('Mapa riesgos'!#REF!="Alta",'Mapa riesgos'!#REF!="Catastrófico"),CONCATENATE("R5C",'Mapa riesgos'!#REF!),"")</f>
        <v>#REF!</v>
      </c>
      <c r="AN20" s="66"/>
      <c r="AO20" s="495"/>
      <c r="AP20" s="496"/>
      <c r="AQ20" s="496"/>
      <c r="AR20" s="496"/>
      <c r="AS20" s="496"/>
      <c r="AT20" s="497"/>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row>
    <row r="21" spans="1:76" ht="15" customHeight="1" x14ac:dyDescent="0.25">
      <c r="A21" s="66"/>
      <c r="B21" s="406"/>
      <c r="C21" s="406"/>
      <c r="D21" s="407"/>
      <c r="E21" s="505"/>
      <c r="F21" s="504"/>
      <c r="G21" s="504"/>
      <c r="H21" s="504"/>
      <c r="I21" s="504"/>
      <c r="J21" s="50" t="e">
        <f>IF(AND('Mapa riesgos'!#REF!="Alta",'Mapa riesgos'!#REF!="Leve"),CONCATENATE("R6C",'Mapa riesgos'!#REF!),"")</f>
        <v>#REF!</v>
      </c>
      <c r="K21" s="51" t="e">
        <f>IF(AND('Mapa riesgos'!#REF!="Alta",'Mapa riesgos'!#REF!="Leve"),CONCATENATE("R6C",'Mapa riesgos'!#REF!),"")</f>
        <v>#REF!</v>
      </c>
      <c r="L21" s="51" t="e">
        <f>IF(AND('Mapa riesgos'!#REF!="Alta",'Mapa riesgos'!#REF!="Leve"),CONCATENATE("R6C",'Mapa riesgos'!#REF!),"")</f>
        <v>#REF!</v>
      </c>
      <c r="M21" s="51" t="e">
        <f>IF(AND('Mapa riesgos'!#REF!="Alta",'Mapa riesgos'!#REF!="Leve"),CONCATENATE("R6C",'Mapa riesgos'!#REF!),"")</f>
        <v>#REF!</v>
      </c>
      <c r="N21" s="51" t="e">
        <f>IF(AND('Mapa riesgos'!#REF!="Alta",'Mapa riesgos'!#REF!="Leve"),CONCATENATE("R6C",'Mapa riesgos'!#REF!),"")</f>
        <v>#REF!</v>
      </c>
      <c r="O21" s="52" t="e">
        <f>IF(AND('Mapa riesgos'!#REF!="Alta",'Mapa riesgos'!#REF!="Leve"),CONCATENATE("R6C",'Mapa riesgos'!#REF!),"")</f>
        <v>#REF!</v>
      </c>
      <c r="P21" s="50" t="e">
        <f>IF(AND('Mapa riesgos'!#REF!="Alta",'Mapa riesgos'!#REF!="Menor"),CONCATENATE("R6C",'Mapa riesgos'!#REF!),"")</f>
        <v>#REF!</v>
      </c>
      <c r="Q21" s="51" t="e">
        <f>IF(AND('Mapa riesgos'!#REF!="Alta",'Mapa riesgos'!#REF!="Menor"),CONCATENATE("R6C",'Mapa riesgos'!#REF!),"")</f>
        <v>#REF!</v>
      </c>
      <c r="R21" s="51" t="e">
        <f>IF(AND('Mapa riesgos'!#REF!="Alta",'Mapa riesgos'!#REF!="Menor"),CONCATENATE("R6C",'Mapa riesgos'!#REF!),"")</f>
        <v>#REF!</v>
      </c>
      <c r="S21" s="51" t="e">
        <f>IF(AND('Mapa riesgos'!#REF!="Alta",'Mapa riesgos'!#REF!="Menor"),CONCATENATE("R6C",'Mapa riesgos'!#REF!),"")</f>
        <v>#REF!</v>
      </c>
      <c r="T21" s="51" t="e">
        <f>IF(AND('Mapa riesgos'!#REF!="Alta",'Mapa riesgos'!#REF!="Menor"),CONCATENATE("R6C",'Mapa riesgos'!#REF!),"")</f>
        <v>#REF!</v>
      </c>
      <c r="U21" s="52" t="e">
        <f>IF(AND('Mapa riesgos'!#REF!="Alta",'Mapa riesgos'!#REF!="Menor"),CONCATENATE("R6C",'Mapa riesgos'!#REF!),"")</f>
        <v>#REF!</v>
      </c>
      <c r="V21" s="35" t="e">
        <f>IF(AND('Mapa riesgos'!#REF!="Alta",'Mapa riesgos'!#REF!="Moderado"),CONCATENATE("R6C",'Mapa riesgos'!#REF!),"")</f>
        <v>#REF!</v>
      </c>
      <c r="W21" s="36" t="e">
        <f>IF(AND('Mapa riesgos'!#REF!="Alta",'Mapa riesgos'!#REF!="Moderado"),CONCATENATE("R6C",'Mapa riesgos'!#REF!),"")</f>
        <v>#REF!</v>
      </c>
      <c r="X21" s="36" t="e">
        <f>IF(AND('Mapa riesgos'!#REF!="Alta",'Mapa riesgos'!#REF!="Moderado"),CONCATENATE("R6C",'Mapa riesgos'!#REF!),"")</f>
        <v>#REF!</v>
      </c>
      <c r="Y21" s="36" t="e">
        <f>IF(AND('Mapa riesgos'!#REF!="Alta",'Mapa riesgos'!#REF!="Moderado"),CONCATENATE("R6C",'Mapa riesgos'!#REF!),"")</f>
        <v>#REF!</v>
      </c>
      <c r="Z21" s="36" t="e">
        <f>IF(AND('Mapa riesgos'!#REF!="Alta",'Mapa riesgos'!#REF!="Moderado"),CONCATENATE("R6C",'Mapa riesgos'!#REF!),"")</f>
        <v>#REF!</v>
      </c>
      <c r="AA21" s="37" t="e">
        <f>IF(AND('Mapa riesgos'!#REF!="Alta",'Mapa riesgos'!#REF!="Moderado"),CONCATENATE("R6C",'Mapa riesgos'!#REF!),"")</f>
        <v>#REF!</v>
      </c>
      <c r="AB21" s="35" t="e">
        <f>IF(AND('Mapa riesgos'!#REF!="Alta",'Mapa riesgos'!#REF!="Mayor"),CONCATENATE("R6C",'Mapa riesgos'!#REF!),"")</f>
        <v>#REF!</v>
      </c>
      <c r="AC21" s="36" t="e">
        <f>IF(AND('Mapa riesgos'!#REF!="Alta",'Mapa riesgos'!#REF!="Mayor"),CONCATENATE("R6C",'Mapa riesgos'!#REF!),"")</f>
        <v>#REF!</v>
      </c>
      <c r="AD21" s="36" t="e">
        <f>IF(AND('Mapa riesgos'!#REF!="Alta",'Mapa riesgos'!#REF!="Mayor"),CONCATENATE("R6C",'Mapa riesgos'!#REF!),"")</f>
        <v>#REF!</v>
      </c>
      <c r="AE21" s="36" t="e">
        <f>IF(AND('Mapa riesgos'!#REF!="Alta",'Mapa riesgos'!#REF!="Mayor"),CONCATENATE("R6C",'Mapa riesgos'!#REF!),"")</f>
        <v>#REF!</v>
      </c>
      <c r="AF21" s="36" t="e">
        <f>IF(AND('Mapa riesgos'!#REF!="Alta",'Mapa riesgos'!#REF!="Mayor"),CONCATENATE("R6C",'Mapa riesgos'!#REF!),"")</f>
        <v>#REF!</v>
      </c>
      <c r="AG21" s="37" t="e">
        <f>IF(AND('Mapa riesgos'!#REF!="Alta",'Mapa riesgos'!#REF!="Mayor"),CONCATENATE("R6C",'Mapa riesgos'!#REF!),"")</f>
        <v>#REF!</v>
      </c>
      <c r="AH21" s="38" t="e">
        <f>IF(AND('Mapa riesgos'!#REF!="Alta",'Mapa riesgos'!#REF!="Catastrófico"),CONCATENATE("R6C",'Mapa riesgos'!#REF!),"")</f>
        <v>#REF!</v>
      </c>
      <c r="AI21" s="39" t="e">
        <f>IF(AND('Mapa riesgos'!#REF!="Alta",'Mapa riesgos'!#REF!="Catastrófico"),CONCATENATE("R6C",'Mapa riesgos'!#REF!),"")</f>
        <v>#REF!</v>
      </c>
      <c r="AJ21" s="39" t="e">
        <f>IF(AND('Mapa riesgos'!#REF!="Alta",'Mapa riesgos'!#REF!="Catastrófico"),CONCATENATE("R6C",'Mapa riesgos'!#REF!),"")</f>
        <v>#REF!</v>
      </c>
      <c r="AK21" s="39" t="e">
        <f>IF(AND('Mapa riesgos'!#REF!="Alta",'Mapa riesgos'!#REF!="Catastrófico"),CONCATENATE("R6C",'Mapa riesgos'!#REF!),"")</f>
        <v>#REF!</v>
      </c>
      <c r="AL21" s="39" t="e">
        <f>IF(AND('Mapa riesgos'!#REF!="Alta",'Mapa riesgos'!#REF!="Catastrófico"),CONCATENATE("R6C",'Mapa riesgos'!#REF!),"")</f>
        <v>#REF!</v>
      </c>
      <c r="AM21" s="40" t="e">
        <f>IF(AND('Mapa riesgos'!#REF!="Alta",'Mapa riesgos'!#REF!="Catastrófico"),CONCATENATE("R6C",'Mapa riesgos'!#REF!),"")</f>
        <v>#REF!</v>
      </c>
      <c r="AN21" s="66"/>
      <c r="AO21" s="495"/>
      <c r="AP21" s="496"/>
      <c r="AQ21" s="496"/>
      <c r="AR21" s="496"/>
      <c r="AS21" s="496"/>
      <c r="AT21" s="497"/>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row>
    <row r="22" spans="1:76" ht="15" customHeight="1" x14ac:dyDescent="0.25">
      <c r="A22" s="66"/>
      <c r="B22" s="406"/>
      <c r="C22" s="406"/>
      <c r="D22" s="407"/>
      <c r="E22" s="505"/>
      <c r="F22" s="504"/>
      <c r="G22" s="504"/>
      <c r="H22" s="504"/>
      <c r="I22" s="504"/>
      <c r="J22" s="50" t="e">
        <f>IF(AND('Mapa riesgos'!#REF!="Alta",'Mapa riesgos'!#REF!="Leve"),CONCATENATE("R7C",'Mapa riesgos'!#REF!),"")</f>
        <v>#REF!</v>
      </c>
      <c r="K22" s="51" t="e">
        <f>IF(AND('Mapa riesgos'!#REF!="Alta",'Mapa riesgos'!#REF!="Leve"),CONCATENATE("R7C",'Mapa riesgos'!#REF!),"")</f>
        <v>#REF!</v>
      </c>
      <c r="L22" s="51" t="e">
        <f>IF(AND('Mapa riesgos'!#REF!="Alta",'Mapa riesgos'!#REF!="Leve"),CONCATENATE("R7C",'Mapa riesgos'!#REF!),"")</f>
        <v>#REF!</v>
      </c>
      <c r="M22" s="51" t="e">
        <f>IF(AND('Mapa riesgos'!#REF!="Alta",'Mapa riesgos'!#REF!="Leve"),CONCATENATE("R7C",'Mapa riesgos'!#REF!),"")</f>
        <v>#REF!</v>
      </c>
      <c r="N22" s="51" t="e">
        <f>IF(AND('Mapa riesgos'!#REF!="Alta",'Mapa riesgos'!#REF!="Leve"),CONCATENATE("R7C",'Mapa riesgos'!#REF!),"")</f>
        <v>#REF!</v>
      </c>
      <c r="O22" s="52" t="e">
        <f>IF(AND('Mapa riesgos'!#REF!="Alta",'Mapa riesgos'!#REF!="Leve"),CONCATENATE("R7C",'Mapa riesgos'!#REF!),"")</f>
        <v>#REF!</v>
      </c>
      <c r="P22" s="50" t="e">
        <f>IF(AND('Mapa riesgos'!#REF!="Alta",'Mapa riesgos'!#REF!="Menor"),CONCATENATE("R7C",'Mapa riesgos'!#REF!),"")</f>
        <v>#REF!</v>
      </c>
      <c r="Q22" s="51" t="e">
        <f>IF(AND('Mapa riesgos'!#REF!="Alta",'Mapa riesgos'!#REF!="Menor"),CONCATENATE("R7C",'Mapa riesgos'!#REF!),"")</f>
        <v>#REF!</v>
      </c>
      <c r="R22" s="51" t="e">
        <f>IF(AND('Mapa riesgos'!#REF!="Alta",'Mapa riesgos'!#REF!="Menor"),CONCATENATE("R7C",'Mapa riesgos'!#REF!),"")</f>
        <v>#REF!</v>
      </c>
      <c r="S22" s="51" t="e">
        <f>IF(AND('Mapa riesgos'!#REF!="Alta",'Mapa riesgos'!#REF!="Menor"),CONCATENATE("R7C",'Mapa riesgos'!#REF!),"")</f>
        <v>#REF!</v>
      </c>
      <c r="T22" s="51" t="e">
        <f>IF(AND('Mapa riesgos'!#REF!="Alta",'Mapa riesgos'!#REF!="Menor"),CONCATENATE("R7C",'Mapa riesgos'!#REF!),"")</f>
        <v>#REF!</v>
      </c>
      <c r="U22" s="52" t="e">
        <f>IF(AND('Mapa riesgos'!#REF!="Alta",'Mapa riesgos'!#REF!="Menor"),CONCATENATE("R7C",'Mapa riesgos'!#REF!),"")</f>
        <v>#REF!</v>
      </c>
      <c r="V22" s="35" t="e">
        <f>IF(AND('Mapa riesgos'!#REF!="Alta",'Mapa riesgos'!#REF!="Moderado"),CONCATENATE("R7C",'Mapa riesgos'!#REF!),"")</f>
        <v>#REF!</v>
      </c>
      <c r="W22" s="36" t="e">
        <f>IF(AND('Mapa riesgos'!#REF!="Alta",'Mapa riesgos'!#REF!="Moderado"),CONCATENATE("R7C",'Mapa riesgos'!#REF!),"")</f>
        <v>#REF!</v>
      </c>
      <c r="X22" s="36" t="e">
        <f>IF(AND('Mapa riesgos'!#REF!="Alta",'Mapa riesgos'!#REF!="Moderado"),CONCATENATE("R7C",'Mapa riesgos'!#REF!),"")</f>
        <v>#REF!</v>
      </c>
      <c r="Y22" s="36" t="e">
        <f>IF(AND('Mapa riesgos'!#REF!="Alta",'Mapa riesgos'!#REF!="Moderado"),CONCATENATE("R7C",'Mapa riesgos'!#REF!),"")</f>
        <v>#REF!</v>
      </c>
      <c r="Z22" s="36" t="e">
        <f>IF(AND('Mapa riesgos'!#REF!="Alta",'Mapa riesgos'!#REF!="Moderado"),CONCATENATE("R7C",'Mapa riesgos'!#REF!),"")</f>
        <v>#REF!</v>
      </c>
      <c r="AA22" s="37" t="e">
        <f>IF(AND('Mapa riesgos'!#REF!="Alta",'Mapa riesgos'!#REF!="Moderado"),CONCATENATE("R7C",'Mapa riesgos'!#REF!),"")</f>
        <v>#REF!</v>
      </c>
      <c r="AB22" s="35" t="e">
        <f>IF(AND('Mapa riesgos'!#REF!="Alta",'Mapa riesgos'!#REF!="Mayor"),CONCATENATE("R7C",'Mapa riesgos'!#REF!),"")</f>
        <v>#REF!</v>
      </c>
      <c r="AC22" s="36" t="e">
        <f>IF(AND('Mapa riesgos'!#REF!="Alta",'Mapa riesgos'!#REF!="Mayor"),CONCATENATE("R7C",'Mapa riesgos'!#REF!),"")</f>
        <v>#REF!</v>
      </c>
      <c r="AD22" s="36" t="e">
        <f>IF(AND('Mapa riesgos'!#REF!="Alta",'Mapa riesgos'!#REF!="Mayor"),CONCATENATE("R7C",'Mapa riesgos'!#REF!),"")</f>
        <v>#REF!</v>
      </c>
      <c r="AE22" s="36" t="e">
        <f>IF(AND('Mapa riesgos'!#REF!="Alta",'Mapa riesgos'!#REF!="Mayor"),CONCATENATE("R7C",'Mapa riesgos'!#REF!),"")</f>
        <v>#REF!</v>
      </c>
      <c r="AF22" s="36" t="e">
        <f>IF(AND('Mapa riesgos'!#REF!="Alta",'Mapa riesgos'!#REF!="Mayor"),CONCATENATE("R7C",'Mapa riesgos'!#REF!),"")</f>
        <v>#REF!</v>
      </c>
      <c r="AG22" s="37" t="e">
        <f>IF(AND('Mapa riesgos'!#REF!="Alta",'Mapa riesgos'!#REF!="Mayor"),CONCATENATE("R7C",'Mapa riesgos'!#REF!),"")</f>
        <v>#REF!</v>
      </c>
      <c r="AH22" s="38" t="e">
        <f>IF(AND('Mapa riesgos'!#REF!="Alta",'Mapa riesgos'!#REF!="Catastrófico"),CONCATENATE("R7C",'Mapa riesgos'!#REF!),"")</f>
        <v>#REF!</v>
      </c>
      <c r="AI22" s="39" t="e">
        <f>IF(AND('Mapa riesgos'!#REF!="Alta",'Mapa riesgos'!#REF!="Catastrófico"),CONCATENATE("R7C",'Mapa riesgos'!#REF!),"")</f>
        <v>#REF!</v>
      </c>
      <c r="AJ22" s="39" t="e">
        <f>IF(AND('Mapa riesgos'!#REF!="Alta",'Mapa riesgos'!#REF!="Catastrófico"),CONCATENATE("R7C",'Mapa riesgos'!#REF!),"")</f>
        <v>#REF!</v>
      </c>
      <c r="AK22" s="39" t="e">
        <f>IF(AND('Mapa riesgos'!#REF!="Alta",'Mapa riesgos'!#REF!="Catastrófico"),CONCATENATE("R7C",'Mapa riesgos'!#REF!),"")</f>
        <v>#REF!</v>
      </c>
      <c r="AL22" s="39" t="e">
        <f>IF(AND('Mapa riesgos'!#REF!="Alta",'Mapa riesgos'!#REF!="Catastrófico"),CONCATENATE("R7C",'Mapa riesgos'!#REF!),"")</f>
        <v>#REF!</v>
      </c>
      <c r="AM22" s="40" t="e">
        <f>IF(AND('Mapa riesgos'!#REF!="Alta",'Mapa riesgos'!#REF!="Catastrófico"),CONCATENATE("R7C",'Mapa riesgos'!#REF!),"")</f>
        <v>#REF!</v>
      </c>
      <c r="AN22" s="66"/>
      <c r="AO22" s="495"/>
      <c r="AP22" s="496"/>
      <c r="AQ22" s="496"/>
      <c r="AR22" s="496"/>
      <c r="AS22" s="496"/>
      <c r="AT22" s="497"/>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row>
    <row r="23" spans="1:76" ht="15" customHeight="1" x14ac:dyDescent="0.25">
      <c r="A23" s="66"/>
      <c r="B23" s="406"/>
      <c r="C23" s="406"/>
      <c r="D23" s="407"/>
      <c r="E23" s="505"/>
      <c r="F23" s="504"/>
      <c r="G23" s="504"/>
      <c r="H23" s="504"/>
      <c r="I23" s="504"/>
      <c r="J23" s="50" t="e">
        <f>IF(AND('Mapa riesgos'!#REF!="Alta",'Mapa riesgos'!#REF!="Leve"),CONCATENATE("R8C",'Mapa riesgos'!#REF!),"")</f>
        <v>#REF!</v>
      </c>
      <c r="K23" s="51" t="e">
        <f>IF(AND('Mapa riesgos'!#REF!="Alta",'Mapa riesgos'!#REF!="Leve"),CONCATENATE("R8C",'Mapa riesgos'!#REF!),"")</f>
        <v>#REF!</v>
      </c>
      <c r="L23" s="51" t="e">
        <f>IF(AND('Mapa riesgos'!#REF!="Alta",'Mapa riesgos'!#REF!="Leve"),CONCATENATE("R8C",'Mapa riesgos'!#REF!),"")</f>
        <v>#REF!</v>
      </c>
      <c r="M23" s="51" t="e">
        <f>IF(AND('Mapa riesgos'!#REF!="Alta",'Mapa riesgos'!#REF!="Leve"),CONCATENATE("R8C",'Mapa riesgos'!#REF!),"")</f>
        <v>#REF!</v>
      </c>
      <c r="N23" s="51" t="e">
        <f>IF(AND('Mapa riesgos'!#REF!="Alta",'Mapa riesgos'!#REF!="Leve"),CONCATENATE("R8C",'Mapa riesgos'!#REF!),"")</f>
        <v>#REF!</v>
      </c>
      <c r="O23" s="52" t="e">
        <f>IF(AND('Mapa riesgos'!#REF!="Alta",'Mapa riesgos'!#REF!="Leve"),CONCATENATE("R8C",'Mapa riesgos'!#REF!),"")</f>
        <v>#REF!</v>
      </c>
      <c r="P23" s="50" t="e">
        <f>IF(AND('Mapa riesgos'!#REF!="Alta",'Mapa riesgos'!#REF!="Menor"),CONCATENATE("R8C",'Mapa riesgos'!#REF!),"")</f>
        <v>#REF!</v>
      </c>
      <c r="Q23" s="51" t="e">
        <f>IF(AND('Mapa riesgos'!#REF!="Alta",'Mapa riesgos'!#REF!="Menor"),CONCATENATE("R8C",'Mapa riesgos'!#REF!),"")</f>
        <v>#REF!</v>
      </c>
      <c r="R23" s="51" t="e">
        <f>IF(AND('Mapa riesgos'!#REF!="Alta",'Mapa riesgos'!#REF!="Menor"),CONCATENATE("R8C",'Mapa riesgos'!#REF!),"")</f>
        <v>#REF!</v>
      </c>
      <c r="S23" s="51" t="e">
        <f>IF(AND('Mapa riesgos'!#REF!="Alta",'Mapa riesgos'!#REF!="Menor"),CONCATENATE("R8C",'Mapa riesgos'!#REF!),"")</f>
        <v>#REF!</v>
      </c>
      <c r="T23" s="51" t="e">
        <f>IF(AND('Mapa riesgos'!#REF!="Alta",'Mapa riesgos'!#REF!="Menor"),CONCATENATE("R8C",'Mapa riesgos'!#REF!),"")</f>
        <v>#REF!</v>
      </c>
      <c r="U23" s="52" t="e">
        <f>IF(AND('Mapa riesgos'!#REF!="Alta",'Mapa riesgos'!#REF!="Menor"),CONCATENATE("R8C",'Mapa riesgos'!#REF!),"")</f>
        <v>#REF!</v>
      </c>
      <c r="V23" s="35" t="e">
        <f>IF(AND('Mapa riesgos'!#REF!="Alta",'Mapa riesgos'!#REF!="Moderado"),CONCATENATE("R8C",'Mapa riesgos'!#REF!),"")</f>
        <v>#REF!</v>
      </c>
      <c r="W23" s="36" t="e">
        <f>IF(AND('Mapa riesgos'!#REF!="Alta",'Mapa riesgos'!#REF!="Moderado"),CONCATENATE("R8C",'Mapa riesgos'!#REF!),"")</f>
        <v>#REF!</v>
      </c>
      <c r="X23" s="36" t="e">
        <f>IF(AND('Mapa riesgos'!#REF!="Alta",'Mapa riesgos'!#REF!="Moderado"),CONCATENATE("R8C",'Mapa riesgos'!#REF!),"")</f>
        <v>#REF!</v>
      </c>
      <c r="Y23" s="36" t="e">
        <f>IF(AND('Mapa riesgos'!#REF!="Alta",'Mapa riesgos'!#REF!="Moderado"),CONCATENATE("R8C",'Mapa riesgos'!#REF!),"")</f>
        <v>#REF!</v>
      </c>
      <c r="Z23" s="36" t="e">
        <f>IF(AND('Mapa riesgos'!#REF!="Alta",'Mapa riesgos'!#REF!="Moderado"),CONCATENATE("R8C",'Mapa riesgos'!#REF!),"")</f>
        <v>#REF!</v>
      </c>
      <c r="AA23" s="37" t="e">
        <f>IF(AND('Mapa riesgos'!#REF!="Alta",'Mapa riesgos'!#REF!="Moderado"),CONCATENATE("R8C",'Mapa riesgos'!#REF!),"")</f>
        <v>#REF!</v>
      </c>
      <c r="AB23" s="35" t="e">
        <f>IF(AND('Mapa riesgos'!#REF!="Alta",'Mapa riesgos'!#REF!="Mayor"),CONCATENATE("R8C",'Mapa riesgos'!#REF!),"")</f>
        <v>#REF!</v>
      </c>
      <c r="AC23" s="36" t="e">
        <f>IF(AND('Mapa riesgos'!#REF!="Alta",'Mapa riesgos'!#REF!="Mayor"),CONCATENATE("R8C",'Mapa riesgos'!#REF!),"")</f>
        <v>#REF!</v>
      </c>
      <c r="AD23" s="36" t="e">
        <f>IF(AND('Mapa riesgos'!#REF!="Alta",'Mapa riesgos'!#REF!="Mayor"),CONCATENATE("R8C",'Mapa riesgos'!#REF!),"")</f>
        <v>#REF!</v>
      </c>
      <c r="AE23" s="36" t="e">
        <f>IF(AND('Mapa riesgos'!#REF!="Alta",'Mapa riesgos'!#REF!="Mayor"),CONCATENATE("R8C",'Mapa riesgos'!#REF!),"")</f>
        <v>#REF!</v>
      </c>
      <c r="AF23" s="36" t="e">
        <f>IF(AND('Mapa riesgos'!#REF!="Alta",'Mapa riesgos'!#REF!="Mayor"),CONCATENATE("R8C",'Mapa riesgos'!#REF!),"")</f>
        <v>#REF!</v>
      </c>
      <c r="AG23" s="37" t="e">
        <f>IF(AND('Mapa riesgos'!#REF!="Alta",'Mapa riesgos'!#REF!="Mayor"),CONCATENATE("R8C",'Mapa riesgos'!#REF!),"")</f>
        <v>#REF!</v>
      </c>
      <c r="AH23" s="38" t="e">
        <f>IF(AND('Mapa riesgos'!#REF!="Alta",'Mapa riesgos'!#REF!="Catastrófico"),CONCATENATE("R8C",'Mapa riesgos'!#REF!),"")</f>
        <v>#REF!</v>
      </c>
      <c r="AI23" s="39" t="e">
        <f>IF(AND('Mapa riesgos'!#REF!="Alta",'Mapa riesgos'!#REF!="Catastrófico"),CONCATENATE("R8C",'Mapa riesgos'!#REF!),"")</f>
        <v>#REF!</v>
      </c>
      <c r="AJ23" s="39" t="e">
        <f>IF(AND('Mapa riesgos'!#REF!="Alta",'Mapa riesgos'!#REF!="Catastrófico"),CONCATENATE("R8C",'Mapa riesgos'!#REF!),"")</f>
        <v>#REF!</v>
      </c>
      <c r="AK23" s="39" t="e">
        <f>IF(AND('Mapa riesgos'!#REF!="Alta",'Mapa riesgos'!#REF!="Catastrófico"),CONCATENATE("R8C",'Mapa riesgos'!#REF!),"")</f>
        <v>#REF!</v>
      </c>
      <c r="AL23" s="39" t="e">
        <f>IF(AND('Mapa riesgos'!#REF!="Alta",'Mapa riesgos'!#REF!="Catastrófico"),CONCATENATE("R8C",'Mapa riesgos'!#REF!),"")</f>
        <v>#REF!</v>
      </c>
      <c r="AM23" s="40" t="e">
        <f>IF(AND('Mapa riesgos'!#REF!="Alta",'Mapa riesgos'!#REF!="Catastrófico"),CONCATENATE("R8C",'Mapa riesgos'!#REF!),"")</f>
        <v>#REF!</v>
      </c>
      <c r="AN23" s="66"/>
      <c r="AO23" s="495"/>
      <c r="AP23" s="496"/>
      <c r="AQ23" s="496"/>
      <c r="AR23" s="496"/>
      <c r="AS23" s="496"/>
      <c r="AT23" s="497"/>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row>
    <row r="24" spans="1:76" ht="15" customHeight="1" x14ac:dyDescent="0.25">
      <c r="A24" s="66"/>
      <c r="B24" s="406"/>
      <c r="C24" s="406"/>
      <c r="D24" s="407"/>
      <c r="E24" s="505"/>
      <c r="F24" s="504"/>
      <c r="G24" s="504"/>
      <c r="H24" s="504"/>
      <c r="I24" s="504"/>
      <c r="J24" s="50" t="e">
        <f>IF(AND('Mapa riesgos'!#REF!="Alta",'Mapa riesgos'!#REF!="Leve"),CONCATENATE("R9C",'Mapa riesgos'!#REF!),"")</f>
        <v>#REF!</v>
      </c>
      <c r="K24" s="51" t="e">
        <f>IF(AND('Mapa riesgos'!#REF!="Alta",'Mapa riesgos'!#REF!="Leve"),CONCATENATE("R9C",'Mapa riesgos'!#REF!),"")</f>
        <v>#REF!</v>
      </c>
      <c r="L24" s="51" t="e">
        <f>IF(AND('Mapa riesgos'!#REF!="Alta",'Mapa riesgos'!#REF!="Leve"),CONCATENATE("R9C",'Mapa riesgos'!#REF!),"")</f>
        <v>#REF!</v>
      </c>
      <c r="M24" s="51" t="e">
        <f>IF(AND('Mapa riesgos'!#REF!="Alta",'Mapa riesgos'!#REF!="Leve"),CONCATENATE("R9C",'Mapa riesgos'!#REF!),"")</f>
        <v>#REF!</v>
      </c>
      <c r="N24" s="51" t="e">
        <f>IF(AND('Mapa riesgos'!#REF!="Alta",'Mapa riesgos'!#REF!="Leve"),CONCATENATE("R9C",'Mapa riesgos'!#REF!),"")</f>
        <v>#REF!</v>
      </c>
      <c r="O24" s="52" t="e">
        <f>IF(AND('Mapa riesgos'!#REF!="Alta",'Mapa riesgos'!#REF!="Leve"),CONCATENATE("R9C",'Mapa riesgos'!#REF!),"")</f>
        <v>#REF!</v>
      </c>
      <c r="P24" s="50" t="e">
        <f>IF(AND('Mapa riesgos'!#REF!="Alta",'Mapa riesgos'!#REF!="Menor"),CONCATENATE("R9C",'Mapa riesgos'!#REF!),"")</f>
        <v>#REF!</v>
      </c>
      <c r="Q24" s="51" t="e">
        <f>IF(AND('Mapa riesgos'!#REF!="Alta",'Mapa riesgos'!#REF!="Menor"),CONCATENATE("R9C",'Mapa riesgos'!#REF!),"")</f>
        <v>#REF!</v>
      </c>
      <c r="R24" s="51" t="e">
        <f>IF(AND('Mapa riesgos'!#REF!="Alta",'Mapa riesgos'!#REF!="Menor"),CONCATENATE("R9C",'Mapa riesgos'!#REF!),"")</f>
        <v>#REF!</v>
      </c>
      <c r="S24" s="51" t="e">
        <f>IF(AND('Mapa riesgos'!#REF!="Alta",'Mapa riesgos'!#REF!="Menor"),CONCATENATE("R9C",'Mapa riesgos'!#REF!),"")</f>
        <v>#REF!</v>
      </c>
      <c r="T24" s="51" t="e">
        <f>IF(AND('Mapa riesgos'!#REF!="Alta",'Mapa riesgos'!#REF!="Menor"),CONCATENATE("R9C",'Mapa riesgos'!#REF!),"")</f>
        <v>#REF!</v>
      </c>
      <c r="U24" s="52" t="e">
        <f>IF(AND('Mapa riesgos'!#REF!="Alta",'Mapa riesgos'!#REF!="Menor"),CONCATENATE("R9C",'Mapa riesgos'!#REF!),"")</f>
        <v>#REF!</v>
      </c>
      <c r="V24" s="35" t="e">
        <f>IF(AND('Mapa riesgos'!#REF!="Alta",'Mapa riesgos'!#REF!="Moderado"),CONCATENATE("R9C",'Mapa riesgos'!#REF!),"")</f>
        <v>#REF!</v>
      </c>
      <c r="W24" s="36" t="e">
        <f>IF(AND('Mapa riesgos'!#REF!="Alta",'Mapa riesgos'!#REF!="Moderado"),CONCATENATE("R9C",'Mapa riesgos'!#REF!),"")</f>
        <v>#REF!</v>
      </c>
      <c r="X24" s="36" t="e">
        <f>IF(AND('Mapa riesgos'!#REF!="Alta",'Mapa riesgos'!#REF!="Moderado"),CONCATENATE("R9C",'Mapa riesgos'!#REF!),"")</f>
        <v>#REF!</v>
      </c>
      <c r="Y24" s="36" t="e">
        <f>IF(AND('Mapa riesgos'!#REF!="Alta",'Mapa riesgos'!#REF!="Moderado"),CONCATENATE("R9C",'Mapa riesgos'!#REF!),"")</f>
        <v>#REF!</v>
      </c>
      <c r="Z24" s="36" t="e">
        <f>IF(AND('Mapa riesgos'!#REF!="Alta",'Mapa riesgos'!#REF!="Moderado"),CONCATENATE("R9C",'Mapa riesgos'!#REF!),"")</f>
        <v>#REF!</v>
      </c>
      <c r="AA24" s="37" t="e">
        <f>IF(AND('Mapa riesgos'!#REF!="Alta",'Mapa riesgos'!#REF!="Moderado"),CONCATENATE("R9C",'Mapa riesgos'!#REF!),"")</f>
        <v>#REF!</v>
      </c>
      <c r="AB24" s="35" t="e">
        <f>IF(AND('Mapa riesgos'!#REF!="Alta",'Mapa riesgos'!#REF!="Mayor"),CONCATENATE("R9C",'Mapa riesgos'!#REF!),"")</f>
        <v>#REF!</v>
      </c>
      <c r="AC24" s="36" t="e">
        <f>IF(AND('Mapa riesgos'!#REF!="Alta",'Mapa riesgos'!#REF!="Mayor"),CONCATENATE("R9C",'Mapa riesgos'!#REF!),"")</f>
        <v>#REF!</v>
      </c>
      <c r="AD24" s="36" t="e">
        <f>IF(AND('Mapa riesgos'!#REF!="Alta",'Mapa riesgos'!#REF!="Mayor"),CONCATENATE("R9C",'Mapa riesgos'!#REF!),"")</f>
        <v>#REF!</v>
      </c>
      <c r="AE24" s="36" t="e">
        <f>IF(AND('Mapa riesgos'!#REF!="Alta",'Mapa riesgos'!#REF!="Mayor"),CONCATENATE("R9C",'Mapa riesgos'!#REF!),"")</f>
        <v>#REF!</v>
      </c>
      <c r="AF24" s="36" t="e">
        <f>IF(AND('Mapa riesgos'!#REF!="Alta",'Mapa riesgos'!#REF!="Mayor"),CONCATENATE("R9C",'Mapa riesgos'!#REF!),"")</f>
        <v>#REF!</v>
      </c>
      <c r="AG24" s="37" t="e">
        <f>IF(AND('Mapa riesgos'!#REF!="Alta",'Mapa riesgos'!#REF!="Mayor"),CONCATENATE("R9C",'Mapa riesgos'!#REF!),"")</f>
        <v>#REF!</v>
      </c>
      <c r="AH24" s="38" t="e">
        <f>IF(AND('Mapa riesgos'!#REF!="Alta",'Mapa riesgos'!#REF!="Catastrófico"),CONCATENATE("R9C",'Mapa riesgos'!#REF!),"")</f>
        <v>#REF!</v>
      </c>
      <c r="AI24" s="39" t="e">
        <f>IF(AND('Mapa riesgos'!#REF!="Alta",'Mapa riesgos'!#REF!="Catastrófico"),CONCATENATE("R9C",'Mapa riesgos'!#REF!),"")</f>
        <v>#REF!</v>
      </c>
      <c r="AJ24" s="39" t="e">
        <f>IF(AND('Mapa riesgos'!#REF!="Alta",'Mapa riesgos'!#REF!="Catastrófico"),CONCATENATE("R9C",'Mapa riesgos'!#REF!),"")</f>
        <v>#REF!</v>
      </c>
      <c r="AK24" s="39" t="e">
        <f>IF(AND('Mapa riesgos'!#REF!="Alta",'Mapa riesgos'!#REF!="Catastrófico"),CONCATENATE("R9C",'Mapa riesgos'!#REF!),"")</f>
        <v>#REF!</v>
      </c>
      <c r="AL24" s="39" t="e">
        <f>IF(AND('Mapa riesgos'!#REF!="Alta",'Mapa riesgos'!#REF!="Catastrófico"),CONCATENATE("R9C",'Mapa riesgos'!#REF!),"")</f>
        <v>#REF!</v>
      </c>
      <c r="AM24" s="40" t="e">
        <f>IF(AND('Mapa riesgos'!#REF!="Alta",'Mapa riesgos'!#REF!="Catastrófico"),CONCATENATE("R9C",'Mapa riesgos'!#REF!),"")</f>
        <v>#REF!</v>
      </c>
      <c r="AN24" s="66"/>
      <c r="AO24" s="495"/>
      <c r="AP24" s="496"/>
      <c r="AQ24" s="496"/>
      <c r="AR24" s="496"/>
      <c r="AS24" s="496"/>
      <c r="AT24" s="497"/>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row>
    <row r="25" spans="1:76" ht="15.75" customHeight="1" thickBot="1" x14ac:dyDescent="0.3">
      <c r="A25" s="66"/>
      <c r="B25" s="406"/>
      <c r="C25" s="406"/>
      <c r="D25" s="407"/>
      <c r="E25" s="506"/>
      <c r="F25" s="507"/>
      <c r="G25" s="507"/>
      <c r="H25" s="507"/>
      <c r="I25" s="507"/>
      <c r="J25" s="53" t="e">
        <f>IF(AND('Mapa riesgos'!#REF!="Alta",'Mapa riesgos'!#REF!="Leve"),CONCATENATE("R10C",'Mapa riesgos'!#REF!),"")</f>
        <v>#REF!</v>
      </c>
      <c r="K25" s="54" t="e">
        <f>IF(AND('Mapa riesgos'!#REF!="Alta",'Mapa riesgos'!#REF!="Leve"),CONCATENATE("R10C",'Mapa riesgos'!#REF!),"")</f>
        <v>#REF!</v>
      </c>
      <c r="L25" s="54" t="e">
        <f>IF(AND('Mapa riesgos'!#REF!="Alta",'Mapa riesgos'!#REF!="Leve"),CONCATENATE("R10C",'Mapa riesgos'!#REF!),"")</f>
        <v>#REF!</v>
      </c>
      <c r="M25" s="54" t="e">
        <f>IF(AND('Mapa riesgos'!#REF!="Alta",'Mapa riesgos'!#REF!="Leve"),CONCATENATE("R10C",'Mapa riesgos'!#REF!),"")</f>
        <v>#REF!</v>
      </c>
      <c r="N25" s="54" t="e">
        <f>IF(AND('Mapa riesgos'!#REF!="Alta",'Mapa riesgos'!#REF!="Leve"),CONCATENATE("R10C",'Mapa riesgos'!#REF!),"")</f>
        <v>#REF!</v>
      </c>
      <c r="O25" s="55" t="e">
        <f>IF(AND('Mapa riesgos'!#REF!="Alta",'Mapa riesgos'!#REF!="Leve"),CONCATENATE("R10C",'Mapa riesgos'!#REF!),"")</f>
        <v>#REF!</v>
      </c>
      <c r="P25" s="53" t="e">
        <f>IF(AND('Mapa riesgos'!#REF!="Alta",'Mapa riesgos'!#REF!="Menor"),CONCATENATE("R10C",'Mapa riesgos'!#REF!),"")</f>
        <v>#REF!</v>
      </c>
      <c r="Q25" s="54" t="e">
        <f>IF(AND('Mapa riesgos'!#REF!="Alta",'Mapa riesgos'!#REF!="Menor"),CONCATENATE("R10C",'Mapa riesgos'!#REF!),"")</f>
        <v>#REF!</v>
      </c>
      <c r="R25" s="54" t="e">
        <f>IF(AND('Mapa riesgos'!#REF!="Alta",'Mapa riesgos'!#REF!="Menor"),CONCATENATE("R10C",'Mapa riesgos'!#REF!),"")</f>
        <v>#REF!</v>
      </c>
      <c r="S25" s="54" t="e">
        <f>IF(AND('Mapa riesgos'!#REF!="Alta",'Mapa riesgos'!#REF!="Menor"),CONCATENATE("R10C",'Mapa riesgos'!#REF!),"")</f>
        <v>#REF!</v>
      </c>
      <c r="T25" s="54" t="e">
        <f>IF(AND('Mapa riesgos'!#REF!="Alta",'Mapa riesgos'!#REF!="Menor"),CONCATENATE("R10C",'Mapa riesgos'!#REF!),"")</f>
        <v>#REF!</v>
      </c>
      <c r="U25" s="55" t="e">
        <f>IF(AND('Mapa riesgos'!#REF!="Alta",'Mapa riesgos'!#REF!="Menor"),CONCATENATE("R10C",'Mapa riesgos'!#REF!),"")</f>
        <v>#REF!</v>
      </c>
      <c r="V25" s="41" t="e">
        <f>IF(AND('Mapa riesgos'!#REF!="Alta",'Mapa riesgos'!#REF!="Moderado"),CONCATENATE("R10C",'Mapa riesgos'!#REF!),"")</f>
        <v>#REF!</v>
      </c>
      <c r="W25" s="42" t="e">
        <f>IF(AND('Mapa riesgos'!#REF!="Alta",'Mapa riesgos'!#REF!="Moderado"),CONCATENATE("R10C",'Mapa riesgos'!#REF!),"")</f>
        <v>#REF!</v>
      </c>
      <c r="X25" s="42" t="e">
        <f>IF(AND('Mapa riesgos'!#REF!="Alta",'Mapa riesgos'!#REF!="Moderado"),CONCATENATE("R10C",'Mapa riesgos'!#REF!),"")</f>
        <v>#REF!</v>
      </c>
      <c r="Y25" s="42" t="e">
        <f>IF(AND('Mapa riesgos'!#REF!="Alta",'Mapa riesgos'!#REF!="Moderado"),CONCATENATE("R10C",'Mapa riesgos'!#REF!),"")</f>
        <v>#REF!</v>
      </c>
      <c r="Z25" s="42" t="e">
        <f>IF(AND('Mapa riesgos'!#REF!="Alta",'Mapa riesgos'!#REF!="Moderado"),CONCATENATE("R10C",'Mapa riesgos'!#REF!),"")</f>
        <v>#REF!</v>
      </c>
      <c r="AA25" s="43" t="e">
        <f>IF(AND('Mapa riesgos'!#REF!="Alta",'Mapa riesgos'!#REF!="Moderado"),CONCATENATE("R10C",'Mapa riesgos'!#REF!),"")</f>
        <v>#REF!</v>
      </c>
      <c r="AB25" s="41" t="e">
        <f>IF(AND('Mapa riesgos'!#REF!="Alta",'Mapa riesgos'!#REF!="Mayor"),CONCATENATE("R10C",'Mapa riesgos'!#REF!),"")</f>
        <v>#REF!</v>
      </c>
      <c r="AC25" s="42" t="e">
        <f>IF(AND('Mapa riesgos'!#REF!="Alta",'Mapa riesgos'!#REF!="Mayor"),CONCATENATE("R10C",'Mapa riesgos'!#REF!),"")</f>
        <v>#REF!</v>
      </c>
      <c r="AD25" s="42" t="e">
        <f>IF(AND('Mapa riesgos'!#REF!="Alta",'Mapa riesgos'!#REF!="Mayor"),CONCATENATE("R10C",'Mapa riesgos'!#REF!),"")</f>
        <v>#REF!</v>
      </c>
      <c r="AE25" s="42" t="e">
        <f>IF(AND('Mapa riesgos'!#REF!="Alta",'Mapa riesgos'!#REF!="Mayor"),CONCATENATE("R10C",'Mapa riesgos'!#REF!),"")</f>
        <v>#REF!</v>
      </c>
      <c r="AF25" s="42" t="e">
        <f>IF(AND('Mapa riesgos'!#REF!="Alta",'Mapa riesgos'!#REF!="Mayor"),CONCATENATE("R10C",'Mapa riesgos'!#REF!),"")</f>
        <v>#REF!</v>
      </c>
      <c r="AG25" s="43" t="e">
        <f>IF(AND('Mapa riesgos'!#REF!="Alta",'Mapa riesgos'!#REF!="Mayor"),CONCATENATE("R10C",'Mapa riesgos'!#REF!),"")</f>
        <v>#REF!</v>
      </c>
      <c r="AH25" s="44" t="e">
        <f>IF(AND('Mapa riesgos'!#REF!="Alta",'Mapa riesgos'!#REF!="Catastrófico"),CONCATENATE("R10C",'Mapa riesgos'!#REF!),"")</f>
        <v>#REF!</v>
      </c>
      <c r="AI25" s="45" t="e">
        <f>IF(AND('Mapa riesgos'!#REF!="Alta",'Mapa riesgos'!#REF!="Catastrófico"),CONCATENATE("R10C",'Mapa riesgos'!#REF!),"")</f>
        <v>#REF!</v>
      </c>
      <c r="AJ25" s="45" t="e">
        <f>IF(AND('Mapa riesgos'!#REF!="Alta",'Mapa riesgos'!#REF!="Catastrófico"),CONCATENATE("R10C",'Mapa riesgos'!#REF!),"")</f>
        <v>#REF!</v>
      </c>
      <c r="AK25" s="45" t="e">
        <f>IF(AND('Mapa riesgos'!#REF!="Alta",'Mapa riesgos'!#REF!="Catastrófico"),CONCATENATE("R10C",'Mapa riesgos'!#REF!),"")</f>
        <v>#REF!</v>
      </c>
      <c r="AL25" s="45" t="e">
        <f>IF(AND('Mapa riesgos'!#REF!="Alta",'Mapa riesgos'!#REF!="Catastrófico"),CONCATENATE("R10C",'Mapa riesgos'!#REF!),"")</f>
        <v>#REF!</v>
      </c>
      <c r="AM25" s="46" t="e">
        <f>IF(AND('Mapa riesgos'!#REF!="Alta",'Mapa riesgos'!#REF!="Catastrófico"),CONCATENATE("R10C",'Mapa riesgos'!#REF!),"")</f>
        <v>#REF!</v>
      </c>
      <c r="AN25" s="66"/>
      <c r="AO25" s="498"/>
      <c r="AP25" s="499"/>
      <c r="AQ25" s="499"/>
      <c r="AR25" s="499"/>
      <c r="AS25" s="499"/>
      <c r="AT25" s="500"/>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row>
    <row r="26" spans="1:76" ht="15" customHeight="1" x14ac:dyDescent="0.25">
      <c r="A26" s="66"/>
      <c r="B26" s="406"/>
      <c r="C26" s="406"/>
      <c r="D26" s="407"/>
      <c r="E26" s="501" t="s">
        <v>207</v>
      </c>
      <c r="F26" s="502"/>
      <c r="G26" s="502"/>
      <c r="H26" s="502"/>
      <c r="I26" s="519"/>
      <c r="J26" s="47" t="e">
        <f>IF(AND('Mapa riesgos'!#REF!="Media",'Mapa riesgos'!#REF!="Leve"),CONCATENATE("R1C",'Mapa riesgos'!#REF!),"")</f>
        <v>#REF!</v>
      </c>
      <c r="K26" s="48" t="e">
        <f>IF(AND('Mapa riesgos'!#REF!="Media",'Mapa riesgos'!#REF!="Leve"),CONCATENATE("R1C",'Mapa riesgos'!#REF!),"")</f>
        <v>#REF!</v>
      </c>
      <c r="L26" s="48" t="e">
        <f>IF(AND('Mapa riesgos'!#REF!="Media",'Mapa riesgos'!#REF!="Leve"),CONCATENATE("R1C",'Mapa riesgos'!#REF!),"")</f>
        <v>#REF!</v>
      </c>
      <c r="M26" s="48" t="e">
        <f>IF(AND('Mapa riesgos'!#REF!="Media",'Mapa riesgos'!#REF!="Leve"),CONCATENATE("R1C",'Mapa riesgos'!#REF!),"")</f>
        <v>#REF!</v>
      </c>
      <c r="N26" s="48" t="e">
        <f>IF(AND('Mapa riesgos'!#REF!="Media",'Mapa riesgos'!#REF!="Leve"),CONCATENATE("R1C",'Mapa riesgos'!#REF!),"")</f>
        <v>#REF!</v>
      </c>
      <c r="O26" s="49" t="e">
        <f>IF(AND('Mapa riesgos'!#REF!="Media",'Mapa riesgos'!#REF!="Leve"),CONCATENATE("R1C",'Mapa riesgos'!#REF!),"")</f>
        <v>#REF!</v>
      </c>
      <c r="P26" s="47" t="e">
        <f>IF(AND('Mapa riesgos'!#REF!="Media",'Mapa riesgos'!#REF!="Menor"),CONCATENATE("R1C",'Mapa riesgos'!#REF!),"")</f>
        <v>#REF!</v>
      </c>
      <c r="Q26" s="48" t="e">
        <f>IF(AND('Mapa riesgos'!#REF!="Media",'Mapa riesgos'!#REF!="Menor"),CONCATENATE("R1C",'Mapa riesgos'!#REF!),"")</f>
        <v>#REF!</v>
      </c>
      <c r="R26" s="48" t="e">
        <f>IF(AND('Mapa riesgos'!#REF!="Media",'Mapa riesgos'!#REF!="Menor"),CONCATENATE("R1C",'Mapa riesgos'!#REF!),"")</f>
        <v>#REF!</v>
      </c>
      <c r="S26" s="48" t="e">
        <f>IF(AND('Mapa riesgos'!#REF!="Media",'Mapa riesgos'!#REF!="Menor"),CONCATENATE("R1C",'Mapa riesgos'!#REF!),"")</f>
        <v>#REF!</v>
      </c>
      <c r="T26" s="48" t="e">
        <f>IF(AND('Mapa riesgos'!#REF!="Media",'Mapa riesgos'!#REF!="Menor"),CONCATENATE("R1C",'Mapa riesgos'!#REF!),"")</f>
        <v>#REF!</v>
      </c>
      <c r="U26" s="49" t="e">
        <f>IF(AND('Mapa riesgos'!#REF!="Media",'Mapa riesgos'!#REF!="Menor"),CONCATENATE("R1C",'Mapa riesgos'!#REF!),"")</f>
        <v>#REF!</v>
      </c>
      <c r="V26" s="47" t="e">
        <f>IF(AND('Mapa riesgos'!#REF!="Media",'Mapa riesgos'!#REF!="Moderado"),CONCATENATE("R1C",'Mapa riesgos'!#REF!),"")</f>
        <v>#REF!</v>
      </c>
      <c r="W26" s="48" t="e">
        <f>IF(AND('Mapa riesgos'!#REF!="Media",'Mapa riesgos'!#REF!="Moderado"),CONCATENATE("R1C",'Mapa riesgos'!#REF!),"")</f>
        <v>#REF!</v>
      </c>
      <c r="X26" s="48" t="e">
        <f>IF(AND('Mapa riesgos'!#REF!="Media",'Mapa riesgos'!#REF!="Moderado"),CONCATENATE("R1C",'Mapa riesgos'!#REF!),"")</f>
        <v>#REF!</v>
      </c>
      <c r="Y26" s="48" t="e">
        <f>IF(AND('Mapa riesgos'!#REF!="Media",'Mapa riesgos'!#REF!="Moderado"),CONCATENATE("R1C",'Mapa riesgos'!#REF!),"")</f>
        <v>#REF!</v>
      </c>
      <c r="Z26" s="48" t="e">
        <f>IF(AND('Mapa riesgos'!#REF!="Media",'Mapa riesgos'!#REF!="Moderado"),CONCATENATE("R1C",'Mapa riesgos'!#REF!),"")</f>
        <v>#REF!</v>
      </c>
      <c r="AA26" s="49" t="e">
        <f>IF(AND('Mapa riesgos'!#REF!="Media",'Mapa riesgos'!#REF!="Moderado"),CONCATENATE("R1C",'Mapa riesgos'!#REF!),"")</f>
        <v>#REF!</v>
      </c>
      <c r="AB26" s="29" t="e">
        <f>IF(AND('Mapa riesgos'!#REF!="Media",'Mapa riesgos'!#REF!="Mayor"),CONCATENATE("R1C",'Mapa riesgos'!#REF!),"")</f>
        <v>#REF!</v>
      </c>
      <c r="AC26" s="30" t="e">
        <f>IF(AND('Mapa riesgos'!#REF!="Media",'Mapa riesgos'!#REF!="Mayor"),CONCATENATE("R1C",'Mapa riesgos'!#REF!),"")</f>
        <v>#REF!</v>
      </c>
      <c r="AD26" s="30" t="e">
        <f>IF(AND('Mapa riesgos'!#REF!="Media",'Mapa riesgos'!#REF!="Mayor"),CONCATENATE("R1C",'Mapa riesgos'!#REF!),"")</f>
        <v>#REF!</v>
      </c>
      <c r="AE26" s="30" t="e">
        <f>IF(AND('Mapa riesgos'!#REF!="Media",'Mapa riesgos'!#REF!="Mayor"),CONCATENATE("R1C",'Mapa riesgos'!#REF!),"")</f>
        <v>#REF!</v>
      </c>
      <c r="AF26" s="30" t="e">
        <f>IF(AND('Mapa riesgos'!#REF!="Media",'Mapa riesgos'!#REF!="Mayor"),CONCATENATE("R1C",'Mapa riesgos'!#REF!),"")</f>
        <v>#REF!</v>
      </c>
      <c r="AG26" s="31" t="e">
        <f>IF(AND('Mapa riesgos'!#REF!="Media",'Mapa riesgos'!#REF!="Mayor"),CONCATENATE("R1C",'Mapa riesgos'!#REF!),"")</f>
        <v>#REF!</v>
      </c>
      <c r="AH26" s="32" t="e">
        <f>IF(AND('Mapa riesgos'!#REF!="Media",'Mapa riesgos'!#REF!="Catastrófico"),CONCATENATE("R1C",'Mapa riesgos'!#REF!),"")</f>
        <v>#REF!</v>
      </c>
      <c r="AI26" s="33" t="e">
        <f>IF(AND('Mapa riesgos'!#REF!="Media",'Mapa riesgos'!#REF!="Catastrófico"),CONCATENATE("R1C",'Mapa riesgos'!#REF!),"")</f>
        <v>#REF!</v>
      </c>
      <c r="AJ26" s="33" t="e">
        <f>IF(AND('Mapa riesgos'!#REF!="Media",'Mapa riesgos'!#REF!="Catastrófico"),CONCATENATE("R1C",'Mapa riesgos'!#REF!),"")</f>
        <v>#REF!</v>
      </c>
      <c r="AK26" s="33" t="e">
        <f>IF(AND('Mapa riesgos'!#REF!="Media",'Mapa riesgos'!#REF!="Catastrófico"),CONCATENATE("R1C",'Mapa riesgos'!#REF!),"")</f>
        <v>#REF!</v>
      </c>
      <c r="AL26" s="33" t="e">
        <f>IF(AND('Mapa riesgos'!#REF!="Media",'Mapa riesgos'!#REF!="Catastrófico"),CONCATENATE("R1C",'Mapa riesgos'!#REF!),"")</f>
        <v>#REF!</v>
      </c>
      <c r="AM26" s="34" t="e">
        <f>IF(AND('Mapa riesgos'!#REF!="Media",'Mapa riesgos'!#REF!="Catastrófico"),CONCATENATE("R1C",'Mapa riesgos'!#REF!),"")</f>
        <v>#REF!</v>
      </c>
      <c r="AN26" s="66"/>
      <c r="AO26" s="531" t="s">
        <v>208</v>
      </c>
      <c r="AP26" s="532"/>
      <c r="AQ26" s="532"/>
      <c r="AR26" s="532"/>
      <c r="AS26" s="532"/>
      <c r="AT26" s="533"/>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row>
    <row r="27" spans="1:76" ht="15" customHeight="1" x14ac:dyDescent="0.25">
      <c r="A27" s="66"/>
      <c r="B27" s="406"/>
      <c r="C27" s="406"/>
      <c r="D27" s="407"/>
      <c r="E27" s="503"/>
      <c r="F27" s="504"/>
      <c r="G27" s="504"/>
      <c r="H27" s="504"/>
      <c r="I27" s="520"/>
      <c r="J27" s="50" t="e">
        <f>IF(AND('Mapa riesgos'!#REF!="Media",'Mapa riesgos'!#REF!="Leve"),CONCATENATE("R2C",'Mapa riesgos'!#REF!),"")</f>
        <v>#REF!</v>
      </c>
      <c r="K27" s="51" t="e">
        <f>IF(AND('Mapa riesgos'!#REF!="Media",'Mapa riesgos'!#REF!="Leve"),CONCATENATE("R2C",'Mapa riesgos'!#REF!),"")</f>
        <v>#REF!</v>
      </c>
      <c r="L27" s="51" t="e">
        <f>IF(AND('Mapa riesgos'!#REF!="Media",'Mapa riesgos'!#REF!="Leve"),CONCATENATE("R2C",'Mapa riesgos'!#REF!),"")</f>
        <v>#REF!</v>
      </c>
      <c r="M27" s="51" t="e">
        <f>IF(AND('Mapa riesgos'!#REF!="Media",'Mapa riesgos'!#REF!="Leve"),CONCATENATE("R2C",'Mapa riesgos'!#REF!),"")</f>
        <v>#REF!</v>
      </c>
      <c r="N27" s="51" t="e">
        <f>IF(AND('Mapa riesgos'!#REF!="Media",'Mapa riesgos'!#REF!="Leve"),CONCATENATE("R2C",'Mapa riesgos'!#REF!),"")</f>
        <v>#REF!</v>
      </c>
      <c r="O27" s="52" t="e">
        <f>IF(AND('Mapa riesgos'!#REF!="Media",'Mapa riesgos'!#REF!="Leve"),CONCATENATE("R2C",'Mapa riesgos'!#REF!),"")</f>
        <v>#REF!</v>
      </c>
      <c r="P27" s="50" t="e">
        <f>IF(AND('Mapa riesgos'!#REF!="Media",'Mapa riesgos'!#REF!="Menor"),CONCATENATE("R2C",'Mapa riesgos'!#REF!),"")</f>
        <v>#REF!</v>
      </c>
      <c r="Q27" s="51" t="e">
        <f>IF(AND('Mapa riesgos'!#REF!="Media",'Mapa riesgos'!#REF!="Menor"),CONCATENATE("R2C",'Mapa riesgos'!#REF!),"")</f>
        <v>#REF!</v>
      </c>
      <c r="R27" s="51" t="e">
        <f>IF(AND('Mapa riesgos'!#REF!="Media",'Mapa riesgos'!#REF!="Menor"),CONCATENATE("R2C",'Mapa riesgos'!#REF!),"")</f>
        <v>#REF!</v>
      </c>
      <c r="S27" s="51" t="e">
        <f>IF(AND('Mapa riesgos'!#REF!="Media",'Mapa riesgos'!#REF!="Menor"),CONCATENATE("R2C",'Mapa riesgos'!#REF!),"")</f>
        <v>#REF!</v>
      </c>
      <c r="T27" s="51" t="e">
        <f>IF(AND('Mapa riesgos'!#REF!="Media",'Mapa riesgos'!#REF!="Menor"),CONCATENATE("R2C",'Mapa riesgos'!#REF!),"")</f>
        <v>#REF!</v>
      </c>
      <c r="U27" s="52" t="e">
        <f>IF(AND('Mapa riesgos'!#REF!="Media",'Mapa riesgos'!#REF!="Menor"),CONCATENATE("R2C",'Mapa riesgos'!#REF!),"")</f>
        <v>#REF!</v>
      </c>
      <c r="V27" s="50" t="e">
        <f>IF(AND('Mapa riesgos'!#REF!="Media",'Mapa riesgos'!#REF!="Moderado"),CONCATENATE("R2C",'Mapa riesgos'!#REF!),"")</f>
        <v>#REF!</v>
      </c>
      <c r="W27" s="51" t="e">
        <f>IF(AND('Mapa riesgos'!#REF!="Media",'Mapa riesgos'!#REF!="Moderado"),CONCATENATE("R2C",'Mapa riesgos'!#REF!),"")</f>
        <v>#REF!</v>
      </c>
      <c r="X27" s="51" t="e">
        <f>IF(AND('Mapa riesgos'!#REF!="Media",'Mapa riesgos'!#REF!="Moderado"),CONCATENATE("R2C",'Mapa riesgos'!#REF!),"")</f>
        <v>#REF!</v>
      </c>
      <c r="Y27" s="51" t="e">
        <f>IF(AND('Mapa riesgos'!#REF!="Media",'Mapa riesgos'!#REF!="Moderado"),CONCATENATE("R2C",'Mapa riesgos'!#REF!),"")</f>
        <v>#REF!</v>
      </c>
      <c r="Z27" s="51" t="e">
        <f>IF(AND('Mapa riesgos'!#REF!="Media",'Mapa riesgos'!#REF!="Moderado"),CONCATENATE("R2C",'Mapa riesgos'!#REF!),"")</f>
        <v>#REF!</v>
      </c>
      <c r="AA27" s="52" t="e">
        <f>IF(AND('Mapa riesgos'!#REF!="Media",'Mapa riesgos'!#REF!="Moderado"),CONCATENATE("R2C",'Mapa riesgos'!#REF!),"")</f>
        <v>#REF!</v>
      </c>
      <c r="AB27" s="35" t="e">
        <f>IF(AND('Mapa riesgos'!#REF!="Media",'Mapa riesgos'!#REF!="Mayor"),CONCATENATE("R2C",'Mapa riesgos'!#REF!),"")</f>
        <v>#REF!</v>
      </c>
      <c r="AC27" s="36" t="e">
        <f>IF(AND('Mapa riesgos'!#REF!="Media",'Mapa riesgos'!#REF!="Mayor"),CONCATENATE("R2C",'Mapa riesgos'!#REF!),"")</f>
        <v>#REF!</v>
      </c>
      <c r="AD27" s="36" t="e">
        <f>IF(AND('Mapa riesgos'!#REF!="Media",'Mapa riesgos'!#REF!="Mayor"),CONCATENATE("R2C",'Mapa riesgos'!#REF!),"")</f>
        <v>#REF!</v>
      </c>
      <c r="AE27" s="36" t="e">
        <f>IF(AND('Mapa riesgos'!#REF!="Media",'Mapa riesgos'!#REF!="Mayor"),CONCATENATE("R2C",'Mapa riesgos'!#REF!),"")</f>
        <v>#REF!</v>
      </c>
      <c r="AF27" s="36" t="e">
        <f>IF(AND('Mapa riesgos'!#REF!="Media",'Mapa riesgos'!#REF!="Mayor"),CONCATENATE("R2C",'Mapa riesgos'!#REF!),"")</f>
        <v>#REF!</v>
      </c>
      <c r="AG27" s="37" t="e">
        <f>IF(AND('Mapa riesgos'!#REF!="Media",'Mapa riesgos'!#REF!="Mayor"),CONCATENATE("R2C",'Mapa riesgos'!#REF!),"")</f>
        <v>#REF!</v>
      </c>
      <c r="AH27" s="38" t="e">
        <f>IF(AND('Mapa riesgos'!#REF!="Media",'Mapa riesgos'!#REF!="Catastrófico"),CONCATENATE("R2C",'Mapa riesgos'!#REF!),"")</f>
        <v>#REF!</v>
      </c>
      <c r="AI27" s="39" t="e">
        <f>IF(AND('Mapa riesgos'!#REF!="Media",'Mapa riesgos'!#REF!="Catastrófico"),CONCATENATE("R2C",'Mapa riesgos'!#REF!),"")</f>
        <v>#REF!</v>
      </c>
      <c r="AJ27" s="39" t="e">
        <f>IF(AND('Mapa riesgos'!#REF!="Media",'Mapa riesgos'!#REF!="Catastrófico"),CONCATENATE("R2C",'Mapa riesgos'!#REF!),"")</f>
        <v>#REF!</v>
      </c>
      <c r="AK27" s="39" t="e">
        <f>IF(AND('Mapa riesgos'!#REF!="Media",'Mapa riesgos'!#REF!="Catastrófico"),CONCATENATE("R2C",'Mapa riesgos'!#REF!),"")</f>
        <v>#REF!</v>
      </c>
      <c r="AL27" s="39" t="e">
        <f>IF(AND('Mapa riesgos'!#REF!="Media",'Mapa riesgos'!#REF!="Catastrófico"),CONCATENATE("R2C",'Mapa riesgos'!#REF!),"")</f>
        <v>#REF!</v>
      </c>
      <c r="AM27" s="40" t="e">
        <f>IF(AND('Mapa riesgos'!#REF!="Media",'Mapa riesgos'!#REF!="Catastrófico"),CONCATENATE("R2C",'Mapa riesgos'!#REF!),"")</f>
        <v>#REF!</v>
      </c>
      <c r="AN27" s="66"/>
      <c r="AO27" s="534"/>
      <c r="AP27" s="535"/>
      <c r="AQ27" s="535"/>
      <c r="AR27" s="535"/>
      <c r="AS27" s="535"/>
      <c r="AT27" s="536"/>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row>
    <row r="28" spans="1:76" ht="15" customHeight="1" x14ac:dyDescent="0.25">
      <c r="A28" s="66"/>
      <c r="B28" s="406"/>
      <c r="C28" s="406"/>
      <c r="D28" s="407"/>
      <c r="E28" s="505"/>
      <c r="F28" s="504"/>
      <c r="G28" s="504"/>
      <c r="H28" s="504"/>
      <c r="I28" s="520"/>
      <c r="J28" s="50" t="e">
        <f>IF(AND('Mapa riesgos'!#REF!="Media",'Mapa riesgos'!#REF!="Leve"),CONCATENATE("R3C",'Mapa riesgos'!#REF!),"")</f>
        <v>#REF!</v>
      </c>
      <c r="K28" s="51" t="e">
        <f>IF(AND('Mapa riesgos'!#REF!="Media",'Mapa riesgos'!#REF!="Leve"),CONCATENATE("R3C",'Mapa riesgos'!#REF!),"")</f>
        <v>#REF!</v>
      </c>
      <c r="L28" s="51" t="e">
        <f>IF(AND('Mapa riesgos'!#REF!="Media",'Mapa riesgos'!#REF!="Leve"),CONCATENATE("R3C",'Mapa riesgos'!#REF!),"")</f>
        <v>#REF!</v>
      </c>
      <c r="M28" s="51" t="e">
        <f>IF(AND('Mapa riesgos'!#REF!="Media",'Mapa riesgos'!#REF!="Leve"),CONCATENATE("R3C",'Mapa riesgos'!#REF!),"")</f>
        <v>#REF!</v>
      </c>
      <c r="N28" s="51" t="e">
        <f>IF(AND('Mapa riesgos'!#REF!="Media",'Mapa riesgos'!#REF!="Leve"),CONCATENATE("R3C",'Mapa riesgos'!#REF!),"")</f>
        <v>#REF!</v>
      </c>
      <c r="O28" s="52" t="e">
        <f>IF(AND('Mapa riesgos'!#REF!="Media",'Mapa riesgos'!#REF!="Leve"),CONCATENATE("R3C",'Mapa riesgos'!#REF!),"")</f>
        <v>#REF!</v>
      </c>
      <c r="P28" s="50" t="e">
        <f>IF(AND('Mapa riesgos'!#REF!="Media",'Mapa riesgos'!#REF!="Menor"),CONCATENATE("R3C",'Mapa riesgos'!#REF!),"")</f>
        <v>#REF!</v>
      </c>
      <c r="Q28" s="51" t="e">
        <f>IF(AND('Mapa riesgos'!#REF!="Media",'Mapa riesgos'!#REF!="Menor"),CONCATENATE("R3C",'Mapa riesgos'!#REF!),"")</f>
        <v>#REF!</v>
      </c>
      <c r="R28" s="51" t="e">
        <f>IF(AND('Mapa riesgos'!#REF!="Media",'Mapa riesgos'!#REF!="Menor"),CONCATENATE("R3C",'Mapa riesgos'!#REF!),"")</f>
        <v>#REF!</v>
      </c>
      <c r="S28" s="51" t="e">
        <f>IF(AND('Mapa riesgos'!#REF!="Media",'Mapa riesgos'!#REF!="Menor"),CONCATENATE("R3C",'Mapa riesgos'!#REF!),"")</f>
        <v>#REF!</v>
      </c>
      <c r="T28" s="51" t="e">
        <f>IF(AND('Mapa riesgos'!#REF!="Media",'Mapa riesgos'!#REF!="Menor"),CONCATENATE("R3C",'Mapa riesgos'!#REF!),"")</f>
        <v>#REF!</v>
      </c>
      <c r="U28" s="52" t="e">
        <f>IF(AND('Mapa riesgos'!#REF!="Media",'Mapa riesgos'!#REF!="Menor"),CONCATENATE("R3C",'Mapa riesgos'!#REF!),"")</f>
        <v>#REF!</v>
      </c>
      <c r="V28" s="50" t="e">
        <f>IF(AND('Mapa riesgos'!#REF!="Media",'Mapa riesgos'!#REF!="Moderado"),CONCATENATE("R3C",'Mapa riesgos'!#REF!),"")</f>
        <v>#REF!</v>
      </c>
      <c r="W28" s="51" t="e">
        <f>IF(AND('Mapa riesgos'!#REF!="Media",'Mapa riesgos'!#REF!="Moderado"),CONCATENATE("R3C",'Mapa riesgos'!#REF!),"")</f>
        <v>#REF!</v>
      </c>
      <c r="X28" s="51" t="e">
        <f>IF(AND('Mapa riesgos'!#REF!="Media",'Mapa riesgos'!#REF!="Moderado"),CONCATENATE("R3C",'Mapa riesgos'!#REF!),"")</f>
        <v>#REF!</v>
      </c>
      <c r="Y28" s="51" t="e">
        <f>IF(AND('Mapa riesgos'!#REF!="Media",'Mapa riesgos'!#REF!="Moderado"),CONCATENATE("R3C",'Mapa riesgos'!#REF!),"")</f>
        <v>#REF!</v>
      </c>
      <c r="Z28" s="51" t="e">
        <f>IF(AND('Mapa riesgos'!#REF!="Media",'Mapa riesgos'!#REF!="Moderado"),CONCATENATE("R3C",'Mapa riesgos'!#REF!),"")</f>
        <v>#REF!</v>
      </c>
      <c r="AA28" s="52" t="e">
        <f>IF(AND('Mapa riesgos'!#REF!="Media",'Mapa riesgos'!#REF!="Moderado"),CONCATENATE("R3C",'Mapa riesgos'!#REF!),"")</f>
        <v>#REF!</v>
      </c>
      <c r="AB28" s="35" t="e">
        <f>IF(AND('Mapa riesgos'!#REF!="Media",'Mapa riesgos'!#REF!="Mayor"),CONCATENATE("R3C",'Mapa riesgos'!#REF!),"")</f>
        <v>#REF!</v>
      </c>
      <c r="AC28" s="36" t="e">
        <f>IF(AND('Mapa riesgos'!#REF!="Media",'Mapa riesgos'!#REF!="Mayor"),CONCATENATE("R3C",'Mapa riesgos'!#REF!),"")</f>
        <v>#REF!</v>
      </c>
      <c r="AD28" s="36" t="e">
        <f>IF(AND('Mapa riesgos'!#REF!="Media",'Mapa riesgos'!#REF!="Mayor"),CONCATENATE("R3C",'Mapa riesgos'!#REF!),"")</f>
        <v>#REF!</v>
      </c>
      <c r="AE28" s="36" t="e">
        <f>IF(AND('Mapa riesgos'!#REF!="Media",'Mapa riesgos'!#REF!="Mayor"),CONCATENATE("R3C",'Mapa riesgos'!#REF!),"")</f>
        <v>#REF!</v>
      </c>
      <c r="AF28" s="36" t="e">
        <f>IF(AND('Mapa riesgos'!#REF!="Media",'Mapa riesgos'!#REF!="Mayor"),CONCATENATE("R3C",'Mapa riesgos'!#REF!),"")</f>
        <v>#REF!</v>
      </c>
      <c r="AG28" s="37" t="e">
        <f>IF(AND('Mapa riesgos'!#REF!="Media",'Mapa riesgos'!#REF!="Mayor"),CONCATENATE("R3C",'Mapa riesgos'!#REF!),"")</f>
        <v>#REF!</v>
      </c>
      <c r="AH28" s="38" t="e">
        <f>IF(AND('Mapa riesgos'!#REF!="Media",'Mapa riesgos'!#REF!="Catastrófico"),CONCATENATE("R3C",'Mapa riesgos'!#REF!),"")</f>
        <v>#REF!</v>
      </c>
      <c r="AI28" s="39" t="e">
        <f>IF(AND('Mapa riesgos'!#REF!="Media",'Mapa riesgos'!#REF!="Catastrófico"),CONCATENATE("R3C",'Mapa riesgos'!#REF!),"")</f>
        <v>#REF!</v>
      </c>
      <c r="AJ28" s="39" t="e">
        <f>IF(AND('Mapa riesgos'!#REF!="Media",'Mapa riesgos'!#REF!="Catastrófico"),CONCATENATE("R3C",'Mapa riesgos'!#REF!),"")</f>
        <v>#REF!</v>
      </c>
      <c r="AK28" s="39" t="e">
        <f>IF(AND('Mapa riesgos'!#REF!="Media",'Mapa riesgos'!#REF!="Catastrófico"),CONCATENATE("R3C",'Mapa riesgos'!#REF!),"")</f>
        <v>#REF!</v>
      </c>
      <c r="AL28" s="39" t="e">
        <f>IF(AND('Mapa riesgos'!#REF!="Media",'Mapa riesgos'!#REF!="Catastrófico"),CONCATENATE("R3C",'Mapa riesgos'!#REF!),"")</f>
        <v>#REF!</v>
      </c>
      <c r="AM28" s="40" t="e">
        <f>IF(AND('Mapa riesgos'!#REF!="Media",'Mapa riesgos'!#REF!="Catastrófico"),CONCATENATE("R3C",'Mapa riesgos'!#REF!),"")</f>
        <v>#REF!</v>
      </c>
      <c r="AN28" s="66"/>
      <c r="AO28" s="534"/>
      <c r="AP28" s="535"/>
      <c r="AQ28" s="535"/>
      <c r="AR28" s="535"/>
      <c r="AS28" s="535"/>
      <c r="AT28" s="536"/>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row>
    <row r="29" spans="1:76" ht="15" customHeight="1" x14ac:dyDescent="0.25">
      <c r="A29" s="66"/>
      <c r="B29" s="406"/>
      <c r="C29" s="406"/>
      <c r="D29" s="407"/>
      <c r="E29" s="505"/>
      <c r="F29" s="504"/>
      <c r="G29" s="504"/>
      <c r="H29" s="504"/>
      <c r="I29" s="520"/>
      <c r="J29" s="50" t="str">
        <f>IF(AND('Mapa riesgos'!$AD$17="Media",'Mapa riesgos'!$AF$17="Leve"),CONCATENATE("R4C",'Mapa riesgos'!$T$17),"")</f>
        <v/>
      </c>
      <c r="K29" s="51" t="str">
        <f>IF(AND('Mapa riesgos'!$AD$18="Media",'Mapa riesgos'!$AF$18="Leve"),CONCATENATE("R4C",'Mapa riesgos'!$T$18),"")</f>
        <v/>
      </c>
      <c r="L29" s="51" t="str">
        <f>IF(AND('Mapa riesgos'!$AD$19="Media",'Mapa riesgos'!$AF$19="Leve"),CONCATENATE("R4C",'Mapa riesgos'!$T$19),"")</f>
        <v/>
      </c>
      <c r="M29" s="51" t="str">
        <f>IF(AND('Mapa riesgos'!$AD$20="Media",'Mapa riesgos'!$AF$20="Leve"),CONCATENATE("R4C",'Mapa riesgos'!$T$20),"")</f>
        <v/>
      </c>
      <c r="N29" s="51" t="str">
        <f>IF(AND('Mapa riesgos'!$AD$21="Media",'Mapa riesgos'!$AF$21="Leve"),CONCATENATE("R4C",'Mapa riesgos'!$T$21),"")</f>
        <v/>
      </c>
      <c r="O29" s="52" t="str">
        <f>IF(AND('Mapa riesgos'!$AD$22="Media",'Mapa riesgos'!$AF$22="Leve"),CONCATENATE("R4C",'Mapa riesgos'!$T$22),"")</f>
        <v/>
      </c>
      <c r="P29" s="50" t="str">
        <f>IF(AND('Mapa riesgos'!$AD$17="Media",'Mapa riesgos'!$AF$17="Menor"),CONCATENATE("R4C",'Mapa riesgos'!$T$17),"")</f>
        <v/>
      </c>
      <c r="Q29" s="51" t="str">
        <f>IF(AND('Mapa riesgos'!$AD$18="Media",'Mapa riesgos'!$AF$18="Menor"),CONCATENATE("R4C",'Mapa riesgos'!$T$18),"")</f>
        <v/>
      </c>
      <c r="R29" s="51" t="str">
        <f>IF(AND('Mapa riesgos'!$AD$19="Media",'Mapa riesgos'!$AF$19="Menor"),CONCATENATE("R4C",'Mapa riesgos'!$T$19),"")</f>
        <v/>
      </c>
      <c r="S29" s="51" t="str">
        <f>IF(AND('Mapa riesgos'!$AD$20="Media",'Mapa riesgos'!$AF$20="Menor"),CONCATENATE("R4C",'Mapa riesgos'!$T$20),"")</f>
        <v/>
      </c>
      <c r="T29" s="51" t="str">
        <f>IF(AND('Mapa riesgos'!$AD$21="Media",'Mapa riesgos'!$AF$21="Menor"),CONCATENATE("R4C",'Mapa riesgos'!$T$21),"")</f>
        <v/>
      </c>
      <c r="U29" s="52" t="str">
        <f>IF(AND('Mapa riesgos'!$AD$22="Media",'Mapa riesgos'!$AF$22="Menor"),CONCATENATE("R4C",'Mapa riesgos'!$T$22),"")</f>
        <v/>
      </c>
      <c r="V29" s="50" t="str">
        <f>IF(AND('Mapa riesgos'!$AD$17="Media",'Mapa riesgos'!$AF$17="Moderado"),CONCATENATE("R4C",'Mapa riesgos'!$T$17),"")</f>
        <v/>
      </c>
      <c r="W29" s="51" t="str">
        <f>IF(AND('Mapa riesgos'!$AD$18="Media",'Mapa riesgos'!$AF$18="Moderado"),CONCATENATE("R4C",'Mapa riesgos'!$T$18),"")</f>
        <v/>
      </c>
      <c r="X29" s="51" t="str">
        <f>IF(AND('Mapa riesgos'!$AD$19="Media",'Mapa riesgos'!$AF$19="Moderado"),CONCATENATE("R4C",'Mapa riesgos'!$T$19),"")</f>
        <v/>
      </c>
      <c r="Y29" s="51" t="str">
        <f>IF(AND('Mapa riesgos'!$AD$20="Media",'Mapa riesgos'!$AF$20="Moderado"),CONCATENATE("R4C",'Mapa riesgos'!$T$20),"")</f>
        <v/>
      </c>
      <c r="Z29" s="51" t="str">
        <f>IF(AND('Mapa riesgos'!$AD$21="Media",'Mapa riesgos'!$AF$21="Moderado"),CONCATENATE("R4C",'Mapa riesgos'!$T$21),"")</f>
        <v/>
      </c>
      <c r="AA29" s="52" t="str">
        <f>IF(AND('Mapa riesgos'!$AD$22="Media",'Mapa riesgos'!$AF$22="Moderado"),CONCATENATE("R4C",'Mapa riesgos'!$T$22),"")</f>
        <v/>
      </c>
      <c r="AB29" s="35" t="str">
        <f>IF(AND('Mapa riesgos'!$AD$17="Media",'Mapa riesgos'!$AF$17="Mayor"),CONCATENATE("R4C",'Mapa riesgos'!$T$17),"")</f>
        <v/>
      </c>
      <c r="AC29" s="36" t="str">
        <f>IF(AND('Mapa riesgos'!$AD$18="Media",'Mapa riesgos'!$AF$18="Mayor"),CONCATENATE("R4C",'Mapa riesgos'!$T$18),"")</f>
        <v/>
      </c>
      <c r="AD29" s="36" t="str">
        <f>IF(AND('Mapa riesgos'!$AD$19="Media",'Mapa riesgos'!$AF$19="Mayor"),CONCATENATE("R4C",'Mapa riesgos'!$T$19),"")</f>
        <v/>
      </c>
      <c r="AE29" s="36" t="str">
        <f>IF(AND('Mapa riesgos'!$AD$20="Media",'Mapa riesgos'!$AF$20="Mayor"),CONCATENATE("R4C",'Mapa riesgos'!$T$20),"")</f>
        <v/>
      </c>
      <c r="AF29" s="36" t="str">
        <f>IF(AND('Mapa riesgos'!$AD$21="Media",'Mapa riesgos'!$AF$21="Mayor"),CONCATENATE("R4C",'Mapa riesgos'!$T$21),"")</f>
        <v/>
      </c>
      <c r="AG29" s="37" t="str">
        <f>IF(AND('Mapa riesgos'!$AD$22="Media",'Mapa riesgos'!$AF$22="Mayor"),CONCATENATE("R4C",'Mapa riesgos'!$T$22),"")</f>
        <v/>
      </c>
      <c r="AH29" s="38" t="str">
        <f>IF(AND('Mapa riesgos'!$AD$17="Media",'Mapa riesgos'!$AF$17="Catastrófico"),CONCATENATE("R4C",'Mapa riesgos'!$T$17),"")</f>
        <v/>
      </c>
      <c r="AI29" s="39" t="str">
        <f>IF(AND('Mapa riesgos'!$AD$18="Media",'Mapa riesgos'!$AF$18="Catastrófico"),CONCATENATE("R4C",'Mapa riesgos'!$T$18),"")</f>
        <v/>
      </c>
      <c r="AJ29" s="39" t="str">
        <f>IF(AND('Mapa riesgos'!$AD$19="Media",'Mapa riesgos'!$AF$19="Catastrófico"),CONCATENATE("R4C",'Mapa riesgos'!$T$19),"")</f>
        <v/>
      </c>
      <c r="AK29" s="39" t="str">
        <f>IF(AND('Mapa riesgos'!$AD$20="Media",'Mapa riesgos'!$AF$20="Catastrófico"),CONCATENATE("R4C",'Mapa riesgos'!$T$20),"")</f>
        <v/>
      </c>
      <c r="AL29" s="39" t="str">
        <f>IF(AND('Mapa riesgos'!$AD$21="Media",'Mapa riesgos'!$AF$21="Catastrófico"),CONCATENATE("R4C",'Mapa riesgos'!$T$21),"")</f>
        <v/>
      </c>
      <c r="AM29" s="40" t="str">
        <f>IF(AND('Mapa riesgos'!$AD$22="Media",'Mapa riesgos'!$AF$22="Catastrófico"),CONCATENATE("R4C",'Mapa riesgos'!$T$22),"")</f>
        <v/>
      </c>
      <c r="AN29" s="66"/>
      <c r="AO29" s="534"/>
      <c r="AP29" s="535"/>
      <c r="AQ29" s="535"/>
      <c r="AR29" s="535"/>
      <c r="AS29" s="535"/>
      <c r="AT29" s="53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row>
    <row r="30" spans="1:76" ht="15" customHeight="1" x14ac:dyDescent="0.25">
      <c r="A30" s="66"/>
      <c r="B30" s="406"/>
      <c r="C30" s="406"/>
      <c r="D30" s="407"/>
      <c r="E30" s="505"/>
      <c r="F30" s="504"/>
      <c r="G30" s="504"/>
      <c r="H30" s="504"/>
      <c r="I30" s="520"/>
      <c r="J30" s="50" t="e">
        <f>IF(AND('Mapa riesgos'!#REF!="Media",'Mapa riesgos'!#REF!="Leve"),CONCATENATE("R5C",'Mapa riesgos'!#REF!),"")</f>
        <v>#REF!</v>
      </c>
      <c r="K30" s="51" t="e">
        <f>IF(AND('Mapa riesgos'!#REF!="Media",'Mapa riesgos'!#REF!="Leve"),CONCATENATE("R5C",'Mapa riesgos'!#REF!),"")</f>
        <v>#REF!</v>
      </c>
      <c r="L30" s="51" t="e">
        <f>IF(AND('Mapa riesgos'!#REF!="Media",'Mapa riesgos'!#REF!="Leve"),CONCATENATE("R5C",'Mapa riesgos'!#REF!),"")</f>
        <v>#REF!</v>
      </c>
      <c r="M30" s="51" t="e">
        <f>IF(AND('Mapa riesgos'!#REF!="Media",'Mapa riesgos'!#REF!="Leve"),CONCATENATE("R5C",'Mapa riesgos'!#REF!),"")</f>
        <v>#REF!</v>
      </c>
      <c r="N30" s="51" t="e">
        <f>IF(AND('Mapa riesgos'!#REF!="Media",'Mapa riesgos'!#REF!="Leve"),CONCATENATE("R5C",'Mapa riesgos'!#REF!),"")</f>
        <v>#REF!</v>
      </c>
      <c r="O30" s="52" t="e">
        <f>IF(AND('Mapa riesgos'!#REF!="Media",'Mapa riesgos'!#REF!="Leve"),CONCATENATE("R5C",'Mapa riesgos'!#REF!),"")</f>
        <v>#REF!</v>
      </c>
      <c r="P30" s="50" t="e">
        <f>IF(AND('Mapa riesgos'!#REF!="Media",'Mapa riesgos'!#REF!="Menor"),CONCATENATE("R5C",'Mapa riesgos'!#REF!),"")</f>
        <v>#REF!</v>
      </c>
      <c r="Q30" s="51" t="e">
        <f>IF(AND('Mapa riesgos'!#REF!="Media",'Mapa riesgos'!#REF!="Menor"),CONCATENATE("R5C",'Mapa riesgos'!#REF!),"")</f>
        <v>#REF!</v>
      </c>
      <c r="R30" s="51" t="e">
        <f>IF(AND('Mapa riesgos'!#REF!="Media",'Mapa riesgos'!#REF!="Menor"),CONCATENATE("R5C",'Mapa riesgos'!#REF!),"")</f>
        <v>#REF!</v>
      </c>
      <c r="S30" s="51" t="e">
        <f>IF(AND('Mapa riesgos'!#REF!="Media",'Mapa riesgos'!#REF!="Menor"),CONCATENATE("R5C",'Mapa riesgos'!#REF!),"")</f>
        <v>#REF!</v>
      </c>
      <c r="T30" s="51" t="e">
        <f>IF(AND('Mapa riesgos'!#REF!="Media",'Mapa riesgos'!#REF!="Menor"),CONCATENATE("R5C",'Mapa riesgos'!#REF!),"")</f>
        <v>#REF!</v>
      </c>
      <c r="U30" s="52" t="e">
        <f>IF(AND('Mapa riesgos'!#REF!="Media",'Mapa riesgos'!#REF!="Menor"),CONCATENATE("R5C",'Mapa riesgos'!#REF!),"")</f>
        <v>#REF!</v>
      </c>
      <c r="V30" s="50" t="e">
        <f>IF(AND('Mapa riesgos'!#REF!="Media",'Mapa riesgos'!#REF!="Moderado"),CONCATENATE("R5C",'Mapa riesgos'!#REF!),"")</f>
        <v>#REF!</v>
      </c>
      <c r="W30" s="51" t="e">
        <f>IF(AND('Mapa riesgos'!#REF!="Media",'Mapa riesgos'!#REF!="Moderado"),CONCATENATE("R5C",'Mapa riesgos'!#REF!),"")</f>
        <v>#REF!</v>
      </c>
      <c r="X30" s="51" t="e">
        <f>IF(AND('Mapa riesgos'!#REF!="Media",'Mapa riesgos'!#REF!="Moderado"),CONCATENATE("R5C",'Mapa riesgos'!#REF!),"")</f>
        <v>#REF!</v>
      </c>
      <c r="Y30" s="51" t="e">
        <f>IF(AND('Mapa riesgos'!#REF!="Media",'Mapa riesgos'!#REF!="Moderado"),CONCATENATE("R5C",'Mapa riesgos'!#REF!),"")</f>
        <v>#REF!</v>
      </c>
      <c r="Z30" s="51" t="e">
        <f>IF(AND('Mapa riesgos'!#REF!="Media",'Mapa riesgos'!#REF!="Moderado"),CONCATENATE("R5C",'Mapa riesgos'!#REF!),"")</f>
        <v>#REF!</v>
      </c>
      <c r="AA30" s="52" t="e">
        <f>IF(AND('Mapa riesgos'!#REF!="Media",'Mapa riesgos'!#REF!="Moderado"),CONCATENATE("R5C",'Mapa riesgos'!#REF!),"")</f>
        <v>#REF!</v>
      </c>
      <c r="AB30" s="35" t="e">
        <f>IF(AND('Mapa riesgos'!#REF!="Media",'Mapa riesgos'!#REF!="Mayor"),CONCATENATE("R5C",'Mapa riesgos'!#REF!),"")</f>
        <v>#REF!</v>
      </c>
      <c r="AC30" s="36" t="e">
        <f>IF(AND('Mapa riesgos'!#REF!="Media",'Mapa riesgos'!#REF!="Mayor"),CONCATENATE("R5C",'Mapa riesgos'!#REF!),"")</f>
        <v>#REF!</v>
      </c>
      <c r="AD30" s="36" t="e">
        <f>IF(AND('Mapa riesgos'!#REF!="Media",'Mapa riesgos'!#REF!="Mayor"),CONCATENATE("R5C",'Mapa riesgos'!#REF!),"")</f>
        <v>#REF!</v>
      </c>
      <c r="AE30" s="36" t="e">
        <f>IF(AND('Mapa riesgos'!#REF!="Media",'Mapa riesgos'!#REF!="Mayor"),CONCATENATE("R5C",'Mapa riesgos'!#REF!),"")</f>
        <v>#REF!</v>
      </c>
      <c r="AF30" s="36" t="e">
        <f>IF(AND('Mapa riesgos'!#REF!="Media",'Mapa riesgos'!#REF!="Mayor"),CONCATENATE("R5C",'Mapa riesgos'!#REF!),"")</f>
        <v>#REF!</v>
      </c>
      <c r="AG30" s="37" t="e">
        <f>IF(AND('Mapa riesgos'!#REF!="Media",'Mapa riesgos'!#REF!="Mayor"),CONCATENATE("R5C",'Mapa riesgos'!#REF!),"")</f>
        <v>#REF!</v>
      </c>
      <c r="AH30" s="38" t="e">
        <f>IF(AND('Mapa riesgos'!#REF!="Media",'Mapa riesgos'!#REF!="Catastrófico"),CONCATENATE("R5C",'Mapa riesgos'!#REF!),"")</f>
        <v>#REF!</v>
      </c>
      <c r="AI30" s="39" t="e">
        <f>IF(AND('Mapa riesgos'!#REF!="Media",'Mapa riesgos'!#REF!="Catastrófico"),CONCATENATE("R5C",'Mapa riesgos'!#REF!),"")</f>
        <v>#REF!</v>
      </c>
      <c r="AJ30" s="39" t="e">
        <f>IF(AND('Mapa riesgos'!#REF!="Media",'Mapa riesgos'!#REF!="Catastrófico"),CONCATENATE("R5C",'Mapa riesgos'!#REF!),"")</f>
        <v>#REF!</v>
      </c>
      <c r="AK30" s="39" t="e">
        <f>IF(AND('Mapa riesgos'!#REF!="Media",'Mapa riesgos'!#REF!="Catastrófico"),CONCATENATE("R5C",'Mapa riesgos'!#REF!),"")</f>
        <v>#REF!</v>
      </c>
      <c r="AL30" s="39" t="e">
        <f>IF(AND('Mapa riesgos'!#REF!="Media",'Mapa riesgos'!#REF!="Catastrófico"),CONCATENATE("R5C",'Mapa riesgos'!#REF!),"")</f>
        <v>#REF!</v>
      </c>
      <c r="AM30" s="40" t="e">
        <f>IF(AND('Mapa riesgos'!#REF!="Media",'Mapa riesgos'!#REF!="Catastrófico"),CONCATENATE("R5C",'Mapa riesgos'!#REF!),"")</f>
        <v>#REF!</v>
      </c>
      <c r="AN30" s="66"/>
      <c r="AO30" s="534"/>
      <c r="AP30" s="535"/>
      <c r="AQ30" s="535"/>
      <c r="AR30" s="535"/>
      <c r="AS30" s="535"/>
      <c r="AT30" s="536"/>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row>
    <row r="31" spans="1:76" ht="15" customHeight="1" x14ac:dyDescent="0.25">
      <c r="A31" s="66"/>
      <c r="B31" s="406"/>
      <c r="C31" s="406"/>
      <c r="D31" s="407"/>
      <c r="E31" s="505"/>
      <c r="F31" s="504"/>
      <c r="G31" s="504"/>
      <c r="H31" s="504"/>
      <c r="I31" s="520"/>
      <c r="J31" s="50" t="e">
        <f>IF(AND('Mapa riesgos'!#REF!="Media",'Mapa riesgos'!#REF!="Leve"),CONCATENATE("R6C",'Mapa riesgos'!#REF!),"")</f>
        <v>#REF!</v>
      </c>
      <c r="K31" s="51" t="e">
        <f>IF(AND('Mapa riesgos'!#REF!="Media",'Mapa riesgos'!#REF!="Leve"),CONCATENATE("R6C",'Mapa riesgos'!#REF!),"")</f>
        <v>#REF!</v>
      </c>
      <c r="L31" s="51" t="e">
        <f>IF(AND('Mapa riesgos'!#REF!="Media",'Mapa riesgos'!#REF!="Leve"),CONCATENATE("R6C",'Mapa riesgos'!#REF!),"")</f>
        <v>#REF!</v>
      </c>
      <c r="M31" s="51" t="e">
        <f>IF(AND('Mapa riesgos'!#REF!="Media",'Mapa riesgos'!#REF!="Leve"),CONCATENATE("R6C",'Mapa riesgos'!#REF!),"")</f>
        <v>#REF!</v>
      </c>
      <c r="N31" s="51" t="e">
        <f>IF(AND('Mapa riesgos'!#REF!="Media",'Mapa riesgos'!#REF!="Leve"),CONCATENATE("R6C",'Mapa riesgos'!#REF!),"")</f>
        <v>#REF!</v>
      </c>
      <c r="O31" s="52" t="e">
        <f>IF(AND('Mapa riesgos'!#REF!="Media",'Mapa riesgos'!#REF!="Leve"),CONCATENATE("R6C",'Mapa riesgos'!#REF!),"")</f>
        <v>#REF!</v>
      </c>
      <c r="P31" s="50" t="e">
        <f>IF(AND('Mapa riesgos'!#REF!="Media",'Mapa riesgos'!#REF!="Menor"),CONCATENATE("R6C",'Mapa riesgos'!#REF!),"")</f>
        <v>#REF!</v>
      </c>
      <c r="Q31" s="51" t="e">
        <f>IF(AND('Mapa riesgos'!#REF!="Media",'Mapa riesgos'!#REF!="Menor"),CONCATENATE("R6C",'Mapa riesgos'!#REF!),"")</f>
        <v>#REF!</v>
      </c>
      <c r="R31" s="51" t="e">
        <f>IF(AND('Mapa riesgos'!#REF!="Media",'Mapa riesgos'!#REF!="Menor"),CONCATENATE("R6C",'Mapa riesgos'!#REF!),"")</f>
        <v>#REF!</v>
      </c>
      <c r="S31" s="51" t="e">
        <f>IF(AND('Mapa riesgos'!#REF!="Media",'Mapa riesgos'!#REF!="Menor"),CONCATENATE("R6C",'Mapa riesgos'!#REF!),"")</f>
        <v>#REF!</v>
      </c>
      <c r="T31" s="51" t="e">
        <f>IF(AND('Mapa riesgos'!#REF!="Media",'Mapa riesgos'!#REF!="Menor"),CONCATENATE("R6C",'Mapa riesgos'!#REF!),"")</f>
        <v>#REF!</v>
      </c>
      <c r="U31" s="52" t="e">
        <f>IF(AND('Mapa riesgos'!#REF!="Media",'Mapa riesgos'!#REF!="Menor"),CONCATENATE("R6C",'Mapa riesgos'!#REF!),"")</f>
        <v>#REF!</v>
      </c>
      <c r="V31" s="50" t="e">
        <f>IF(AND('Mapa riesgos'!#REF!="Media",'Mapa riesgos'!#REF!="Moderado"),CONCATENATE("R6C",'Mapa riesgos'!#REF!),"")</f>
        <v>#REF!</v>
      </c>
      <c r="W31" s="51" t="e">
        <f>IF(AND('Mapa riesgos'!#REF!="Media",'Mapa riesgos'!#REF!="Moderado"),CONCATENATE("R6C",'Mapa riesgos'!#REF!),"")</f>
        <v>#REF!</v>
      </c>
      <c r="X31" s="51" t="e">
        <f>IF(AND('Mapa riesgos'!#REF!="Media",'Mapa riesgos'!#REF!="Moderado"),CONCATENATE("R6C",'Mapa riesgos'!#REF!),"")</f>
        <v>#REF!</v>
      </c>
      <c r="Y31" s="51" t="e">
        <f>IF(AND('Mapa riesgos'!#REF!="Media",'Mapa riesgos'!#REF!="Moderado"),CONCATENATE("R6C",'Mapa riesgos'!#REF!),"")</f>
        <v>#REF!</v>
      </c>
      <c r="Z31" s="51" t="e">
        <f>IF(AND('Mapa riesgos'!#REF!="Media",'Mapa riesgos'!#REF!="Moderado"),CONCATENATE("R6C",'Mapa riesgos'!#REF!),"")</f>
        <v>#REF!</v>
      </c>
      <c r="AA31" s="52" t="e">
        <f>IF(AND('Mapa riesgos'!#REF!="Media",'Mapa riesgos'!#REF!="Moderado"),CONCATENATE("R6C",'Mapa riesgos'!#REF!),"")</f>
        <v>#REF!</v>
      </c>
      <c r="AB31" s="35" t="e">
        <f>IF(AND('Mapa riesgos'!#REF!="Media",'Mapa riesgos'!#REF!="Mayor"),CONCATENATE("R6C",'Mapa riesgos'!#REF!),"")</f>
        <v>#REF!</v>
      </c>
      <c r="AC31" s="36" t="e">
        <f>IF(AND('Mapa riesgos'!#REF!="Media",'Mapa riesgos'!#REF!="Mayor"),CONCATENATE("R6C",'Mapa riesgos'!#REF!),"")</f>
        <v>#REF!</v>
      </c>
      <c r="AD31" s="36" t="e">
        <f>IF(AND('Mapa riesgos'!#REF!="Media",'Mapa riesgos'!#REF!="Mayor"),CONCATENATE("R6C",'Mapa riesgos'!#REF!),"")</f>
        <v>#REF!</v>
      </c>
      <c r="AE31" s="36" t="e">
        <f>IF(AND('Mapa riesgos'!#REF!="Media",'Mapa riesgos'!#REF!="Mayor"),CONCATENATE("R6C",'Mapa riesgos'!#REF!),"")</f>
        <v>#REF!</v>
      </c>
      <c r="AF31" s="36" t="e">
        <f>IF(AND('Mapa riesgos'!#REF!="Media",'Mapa riesgos'!#REF!="Mayor"),CONCATENATE("R6C",'Mapa riesgos'!#REF!),"")</f>
        <v>#REF!</v>
      </c>
      <c r="AG31" s="37" t="e">
        <f>IF(AND('Mapa riesgos'!#REF!="Media",'Mapa riesgos'!#REF!="Mayor"),CONCATENATE("R6C",'Mapa riesgos'!#REF!),"")</f>
        <v>#REF!</v>
      </c>
      <c r="AH31" s="38" t="e">
        <f>IF(AND('Mapa riesgos'!#REF!="Media",'Mapa riesgos'!#REF!="Catastrófico"),CONCATENATE("R6C",'Mapa riesgos'!#REF!),"")</f>
        <v>#REF!</v>
      </c>
      <c r="AI31" s="39" t="e">
        <f>IF(AND('Mapa riesgos'!#REF!="Media",'Mapa riesgos'!#REF!="Catastrófico"),CONCATENATE("R6C",'Mapa riesgos'!#REF!),"")</f>
        <v>#REF!</v>
      </c>
      <c r="AJ31" s="39" t="e">
        <f>IF(AND('Mapa riesgos'!#REF!="Media",'Mapa riesgos'!#REF!="Catastrófico"),CONCATENATE("R6C",'Mapa riesgos'!#REF!),"")</f>
        <v>#REF!</v>
      </c>
      <c r="AK31" s="39" t="e">
        <f>IF(AND('Mapa riesgos'!#REF!="Media",'Mapa riesgos'!#REF!="Catastrófico"),CONCATENATE("R6C",'Mapa riesgos'!#REF!),"")</f>
        <v>#REF!</v>
      </c>
      <c r="AL31" s="39" t="e">
        <f>IF(AND('Mapa riesgos'!#REF!="Media",'Mapa riesgos'!#REF!="Catastrófico"),CONCATENATE("R6C",'Mapa riesgos'!#REF!),"")</f>
        <v>#REF!</v>
      </c>
      <c r="AM31" s="40" t="e">
        <f>IF(AND('Mapa riesgos'!#REF!="Media",'Mapa riesgos'!#REF!="Catastrófico"),CONCATENATE("R6C",'Mapa riesgos'!#REF!),"")</f>
        <v>#REF!</v>
      </c>
      <c r="AN31" s="66"/>
      <c r="AO31" s="534"/>
      <c r="AP31" s="535"/>
      <c r="AQ31" s="535"/>
      <c r="AR31" s="535"/>
      <c r="AS31" s="535"/>
      <c r="AT31" s="53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row>
    <row r="32" spans="1:76" ht="15" customHeight="1" x14ac:dyDescent="0.25">
      <c r="A32" s="66"/>
      <c r="B32" s="406"/>
      <c r="C32" s="406"/>
      <c r="D32" s="407"/>
      <c r="E32" s="505"/>
      <c r="F32" s="504"/>
      <c r="G32" s="504"/>
      <c r="H32" s="504"/>
      <c r="I32" s="520"/>
      <c r="J32" s="50" t="e">
        <f>IF(AND('Mapa riesgos'!#REF!="Media",'Mapa riesgos'!#REF!="Leve"),CONCATENATE("R7C",'Mapa riesgos'!#REF!),"")</f>
        <v>#REF!</v>
      </c>
      <c r="K32" s="51" t="e">
        <f>IF(AND('Mapa riesgos'!#REF!="Media",'Mapa riesgos'!#REF!="Leve"),CONCATENATE("R7C",'Mapa riesgos'!#REF!),"")</f>
        <v>#REF!</v>
      </c>
      <c r="L32" s="51" t="e">
        <f>IF(AND('Mapa riesgos'!#REF!="Media",'Mapa riesgos'!#REF!="Leve"),CONCATENATE("R7C",'Mapa riesgos'!#REF!),"")</f>
        <v>#REF!</v>
      </c>
      <c r="M32" s="51" t="e">
        <f>IF(AND('Mapa riesgos'!#REF!="Media",'Mapa riesgos'!#REF!="Leve"),CONCATENATE("R7C",'Mapa riesgos'!#REF!),"")</f>
        <v>#REF!</v>
      </c>
      <c r="N32" s="51" t="e">
        <f>IF(AND('Mapa riesgos'!#REF!="Media",'Mapa riesgos'!#REF!="Leve"),CONCATENATE("R7C",'Mapa riesgos'!#REF!),"")</f>
        <v>#REF!</v>
      </c>
      <c r="O32" s="52" t="e">
        <f>IF(AND('Mapa riesgos'!#REF!="Media",'Mapa riesgos'!#REF!="Leve"),CONCATENATE("R7C",'Mapa riesgos'!#REF!),"")</f>
        <v>#REF!</v>
      </c>
      <c r="P32" s="50" t="e">
        <f>IF(AND('Mapa riesgos'!#REF!="Media",'Mapa riesgos'!#REF!="Menor"),CONCATENATE("R7C",'Mapa riesgos'!#REF!),"")</f>
        <v>#REF!</v>
      </c>
      <c r="Q32" s="51" t="e">
        <f>IF(AND('Mapa riesgos'!#REF!="Media",'Mapa riesgos'!#REF!="Menor"),CONCATENATE("R7C",'Mapa riesgos'!#REF!),"")</f>
        <v>#REF!</v>
      </c>
      <c r="R32" s="51" t="e">
        <f>IF(AND('Mapa riesgos'!#REF!="Media",'Mapa riesgos'!#REF!="Menor"),CONCATENATE("R7C",'Mapa riesgos'!#REF!),"")</f>
        <v>#REF!</v>
      </c>
      <c r="S32" s="51" t="e">
        <f>IF(AND('Mapa riesgos'!#REF!="Media",'Mapa riesgos'!#REF!="Menor"),CONCATENATE("R7C",'Mapa riesgos'!#REF!),"")</f>
        <v>#REF!</v>
      </c>
      <c r="T32" s="51" t="e">
        <f>IF(AND('Mapa riesgos'!#REF!="Media",'Mapa riesgos'!#REF!="Menor"),CONCATENATE("R7C",'Mapa riesgos'!#REF!),"")</f>
        <v>#REF!</v>
      </c>
      <c r="U32" s="52" t="e">
        <f>IF(AND('Mapa riesgos'!#REF!="Media",'Mapa riesgos'!#REF!="Menor"),CONCATENATE("R7C",'Mapa riesgos'!#REF!),"")</f>
        <v>#REF!</v>
      </c>
      <c r="V32" s="50" t="e">
        <f>IF(AND('Mapa riesgos'!#REF!="Media",'Mapa riesgos'!#REF!="Moderado"),CONCATENATE("R7C",'Mapa riesgos'!#REF!),"")</f>
        <v>#REF!</v>
      </c>
      <c r="W32" s="51" t="e">
        <f>IF(AND('Mapa riesgos'!#REF!="Media",'Mapa riesgos'!#REF!="Moderado"),CONCATENATE("R7C",'Mapa riesgos'!#REF!),"")</f>
        <v>#REF!</v>
      </c>
      <c r="X32" s="51" t="e">
        <f>IF(AND('Mapa riesgos'!#REF!="Media",'Mapa riesgos'!#REF!="Moderado"),CONCATENATE("R7C",'Mapa riesgos'!#REF!),"")</f>
        <v>#REF!</v>
      </c>
      <c r="Y32" s="51" t="e">
        <f>IF(AND('Mapa riesgos'!#REF!="Media",'Mapa riesgos'!#REF!="Moderado"),CONCATENATE("R7C",'Mapa riesgos'!#REF!),"")</f>
        <v>#REF!</v>
      </c>
      <c r="Z32" s="51" t="e">
        <f>IF(AND('Mapa riesgos'!#REF!="Media",'Mapa riesgos'!#REF!="Moderado"),CONCATENATE("R7C",'Mapa riesgos'!#REF!),"")</f>
        <v>#REF!</v>
      </c>
      <c r="AA32" s="52" t="e">
        <f>IF(AND('Mapa riesgos'!#REF!="Media",'Mapa riesgos'!#REF!="Moderado"),CONCATENATE("R7C",'Mapa riesgos'!#REF!),"")</f>
        <v>#REF!</v>
      </c>
      <c r="AB32" s="35" t="e">
        <f>IF(AND('Mapa riesgos'!#REF!="Media",'Mapa riesgos'!#REF!="Mayor"),CONCATENATE("R7C",'Mapa riesgos'!#REF!),"")</f>
        <v>#REF!</v>
      </c>
      <c r="AC32" s="36" t="e">
        <f>IF(AND('Mapa riesgos'!#REF!="Media",'Mapa riesgos'!#REF!="Mayor"),CONCATENATE("R7C",'Mapa riesgos'!#REF!),"")</f>
        <v>#REF!</v>
      </c>
      <c r="AD32" s="36" t="e">
        <f>IF(AND('Mapa riesgos'!#REF!="Media",'Mapa riesgos'!#REF!="Mayor"),CONCATENATE("R7C",'Mapa riesgos'!#REF!),"")</f>
        <v>#REF!</v>
      </c>
      <c r="AE32" s="36" t="e">
        <f>IF(AND('Mapa riesgos'!#REF!="Media",'Mapa riesgos'!#REF!="Mayor"),CONCATENATE("R7C",'Mapa riesgos'!#REF!),"")</f>
        <v>#REF!</v>
      </c>
      <c r="AF32" s="36" t="e">
        <f>IF(AND('Mapa riesgos'!#REF!="Media",'Mapa riesgos'!#REF!="Mayor"),CONCATENATE("R7C",'Mapa riesgos'!#REF!),"")</f>
        <v>#REF!</v>
      </c>
      <c r="AG32" s="37" t="e">
        <f>IF(AND('Mapa riesgos'!#REF!="Media",'Mapa riesgos'!#REF!="Mayor"),CONCATENATE("R7C",'Mapa riesgos'!#REF!),"")</f>
        <v>#REF!</v>
      </c>
      <c r="AH32" s="38" t="e">
        <f>IF(AND('Mapa riesgos'!#REF!="Media",'Mapa riesgos'!#REF!="Catastrófico"),CONCATENATE("R7C",'Mapa riesgos'!#REF!),"")</f>
        <v>#REF!</v>
      </c>
      <c r="AI32" s="39" t="e">
        <f>IF(AND('Mapa riesgos'!#REF!="Media",'Mapa riesgos'!#REF!="Catastrófico"),CONCATENATE("R7C",'Mapa riesgos'!#REF!),"")</f>
        <v>#REF!</v>
      </c>
      <c r="AJ32" s="39" t="e">
        <f>IF(AND('Mapa riesgos'!#REF!="Media",'Mapa riesgos'!#REF!="Catastrófico"),CONCATENATE("R7C",'Mapa riesgos'!#REF!),"")</f>
        <v>#REF!</v>
      </c>
      <c r="AK32" s="39" t="e">
        <f>IF(AND('Mapa riesgos'!#REF!="Media",'Mapa riesgos'!#REF!="Catastrófico"),CONCATENATE("R7C",'Mapa riesgos'!#REF!),"")</f>
        <v>#REF!</v>
      </c>
      <c r="AL32" s="39" t="e">
        <f>IF(AND('Mapa riesgos'!#REF!="Media",'Mapa riesgos'!#REF!="Catastrófico"),CONCATENATE("R7C",'Mapa riesgos'!#REF!),"")</f>
        <v>#REF!</v>
      </c>
      <c r="AM32" s="40" t="e">
        <f>IF(AND('Mapa riesgos'!#REF!="Media",'Mapa riesgos'!#REF!="Catastrófico"),CONCATENATE("R7C",'Mapa riesgos'!#REF!),"")</f>
        <v>#REF!</v>
      </c>
      <c r="AN32" s="66"/>
      <c r="AO32" s="534"/>
      <c r="AP32" s="535"/>
      <c r="AQ32" s="535"/>
      <c r="AR32" s="535"/>
      <c r="AS32" s="535"/>
      <c r="AT32" s="536"/>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row>
    <row r="33" spans="1:80" ht="15" customHeight="1" x14ac:dyDescent="0.25">
      <c r="A33" s="66"/>
      <c r="B33" s="406"/>
      <c r="C33" s="406"/>
      <c r="D33" s="407"/>
      <c r="E33" s="505"/>
      <c r="F33" s="504"/>
      <c r="G33" s="504"/>
      <c r="H33" s="504"/>
      <c r="I33" s="520"/>
      <c r="J33" s="50" t="e">
        <f>IF(AND('Mapa riesgos'!#REF!="Media",'Mapa riesgos'!#REF!="Leve"),CONCATENATE("R8C",'Mapa riesgos'!#REF!),"")</f>
        <v>#REF!</v>
      </c>
      <c r="K33" s="51" t="e">
        <f>IF(AND('Mapa riesgos'!#REF!="Media",'Mapa riesgos'!#REF!="Leve"),CONCATENATE("R8C",'Mapa riesgos'!#REF!),"")</f>
        <v>#REF!</v>
      </c>
      <c r="L33" s="51" t="e">
        <f>IF(AND('Mapa riesgos'!#REF!="Media",'Mapa riesgos'!#REF!="Leve"),CONCATENATE("R8C",'Mapa riesgos'!#REF!),"")</f>
        <v>#REF!</v>
      </c>
      <c r="M33" s="51" t="e">
        <f>IF(AND('Mapa riesgos'!#REF!="Media",'Mapa riesgos'!#REF!="Leve"),CONCATENATE("R8C",'Mapa riesgos'!#REF!),"")</f>
        <v>#REF!</v>
      </c>
      <c r="N33" s="51" t="e">
        <f>IF(AND('Mapa riesgos'!#REF!="Media",'Mapa riesgos'!#REF!="Leve"),CONCATENATE("R8C",'Mapa riesgos'!#REF!),"")</f>
        <v>#REF!</v>
      </c>
      <c r="O33" s="52" t="e">
        <f>IF(AND('Mapa riesgos'!#REF!="Media",'Mapa riesgos'!#REF!="Leve"),CONCATENATE("R8C",'Mapa riesgos'!#REF!),"")</f>
        <v>#REF!</v>
      </c>
      <c r="P33" s="50" t="e">
        <f>IF(AND('Mapa riesgos'!#REF!="Media",'Mapa riesgos'!#REF!="Menor"),CONCATENATE("R8C",'Mapa riesgos'!#REF!),"")</f>
        <v>#REF!</v>
      </c>
      <c r="Q33" s="51" t="e">
        <f>IF(AND('Mapa riesgos'!#REF!="Media",'Mapa riesgos'!#REF!="Menor"),CONCATENATE("R8C",'Mapa riesgos'!#REF!),"")</f>
        <v>#REF!</v>
      </c>
      <c r="R33" s="51" t="e">
        <f>IF(AND('Mapa riesgos'!#REF!="Media",'Mapa riesgos'!#REF!="Menor"),CONCATENATE("R8C",'Mapa riesgos'!#REF!),"")</f>
        <v>#REF!</v>
      </c>
      <c r="S33" s="51" t="e">
        <f>IF(AND('Mapa riesgos'!#REF!="Media",'Mapa riesgos'!#REF!="Menor"),CONCATENATE("R8C",'Mapa riesgos'!#REF!),"")</f>
        <v>#REF!</v>
      </c>
      <c r="T33" s="51" t="e">
        <f>IF(AND('Mapa riesgos'!#REF!="Media",'Mapa riesgos'!#REF!="Menor"),CONCATENATE("R8C",'Mapa riesgos'!#REF!),"")</f>
        <v>#REF!</v>
      </c>
      <c r="U33" s="52" t="e">
        <f>IF(AND('Mapa riesgos'!#REF!="Media",'Mapa riesgos'!#REF!="Menor"),CONCATENATE("R8C",'Mapa riesgos'!#REF!),"")</f>
        <v>#REF!</v>
      </c>
      <c r="V33" s="50" t="e">
        <f>IF(AND('Mapa riesgos'!#REF!="Media",'Mapa riesgos'!#REF!="Moderado"),CONCATENATE("R8C",'Mapa riesgos'!#REF!),"")</f>
        <v>#REF!</v>
      </c>
      <c r="W33" s="51" t="e">
        <f>IF(AND('Mapa riesgos'!#REF!="Media",'Mapa riesgos'!#REF!="Moderado"),CONCATENATE("R8C",'Mapa riesgos'!#REF!),"")</f>
        <v>#REF!</v>
      </c>
      <c r="X33" s="51" t="e">
        <f>IF(AND('Mapa riesgos'!#REF!="Media",'Mapa riesgos'!#REF!="Moderado"),CONCATENATE("R8C",'Mapa riesgos'!#REF!),"")</f>
        <v>#REF!</v>
      </c>
      <c r="Y33" s="51" t="e">
        <f>IF(AND('Mapa riesgos'!#REF!="Media",'Mapa riesgos'!#REF!="Moderado"),CONCATENATE("R8C",'Mapa riesgos'!#REF!),"")</f>
        <v>#REF!</v>
      </c>
      <c r="Z33" s="51" t="e">
        <f>IF(AND('Mapa riesgos'!#REF!="Media",'Mapa riesgos'!#REF!="Moderado"),CONCATENATE("R8C",'Mapa riesgos'!#REF!),"")</f>
        <v>#REF!</v>
      </c>
      <c r="AA33" s="52" t="e">
        <f>IF(AND('Mapa riesgos'!#REF!="Media",'Mapa riesgos'!#REF!="Moderado"),CONCATENATE("R8C",'Mapa riesgos'!#REF!),"")</f>
        <v>#REF!</v>
      </c>
      <c r="AB33" s="35" t="e">
        <f>IF(AND('Mapa riesgos'!#REF!="Media",'Mapa riesgos'!#REF!="Mayor"),CONCATENATE("R8C",'Mapa riesgos'!#REF!),"")</f>
        <v>#REF!</v>
      </c>
      <c r="AC33" s="36" t="e">
        <f>IF(AND('Mapa riesgos'!#REF!="Media",'Mapa riesgos'!#REF!="Mayor"),CONCATENATE("R8C",'Mapa riesgos'!#REF!),"")</f>
        <v>#REF!</v>
      </c>
      <c r="AD33" s="36" t="e">
        <f>IF(AND('Mapa riesgos'!#REF!="Media",'Mapa riesgos'!#REF!="Mayor"),CONCATENATE("R8C",'Mapa riesgos'!#REF!),"")</f>
        <v>#REF!</v>
      </c>
      <c r="AE33" s="36" t="e">
        <f>IF(AND('Mapa riesgos'!#REF!="Media",'Mapa riesgos'!#REF!="Mayor"),CONCATENATE("R8C",'Mapa riesgos'!#REF!),"")</f>
        <v>#REF!</v>
      </c>
      <c r="AF33" s="36" t="e">
        <f>IF(AND('Mapa riesgos'!#REF!="Media",'Mapa riesgos'!#REF!="Mayor"),CONCATENATE("R8C",'Mapa riesgos'!#REF!),"")</f>
        <v>#REF!</v>
      </c>
      <c r="AG33" s="37" t="e">
        <f>IF(AND('Mapa riesgos'!#REF!="Media",'Mapa riesgos'!#REF!="Mayor"),CONCATENATE("R8C",'Mapa riesgos'!#REF!),"")</f>
        <v>#REF!</v>
      </c>
      <c r="AH33" s="38" t="e">
        <f>IF(AND('Mapa riesgos'!#REF!="Media",'Mapa riesgos'!#REF!="Catastrófico"),CONCATENATE("R8C",'Mapa riesgos'!#REF!),"")</f>
        <v>#REF!</v>
      </c>
      <c r="AI33" s="39" t="e">
        <f>IF(AND('Mapa riesgos'!#REF!="Media",'Mapa riesgos'!#REF!="Catastrófico"),CONCATENATE("R8C",'Mapa riesgos'!#REF!),"")</f>
        <v>#REF!</v>
      </c>
      <c r="AJ33" s="39" t="e">
        <f>IF(AND('Mapa riesgos'!#REF!="Media",'Mapa riesgos'!#REF!="Catastrófico"),CONCATENATE("R8C",'Mapa riesgos'!#REF!),"")</f>
        <v>#REF!</v>
      </c>
      <c r="AK33" s="39" t="e">
        <f>IF(AND('Mapa riesgos'!#REF!="Media",'Mapa riesgos'!#REF!="Catastrófico"),CONCATENATE("R8C",'Mapa riesgos'!#REF!),"")</f>
        <v>#REF!</v>
      </c>
      <c r="AL33" s="39" t="e">
        <f>IF(AND('Mapa riesgos'!#REF!="Media",'Mapa riesgos'!#REF!="Catastrófico"),CONCATENATE("R8C",'Mapa riesgos'!#REF!),"")</f>
        <v>#REF!</v>
      </c>
      <c r="AM33" s="40" t="e">
        <f>IF(AND('Mapa riesgos'!#REF!="Media",'Mapa riesgos'!#REF!="Catastrófico"),CONCATENATE("R8C",'Mapa riesgos'!#REF!),"")</f>
        <v>#REF!</v>
      </c>
      <c r="AN33" s="66"/>
      <c r="AO33" s="534"/>
      <c r="AP33" s="535"/>
      <c r="AQ33" s="535"/>
      <c r="AR33" s="535"/>
      <c r="AS33" s="535"/>
      <c r="AT33" s="536"/>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row>
    <row r="34" spans="1:80" ht="15" customHeight="1" x14ac:dyDescent="0.25">
      <c r="A34" s="66"/>
      <c r="B34" s="406"/>
      <c r="C34" s="406"/>
      <c r="D34" s="407"/>
      <c r="E34" s="505"/>
      <c r="F34" s="504"/>
      <c r="G34" s="504"/>
      <c r="H34" s="504"/>
      <c r="I34" s="520"/>
      <c r="J34" s="50" t="e">
        <f>IF(AND('Mapa riesgos'!#REF!="Media",'Mapa riesgos'!#REF!="Leve"),CONCATENATE("R9C",'Mapa riesgos'!#REF!),"")</f>
        <v>#REF!</v>
      </c>
      <c r="K34" s="51" t="e">
        <f>IF(AND('Mapa riesgos'!#REF!="Media",'Mapa riesgos'!#REF!="Leve"),CONCATENATE("R9C",'Mapa riesgos'!#REF!),"")</f>
        <v>#REF!</v>
      </c>
      <c r="L34" s="51" t="e">
        <f>IF(AND('Mapa riesgos'!#REF!="Media",'Mapa riesgos'!#REF!="Leve"),CONCATENATE("R9C",'Mapa riesgos'!#REF!),"")</f>
        <v>#REF!</v>
      </c>
      <c r="M34" s="51" t="e">
        <f>IF(AND('Mapa riesgos'!#REF!="Media",'Mapa riesgos'!#REF!="Leve"),CONCATENATE("R9C",'Mapa riesgos'!#REF!),"")</f>
        <v>#REF!</v>
      </c>
      <c r="N34" s="51" t="e">
        <f>IF(AND('Mapa riesgos'!#REF!="Media",'Mapa riesgos'!#REF!="Leve"),CONCATENATE("R9C",'Mapa riesgos'!#REF!),"")</f>
        <v>#REF!</v>
      </c>
      <c r="O34" s="52" t="e">
        <f>IF(AND('Mapa riesgos'!#REF!="Media",'Mapa riesgos'!#REF!="Leve"),CONCATENATE("R9C",'Mapa riesgos'!#REF!),"")</f>
        <v>#REF!</v>
      </c>
      <c r="P34" s="50" t="e">
        <f>IF(AND('Mapa riesgos'!#REF!="Media",'Mapa riesgos'!#REF!="Menor"),CONCATENATE("R9C",'Mapa riesgos'!#REF!),"")</f>
        <v>#REF!</v>
      </c>
      <c r="Q34" s="51" t="e">
        <f>IF(AND('Mapa riesgos'!#REF!="Media",'Mapa riesgos'!#REF!="Menor"),CONCATENATE("R9C",'Mapa riesgos'!#REF!),"")</f>
        <v>#REF!</v>
      </c>
      <c r="R34" s="51" t="e">
        <f>IF(AND('Mapa riesgos'!#REF!="Media",'Mapa riesgos'!#REF!="Menor"),CONCATENATE("R9C",'Mapa riesgos'!#REF!),"")</f>
        <v>#REF!</v>
      </c>
      <c r="S34" s="51" t="e">
        <f>IF(AND('Mapa riesgos'!#REF!="Media",'Mapa riesgos'!#REF!="Menor"),CONCATENATE("R9C",'Mapa riesgos'!#REF!),"")</f>
        <v>#REF!</v>
      </c>
      <c r="T34" s="51" t="e">
        <f>IF(AND('Mapa riesgos'!#REF!="Media",'Mapa riesgos'!#REF!="Menor"),CONCATENATE("R9C",'Mapa riesgos'!#REF!),"")</f>
        <v>#REF!</v>
      </c>
      <c r="U34" s="52" t="e">
        <f>IF(AND('Mapa riesgos'!#REF!="Media",'Mapa riesgos'!#REF!="Menor"),CONCATENATE("R9C",'Mapa riesgos'!#REF!),"")</f>
        <v>#REF!</v>
      </c>
      <c r="V34" s="50" t="e">
        <f>IF(AND('Mapa riesgos'!#REF!="Media",'Mapa riesgos'!#REF!="Moderado"),CONCATENATE("R9C",'Mapa riesgos'!#REF!),"")</f>
        <v>#REF!</v>
      </c>
      <c r="W34" s="51" t="e">
        <f>IF(AND('Mapa riesgos'!#REF!="Media",'Mapa riesgos'!#REF!="Moderado"),CONCATENATE("R9C",'Mapa riesgos'!#REF!),"")</f>
        <v>#REF!</v>
      </c>
      <c r="X34" s="51" t="e">
        <f>IF(AND('Mapa riesgos'!#REF!="Media",'Mapa riesgos'!#REF!="Moderado"),CONCATENATE("R9C",'Mapa riesgos'!#REF!),"")</f>
        <v>#REF!</v>
      </c>
      <c r="Y34" s="51" t="e">
        <f>IF(AND('Mapa riesgos'!#REF!="Media",'Mapa riesgos'!#REF!="Moderado"),CONCATENATE("R9C",'Mapa riesgos'!#REF!),"")</f>
        <v>#REF!</v>
      </c>
      <c r="Z34" s="51" t="e">
        <f>IF(AND('Mapa riesgos'!#REF!="Media",'Mapa riesgos'!#REF!="Moderado"),CONCATENATE("R9C",'Mapa riesgos'!#REF!),"")</f>
        <v>#REF!</v>
      </c>
      <c r="AA34" s="52" t="e">
        <f>IF(AND('Mapa riesgos'!#REF!="Media",'Mapa riesgos'!#REF!="Moderado"),CONCATENATE("R9C",'Mapa riesgos'!#REF!),"")</f>
        <v>#REF!</v>
      </c>
      <c r="AB34" s="35" t="e">
        <f>IF(AND('Mapa riesgos'!#REF!="Media",'Mapa riesgos'!#REF!="Mayor"),CONCATENATE("R9C",'Mapa riesgos'!#REF!),"")</f>
        <v>#REF!</v>
      </c>
      <c r="AC34" s="36" t="e">
        <f>IF(AND('Mapa riesgos'!#REF!="Media",'Mapa riesgos'!#REF!="Mayor"),CONCATENATE("R9C",'Mapa riesgos'!#REF!),"")</f>
        <v>#REF!</v>
      </c>
      <c r="AD34" s="36" t="e">
        <f>IF(AND('Mapa riesgos'!#REF!="Media",'Mapa riesgos'!#REF!="Mayor"),CONCATENATE("R9C",'Mapa riesgos'!#REF!),"")</f>
        <v>#REF!</v>
      </c>
      <c r="AE34" s="36" t="e">
        <f>IF(AND('Mapa riesgos'!#REF!="Media",'Mapa riesgos'!#REF!="Mayor"),CONCATENATE("R9C",'Mapa riesgos'!#REF!),"")</f>
        <v>#REF!</v>
      </c>
      <c r="AF34" s="36" t="e">
        <f>IF(AND('Mapa riesgos'!#REF!="Media",'Mapa riesgos'!#REF!="Mayor"),CONCATENATE("R9C",'Mapa riesgos'!#REF!),"")</f>
        <v>#REF!</v>
      </c>
      <c r="AG34" s="37" t="e">
        <f>IF(AND('Mapa riesgos'!#REF!="Media",'Mapa riesgos'!#REF!="Mayor"),CONCATENATE("R9C",'Mapa riesgos'!#REF!),"")</f>
        <v>#REF!</v>
      </c>
      <c r="AH34" s="38" t="e">
        <f>IF(AND('Mapa riesgos'!#REF!="Media",'Mapa riesgos'!#REF!="Catastrófico"),CONCATENATE("R9C",'Mapa riesgos'!#REF!),"")</f>
        <v>#REF!</v>
      </c>
      <c r="AI34" s="39" t="e">
        <f>IF(AND('Mapa riesgos'!#REF!="Media",'Mapa riesgos'!#REF!="Catastrófico"),CONCATENATE("R9C",'Mapa riesgos'!#REF!),"")</f>
        <v>#REF!</v>
      </c>
      <c r="AJ34" s="39" t="e">
        <f>IF(AND('Mapa riesgos'!#REF!="Media",'Mapa riesgos'!#REF!="Catastrófico"),CONCATENATE("R9C",'Mapa riesgos'!#REF!),"")</f>
        <v>#REF!</v>
      </c>
      <c r="AK34" s="39" t="e">
        <f>IF(AND('Mapa riesgos'!#REF!="Media",'Mapa riesgos'!#REF!="Catastrófico"),CONCATENATE("R9C",'Mapa riesgos'!#REF!),"")</f>
        <v>#REF!</v>
      </c>
      <c r="AL34" s="39" t="e">
        <f>IF(AND('Mapa riesgos'!#REF!="Media",'Mapa riesgos'!#REF!="Catastrófico"),CONCATENATE("R9C",'Mapa riesgos'!#REF!),"")</f>
        <v>#REF!</v>
      </c>
      <c r="AM34" s="40" t="e">
        <f>IF(AND('Mapa riesgos'!#REF!="Media",'Mapa riesgos'!#REF!="Catastrófico"),CONCATENATE("R9C",'Mapa riesgos'!#REF!),"")</f>
        <v>#REF!</v>
      </c>
      <c r="AN34" s="66"/>
      <c r="AO34" s="534"/>
      <c r="AP34" s="535"/>
      <c r="AQ34" s="535"/>
      <c r="AR34" s="535"/>
      <c r="AS34" s="535"/>
      <c r="AT34" s="536"/>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row>
    <row r="35" spans="1:80" ht="15.75" customHeight="1" thickBot="1" x14ac:dyDescent="0.3">
      <c r="A35" s="66"/>
      <c r="B35" s="406"/>
      <c r="C35" s="406"/>
      <c r="D35" s="407"/>
      <c r="E35" s="506"/>
      <c r="F35" s="507"/>
      <c r="G35" s="507"/>
      <c r="H35" s="507"/>
      <c r="I35" s="521"/>
      <c r="J35" s="50" t="e">
        <f>IF(AND('Mapa riesgos'!#REF!="Media",'Mapa riesgos'!#REF!="Leve"),CONCATENATE("R10C",'Mapa riesgos'!#REF!),"")</f>
        <v>#REF!</v>
      </c>
      <c r="K35" s="51" t="e">
        <f>IF(AND('Mapa riesgos'!#REF!="Media",'Mapa riesgos'!#REF!="Leve"),CONCATENATE("R10C",'Mapa riesgos'!#REF!),"")</f>
        <v>#REF!</v>
      </c>
      <c r="L35" s="51" t="e">
        <f>IF(AND('Mapa riesgos'!#REF!="Media",'Mapa riesgos'!#REF!="Leve"),CONCATENATE("R10C",'Mapa riesgos'!#REF!),"")</f>
        <v>#REF!</v>
      </c>
      <c r="M35" s="51" t="e">
        <f>IF(AND('Mapa riesgos'!#REF!="Media",'Mapa riesgos'!#REF!="Leve"),CONCATENATE("R10C",'Mapa riesgos'!#REF!),"")</f>
        <v>#REF!</v>
      </c>
      <c r="N35" s="51" t="e">
        <f>IF(AND('Mapa riesgos'!#REF!="Media",'Mapa riesgos'!#REF!="Leve"),CONCATENATE("R10C",'Mapa riesgos'!#REF!),"")</f>
        <v>#REF!</v>
      </c>
      <c r="O35" s="52" t="e">
        <f>IF(AND('Mapa riesgos'!#REF!="Media",'Mapa riesgos'!#REF!="Leve"),CONCATENATE("R10C",'Mapa riesgos'!#REF!),"")</f>
        <v>#REF!</v>
      </c>
      <c r="P35" s="50" t="e">
        <f>IF(AND('Mapa riesgos'!#REF!="Media",'Mapa riesgos'!#REF!="Menor"),CONCATENATE("R10C",'Mapa riesgos'!#REF!),"")</f>
        <v>#REF!</v>
      </c>
      <c r="Q35" s="51" t="e">
        <f>IF(AND('Mapa riesgos'!#REF!="Media",'Mapa riesgos'!#REF!="Menor"),CONCATENATE("R10C",'Mapa riesgos'!#REF!),"")</f>
        <v>#REF!</v>
      </c>
      <c r="R35" s="51" t="e">
        <f>IF(AND('Mapa riesgos'!#REF!="Media",'Mapa riesgos'!#REF!="Menor"),CONCATENATE("R10C",'Mapa riesgos'!#REF!),"")</f>
        <v>#REF!</v>
      </c>
      <c r="S35" s="51" t="e">
        <f>IF(AND('Mapa riesgos'!#REF!="Media",'Mapa riesgos'!#REF!="Menor"),CONCATENATE("R10C",'Mapa riesgos'!#REF!),"")</f>
        <v>#REF!</v>
      </c>
      <c r="T35" s="51" t="e">
        <f>IF(AND('Mapa riesgos'!#REF!="Media",'Mapa riesgos'!#REF!="Menor"),CONCATENATE("R10C",'Mapa riesgos'!#REF!),"")</f>
        <v>#REF!</v>
      </c>
      <c r="U35" s="52" t="e">
        <f>IF(AND('Mapa riesgos'!#REF!="Media",'Mapa riesgos'!#REF!="Menor"),CONCATENATE("R10C",'Mapa riesgos'!#REF!),"")</f>
        <v>#REF!</v>
      </c>
      <c r="V35" s="50" t="e">
        <f>IF(AND('Mapa riesgos'!#REF!="Media",'Mapa riesgos'!#REF!="Moderado"),CONCATENATE("R10C",'Mapa riesgos'!#REF!),"")</f>
        <v>#REF!</v>
      </c>
      <c r="W35" s="51" t="e">
        <f>IF(AND('Mapa riesgos'!#REF!="Media",'Mapa riesgos'!#REF!="Moderado"),CONCATENATE("R10C",'Mapa riesgos'!#REF!),"")</f>
        <v>#REF!</v>
      </c>
      <c r="X35" s="51" t="e">
        <f>IF(AND('Mapa riesgos'!#REF!="Media",'Mapa riesgos'!#REF!="Moderado"),CONCATENATE("R10C",'Mapa riesgos'!#REF!),"")</f>
        <v>#REF!</v>
      </c>
      <c r="Y35" s="51" t="e">
        <f>IF(AND('Mapa riesgos'!#REF!="Media",'Mapa riesgos'!#REF!="Moderado"),CONCATENATE("R10C",'Mapa riesgos'!#REF!),"")</f>
        <v>#REF!</v>
      </c>
      <c r="Z35" s="51" t="e">
        <f>IF(AND('Mapa riesgos'!#REF!="Media",'Mapa riesgos'!#REF!="Moderado"),CONCATENATE("R10C",'Mapa riesgos'!#REF!),"")</f>
        <v>#REF!</v>
      </c>
      <c r="AA35" s="52" t="e">
        <f>IF(AND('Mapa riesgos'!#REF!="Media",'Mapa riesgos'!#REF!="Moderado"),CONCATENATE("R10C",'Mapa riesgos'!#REF!),"")</f>
        <v>#REF!</v>
      </c>
      <c r="AB35" s="41" t="e">
        <f>IF(AND('Mapa riesgos'!#REF!="Media",'Mapa riesgos'!#REF!="Mayor"),CONCATENATE("R10C",'Mapa riesgos'!#REF!),"")</f>
        <v>#REF!</v>
      </c>
      <c r="AC35" s="42" t="e">
        <f>IF(AND('Mapa riesgos'!#REF!="Media",'Mapa riesgos'!#REF!="Mayor"),CONCATENATE("R10C",'Mapa riesgos'!#REF!),"")</f>
        <v>#REF!</v>
      </c>
      <c r="AD35" s="42" t="e">
        <f>IF(AND('Mapa riesgos'!#REF!="Media",'Mapa riesgos'!#REF!="Mayor"),CONCATENATE("R10C",'Mapa riesgos'!#REF!),"")</f>
        <v>#REF!</v>
      </c>
      <c r="AE35" s="42" t="e">
        <f>IF(AND('Mapa riesgos'!#REF!="Media",'Mapa riesgos'!#REF!="Mayor"),CONCATENATE("R10C",'Mapa riesgos'!#REF!),"")</f>
        <v>#REF!</v>
      </c>
      <c r="AF35" s="42" t="e">
        <f>IF(AND('Mapa riesgos'!#REF!="Media",'Mapa riesgos'!#REF!="Mayor"),CONCATENATE("R10C",'Mapa riesgos'!#REF!),"")</f>
        <v>#REF!</v>
      </c>
      <c r="AG35" s="43" t="e">
        <f>IF(AND('Mapa riesgos'!#REF!="Media",'Mapa riesgos'!#REF!="Mayor"),CONCATENATE("R10C",'Mapa riesgos'!#REF!),"")</f>
        <v>#REF!</v>
      </c>
      <c r="AH35" s="44" t="e">
        <f>IF(AND('Mapa riesgos'!#REF!="Media",'Mapa riesgos'!#REF!="Catastrófico"),CONCATENATE("R10C",'Mapa riesgos'!#REF!),"")</f>
        <v>#REF!</v>
      </c>
      <c r="AI35" s="45" t="e">
        <f>IF(AND('Mapa riesgos'!#REF!="Media",'Mapa riesgos'!#REF!="Catastrófico"),CONCATENATE("R10C",'Mapa riesgos'!#REF!),"")</f>
        <v>#REF!</v>
      </c>
      <c r="AJ35" s="45" t="e">
        <f>IF(AND('Mapa riesgos'!#REF!="Media",'Mapa riesgos'!#REF!="Catastrófico"),CONCATENATE("R10C",'Mapa riesgos'!#REF!),"")</f>
        <v>#REF!</v>
      </c>
      <c r="AK35" s="45" t="e">
        <f>IF(AND('Mapa riesgos'!#REF!="Media",'Mapa riesgos'!#REF!="Catastrófico"),CONCATENATE("R10C",'Mapa riesgos'!#REF!),"")</f>
        <v>#REF!</v>
      </c>
      <c r="AL35" s="45" t="e">
        <f>IF(AND('Mapa riesgos'!#REF!="Media",'Mapa riesgos'!#REF!="Catastrófico"),CONCATENATE("R10C",'Mapa riesgos'!#REF!),"")</f>
        <v>#REF!</v>
      </c>
      <c r="AM35" s="46" t="e">
        <f>IF(AND('Mapa riesgos'!#REF!="Media",'Mapa riesgos'!#REF!="Catastrófico"),CONCATENATE("R10C",'Mapa riesgos'!#REF!),"")</f>
        <v>#REF!</v>
      </c>
      <c r="AN35" s="66"/>
      <c r="AO35" s="537"/>
      <c r="AP35" s="538"/>
      <c r="AQ35" s="538"/>
      <c r="AR35" s="538"/>
      <c r="AS35" s="538"/>
      <c r="AT35" s="539"/>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row>
    <row r="36" spans="1:80" ht="15" customHeight="1" x14ac:dyDescent="0.25">
      <c r="A36" s="66"/>
      <c r="B36" s="406"/>
      <c r="C36" s="406"/>
      <c r="D36" s="407"/>
      <c r="E36" s="501" t="s">
        <v>209</v>
      </c>
      <c r="F36" s="502"/>
      <c r="G36" s="502"/>
      <c r="H36" s="502"/>
      <c r="I36" s="502"/>
      <c r="J36" s="56" t="e">
        <f>IF(AND('Mapa riesgos'!#REF!="Baja",'Mapa riesgos'!#REF!="Leve"),CONCATENATE("R1C",'Mapa riesgos'!#REF!),"")</f>
        <v>#REF!</v>
      </c>
      <c r="K36" s="57" t="e">
        <f>IF(AND('Mapa riesgos'!#REF!="Baja",'Mapa riesgos'!#REF!="Leve"),CONCATENATE("R1C",'Mapa riesgos'!#REF!),"")</f>
        <v>#REF!</v>
      </c>
      <c r="L36" s="57" t="e">
        <f>IF(AND('Mapa riesgos'!#REF!="Baja",'Mapa riesgos'!#REF!="Leve"),CONCATENATE("R1C",'Mapa riesgos'!#REF!),"")</f>
        <v>#REF!</v>
      </c>
      <c r="M36" s="57" t="e">
        <f>IF(AND('Mapa riesgos'!#REF!="Baja",'Mapa riesgos'!#REF!="Leve"),CONCATENATE("R1C",'Mapa riesgos'!#REF!),"")</f>
        <v>#REF!</v>
      </c>
      <c r="N36" s="57" t="e">
        <f>IF(AND('Mapa riesgos'!#REF!="Baja",'Mapa riesgos'!#REF!="Leve"),CONCATENATE("R1C",'Mapa riesgos'!#REF!),"")</f>
        <v>#REF!</v>
      </c>
      <c r="O36" s="58" t="e">
        <f>IF(AND('Mapa riesgos'!#REF!="Baja",'Mapa riesgos'!#REF!="Leve"),CONCATENATE("R1C",'Mapa riesgos'!#REF!),"")</f>
        <v>#REF!</v>
      </c>
      <c r="P36" s="47" t="e">
        <f>IF(AND('Mapa riesgos'!#REF!="Baja",'Mapa riesgos'!#REF!="Menor"),CONCATENATE("R1C",'Mapa riesgos'!#REF!),"")</f>
        <v>#REF!</v>
      </c>
      <c r="Q36" s="48" t="e">
        <f>IF(AND('Mapa riesgos'!#REF!="Baja",'Mapa riesgos'!#REF!="Menor"),CONCATENATE("R1C",'Mapa riesgos'!#REF!),"")</f>
        <v>#REF!</v>
      </c>
      <c r="R36" s="48" t="e">
        <f>IF(AND('Mapa riesgos'!#REF!="Baja",'Mapa riesgos'!#REF!="Menor"),CONCATENATE("R1C",'Mapa riesgos'!#REF!),"")</f>
        <v>#REF!</v>
      </c>
      <c r="S36" s="48" t="e">
        <f>IF(AND('Mapa riesgos'!#REF!="Baja",'Mapa riesgos'!#REF!="Menor"),CONCATENATE("R1C",'Mapa riesgos'!#REF!),"")</f>
        <v>#REF!</v>
      </c>
      <c r="T36" s="48" t="e">
        <f>IF(AND('Mapa riesgos'!#REF!="Baja",'Mapa riesgos'!#REF!="Menor"),CONCATENATE("R1C",'Mapa riesgos'!#REF!),"")</f>
        <v>#REF!</v>
      </c>
      <c r="U36" s="49" t="e">
        <f>IF(AND('Mapa riesgos'!#REF!="Baja",'Mapa riesgos'!#REF!="Menor"),CONCATENATE("R1C",'Mapa riesgos'!#REF!),"")</f>
        <v>#REF!</v>
      </c>
      <c r="V36" s="47" t="e">
        <f>IF(AND('Mapa riesgos'!#REF!="Baja",'Mapa riesgos'!#REF!="Moderado"),CONCATENATE("R1C",'Mapa riesgos'!#REF!),"")</f>
        <v>#REF!</v>
      </c>
      <c r="W36" s="48" t="e">
        <f>IF(AND('Mapa riesgos'!#REF!="Baja",'Mapa riesgos'!#REF!="Moderado"),CONCATENATE("R1C",'Mapa riesgos'!#REF!),"")</f>
        <v>#REF!</v>
      </c>
      <c r="X36" s="48" t="e">
        <f>IF(AND('Mapa riesgos'!#REF!="Baja",'Mapa riesgos'!#REF!="Moderado"),CONCATENATE("R1C",'Mapa riesgos'!#REF!),"")</f>
        <v>#REF!</v>
      </c>
      <c r="Y36" s="48" t="e">
        <f>IF(AND('Mapa riesgos'!#REF!="Baja",'Mapa riesgos'!#REF!="Moderado"),CONCATENATE("R1C",'Mapa riesgos'!#REF!),"")</f>
        <v>#REF!</v>
      </c>
      <c r="Z36" s="48" t="e">
        <f>IF(AND('Mapa riesgos'!#REF!="Baja",'Mapa riesgos'!#REF!="Moderado"),CONCATENATE("R1C",'Mapa riesgos'!#REF!),"")</f>
        <v>#REF!</v>
      </c>
      <c r="AA36" s="49" t="e">
        <f>IF(AND('Mapa riesgos'!#REF!="Baja",'Mapa riesgos'!#REF!="Moderado"),CONCATENATE("R1C",'Mapa riesgos'!#REF!),"")</f>
        <v>#REF!</v>
      </c>
      <c r="AB36" s="29" t="e">
        <f>IF(AND('Mapa riesgos'!#REF!="Baja",'Mapa riesgos'!#REF!="Mayor"),CONCATENATE("R1C",'Mapa riesgos'!#REF!),"")</f>
        <v>#REF!</v>
      </c>
      <c r="AC36" s="30" t="e">
        <f>IF(AND('Mapa riesgos'!#REF!="Baja",'Mapa riesgos'!#REF!="Mayor"),CONCATENATE("R1C",'Mapa riesgos'!#REF!),"")</f>
        <v>#REF!</v>
      </c>
      <c r="AD36" s="30" t="e">
        <f>IF(AND('Mapa riesgos'!#REF!="Baja",'Mapa riesgos'!#REF!="Mayor"),CONCATENATE("R1C",'Mapa riesgos'!#REF!),"")</f>
        <v>#REF!</v>
      </c>
      <c r="AE36" s="30" t="e">
        <f>IF(AND('Mapa riesgos'!#REF!="Baja",'Mapa riesgos'!#REF!="Mayor"),CONCATENATE("R1C",'Mapa riesgos'!#REF!),"")</f>
        <v>#REF!</v>
      </c>
      <c r="AF36" s="30" t="e">
        <f>IF(AND('Mapa riesgos'!#REF!="Baja",'Mapa riesgos'!#REF!="Mayor"),CONCATENATE("R1C",'Mapa riesgos'!#REF!),"")</f>
        <v>#REF!</v>
      </c>
      <c r="AG36" s="31" t="e">
        <f>IF(AND('Mapa riesgos'!#REF!="Baja",'Mapa riesgos'!#REF!="Mayor"),CONCATENATE("R1C",'Mapa riesgos'!#REF!),"")</f>
        <v>#REF!</v>
      </c>
      <c r="AH36" s="32" t="e">
        <f>IF(AND('Mapa riesgos'!#REF!="Baja",'Mapa riesgos'!#REF!="Catastrófico"),CONCATENATE("R1C",'Mapa riesgos'!#REF!),"")</f>
        <v>#REF!</v>
      </c>
      <c r="AI36" s="33" t="e">
        <f>IF(AND('Mapa riesgos'!#REF!="Baja",'Mapa riesgos'!#REF!="Catastrófico"),CONCATENATE("R1C",'Mapa riesgos'!#REF!),"")</f>
        <v>#REF!</v>
      </c>
      <c r="AJ36" s="33" t="e">
        <f>IF(AND('Mapa riesgos'!#REF!="Baja",'Mapa riesgos'!#REF!="Catastrófico"),CONCATENATE("R1C",'Mapa riesgos'!#REF!),"")</f>
        <v>#REF!</v>
      </c>
      <c r="AK36" s="33" t="e">
        <f>IF(AND('Mapa riesgos'!#REF!="Baja",'Mapa riesgos'!#REF!="Catastrófico"),CONCATENATE("R1C",'Mapa riesgos'!#REF!),"")</f>
        <v>#REF!</v>
      </c>
      <c r="AL36" s="33" t="e">
        <f>IF(AND('Mapa riesgos'!#REF!="Baja",'Mapa riesgos'!#REF!="Catastrófico"),CONCATENATE("R1C",'Mapa riesgos'!#REF!),"")</f>
        <v>#REF!</v>
      </c>
      <c r="AM36" s="34" t="e">
        <f>IF(AND('Mapa riesgos'!#REF!="Baja",'Mapa riesgos'!#REF!="Catastrófico"),CONCATENATE("R1C",'Mapa riesgos'!#REF!),"")</f>
        <v>#REF!</v>
      </c>
      <c r="AN36" s="66"/>
      <c r="AO36" s="522" t="s">
        <v>210</v>
      </c>
      <c r="AP36" s="523"/>
      <c r="AQ36" s="523"/>
      <c r="AR36" s="523"/>
      <c r="AS36" s="523"/>
      <c r="AT36" s="524"/>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row>
    <row r="37" spans="1:80" ht="15" customHeight="1" x14ac:dyDescent="0.25">
      <c r="A37" s="66"/>
      <c r="B37" s="406"/>
      <c r="C37" s="406"/>
      <c r="D37" s="407"/>
      <c r="E37" s="503"/>
      <c r="F37" s="504"/>
      <c r="G37" s="504"/>
      <c r="H37" s="504"/>
      <c r="I37" s="504"/>
      <c r="J37" s="59" t="e">
        <f>IF(AND('Mapa riesgos'!#REF!="Baja",'Mapa riesgos'!#REF!="Leve"),CONCATENATE("R2C",'Mapa riesgos'!#REF!),"")</f>
        <v>#REF!</v>
      </c>
      <c r="K37" s="60" t="e">
        <f>IF(AND('Mapa riesgos'!#REF!="Baja",'Mapa riesgos'!#REF!="Leve"),CONCATENATE("R2C",'Mapa riesgos'!#REF!),"")</f>
        <v>#REF!</v>
      </c>
      <c r="L37" s="60" t="e">
        <f>IF(AND('Mapa riesgos'!#REF!="Baja",'Mapa riesgos'!#REF!="Leve"),CONCATENATE("R2C",'Mapa riesgos'!#REF!),"")</f>
        <v>#REF!</v>
      </c>
      <c r="M37" s="60" t="e">
        <f>IF(AND('Mapa riesgos'!#REF!="Baja",'Mapa riesgos'!#REF!="Leve"),CONCATENATE("R2C",'Mapa riesgos'!#REF!),"")</f>
        <v>#REF!</v>
      </c>
      <c r="N37" s="60" t="e">
        <f>IF(AND('Mapa riesgos'!#REF!="Baja",'Mapa riesgos'!#REF!="Leve"),CONCATENATE("R2C",'Mapa riesgos'!#REF!),"")</f>
        <v>#REF!</v>
      </c>
      <c r="O37" s="61" t="e">
        <f>IF(AND('Mapa riesgos'!#REF!="Baja",'Mapa riesgos'!#REF!="Leve"),CONCATENATE("R2C",'Mapa riesgos'!#REF!),"")</f>
        <v>#REF!</v>
      </c>
      <c r="P37" s="50" t="e">
        <f>IF(AND('Mapa riesgos'!#REF!="Baja",'Mapa riesgos'!#REF!="Menor"),CONCATENATE("R2C",'Mapa riesgos'!#REF!),"")</f>
        <v>#REF!</v>
      </c>
      <c r="Q37" s="51" t="e">
        <f>IF(AND('Mapa riesgos'!#REF!="Baja",'Mapa riesgos'!#REF!="Menor"),CONCATENATE("R2C",'Mapa riesgos'!#REF!),"")</f>
        <v>#REF!</v>
      </c>
      <c r="R37" s="51" t="e">
        <f>IF(AND('Mapa riesgos'!#REF!="Baja",'Mapa riesgos'!#REF!="Menor"),CONCATENATE("R2C",'Mapa riesgos'!#REF!),"")</f>
        <v>#REF!</v>
      </c>
      <c r="S37" s="51" t="e">
        <f>IF(AND('Mapa riesgos'!#REF!="Baja",'Mapa riesgos'!#REF!="Menor"),CONCATENATE("R2C",'Mapa riesgos'!#REF!),"")</f>
        <v>#REF!</v>
      </c>
      <c r="T37" s="51" t="e">
        <f>IF(AND('Mapa riesgos'!#REF!="Baja",'Mapa riesgos'!#REF!="Menor"),CONCATENATE("R2C",'Mapa riesgos'!#REF!),"")</f>
        <v>#REF!</v>
      </c>
      <c r="U37" s="52" t="e">
        <f>IF(AND('Mapa riesgos'!#REF!="Baja",'Mapa riesgos'!#REF!="Menor"),CONCATENATE("R2C",'Mapa riesgos'!#REF!),"")</f>
        <v>#REF!</v>
      </c>
      <c r="V37" s="50" t="e">
        <f>IF(AND('Mapa riesgos'!#REF!="Baja",'Mapa riesgos'!#REF!="Moderado"),CONCATENATE("R2C",'Mapa riesgos'!#REF!),"")</f>
        <v>#REF!</v>
      </c>
      <c r="W37" s="51" t="e">
        <f>IF(AND('Mapa riesgos'!#REF!="Baja",'Mapa riesgos'!#REF!="Moderado"),CONCATENATE("R2C",'Mapa riesgos'!#REF!),"")</f>
        <v>#REF!</v>
      </c>
      <c r="X37" s="51" t="e">
        <f>IF(AND('Mapa riesgos'!#REF!="Baja",'Mapa riesgos'!#REF!="Moderado"),CONCATENATE("R2C",'Mapa riesgos'!#REF!),"")</f>
        <v>#REF!</v>
      </c>
      <c r="Y37" s="51" t="e">
        <f>IF(AND('Mapa riesgos'!#REF!="Baja",'Mapa riesgos'!#REF!="Moderado"),CONCATENATE("R2C",'Mapa riesgos'!#REF!),"")</f>
        <v>#REF!</v>
      </c>
      <c r="Z37" s="51" t="e">
        <f>IF(AND('Mapa riesgos'!#REF!="Baja",'Mapa riesgos'!#REF!="Moderado"),CONCATENATE("R2C",'Mapa riesgos'!#REF!),"")</f>
        <v>#REF!</v>
      </c>
      <c r="AA37" s="52" t="e">
        <f>IF(AND('Mapa riesgos'!#REF!="Baja",'Mapa riesgos'!#REF!="Moderado"),CONCATENATE("R2C",'Mapa riesgos'!#REF!),"")</f>
        <v>#REF!</v>
      </c>
      <c r="AB37" s="35" t="e">
        <f>IF(AND('Mapa riesgos'!#REF!="Baja",'Mapa riesgos'!#REF!="Mayor"),CONCATENATE("R2C",'Mapa riesgos'!#REF!),"")</f>
        <v>#REF!</v>
      </c>
      <c r="AC37" s="36" t="e">
        <f>IF(AND('Mapa riesgos'!#REF!="Baja",'Mapa riesgos'!#REF!="Mayor"),CONCATENATE("R2C",'Mapa riesgos'!#REF!),"")</f>
        <v>#REF!</v>
      </c>
      <c r="AD37" s="36" t="e">
        <f>IF(AND('Mapa riesgos'!#REF!="Baja",'Mapa riesgos'!#REF!="Mayor"),CONCATENATE("R2C",'Mapa riesgos'!#REF!),"")</f>
        <v>#REF!</v>
      </c>
      <c r="AE37" s="36" t="e">
        <f>IF(AND('Mapa riesgos'!#REF!="Baja",'Mapa riesgos'!#REF!="Mayor"),CONCATENATE("R2C",'Mapa riesgos'!#REF!),"")</f>
        <v>#REF!</v>
      </c>
      <c r="AF37" s="36" t="e">
        <f>IF(AND('Mapa riesgos'!#REF!="Baja",'Mapa riesgos'!#REF!="Mayor"),CONCATENATE("R2C",'Mapa riesgos'!#REF!),"")</f>
        <v>#REF!</v>
      </c>
      <c r="AG37" s="37" t="e">
        <f>IF(AND('Mapa riesgos'!#REF!="Baja",'Mapa riesgos'!#REF!="Mayor"),CONCATENATE("R2C",'Mapa riesgos'!#REF!),"")</f>
        <v>#REF!</v>
      </c>
      <c r="AH37" s="38" t="e">
        <f>IF(AND('Mapa riesgos'!#REF!="Baja",'Mapa riesgos'!#REF!="Catastrófico"),CONCATENATE("R2C",'Mapa riesgos'!#REF!),"")</f>
        <v>#REF!</v>
      </c>
      <c r="AI37" s="39" t="e">
        <f>IF(AND('Mapa riesgos'!#REF!="Baja",'Mapa riesgos'!#REF!="Catastrófico"),CONCATENATE("R2C",'Mapa riesgos'!#REF!),"")</f>
        <v>#REF!</v>
      </c>
      <c r="AJ37" s="39" t="e">
        <f>IF(AND('Mapa riesgos'!#REF!="Baja",'Mapa riesgos'!#REF!="Catastrófico"),CONCATENATE("R2C",'Mapa riesgos'!#REF!),"")</f>
        <v>#REF!</v>
      </c>
      <c r="AK37" s="39" t="e">
        <f>IF(AND('Mapa riesgos'!#REF!="Baja",'Mapa riesgos'!#REF!="Catastrófico"),CONCATENATE("R2C",'Mapa riesgos'!#REF!),"")</f>
        <v>#REF!</v>
      </c>
      <c r="AL37" s="39" t="e">
        <f>IF(AND('Mapa riesgos'!#REF!="Baja",'Mapa riesgos'!#REF!="Catastrófico"),CONCATENATE("R2C",'Mapa riesgos'!#REF!),"")</f>
        <v>#REF!</v>
      </c>
      <c r="AM37" s="40" t="e">
        <f>IF(AND('Mapa riesgos'!#REF!="Baja",'Mapa riesgos'!#REF!="Catastrófico"),CONCATENATE("R2C",'Mapa riesgos'!#REF!),"")</f>
        <v>#REF!</v>
      </c>
      <c r="AN37" s="66"/>
      <c r="AO37" s="525"/>
      <c r="AP37" s="526"/>
      <c r="AQ37" s="526"/>
      <c r="AR37" s="526"/>
      <c r="AS37" s="526"/>
      <c r="AT37" s="527"/>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row>
    <row r="38" spans="1:80" ht="15" customHeight="1" x14ac:dyDescent="0.25">
      <c r="A38" s="66"/>
      <c r="B38" s="406"/>
      <c r="C38" s="406"/>
      <c r="D38" s="407"/>
      <c r="E38" s="505"/>
      <c r="F38" s="504"/>
      <c r="G38" s="504"/>
      <c r="H38" s="504"/>
      <c r="I38" s="504"/>
      <c r="J38" s="59" t="e">
        <f>IF(AND('Mapa riesgos'!#REF!="Baja",'Mapa riesgos'!#REF!="Leve"),CONCATENATE("R3C",'Mapa riesgos'!#REF!),"")</f>
        <v>#REF!</v>
      </c>
      <c r="K38" s="60" t="e">
        <f>IF(AND('Mapa riesgos'!#REF!="Baja",'Mapa riesgos'!#REF!="Leve"),CONCATENATE("R3C",'Mapa riesgos'!#REF!),"")</f>
        <v>#REF!</v>
      </c>
      <c r="L38" s="60" t="e">
        <f>IF(AND('Mapa riesgos'!#REF!="Baja",'Mapa riesgos'!#REF!="Leve"),CONCATENATE("R3C",'Mapa riesgos'!#REF!),"")</f>
        <v>#REF!</v>
      </c>
      <c r="M38" s="60" t="e">
        <f>IF(AND('Mapa riesgos'!#REF!="Baja",'Mapa riesgos'!#REF!="Leve"),CONCATENATE("R3C",'Mapa riesgos'!#REF!),"")</f>
        <v>#REF!</v>
      </c>
      <c r="N38" s="60" t="e">
        <f>IF(AND('Mapa riesgos'!#REF!="Baja",'Mapa riesgos'!#REF!="Leve"),CONCATENATE("R3C",'Mapa riesgos'!#REF!),"")</f>
        <v>#REF!</v>
      </c>
      <c r="O38" s="61" t="e">
        <f>IF(AND('Mapa riesgos'!#REF!="Baja",'Mapa riesgos'!#REF!="Leve"),CONCATENATE("R3C",'Mapa riesgos'!#REF!),"")</f>
        <v>#REF!</v>
      </c>
      <c r="P38" s="50" t="e">
        <f>IF(AND('Mapa riesgos'!#REF!="Baja",'Mapa riesgos'!#REF!="Menor"),CONCATENATE("R3C",'Mapa riesgos'!#REF!),"")</f>
        <v>#REF!</v>
      </c>
      <c r="Q38" s="51" t="e">
        <f>IF(AND('Mapa riesgos'!#REF!="Baja",'Mapa riesgos'!#REF!="Menor"),CONCATENATE("R3C",'Mapa riesgos'!#REF!),"")</f>
        <v>#REF!</v>
      </c>
      <c r="R38" s="51" t="e">
        <f>IF(AND('Mapa riesgos'!#REF!="Baja",'Mapa riesgos'!#REF!="Menor"),CONCATENATE("R3C",'Mapa riesgos'!#REF!),"")</f>
        <v>#REF!</v>
      </c>
      <c r="S38" s="51" t="e">
        <f>IF(AND('Mapa riesgos'!#REF!="Baja",'Mapa riesgos'!#REF!="Menor"),CONCATENATE("R3C",'Mapa riesgos'!#REF!),"")</f>
        <v>#REF!</v>
      </c>
      <c r="T38" s="51" t="e">
        <f>IF(AND('Mapa riesgos'!#REF!="Baja",'Mapa riesgos'!#REF!="Menor"),CONCATENATE("R3C",'Mapa riesgos'!#REF!),"")</f>
        <v>#REF!</v>
      </c>
      <c r="U38" s="52" t="e">
        <f>IF(AND('Mapa riesgos'!#REF!="Baja",'Mapa riesgos'!#REF!="Menor"),CONCATENATE("R3C",'Mapa riesgos'!#REF!),"")</f>
        <v>#REF!</v>
      </c>
      <c r="V38" s="50" t="e">
        <f>IF(AND('Mapa riesgos'!#REF!="Baja",'Mapa riesgos'!#REF!="Moderado"),CONCATENATE("R3C",'Mapa riesgos'!#REF!),"")</f>
        <v>#REF!</v>
      </c>
      <c r="W38" s="51" t="e">
        <f>IF(AND('Mapa riesgos'!#REF!="Baja",'Mapa riesgos'!#REF!="Moderado"),CONCATENATE("R3C",'Mapa riesgos'!#REF!),"")</f>
        <v>#REF!</v>
      </c>
      <c r="X38" s="51" t="e">
        <f>IF(AND('Mapa riesgos'!#REF!="Baja",'Mapa riesgos'!#REF!="Moderado"),CONCATENATE("R3C",'Mapa riesgos'!#REF!),"")</f>
        <v>#REF!</v>
      </c>
      <c r="Y38" s="51" t="e">
        <f>IF(AND('Mapa riesgos'!#REF!="Baja",'Mapa riesgos'!#REF!="Moderado"),CONCATENATE("R3C",'Mapa riesgos'!#REF!),"")</f>
        <v>#REF!</v>
      </c>
      <c r="Z38" s="51" t="e">
        <f>IF(AND('Mapa riesgos'!#REF!="Baja",'Mapa riesgos'!#REF!="Moderado"),CONCATENATE("R3C",'Mapa riesgos'!#REF!),"")</f>
        <v>#REF!</v>
      </c>
      <c r="AA38" s="52" t="e">
        <f>IF(AND('Mapa riesgos'!#REF!="Baja",'Mapa riesgos'!#REF!="Moderado"),CONCATENATE("R3C",'Mapa riesgos'!#REF!),"")</f>
        <v>#REF!</v>
      </c>
      <c r="AB38" s="35" t="e">
        <f>IF(AND('Mapa riesgos'!#REF!="Baja",'Mapa riesgos'!#REF!="Mayor"),CONCATENATE("R3C",'Mapa riesgos'!#REF!),"")</f>
        <v>#REF!</v>
      </c>
      <c r="AC38" s="36" t="e">
        <f>IF(AND('Mapa riesgos'!#REF!="Baja",'Mapa riesgos'!#REF!="Mayor"),CONCATENATE("R3C",'Mapa riesgos'!#REF!),"")</f>
        <v>#REF!</v>
      </c>
      <c r="AD38" s="36" t="e">
        <f>IF(AND('Mapa riesgos'!#REF!="Baja",'Mapa riesgos'!#REF!="Mayor"),CONCATENATE("R3C",'Mapa riesgos'!#REF!),"")</f>
        <v>#REF!</v>
      </c>
      <c r="AE38" s="36" t="e">
        <f>IF(AND('Mapa riesgos'!#REF!="Baja",'Mapa riesgos'!#REF!="Mayor"),CONCATENATE("R3C",'Mapa riesgos'!#REF!),"")</f>
        <v>#REF!</v>
      </c>
      <c r="AF38" s="36" t="e">
        <f>IF(AND('Mapa riesgos'!#REF!="Baja",'Mapa riesgos'!#REF!="Mayor"),CONCATENATE("R3C",'Mapa riesgos'!#REF!),"")</f>
        <v>#REF!</v>
      </c>
      <c r="AG38" s="37" t="e">
        <f>IF(AND('Mapa riesgos'!#REF!="Baja",'Mapa riesgos'!#REF!="Mayor"),CONCATENATE("R3C",'Mapa riesgos'!#REF!),"")</f>
        <v>#REF!</v>
      </c>
      <c r="AH38" s="38" t="e">
        <f>IF(AND('Mapa riesgos'!#REF!="Baja",'Mapa riesgos'!#REF!="Catastrófico"),CONCATENATE("R3C",'Mapa riesgos'!#REF!),"")</f>
        <v>#REF!</v>
      </c>
      <c r="AI38" s="39" t="e">
        <f>IF(AND('Mapa riesgos'!#REF!="Baja",'Mapa riesgos'!#REF!="Catastrófico"),CONCATENATE("R3C",'Mapa riesgos'!#REF!),"")</f>
        <v>#REF!</v>
      </c>
      <c r="AJ38" s="39" t="e">
        <f>IF(AND('Mapa riesgos'!#REF!="Baja",'Mapa riesgos'!#REF!="Catastrófico"),CONCATENATE("R3C",'Mapa riesgos'!#REF!),"")</f>
        <v>#REF!</v>
      </c>
      <c r="AK38" s="39" t="e">
        <f>IF(AND('Mapa riesgos'!#REF!="Baja",'Mapa riesgos'!#REF!="Catastrófico"),CONCATENATE("R3C",'Mapa riesgos'!#REF!),"")</f>
        <v>#REF!</v>
      </c>
      <c r="AL38" s="39" t="e">
        <f>IF(AND('Mapa riesgos'!#REF!="Baja",'Mapa riesgos'!#REF!="Catastrófico"),CONCATENATE("R3C",'Mapa riesgos'!#REF!),"")</f>
        <v>#REF!</v>
      </c>
      <c r="AM38" s="40" t="e">
        <f>IF(AND('Mapa riesgos'!#REF!="Baja",'Mapa riesgos'!#REF!="Catastrófico"),CONCATENATE("R3C",'Mapa riesgos'!#REF!),"")</f>
        <v>#REF!</v>
      </c>
      <c r="AN38" s="66"/>
      <c r="AO38" s="525"/>
      <c r="AP38" s="526"/>
      <c r="AQ38" s="526"/>
      <c r="AR38" s="526"/>
      <c r="AS38" s="526"/>
      <c r="AT38" s="527"/>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row>
    <row r="39" spans="1:80" ht="15" customHeight="1" x14ac:dyDescent="0.25">
      <c r="A39" s="66"/>
      <c r="B39" s="406"/>
      <c r="C39" s="406"/>
      <c r="D39" s="407"/>
      <c r="E39" s="505"/>
      <c r="F39" s="504"/>
      <c r="G39" s="504"/>
      <c r="H39" s="504"/>
      <c r="I39" s="504"/>
      <c r="J39" s="59" t="str">
        <f>IF(AND('Mapa riesgos'!$AD$17="Baja",'Mapa riesgos'!$AF$17="Leve"),CONCATENATE("R4C",'Mapa riesgos'!$T$17),"")</f>
        <v/>
      </c>
      <c r="K39" s="60" t="str">
        <f>IF(AND('Mapa riesgos'!$AD$18="Baja",'Mapa riesgos'!$AF$18="Leve"),CONCATENATE("R4C",'Mapa riesgos'!$T$18),"")</f>
        <v/>
      </c>
      <c r="L39" s="60" t="str">
        <f>IF(AND('Mapa riesgos'!$AD$19="Baja",'Mapa riesgos'!$AF$19="Leve"),CONCATENATE("R4C",'Mapa riesgos'!$T$19),"")</f>
        <v/>
      </c>
      <c r="M39" s="60" t="str">
        <f>IF(AND('Mapa riesgos'!$AD$20="Baja",'Mapa riesgos'!$AF$20="Leve"),CONCATENATE("R4C",'Mapa riesgos'!$T$20),"")</f>
        <v/>
      </c>
      <c r="N39" s="60" t="str">
        <f>IF(AND('Mapa riesgos'!$AD$21="Baja",'Mapa riesgos'!$AF$21="Leve"),CONCATENATE("R4C",'Mapa riesgos'!$T$21),"")</f>
        <v/>
      </c>
      <c r="O39" s="61" t="str">
        <f>IF(AND('Mapa riesgos'!$AD$22="Baja",'Mapa riesgos'!$AF$22="Leve"),CONCATENATE("R4C",'Mapa riesgos'!$T$22),"")</f>
        <v/>
      </c>
      <c r="P39" s="50" t="str">
        <f>IF(AND('Mapa riesgos'!$AD$17="Baja",'Mapa riesgos'!$AF$17="Menor"),CONCATENATE("R4C",'Mapa riesgos'!$T$17),"")</f>
        <v/>
      </c>
      <c r="Q39" s="51" t="str">
        <f>IF(AND('Mapa riesgos'!$AD$18="Baja",'Mapa riesgos'!$AF$18="Menor"),CONCATENATE("R4C",'Mapa riesgos'!$T$18),"")</f>
        <v/>
      </c>
      <c r="R39" s="51" t="str">
        <f>IF(AND('Mapa riesgos'!$AD$19="Baja",'Mapa riesgos'!$AF$19="Menor"),CONCATENATE("R4C",'Mapa riesgos'!$T$19),"")</f>
        <v/>
      </c>
      <c r="S39" s="51" t="str">
        <f>IF(AND('Mapa riesgos'!$AD$20="Baja",'Mapa riesgos'!$AF$20="Menor"),CONCATENATE("R4C",'Mapa riesgos'!$T$20),"")</f>
        <v/>
      </c>
      <c r="T39" s="51" t="str">
        <f>IF(AND('Mapa riesgos'!$AD$21="Baja",'Mapa riesgos'!$AF$21="Menor"),CONCATENATE("R4C",'Mapa riesgos'!$T$21),"")</f>
        <v/>
      </c>
      <c r="U39" s="52" t="str">
        <f>IF(AND('Mapa riesgos'!$AD$22="Baja",'Mapa riesgos'!$AF$22="Menor"),CONCATENATE("R4C",'Mapa riesgos'!$T$22),"")</f>
        <v/>
      </c>
      <c r="V39" s="50" t="str">
        <f>IF(AND('Mapa riesgos'!$AD$17="Baja",'Mapa riesgos'!$AF$17="Moderado"),CONCATENATE("R4C",'Mapa riesgos'!$T$17),"")</f>
        <v/>
      </c>
      <c r="W39" s="51" t="str">
        <f>IF(AND('Mapa riesgos'!$AD$18="Baja",'Mapa riesgos'!$AF$18="Moderado"),CONCATENATE("R4C",'Mapa riesgos'!$T$18),"")</f>
        <v/>
      </c>
      <c r="X39" s="51" t="str">
        <f>IF(AND('Mapa riesgos'!$AD$19="Baja",'Mapa riesgos'!$AF$19="Moderado"),CONCATENATE("R4C",'Mapa riesgos'!$T$19),"")</f>
        <v/>
      </c>
      <c r="Y39" s="51" t="str">
        <f>IF(AND('Mapa riesgos'!$AD$20="Baja",'Mapa riesgos'!$AF$20="Moderado"),CONCATENATE("R4C",'Mapa riesgos'!$T$20),"")</f>
        <v/>
      </c>
      <c r="Z39" s="51" t="str">
        <f>IF(AND('Mapa riesgos'!$AD$21="Baja",'Mapa riesgos'!$AF$21="Moderado"),CONCATENATE("R4C",'Mapa riesgos'!$T$21),"")</f>
        <v/>
      </c>
      <c r="AA39" s="52" t="str">
        <f>IF(AND('Mapa riesgos'!$AD$22="Baja",'Mapa riesgos'!$AF$22="Moderado"),CONCATENATE("R4C",'Mapa riesgos'!$T$22),"")</f>
        <v/>
      </c>
      <c r="AB39" s="35" t="str">
        <f>IF(AND('Mapa riesgos'!$AD$17="Baja",'Mapa riesgos'!$AF$17="Mayor"),CONCATENATE("R4C",'Mapa riesgos'!$T$17),"")</f>
        <v/>
      </c>
      <c r="AC39" s="36" t="str">
        <f>IF(AND('Mapa riesgos'!$AD$18="Baja",'Mapa riesgos'!$AF$18="Mayor"),CONCATENATE("R4C",'Mapa riesgos'!$T$18),"")</f>
        <v/>
      </c>
      <c r="AD39" s="36" t="str">
        <f>IF(AND('Mapa riesgos'!$AD$19="Baja",'Mapa riesgos'!$AF$19="Mayor"),CONCATENATE("R4C",'Mapa riesgos'!$T$19),"")</f>
        <v/>
      </c>
      <c r="AE39" s="36" t="str">
        <f>IF(AND('Mapa riesgos'!$AD$20="Baja",'Mapa riesgos'!$AF$20="Mayor"),CONCATENATE("R4C",'Mapa riesgos'!$T$20),"")</f>
        <v/>
      </c>
      <c r="AF39" s="36" t="str">
        <f>IF(AND('Mapa riesgos'!$AD$21="Baja",'Mapa riesgos'!$AF$21="Mayor"),CONCATENATE("R4C",'Mapa riesgos'!$T$21),"")</f>
        <v/>
      </c>
      <c r="AG39" s="37" t="str">
        <f>IF(AND('Mapa riesgos'!$AD$22="Baja",'Mapa riesgos'!$AF$22="Mayor"),CONCATENATE("R4C",'Mapa riesgos'!$T$22),"")</f>
        <v/>
      </c>
      <c r="AH39" s="38" t="str">
        <f>IF(AND('Mapa riesgos'!$AD$17="Baja",'Mapa riesgos'!$AF$17="Catastrófico"),CONCATENATE("R4C",'Mapa riesgos'!$T$17),"")</f>
        <v/>
      </c>
      <c r="AI39" s="39" t="str">
        <f>IF(AND('Mapa riesgos'!$AD$18="Baja",'Mapa riesgos'!$AF$18="Catastrófico"),CONCATENATE("R4C",'Mapa riesgos'!$T$18),"")</f>
        <v/>
      </c>
      <c r="AJ39" s="39" t="str">
        <f>IF(AND('Mapa riesgos'!$AD$19="Baja",'Mapa riesgos'!$AF$19="Catastrófico"),CONCATENATE("R4C",'Mapa riesgos'!$T$19),"")</f>
        <v/>
      </c>
      <c r="AK39" s="39" t="str">
        <f>IF(AND('Mapa riesgos'!$AD$20="Baja",'Mapa riesgos'!$AF$20="Catastrófico"),CONCATENATE("R4C",'Mapa riesgos'!$T$20),"")</f>
        <v/>
      </c>
      <c r="AL39" s="39" t="str">
        <f>IF(AND('Mapa riesgos'!$AD$21="Baja",'Mapa riesgos'!$AF$21="Catastrófico"),CONCATENATE("R4C",'Mapa riesgos'!$T$21),"")</f>
        <v/>
      </c>
      <c r="AM39" s="40" t="str">
        <f>IF(AND('Mapa riesgos'!$AD$22="Baja",'Mapa riesgos'!$AF$22="Catastrófico"),CONCATENATE("R4C",'Mapa riesgos'!$T$22),"")</f>
        <v/>
      </c>
      <c r="AN39" s="66"/>
      <c r="AO39" s="525"/>
      <c r="AP39" s="526"/>
      <c r="AQ39" s="526"/>
      <c r="AR39" s="526"/>
      <c r="AS39" s="526"/>
      <c r="AT39" s="527"/>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row>
    <row r="40" spans="1:80" ht="15" customHeight="1" x14ac:dyDescent="0.25">
      <c r="A40" s="66"/>
      <c r="B40" s="406"/>
      <c r="C40" s="406"/>
      <c r="D40" s="407"/>
      <c r="E40" s="505"/>
      <c r="F40" s="504"/>
      <c r="G40" s="504"/>
      <c r="H40" s="504"/>
      <c r="I40" s="504"/>
      <c r="J40" s="59" t="e">
        <f>IF(AND('Mapa riesgos'!#REF!="Baja",'Mapa riesgos'!#REF!="Leve"),CONCATENATE("R5C",'Mapa riesgos'!#REF!),"")</f>
        <v>#REF!</v>
      </c>
      <c r="K40" s="60" t="e">
        <f>IF(AND('Mapa riesgos'!#REF!="Baja",'Mapa riesgos'!#REF!="Leve"),CONCATENATE("R5C",'Mapa riesgos'!#REF!),"")</f>
        <v>#REF!</v>
      </c>
      <c r="L40" s="60" t="e">
        <f>IF(AND('Mapa riesgos'!#REF!="Baja",'Mapa riesgos'!#REF!="Leve"),CONCATENATE("R5C",'Mapa riesgos'!#REF!),"")</f>
        <v>#REF!</v>
      </c>
      <c r="M40" s="60" t="e">
        <f>IF(AND('Mapa riesgos'!#REF!="Baja",'Mapa riesgos'!#REF!="Leve"),CONCATENATE("R5C",'Mapa riesgos'!#REF!),"")</f>
        <v>#REF!</v>
      </c>
      <c r="N40" s="60" t="e">
        <f>IF(AND('Mapa riesgos'!#REF!="Baja",'Mapa riesgos'!#REF!="Leve"),CONCATENATE("R5C",'Mapa riesgos'!#REF!),"")</f>
        <v>#REF!</v>
      </c>
      <c r="O40" s="61" t="e">
        <f>IF(AND('Mapa riesgos'!#REF!="Baja",'Mapa riesgos'!#REF!="Leve"),CONCATENATE("R5C",'Mapa riesgos'!#REF!),"")</f>
        <v>#REF!</v>
      </c>
      <c r="P40" s="50" t="e">
        <f>IF(AND('Mapa riesgos'!#REF!="Baja",'Mapa riesgos'!#REF!="Menor"),CONCATENATE("R5C",'Mapa riesgos'!#REF!),"")</f>
        <v>#REF!</v>
      </c>
      <c r="Q40" s="51" t="e">
        <f>IF(AND('Mapa riesgos'!#REF!="Baja",'Mapa riesgos'!#REF!="Menor"),CONCATENATE("R5C",'Mapa riesgos'!#REF!),"")</f>
        <v>#REF!</v>
      </c>
      <c r="R40" s="51" t="e">
        <f>IF(AND('Mapa riesgos'!#REF!="Baja",'Mapa riesgos'!#REF!="Menor"),CONCATENATE("R5C",'Mapa riesgos'!#REF!),"")</f>
        <v>#REF!</v>
      </c>
      <c r="S40" s="51" t="e">
        <f>IF(AND('Mapa riesgos'!#REF!="Baja",'Mapa riesgos'!#REF!="Menor"),CONCATENATE("R5C",'Mapa riesgos'!#REF!),"")</f>
        <v>#REF!</v>
      </c>
      <c r="T40" s="51" t="e">
        <f>IF(AND('Mapa riesgos'!#REF!="Baja",'Mapa riesgos'!#REF!="Menor"),CONCATENATE("R5C",'Mapa riesgos'!#REF!),"")</f>
        <v>#REF!</v>
      </c>
      <c r="U40" s="52" t="e">
        <f>IF(AND('Mapa riesgos'!#REF!="Baja",'Mapa riesgos'!#REF!="Menor"),CONCATENATE("R5C",'Mapa riesgos'!#REF!),"")</f>
        <v>#REF!</v>
      </c>
      <c r="V40" s="50" t="e">
        <f>IF(AND('Mapa riesgos'!#REF!="Baja",'Mapa riesgos'!#REF!="Moderado"),CONCATENATE("R5C",'Mapa riesgos'!#REF!),"")</f>
        <v>#REF!</v>
      </c>
      <c r="W40" s="51" t="e">
        <f>IF(AND('Mapa riesgos'!#REF!="Baja",'Mapa riesgos'!#REF!="Moderado"),CONCATENATE("R5C",'Mapa riesgos'!#REF!),"")</f>
        <v>#REF!</v>
      </c>
      <c r="X40" s="51" t="e">
        <f>IF(AND('Mapa riesgos'!#REF!="Baja",'Mapa riesgos'!#REF!="Moderado"),CONCATENATE("R5C",'Mapa riesgos'!#REF!),"")</f>
        <v>#REF!</v>
      </c>
      <c r="Y40" s="51" t="e">
        <f>IF(AND('Mapa riesgos'!#REF!="Baja",'Mapa riesgos'!#REF!="Moderado"),CONCATENATE("R5C",'Mapa riesgos'!#REF!),"")</f>
        <v>#REF!</v>
      </c>
      <c r="Z40" s="51" t="e">
        <f>IF(AND('Mapa riesgos'!#REF!="Baja",'Mapa riesgos'!#REF!="Moderado"),CONCATENATE("R5C",'Mapa riesgos'!#REF!),"")</f>
        <v>#REF!</v>
      </c>
      <c r="AA40" s="52" t="e">
        <f>IF(AND('Mapa riesgos'!#REF!="Baja",'Mapa riesgos'!#REF!="Moderado"),CONCATENATE("R5C",'Mapa riesgos'!#REF!),"")</f>
        <v>#REF!</v>
      </c>
      <c r="AB40" s="35" t="e">
        <f>IF(AND('Mapa riesgos'!#REF!="Baja",'Mapa riesgos'!#REF!="Mayor"),CONCATENATE("R5C",'Mapa riesgos'!#REF!),"")</f>
        <v>#REF!</v>
      </c>
      <c r="AC40" s="36" t="e">
        <f>IF(AND('Mapa riesgos'!#REF!="Baja",'Mapa riesgos'!#REF!="Mayor"),CONCATENATE("R5C",'Mapa riesgos'!#REF!),"")</f>
        <v>#REF!</v>
      </c>
      <c r="AD40" s="36" t="e">
        <f>IF(AND('Mapa riesgos'!#REF!="Baja",'Mapa riesgos'!#REF!="Mayor"),CONCATENATE("R5C",'Mapa riesgos'!#REF!),"")</f>
        <v>#REF!</v>
      </c>
      <c r="AE40" s="36" t="e">
        <f>IF(AND('Mapa riesgos'!#REF!="Baja",'Mapa riesgos'!#REF!="Mayor"),CONCATENATE("R5C",'Mapa riesgos'!#REF!),"")</f>
        <v>#REF!</v>
      </c>
      <c r="AF40" s="36" t="e">
        <f>IF(AND('Mapa riesgos'!#REF!="Baja",'Mapa riesgos'!#REF!="Mayor"),CONCATENATE("R5C",'Mapa riesgos'!#REF!),"")</f>
        <v>#REF!</v>
      </c>
      <c r="AG40" s="37" t="e">
        <f>IF(AND('Mapa riesgos'!#REF!="Baja",'Mapa riesgos'!#REF!="Mayor"),CONCATENATE("R5C",'Mapa riesgos'!#REF!),"")</f>
        <v>#REF!</v>
      </c>
      <c r="AH40" s="38" t="e">
        <f>IF(AND('Mapa riesgos'!#REF!="Baja",'Mapa riesgos'!#REF!="Catastrófico"),CONCATENATE("R5C",'Mapa riesgos'!#REF!),"")</f>
        <v>#REF!</v>
      </c>
      <c r="AI40" s="39" t="e">
        <f>IF(AND('Mapa riesgos'!#REF!="Baja",'Mapa riesgos'!#REF!="Catastrófico"),CONCATENATE("R5C",'Mapa riesgos'!#REF!),"")</f>
        <v>#REF!</v>
      </c>
      <c r="AJ40" s="39" t="e">
        <f>IF(AND('Mapa riesgos'!#REF!="Baja",'Mapa riesgos'!#REF!="Catastrófico"),CONCATENATE("R5C",'Mapa riesgos'!#REF!),"")</f>
        <v>#REF!</v>
      </c>
      <c r="AK40" s="39" t="e">
        <f>IF(AND('Mapa riesgos'!#REF!="Baja",'Mapa riesgos'!#REF!="Catastrófico"),CONCATENATE("R5C",'Mapa riesgos'!#REF!),"")</f>
        <v>#REF!</v>
      </c>
      <c r="AL40" s="39" t="e">
        <f>IF(AND('Mapa riesgos'!#REF!="Baja",'Mapa riesgos'!#REF!="Catastrófico"),CONCATENATE("R5C",'Mapa riesgos'!#REF!),"")</f>
        <v>#REF!</v>
      </c>
      <c r="AM40" s="40" t="e">
        <f>IF(AND('Mapa riesgos'!#REF!="Baja",'Mapa riesgos'!#REF!="Catastrófico"),CONCATENATE("R5C",'Mapa riesgos'!#REF!),"")</f>
        <v>#REF!</v>
      </c>
      <c r="AN40" s="66"/>
      <c r="AO40" s="525"/>
      <c r="AP40" s="526"/>
      <c r="AQ40" s="526"/>
      <c r="AR40" s="526"/>
      <c r="AS40" s="526"/>
      <c r="AT40" s="527"/>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row>
    <row r="41" spans="1:80" ht="15" customHeight="1" x14ac:dyDescent="0.25">
      <c r="A41" s="66"/>
      <c r="B41" s="406"/>
      <c r="C41" s="406"/>
      <c r="D41" s="407"/>
      <c r="E41" s="505"/>
      <c r="F41" s="504"/>
      <c r="G41" s="504"/>
      <c r="H41" s="504"/>
      <c r="I41" s="504"/>
      <c r="J41" s="59" t="e">
        <f>IF(AND('Mapa riesgos'!#REF!="Baja",'Mapa riesgos'!#REF!="Leve"),CONCATENATE("R6C",'Mapa riesgos'!#REF!),"")</f>
        <v>#REF!</v>
      </c>
      <c r="K41" s="60" t="e">
        <f>IF(AND('Mapa riesgos'!#REF!="Baja",'Mapa riesgos'!#REF!="Leve"),CONCATENATE("R6C",'Mapa riesgos'!#REF!),"")</f>
        <v>#REF!</v>
      </c>
      <c r="L41" s="60" t="e">
        <f>IF(AND('Mapa riesgos'!#REF!="Baja",'Mapa riesgos'!#REF!="Leve"),CONCATENATE("R6C",'Mapa riesgos'!#REF!),"")</f>
        <v>#REF!</v>
      </c>
      <c r="M41" s="60" t="e">
        <f>IF(AND('Mapa riesgos'!#REF!="Baja",'Mapa riesgos'!#REF!="Leve"),CONCATENATE("R6C",'Mapa riesgos'!#REF!),"")</f>
        <v>#REF!</v>
      </c>
      <c r="N41" s="60" t="e">
        <f>IF(AND('Mapa riesgos'!#REF!="Baja",'Mapa riesgos'!#REF!="Leve"),CONCATENATE("R6C",'Mapa riesgos'!#REF!),"")</f>
        <v>#REF!</v>
      </c>
      <c r="O41" s="61" t="e">
        <f>IF(AND('Mapa riesgos'!#REF!="Baja",'Mapa riesgos'!#REF!="Leve"),CONCATENATE("R6C",'Mapa riesgos'!#REF!),"")</f>
        <v>#REF!</v>
      </c>
      <c r="P41" s="50" t="e">
        <f>IF(AND('Mapa riesgos'!#REF!="Baja",'Mapa riesgos'!#REF!="Menor"),CONCATENATE("R6C",'Mapa riesgos'!#REF!),"")</f>
        <v>#REF!</v>
      </c>
      <c r="Q41" s="51" t="e">
        <f>IF(AND('Mapa riesgos'!#REF!="Baja",'Mapa riesgos'!#REF!="Menor"),CONCATENATE("R6C",'Mapa riesgos'!#REF!),"")</f>
        <v>#REF!</v>
      </c>
      <c r="R41" s="51" t="e">
        <f>IF(AND('Mapa riesgos'!#REF!="Baja",'Mapa riesgos'!#REF!="Menor"),CONCATENATE("R6C",'Mapa riesgos'!#REF!),"")</f>
        <v>#REF!</v>
      </c>
      <c r="S41" s="51" t="e">
        <f>IF(AND('Mapa riesgos'!#REF!="Baja",'Mapa riesgos'!#REF!="Menor"),CONCATENATE("R6C",'Mapa riesgos'!#REF!),"")</f>
        <v>#REF!</v>
      </c>
      <c r="T41" s="51" t="e">
        <f>IF(AND('Mapa riesgos'!#REF!="Baja",'Mapa riesgos'!#REF!="Menor"),CONCATENATE("R6C",'Mapa riesgos'!#REF!),"")</f>
        <v>#REF!</v>
      </c>
      <c r="U41" s="52" t="e">
        <f>IF(AND('Mapa riesgos'!#REF!="Baja",'Mapa riesgos'!#REF!="Menor"),CONCATENATE("R6C",'Mapa riesgos'!#REF!),"")</f>
        <v>#REF!</v>
      </c>
      <c r="V41" s="50" t="e">
        <f>IF(AND('Mapa riesgos'!#REF!="Baja",'Mapa riesgos'!#REF!="Moderado"),CONCATENATE("R6C",'Mapa riesgos'!#REF!),"")</f>
        <v>#REF!</v>
      </c>
      <c r="W41" s="51" t="e">
        <f>IF(AND('Mapa riesgos'!#REF!="Baja",'Mapa riesgos'!#REF!="Moderado"),CONCATENATE("R6C",'Mapa riesgos'!#REF!),"")</f>
        <v>#REF!</v>
      </c>
      <c r="X41" s="51" t="e">
        <f>IF(AND('Mapa riesgos'!#REF!="Baja",'Mapa riesgos'!#REF!="Moderado"),CONCATENATE("R6C",'Mapa riesgos'!#REF!),"")</f>
        <v>#REF!</v>
      </c>
      <c r="Y41" s="51" t="e">
        <f>IF(AND('Mapa riesgos'!#REF!="Baja",'Mapa riesgos'!#REF!="Moderado"),CONCATENATE("R6C",'Mapa riesgos'!#REF!),"")</f>
        <v>#REF!</v>
      </c>
      <c r="Z41" s="51" t="e">
        <f>IF(AND('Mapa riesgos'!#REF!="Baja",'Mapa riesgos'!#REF!="Moderado"),CONCATENATE("R6C",'Mapa riesgos'!#REF!),"")</f>
        <v>#REF!</v>
      </c>
      <c r="AA41" s="52" t="e">
        <f>IF(AND('Mapa riesgos'!#REF!="Baja",'Mapa riesgos'!#REF!="Moderado"),CONCATENATE("R6C",'Mapa riesgos'!#REF!),"")</f>
        <v>#REF!</v>
      </c>
      <c r="AB41" s="35" t="e">
        <f>IF(AND('Mapa riesgos'!#REF!="Baja",'Mapa riesgos'!#REF!="Mayor"),CONCATENATE("R6C",'Mapa riesgos'!#REF!),"")</f>
        <v>#REF!</v>
      </c>
      <c r="AC41" s="36" t="e">
        <f>IF(AND('Mapa riesgos'!#REF!="Baja",'Mapa riesgos'!#REF!="Mayor"),CONCATENATE("R6C",'Mapa riesgos'!#REF!),"")</f>
        <v>#REF!</v>
      </c>
      <c r="AD41" s="36" t="e">
        <f>IF(AND('Mapa riesgos'!#REF!="Baja",'Mapa riesgos'!#REF!="Mayor"),CONCATENATE("R6C",'Mapa riesgos'!#REF!),"")</f>
        <v>#REF!</v>
      </c>
      <c r="AE41" s="36" t="e">
        <f>IF(AND('Mapa riesgos'!#REF!="Baja",'Mapa riesgos'!#REF!="Mayor"),CONCATENATE("R6C",'Mapa riesgos'!#REF!),"")</f>
        <v>#REF!</v>
      </c>
      <c r="AF41" s="36" t="e">
        <f>IF(AND('Mapa riesgos'!#REF!="Baja",'Mapa riesgos'!#REF!="Mayor"),CONCATENATE("R6C",'Mapa riesgos'!#REF!),"")</f>
        <v>#REF!</v>
      </c>
      <c r="AG41" s="37" t="e">
        <f>IF(AND('Mapa riesgos'!#REF!="Baja",'Mapa riesgos'!#REF!="Mayor"),CONCATENATE("R6C",'Mapa riesgos'!#REF!),"")</f>
        <v>#REF!</v>
      </c>
      <c r="AH41" s="38" t="e">
        <f>IF(AND('Mapa riesgos'!#REF!="Baja",'Mapa riesgos'!#REF!="Catastrófico"),CONCATENATE("R6C",'Mapa riesgos'!#REF!),"")</f>
        <v>#REF!</v>
      </c>
      <c r="AI41" s="39" t="e">
        <f>IF(AND('Mapa riesgos'!#REF!="Baja",'Mapa riesgos'!#REF!="Catastrófico"),CONCATENATE("R6C",'Mapa riesgos'!#REF!),"")</f>
        <v>#REF!</v>
      </c>
      <c r="AJ41" s="39" t="e">
        <f>IF(AND('Mapa riesgos'!#REF!="Baja",'Mapa riesgos'!#REF!="Catastrófico"),CONCATENATE("R6C",'Mapa riesgos'!#REF!),"")</f>
        <v>#REF!</v>
      </c>
      <c r="AK41" s="39" t="e">
        <f>IF(AND('Mapa riesgos'!#REF!="Baja",'Mapa riesgos'!#REF!="Catastrófico"),CONCATENATE("R6C",'Mapa riesgos'!#REF!),"")</f>
        <v>#REF!</v>
      </c>
      <c r="AL41" s="39" t="e">
        <f>IF(AND('Mapa riesgos'!#REF!="Baja",'Mapa riesgos'!#REF!="Catastrófico"),CONCATENATE("R6C",'Mapa riesgos'!#REF!),"")</f>
        <v>#REF!</v>
      </c>
      <c r="AM41" s="40" t="e">
        <f>IF(AND('Mapa riesgos'!#REF!="Baja",'Mapa riesgos'!#REF!="Catastrófico"),CONCATENATE("R6C",'Mapa riesgos'!#REF!),"")</f>
        <v>#REF!</v>
      </c>
      <c r="AN41" s="66"/>
      <c r="AO41" s="525"/>
      <c r="AP41" s="526"/>
      <c r="AQ41" s="526"/>
      <c r="AR41" s="526"/>
      <c r="AS41" s="526"/>
      <c r="AT41" s="527"/>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row>
    <row r="42" spans="1:80" ht="15" customHeight="1" x14ac:dyDescent="0.25">
      <c r="A42" s="66"/>
      <c r="B42" s="406"/>
      <c r="C42" s="406"/>
      <c r="D42" s="407"/>
      <c r="E42" s="505"/>
      <c r="F42" s="504"/>
      <c r="G42" s="504"/>
      <c r="H42" s="504"/>
      <c r="I42" s="504"/>
      <c r="J42" s="59" t="e">
        <f>IF(AND('Mapa riesgos'!#REF!="Baja",'Mapa riesgos'!#REF!="Leve"),CONCATENATE("R7C",'Mapa riesgos'!#REF!),"")</f>
        <v>#REF!</v>
      </c>
      <c r="K42" s="60" t="e">
        <f>IF(AND('Mapa riesgos'!#REF!="Baja",'Mapa riesgos'!#REF!="Leve"),CONCATENATE("R7C",'Mapa riesgos'!#REF!),"")</f>
        <v>#REF!</v>
      </c>
      <c r="L42" s="60" t="e">
        <f>IF(AND('Mapa riesgos'!#REF!="Baja",'Mapa riesgos'!#REF!="Leve"),CONCATENATE("R7C",'Mapa riesgos'!#REF!),"")</f>
        <v>#REF!</v>
      </c>
      <c r="M42" s="60" t="e">
        <f>IF(AND('Mapa riesgos'!#REF!="Baja",'Mapa riesgos'!#REF!="Leve"),CONCATENATE("R7C",'Mapa riesgos'!#REF!),"")</f>
        <v>#REF!</v>
      </c>
      <c r="N42" s="60" t="e">
        <f>IF(AND('Mapa riesgos'!#REF!="Baja",'Mapa riesgos'!#REF!="Leve"),CONCATENATE("R7C",'Mapa riesgos'!#REF!),"")</f>
        <v>#REF!</v>
      </c>
      <c r="O42" s="61" t="e">
        <f>IF(AND('Mapa riesgos'!#REF!="Baja",'Mapa riesgos'!#REF!="Leve"),CONCATENATE("R7C",'Mapa riesgos'!#REF!),"")</f>
        <v>#REF!</v>
      </c>
      <c r="P42" s="50" t="e">
        <f>IF(AND('Mapa riesgos'!#REF!="Baja",'Mapa riesgos'!#REF!="Menor"),CONCATENATE("R7C",'Mapa riesgos'!#REF!),"")</f>
        <v>#REF!</v>
      </c>
      <c r="Q42" s="51" t="e">
        <f>IF(AND('Mapa riesgos'!#REF!="Baja",'Mapa riesgos'!#REF!="Menor"),CONCATENATE("R7C",'Mapa riesgos'!#REF!),"")</f>
        <v>#REF!</v>
      </c>
      <c r="R42" s="51" t="e">
        <f>IF(AND('Mapa riesgos'!#REF!="Baja",'Mapa riesgos'!#REF!="Menor"),CONCATENATE("R7C",'Mapa riesgos'!#REF!),"")</f>
        <v>#REF!</v>
      </c>
      <c r="S42" s="51" t="e">
        <f>IF(AND('Mapa riesgos'!#REF!="Baja",'Mapa riesgos'!#REF!="Menor"),CONCATENATE("R7C",'Mapa riesgos'!#REF!),"")</f>
        <v>#REF!</v>
      </c>
      <c r="T42" s="51" t="e">
        <f>IF(AND('Mapa riesgos'!#REF!="Baja",'Mapa riesgos'!#REF!="Menor"),CONCATENATE("R7C",'Mapa riesgos'!#REF!),"")</f>
        <v>#REF!</v>
      </c>
      <c r="U42" s="52" t="e">
        <f>IF(AND('Mapa riesgos'!#REF!="Baja",'Mapa riesgos'!#REF!="Menor"),CONCATENATE("R7C",'Mapa riesgos'!#REF!),"")</f>
        <v>#REF!</v>
      </c>
      <c r="V42" s="50" t="e">
        <f>IF(AND('Mapa riesgos'!#REF!="Baja",'Mapa riesgos'!#REF!="Moderado"),CONCATENATE("R7C",'Mapa riesgos'!#REF!),"")</f>
        <v>#REF!</v>
      </c>
      <c r="W42" s="51" t="e">
        <f>IF(AND('Mapa riesgos'!#REF!="Baja",'Mapa riesgos'!#REF!="Moderado"),CONCATENATE("R7C",'Mapa riesgos'!#REF!),"")</f>
        <v>#REF!</v>
      </c>
      <c r="X42" s="51" t="e">
        <f>IF(AND('Mapa riesgos'!#REF!="Baja",'Mapa riesgos'!#REF!="Moderado"),CONCATENATE("R7C",'Mapa riesgos'!#REF!),"")</f>
        <v>#REF!</v>
      </c>
      <c r="Y42" s="51" t="e">
        <f>IF(AND('Mapa riesgos'!#REF!="Baja",'Mapa riesgos'!#REF!="Moderado"),CONCATENATE("R7C",'Mapa riesgos'!#REF!),"")</f>
        <v>#REF!</v>
      </c>
      <c r="Z42" s="51" t="e">
        <f>IF(AND('Mapa riesgos'!#REF!="Baja",'Mapa riesgos'!#REF!="Moderado"),CONCATENATE("R7C",'Mapa riesgos'!#REF!),"")</f>
        <v>#REF!</v>
      </c>
      <c r="AA42" s="52" t="e">
        <f>IF(AND('Mapa riesgos'!#REF!="Baja",'Mapa riesgos'!#REF!="Moderado"),CONCATENATE("R7C",'Mapa riesgos'!#REF!),"")</f>
        <v>#REF!</v>
      </c>
      <c r="AB42" s="35" t="e">
        <f>IF(AND('Mapa riesgos'!#REF!="Baja",'Mapa riesgos'!#REF!="Mayor"),CONCATENATE("R7C",'Mapa riesgos'!#REF!),"")</f>
        <v>#REF!</v>
      </c>
      <c r="AC42" s="36" t="e">
        <f>IF(AND('Mapa riesgos'!#REF!="Baja",'Mapa riesgos'!#REF!="Mayor"),CONCATENATE("R7C",'Mapa riesgos'!#REF!),"")</f>
        <v>#REF!</v>
      </c>
      <c r="AD42" s="36" t="e">
        <f>IF(AND('Mapa riesgos'!#REF!="Baja",'Mapa riesgos'!#REF!="Mayor"),CONCATENATE("R7C",'Mapa riesgos'!#REF!),"")</f>
        <v>#REF!</v>
      </c>
      <c r="AE42" s="36" t="e">
        <f>IF(AND('Mapa riesgos'!#REF!="Baja",'Mapa riesgos'!#REF!="Mayor"),CONCATENATE("R7C",'Mapa riesgos'!#REF!),"")</f>
        <v>#REF!</v>
      </c>
      <c r="AF42" s="36" t="e">
        <f>IF(AND('Mapa riesgos'!#REF!="Baja",'Mapa riesgos'!#REF!="Mayor"),CONCATENATE("R7C",'Mapa riesgos'!#REF!),"")</f>
        <v>#REF!</v>
      </c>
      <c r="AG42" s="37" t="e">
        <f>IF(AND('Mapa riesgos'!#REF!="Baja",'Mapa riesgos'!#REF!="Mayor"),CONCATENATE("R7C",'Mapa riesgos'!#REF!),"")</f>
        <v>#REF!</v>
      </c>
      <c r="AH42" s="38" t="e">
        <f>IF(AND('Mapa riesgos'!#REF!="Baja",'Mapa riesgos'!#REF!="Catastrófico"),CONCATENATE("R7C",'Mapa riesgos'!#REF!),"")</f>
        <v>#REF!</v>
      </c>
      <c r="AI42" s="39" t="e">
        <f>IF(AND('Mapa riesgos'!#REF!="Baja",'Mapa riesgos'!#REF!="Catastrófico"),CONCATENATE("R7C",'Mapa riesgos'!#REF!),"")</f>
        <v>#REF!</v>
      </c>
      <c r="AJ42" s="39" t="e">
        <f>IF(AND('Mapa riesgos'!#REF!="Baja",'Mapa riesgos'!#REF!="Catastrófico"),CONCATENATE("R7C",'Mapa riesgos'!#REF!),"")</f>
        <v>#REF!</v>
      </c>
      <c r="AK42" s="39" t="e">
        <f>IF(AND('Mapa riesgos'!#REF!="Baja",'Mapa riesgos'!#REF!="Catastrófico"),CONCATENATE("R7C",'Mapa riesgos'!#REF!),"")</f>
        <v>#REF!</v>
      </c>
      <c r="AL42" s="39" t="e">
        <f>IF(AND('Mapa riesgos'!#REF!="Baja",'Mapa riesgos'!#REF!="Catastrófico"),CONCATENATE("R7C",'Mapa riesgos'!#REF!),"")</f>
        <v>#REF!</v>
      </c>
      <c r="AM42" s="40" t="e">
        <f>IF(AND('Mapa riesgos'!#REF!="Baja",'Mapa riesgos'!#REF!="Catastrófico"),CONCATENATE("R7C",'Mapa riesgos'!#REF!),"")</f>
        <v>#REF!</v>
      </c>
      <c r="AN42" s="66"/>
      <c r="AO42" s="525"/>
      <c r="AP42" s="526"/>
      <c r="AQ42" s="526"/>
      <c r="AR42" s="526"/>
      <c r="AS42" s="526"/>
      <c r="AT42" s="527"/>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row>
    <row r="43" spans="1:80" ht="15" customHeight="1" x14ac:dyDescent="0.25">
      <c r="A43" s="66"/>
      <c r="B43" s="406"/>
      <c r="C43" s="406"/>
      <c r="D43" s="407"/>
      <c r="E43" s="505"/>
      <c r="F43" s="504"/>
      <c r="G43" s="504"/>
      <c r="H43" s="504"/>
      <c r="I43" s="504"/>
      <c r="J43" s="59" t="e">
        <f>IF(AND('Mapa riesgos'!#REF!="Baja",'Mapa riesgos'!#REF!="Leve"),CONCATENATE("R8C",'Mapa riesgos'!#REF!),"")</f>
        <v>#REF!</v>
      </c>
      <c r="K43" s="60" t="e">
        <f>IF(AND('Mapa riesgos'!#REF!="Baja",'Mapa riesgos'!#REF!="Leve"),CONCATENATE("R8C",'Mapa riesgos'!#REF!),"")</f>
        <v>#REF!</v>
      </c>
      <c r="L43" s="60" t="e">
        <f>IF(AND('Mapa riesgos'!#REF!="Baja",'Mapa riesgos'!#REF!="Leve"),CONCATENATE("R8C",'Mapa riesgos'!#REF!),"")</f>
        <v>#REF!</v>
      </c>
      <c r="M43" s="60" t="e">
        <f>IF(AND('Mapa riesgos'!#REF!="Baja",'Mapa riesgos'!#REF!="Leve"),CONCATENATE("R8C",'Mapa riesgos'!#REF!),"")</f>
        <v>#REF!</v>
      </c>
      <c r="N43" s="60" t="e">
        <f>IF(AND('Mapa riesgos'!#REF!="Baja",'Mapa riesgos'!#REF!="Leve"),CONCATENATE("R8C",'Mapa riesgos'!#REF!),"")</f>
        <v>#REF!</v>
      </c>
      <c r="O43" s="61" t="e">
        <f>IF(AND('Mapa riesgos'!#REF!="Baja",'Mapa riesgos'!#REF!="Leve"),CONCATENATE("R8C",'Mapa riesgos'!#REF!),"")</f>
        <v>#REF!</v>
      </c>
      <c r="P43" s="50" t="e">
        <f>IF(AND('Mapa riesgos'!#REF!="Baja",'Mapa riesgos'!#REF!="Menor"),CONCATENATE("R8C",'Mapa riesgos'!#REF!),"")</f>
        <v>#REF!</v>
      </c>
      <c r="Q43" s="51" t="e">
        <f>IF(AND('Mapa riesgos'!#REF!="Baja",'Mapa riesgos'!#REF!="Menor"),CONCATENATE("R8C",'Mapa riesgos'!#REF!),"")</f>
        <v>#REF!</v>
      </c>
      <c r="R43" s="51" t="e">
        <f>IF(AND('Mapa riesgos'!#REF!="Baja",'Mapa riesgos'!#REF!="Menor"),CONCATENATE("R8C",'Mapa riesgos'!#REF!),"")</f>
        <v>#REF!</v>
      </c>
      <c r="S43" s="51" t="e">
        <f>IF(AND('Mapa riesgos'!#REF!="Baja",'Mapa riesgos'!#REF!="Menor"),CONCATENATE("R8C",'Mapa riesgos'!#REF!),"")</f>
        <v>#REF!</v>
      </c>
      <c r="T43" s="51" t="e">
        <f>IF(AND('Mapa riesgos'!#REF!="Baja",'Mapa riesgos'!#REF!="Menor"),CONCATENATE("R8C",'Mapa riesgos'!#REF!),"")</f>
        <v>#REF!</v>
      </c>
      <c r="U43" s="52" t="e">
        <f>IF(AND('Mapa riesgos'!#REF!="Baja",'Mapa riesgos'!#REF!="Menor"),CONCATENATE("R8C",'Mapa riesgos'!#REF!),"")</f>
        <v>#REF!</v>
      </c>
      <c r="V43" s="50" t="e">
        <f>IF(AND('Mapa riesgos'!#REF!="Baja",'Mapa riesgos'!#REF!="Moderado"),CONCATENATE("R8C",'Mapa riesgos'!#REF!),"")</f>
        <v>#REF!</v>
      </c>
      <c r="W43" s="51" t="e">
        <f>IF(AND('Mapa riesgos'!#REF!="Baja",'Mapa riesgos'!#REF!="Moderado"),CONCATENATE("R8C",'Mapa riesgos'!#REF!),"")</f>
        <v>#REF!</v>
      </c>
      <c r="X43" s="51" t="e">
        <f>IF(AND('Mapa riesgos'!#REF!="Baja",'Mapa riesgos'!#REF!="Moderado"),CONCATENATE("R8C",'Mapa riesgos'!#REF!),"")</f>
        <v>#REF!</v>
      </c>
      <c r="Y43" s="51" t="e">
        <f>IF(AND('Mapa riesgos'!#REF!="Baja",'Mapa riesgos'!#REF!="Moderado"),CONCATENATE("R8C",'Mapa riesgos'!#REF!),"")</f>
        <v>#REF!</v>
      </c>
      <c r="Z43" s="51" t="e">
        <f>IF(AND('Mapa riesgos'!#REF!="Baja",'Mapa riesgos'!#REF!="Moderado"),CONCATENATE("R8C",'Mapa riesgos'!#REF!),"")</f>
        <v>#REF!</v>
      </c>
      <c r="AA43" s="52" t="e">
        <f>IF(AND('Mapa riesgos'!#REF!="Baja",'Mapa riesgos'!#REF!="Moderado"),CONCATENATE("R8C",'Mapa riesgos'!#REF!),"")</f>
        <v>#REF!</v>
      </c>
      <c r="AB43" s="35" t="e">
        <f>IF(AND('Mapa riesgos'!#REF!="Baja",'Mapa riesgos'!#REF!="Mayor"),CONCATENATE("R8C",'Mapa riesgos'!#REF!),"")</f>
        <v>#REF!</v>
      </c>
      <c r="AC43" s="36" t="e">
        <f>IF(AND('Mapa riesgos'!#REF!="Baja",'Mapa riesgos'!#REF!="Mayor"),CONCATENATE("R8C",'Mapa riesgos'!#REF!),"")</f>
        <v>#REF!</v>
      </c>
      <c r="AD43" s="36" t="e">
        <f>IF(AND('Mapa riesgos'!#REF!="Baja",'Mapa riesgos'!#REF!="Mayor"),CONCATENATE("R8C",'Mapa riesgos'!#REF!),"")</f>
        <v>#REF!</v>
      </c>
      <c r="AE43" s="36" t="e">
        <f>IF(AND('Mapa riesgos'!#REF!="Baja",'Mapa riesgos'!#REF!="Mayor"),CONCATENATE("R8C",'Mapa riesgos'!#REF!),"")</f>
        <v>#REF!</v>
      </c>
      <c r="AF43" s="36" t="e">
        <f>IF(AND('Mapa riesgos'!#REF!="Baja",'Mapa riesgos'!#REF!="Mayor"),CONCATENATE("R8C",'Mapa riesgos'!#REF!),"")</f>
        <v>#REF!</v>
      </c>
      <c r="AG43" s="37" t="e">
        <f>IF(AND('Mapa riesgos'!#REF!="Baja",'Mapa riesgos'!#REF!="Mayor"),CONCATENATE("R8C",'Mapa riesgos'!#REF!),"")</f>
        <v>#REF!</v>
      </c>
      <c r="AH43" s="38" t="e">
        <f>IF(AND('Mapa riesgos'!#REF!="Baja",'Mapa riesgos'!#REF!="Catastrófico"),CONCATENATE("R8C",'Mapa riesgos'!#REF!),"")</f>
        <v>#REF!</v>
      </c>
      <c r="AI43" s="39" t="e">
        <f>IF(AND('Mapa riesgos'!#REF!="Baja",'Mapa riesgos'!#REF!="Catastrófico"),CONCATENATE("R8C",'Mapa riesgos'!#REF!),"")</f>
        <v>#REF!</v>
      </c>
      <c r="AJ43" s="39" t="e">
        <f>IF(AND('Mapa riesgos'!#REF!="Baja",'Mapa riesgos'!#REF!="Catastrófico"),CONCATENATE("R8C",'Mapa riesgos'!#REF!),"")</f>
        <v>#REF!</v>
      </c>
      <c r="AK43" s="39" t="e">
        <f>IF(AND('Mapa riesgos'!#REF!="Baja",'Mapa riesgos'!#REF!="Catastrófico"),CONCATENATE("R8C",'Mapa riesgos'!#REF!),"")</f>
        <v>#REF!</v>
      </c>
      <c r="AL43" s="39" t="e">
        <f>IF(AND('Mapa riesgos'!#REF!="Baja",'Mapa riesgos'!#REF!="Catastrófico"),CONCATENATE("R8C",'Mapa riesgos'!#REF!),"")</f>
        <v>#REF!</v>
      </c>
      <c r="AM43" s="40" t="e">
        <f>IF(AND('Mapa riesgos'!#REF!="Baja",'Mapa riesgos'!#REF!="Catastrófico"),CONCATENATE("R8C",'Mapa riesgos'!#REF!),"")</f>
        <v>#REF!</v>
      </c>
      <c r="AN43" s="66"/>
      <c r="AO43" s="525"/>
      <c r="AP43" s="526"/>
      <c r="AQ43" s="526"/>
      <c r="AR43" s="526"/>
      <c r="AS43" s="526"/>
      <c r="AT43" s="527"/>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row>
    <row r="44" spans="1:80" ht="15" customHeight="1" x14ac:dyDescent="0.25">
      <c r="A44" s="66"/>
      <c r="B44" s="406"/>
      <c r="C44" s="406"/>
      <c r="D44" s="407"/>
      <c r="E44" s="505"/>
      <c r="F44" s="504"/>
      <c r="G44" s="504"/>
      <c r="H44" s="504"/>
      <c r="I44" s="504"/>
      <c r="J44" s="59" t="e">
        <f>IF(AND('Mapa riesgos'!#REF!="Baja",'Mapa riesgos'!#REF!="Leve"),CONCATENATE("R9C",'Mapa riesgos'!#REF!),"")</f>
        <v>#REF!</v>
      </c>
      <c r="K44" s="60" t="e">
        <f>IF(AND('Mapa riesgos'!#REF!="Baja",'Mapa riesgos'!#REF!="Leve"),CONCATENATE("R9C",'Mapa riesgos'!#REF!),"")</f>
        <v>#REF!</v>
      </c>
      <c r="L44" s="60" t="e">
        <f>IF(AND('Mapa riesgos'!#REF!="Baja",'Mapa riesgos'!#REF!="Leve"),CONCATENATE("R9C",'Mapa riesgos'!#REF!),"")</f>
        <v>#REF!</v>
      </c>
      <c r="M44" s="60" t="e">
        <f>IF(AND('Mapa riesgos'!#REF!="Baja",'Mapa riesgos'!#REF!="Leve"),CONCATENATE("R9C",'Mapa riesgos'!#REF!),"")</f>
        <v>#REF!</v>
      </c>
      <c r="N44" s="60" t="e">
        <f>IF(AND('Mapa riesgos'!#REF!="Baja",'Mapa riesgos'!#REF!="Leve"),CONCATENATE("R9C",'Mapa riesgos'!#REF!),"")</f>
        <v>#REF!</v>
      </c>
      <c r="O44" s="61" t="e">
        <f>IF(AND('Mapa riesgos'!#REF!="Baja",'Mapa riesgos'!#REF!="Leve"),CONCATENATE("R9C",'Mapa riesgos'!#REF!),"")</f>
        <v>#REF!</v>
      </c>
      <c r="P44" s="50" t="e">
        <f>IF(AND('Mapa riesgos'!#REF!="Baja",'Mapa riesgos'!#REF!="Menor"),CONCATENATE("R9C",'Mapa riesgos'!#REF!),"")</f>
        <v>#REF!</v>
      </c>
      <c r="Q44" s="51" t="e">
        <f>IF(AND('Mapa riesgos'!#REF!="Baja",'Mapa riesgos'!#REF!="Menor"),CONCATENATE("R9C",'Mapa riesgos'!#REF!),"")</f>
        <v>#REF!</v>
      </c>
      <c r="R44" s="51" t="e">
        <f>IF(AND('Mapa riesgos'!#REF!="Baja",'Mapa riesgos'!#REF!="Menor"),CONCATENATE("R9C",'Mapa riesgos'!#REF!),"")</f>
        <v>#REF!</v>
      </c>
      <c r="S44" s="51" t="e">
        <f>IF(AND('Mapa riesgos'!#REF!="Baja",'Mapa riesgos'!#REF!="Menor"),CONCATENATE("R9C",'Mapa riesgos'!#REF!),"")</f>
        <v>#REF!</v>
      </c>
      <c r="T44" s="51" t="e">
        <f>IF(AND('Mapa riesgos'!#REF!="Baja",'Mapa riesgos'!#REF!="Menor"),CONCATENATE("R9C",'Mapa riesgos'!#REF!),"")</f>
        <v>#REF!</v>
      </c>
      <c r="U44" s="52" t="e">
        <f>IF(AND('Mapa riesgos'!#REF!="Baja",'Mapa riesgos'!#REF!="Menor"),CONCATENATE("R9C",'Mapa riesgos'!#REF!),"")</f>
        <v>#REF!</v>
      </c>
      <c r="V44" s="50" t="e">
        <f>IF(AND('Mapa riesgos'!#REF!="Baja",'Mapa riesgos'!#REF!="Moderado"),CONCATENATE("R9C",'Mapa riesgos'!#REF!),"")</f>
        <v>#REF!</v>
      </c>
      <c r="W44" s="51" t="e">
        <f>IF(AND('Mapa riesgos'!#REF!="Baja",'Mapa riesgos'!#REF!="Moderado"),CONCATENATE("R9C",'Mapa riesgos'!#REF!),"")</f>
        <v>#REF!</v>
      </c>
      <c r="X44" s="51" t="e">
        <f>IF(AND('Mapa riesgos'!#REF!="Baja",'Mapa riesgos'!#REF!="Moderado"),CONCATENATE("R9C",'Mapa riesgos'!#REF!),"")</f>
        <v>#REF!</v>
      </c>
      <c r="Y44" s="51" t="e">
        <f>IF(AND('Mapa riesgos'!#REF!="Baja",'Mapa riesgos'!#REF!="Moderado"),CONCATENATE("R9C",'Mapa riesgos'!#REF!),"")</f>
        <v>#REF!</v>
      </c>
      <c r="Z44" s="51" t="e">
        <f>IF(AND('Mapa riesgos'!#REF!="Baja",'Mapa riesgos'!#REF!="Moderado"),CONCATENATE("R9C",'Mapa riesgos'!#REF!),"")</f>
        <v>#REF!</v>
      </c>
      <c r="AA44" s="52" t="e">
        <f>IF(AND('Mapa riesgos'!#REF!="Baja",'Mapa riesgos'!#REF!="Moderado"),CONCATENATE("R9C",'Mapa riesgos'!#REF!),"")</f>
        <v>#REF!</v>
      </c>
      <c r="AB44" s="35" t="e">
        <f>IF(AND('Mapa riesgos'!#REF!="Baja",'Mapa riesgos'!#REF!="Mayor"),CONCATENATE("R9C",'Mapa riesgos'!#REF!),"")</f>
        <v>#REF!</v>
      </c>
      <c r="AC44" s="36" t="e">
        <f>IF(AND('Mapa riesgos'!#REF!="Baja",'Mapa riesgos'!#REF!="Mayor"),CONCATENATE("R9C",'Mapa riesgos'!#REF!),"")</f>
        <v>#REF!</v>
      </c>
      <c r="AD44" s="36" t="e">
        <f>IF(AND('Mapa riesgos'!#REF!="Baja",'Mapa riesgos'!#REF!="Mayor"),CONCATENATE("R9C",'Mapa riesgos'!#REF!),"")</f>
        <v>#REF!</v>
      </c>
      <c r="AE44" s="36" t="e">
        <f>IF(AND('Mapa riesgos'!#REF!="Baja",'Mapa riesgos'!#REF!="Mayor"),CONCATENATE("R9C",'Mapa riesgos'!#REF!),"")</f>
        <v>#REF!</v>
      </c>
      <c r="AF44" s="36" t="e">
        <f>IF(AND('Mapa riesgos'!#REF!="Baja",'Mapa riesgos'!#REF!="Mayor"),CONCATENATE("R9C",'Mapa riesgos'!#REF!),"")</f>
        <v>#REF!</v>
      </c>
      <c r="AG44" s="37" t="e">
        <f>IF(AND('Mapa riesgos'!#REF!="Baja",'Mapa riesgos'!#REF!="Mayor"),CONCATENATE("R9C",'Mapa riesgos'!#REF!),"")</f>
        <v>#REF!</v>
      </c>
      <c r="AH44" s="38" t="e">
        <f>IF(AND('Mapa riesgos'!#REF!="Baja",'Mapa riesgos'!#REF!="Catastrófico"),CONCATENATE("R9C",'Mapa riesgos'!#REF!),"")</f>
        <v>#REF!</v>
      </c>
      <c r="AI44" s="39" t="e">
        <f>IF(AND('Mapa riesgos'!#REF!="Baja",'Mapa riesgos'!#REF!="Catastrófico"),CONCATENATE("R9C",'Mapa riesgos'!#REF!),"")</f>
        <v>#REF!</v>
      </c>
      <c r="AJ44" s="39" t="e">
        <f>IF(AND('Mapa riesgos'!#REF!="Baja",'Mapa riesgos'!#REF!="Catastrófico"),CONCATENATE("R9C",'Mapa riesgos'!#REF!),"")</f>
        <v>#REF!</v>
      </c>
      <c r="AK44" s="39" t="e">
        <f>IF(AND('Mapa riesgos'!#REF!="Baja",'Mapa riesgos'!#REF!="Catastrófico"),CONCATENATE("R9C",'Mapa riesgos'!#REF!),"")</f>
        <v>#REF!</v>
      </c>
      <c r="AL44" s="39" t="e">
        <f>IF(AND('Mapa riesgos'!#REF!="Baja",'Mapa riesgos'!#REF!="Catastrófico"),CONCATENATE("R9C",'Mapa riesgos'!#REF!),"")</f>
        <v>#REF!</v>
      </c>
      <c r="AM44" s="40" t="e">
        <f>IF(AND('Mapa riesgos'!#REF!="Baja",'Mapa riesgos'!#REF!="Catastrófico"),CONCATENATE("R9C",'Mapa riesgos'!#REF!),"")</f>
        <v>#REF!</v>
      </c>
      <c r="AN44" s="66"/>
      <c r="AO44" s="525"/>
      <c r="AP44" s="526"/>
      <c r="AQ44" s="526"/>
      <c r="AR44" s="526"/>
      <c r="AS44" s="526"/>
      <c r="AT44" s="527"/>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row>
    <row r="45" spans="1:80" ht="15.75" customHeight="1" thickBot="1" x14ac:dyDescent="0.3">
      <c r="A45" s="66"/>
      <c r="B45" s="406"/>
      <c r="C45" s="406"/>
      <c r="D45" s="407"/>
      <c r="E45" s="506"/>
      <c r="F45" s="507"/>
      <c r="G45" s="507"/>
      <c r="H45" s="507"/>
      <c r="I45" s="507"/>
      <c r="J45" s="62" t="e">
        <f>IF(AND('Mapa riesgos'!#REF!="Baja",'Mapa riesgos'!#REF!="Leve"),CONCATENATE("R10C",'Mapa riesgos'!#REF!),"")</f>
        <v>#REF!</v>
      </c>
      <c r="K45" s="63" t="e">
        <f>IF(AND('Mapa riesgos'!#REF!="Baja",'Mapa riesgos'!#REF!="Leve"),CONCATENATE("R10C",'Mapa riesgos'!#REF!),"")</f>
        <v>#REF!</v>
      </c>
      <c r="L45" s="63" t="e">
        <f>IF(AND('Mapa riesgos'!#REF!="Baja",'Mapa riesgos'!#REF!="Leve"),CONCATENATE("R10C",'Mapa riesgos'!#REF!),"")</f>
        <v>#REF!</v>
      </c>
      <c r="M45" s="63" t="e">
        <f>IF(AND('Mapa riesgos'!#REF!="Baja",'Mapa riesgos'!#REF!="Leve"),CONCATENATE("R10C",'Mapa riesgos'!#REF!),"")</f>
        <v>#REF!</v>
      </c>
      <c r="N45" s="63" t="e">
        <f>IF(AND('Mapa riesgos'!#REF!="Baja",'Mapa riesgos'!#REF!="Leve"),CONCATENATE("R10C",'Mapa riesgos'!#REF!),"")</f>
        <v>#REF!</v>
      </c>
      <c r="O45" s="64" t="e">
        <f>IF(AND('Mapa riesgos'!#REF!="Baja",'Mapa riesgos'!#REF!="Leve"),CONCATENATE("R10C",'Mapa riesgos'!#REF!),"")</f>
        <v>#REF!</v>
      </c>
      <c r="P45" s="50" t="e">
        <f>IF(AND('Mapa riesgos'!#REF!="Baja",'Mapa riesgos'!#REF!="Menor"),CONCATENATE("R10C",'Mapa riesgos'!#REF!),"")</f>
        <v>#REF!</v>
      </c>
      <c r="Q45" s="51" t="e">
        <f>IF(AND('Mapa riesgos'!#REF!="Baja",'Mapa riesgos'!#REF!="Menor"),CONCATENATE("R10C",'Mapa riesgos'!#REF!),"")</f>
        <v>#REF!</v>
      </c>
      <c r="R45" s="51" t="e">
        <f>IF(AND('Mapa riesgos'!#REF!="Baja",'Mapa riesgos'!#REF!="Menor"),CONCATENATE("R10C",'Mapa riesgos'!#REF!),"")</f>
        <v>#REF!</v>
      </c>
      <c r="S45" s="51" t="e">
        <f>IF(AND('Mapa riesgos'!#REF!="Baja",'Mapa riesgos'!#REF!="Menor"),CONCATENATE("R10C",'Mapa riesgos'!#REF!),"")</f>
        <v>#REF!</v>
      </c>
      <c r="T45" s="51" t="e">
        <f>IF(AND('Mapa riesgos'!#REF!="Baja",'Mapa riesgos'!#REF!="Menor"),CONCATENATE("R10C",'Mapa riesgos'!#REF!),"")</f>
        <v>#REF!</v>
      </c>
      <c r="U45" s="52" t="e">
        <f>IF(AND('Mapa riesgos'!#REF!="Baja",'Mapa riesgos'!#REF!="Menor"),CONCATENATE("R10C",'Mapa riesgos'!#REF!),"")</f>
        <v>#REF!</v>
      </c>
      <c r="V45" s="53" t="e">
        <f>IF(AND('Mapa riesgos'!#REF!="Baja",'Mapa riesgos'!#REF!="Moderado"),CONCATENATE("R10C",'Mapa riesgos'!#REF!),"")</f>
        <v>#REF!</v>
      </c>
      <c r="W45" s="54" t="e">
        <f>IF(AND('Mapa riesgos'!#REF!="Baja",'Mapa riesgos'!#REF!="Moderado"),CONCATENATE("R10C",'Mapa riesgos'!#REF!),"")</f>
        <v>#REF!</v>
      </c>
      <c r="X45" s="54" t="e">
        <f>IF(AND('Mapa riesgos'!#REF!="Baja",'Mapa riesgos'!#REF!="Moderado"),CONCATENATE("R10C",'Mapa riesgos'!#REF!),"")</f>
        <v>#REF!</v>
      </c>
      <c r="Y45" s="54" t="e">
        <f>IF(AND('Mapa riesgos'!#REF!="Baja",'Mapa riesgos'!#REF!="Moderado"),CONCATENATE("R10C",'Mapa riesgos'!#REF!),"")</f>
        <v>#REF!</v>
      </c>
      <c r="Z45" s="54" t="e">
        <f>IF(AND('Mapa riesgos'!#REF!="Baja",'Mapa riesgos'!#REF!="Moderado"),CONCATENATE("R10C",'Mapa riesgos'!#REF!),"")</f>
        <v>#REF!</v>
      </c>
      <c r="AA45" s="55" t="e">
        <f>IF(AND('Mapa riesgos'!#REF!="Baja",'Mapa riesgos'!#REF!="Moderado"),CONCATENATE("R10C",'Mapa riesgos'!#REF!),"")</f>
        <v>#REF!</v>
      </c>
      <c r="AB45" s="41" t="e">
        <f>IF(AND('Mapa riesgos'!#REF!="Baja",'Mapa riesgos'!#REF!="Mayor"),CONCATENATE("R10C",'Mapa riesgos'!#REF!),"")</f>
        <v>#REF!</v>
      </c>
      <c r="AC45" s="42" t="e">
        <f>IF(AND('Mapa riesgos'!#REF!="Baja",'Mapa riesgos'!#REF!="Mayor"),CONCATENATE("R10C",'Mapa riesgos'!#REF!),"")</f>
        <v>#REF!</v>
      </c>
      <c r="AD45" s="42" t="e">
        <f>IF(AND('Mapa riesgos'!#REF!="Baja",'Mapa riesgos'!#REF!="Mayor"),CONCATENATE("R10C",'Mapa riesgos'!#REF!),"")</f>
        <v>#REF!</v>
      </c>
      <c r="AE45" s="42" t="e">
        <f>IF(AND('Mapa riesgos'!#REF!="Baja",'Mapa riesgos'!#REF!="Mayor"),CONCATENATE("R10C",'Mapa riesgos'!#REF!),"")</f>
        <v>#REF!</v>
      </c>
      <c r="AF45" s="42" t="e">
        <f>IF(AND('Mapa riesgos'!#REF!="Baja",'Mapa riesgos'!#REF!="Mayor"),CONCATENATE("R10C",'Mapa riesgos'!#REF!),"")</f>
        <v>#REF!</v>
      </c>
      <c r="AG45" s="43" t="e">
        <f>IF(AND('Mapa riesgos'!#REF!="Baja",'Mapa riesgos'!#REF!="Mayor"),CONCATENATE("R10C",'Mapa riesgos'!#REF!),"")</f>
        <v>#REF!</v>
      </c>
      <c r="AH45" s="44" t="e">
        <f>IF(AND('Mapa riesgos'!#REF!="Baja",'Mapa riesgos'!#REF!="Catastrófico"),CONCATENATE("R10C",'Mapa riesgos'!#REF!),"")</f>
        <v>#REF!</v>
      </c>
      <c r="AI45" s="45" t="e">
        <f>IF(AND('Mapa riesgos'!#REF!="Baja",'Mapa riesgos'!#REF!="Catastrófico"),CONCATENATE("R10C",'Mapa riesgos'!#REF!),"")</f>
        <v>#REF!</v>
      </c>
      <c r="AJ45" s="45" t="e">
        <f>IF(AND('Mapa riesgos'!#REF!="Baja",'Mapa riesgos'!#REF!="Catastrófico"),CONCATENATE("R10C",'Mapa riesgos'!#REF!),"")</f>
        <v>#REF!</v>
      </c>
      <c r="AK45" s="45" t="e">
        <f>IF(AND('Mapa riesgos'!#REF!="Baja",'Mapa riesgos'!#REF!="Catastrófico"),CONCATENATE("R10C",'Mapa riesgos'!#REF!),"")</f>
        <v>#REF!</v>
      </c>
      <c r="AL45" s="45" t="e">
        <f>IF(AND('Mapa riesgos'!#REF!="Baja",'Mapa riesgos'!#REF!="Catastrófico"),CONCATENATE("R10C",'Mapa riesgos'!#REF!),"")</f>
        <v>#REF!</v>
      </c>
      <c r="AM45" s="46" t="e">
        <f>IF(AND('Mapa riesgos'!#REF!="Baja",'Mapa riesgos'!#REF!="Catastrófico"),CONCATENATE("R10C",'Mapa riesgos'!#REF!),"")</f>
        <v>#REF!</v>
      </c>
      <c r="AN45" s="66"/>
      <c r="AO45" s="528"/>
      <c r="AP45" s="529"/>
      <c r="AQ45" s="529"/>
      <c r="AR45" s="529"/>
      <c r="AS45" s="529"/>
      <c r="AT45" s="530"/>
    </row>
    <row r="46" spans="1:80" ht="46.5" customHeight="1" x14ac:dyDescent="0.35">
      <c r="A46" s="66"/>
      <c r="B46" s="406"/>
      <c r="C46" s="406"/>
      <c r="D46" s="407"/>
      <c r="E46" s="501" t="s">
        <v>211</v>
      </c>
      <c r="F46" s="502"/>
      <c r="G46" s="502"/>
      <c r="H46" s="502"/>
      <c r="I46" s="519"/>
      <c r="J46" s="56" t="e">
        <f>IF(AND('Mapa riesgos'!#REF!="Muy Baja",'Mapa riesgos'!#REF!="Leve"),CONCATENATE("R1C",'Mapa riesgos'!#REF!),"")</f>
        <v>#REF!</v>
      </c>
      <c r="K46" s="57" t="e">
        <f>IF(AND('Mapa riesgos'!#REF!="Muy Baja",'Mapa riesgos'!#REF!="Leve"),CONCATENATE("R1C",'Mapa riesgos'!#REF!),"")</f>
        <v>#REF!</v>
      </c>
      <c r="L46" s="57" t="e">
        <f>IF(AND('Mapa riesgos'!#REF!="Muy Baja",'Mapa riesgos'!#REF!="Leve"),CONCATENATE("R1C",'Mapa riesgos'!#REF!),"")</f>
        <v>#REF!</v>
      </c>
      <c r="M46" s="57" t="e">
        <f>IF(AND('Mapa riesgos'!#REF!="Muy Baja",'Mapa riesgos'!#REF!="Leve"),CONCATENATE("R1C",'Mapa riesgos'!#REF!),"")</f>
        <v>#REF!</v>
      </c>
      <c r="N46" s="57" t="e">
        <f>IF(AND('Mapa riesgos'!#REF!="Muy Baja",'Mapa riesgos'!#REF!="Leve"),CONCATENATE("R1C",'Mapa riesgos'!#REF!),"")</f>
        <v>#REF!</v>
      </c>
      <c r="O46" s="58" t="e">
        <f>IF(AND('Mapa riesgos'!#REF!="Muy Baja",'Mapa riesgos'!#REF!="Leve"),CONCATENATE("R1C",'Mapa riesgos'!#REF!),"")</f>
        <v>#REF!</v>
      </c>
      <c r="P46" s="56" t="e">
        <f>IF(AND('Mapa riesgos'!#REF!="Muy Baja",'Mapa riesgos'!#REF!="Menor"),CONCATENATE("R1C",'Mapa riesgos'!#REF!),"")</f>
        <v>#REF!</v>
      </c>
      <c r="Q46" s="57" t="e">
        <f>IF(AND('Mapa riesgos'!#REF!="Muy Baja",'Mapa riesgos'!#REF!="Menor"),CONCATENATE("R1C",'Mapa riesgos'!#REF!),"")</f>
        <v>#REF!</v>
      </c>
      <c r="R46" s="57" t="e">
        <f>IF(AND('Mapa riesgos'!#REF!="Muy Baja",'Mapa riesgos'!#REF!="Menor"),CONCATENATE("R1C",'Mapa riesgos'!#REF!),"")</f>
        <v>#REF!</v>
      </c>
      <c r="S46" s="57" t="e">
        <f>IF(AND('Mapa riesgos'!#REF!="Muy Baja",'Mapa riesgos'!#REF!="Menor"),CONCATENATE("R1C",'Mapa riesgos'!#REF!),"")</f>
        <v>#REF!</v>
      </c>
      <c r="T46" s="57" t="e">
        <f>IF(AND('Mapa riesgos'!#REF!="Muy Baja",'Mapa riesgos'!#REF!="Menor"),CONCATENATE("R1C",'Mapa riesgos'!#REF!),"")</f>
        <v>#REF!</v>
      </c>
      <c r="U46" s="58" t="e">
        <f>IF(AND('Mapa riesgos'!#REF!="Muy Baja",'Mapa riesgos'!#REF!="Menor"),CONCATENATE("R1C",'Mapa riesgos'!#REF!),"")</f>
        <v>#REF!</v>
      </c>
      <c r="V46" s="47" t="e">
        <f>IF(AND('Mapa riesgos'!#REF!="Muy Baja",'Mapa riesgos'!#REF!="Moderado"),CONCATENATE("R1C",'Mapa riesgos'!#REF!),"")</f>
        <v>#REF!</v>
      </c>
      <c r="W46" s="65" t="e">
        <f>IF(AND('Mapa riesgos'!#REF!="Muy Baja",'Mapa riesgos'!#REF!="Moderado"),CONCATENATE("R1C",'Mapa riesgos'!#REF!),"")</f>
        <v>#REF!</v>
      </c>
      <c r="X46" s="48" t="e">
        <f>IF(AND('Mapa riesgos'!#REF!="Muy Baja",'Mapa riesgos'!#REF!="Moderado"),CONCATENATE("R1C",'Mapa riesgos'!#REF!),"")</f>
        <v>#REF!</v>
      </c>
      <c r="Y46" s="48" t="e">
        <f>IF(AND('Mapa riesgos'!#REF!="Muy Baja",'Mapa riesgos'!#REF!="Moderado"),CONCATENATE("R1C",'Mapa riesgos'!#REF!),"")</f>
        <v>#REF!</v>
      </c>
      <c r="Z46" s="48" t="e">
        <f>IF(AND('Mapa riesgos'!#REF!="Muy Baja",'Mapa riesgos'!#REF!="Moderado"),CONCATENATE("R1C",'Mapa riesgos'!#REF!),"")</f>
        <v>#REF!</v>
      </c>
      <c r="AA46" s="49" t="e">
        <f>IF(AND('Mapa riesgos'!#REF!="Muy Baja",'Mapa riesgos'!#REF!="Moderado"),CONCATENATE("R1C",'Mapa riesgos'!#REF!),"")</f>
        <v>#REF!</v>
      </c>
      <c r="AB46" s="29" t="e">
        <f>IF(AND('Mapa riesgos'!#REF!="Muy Baja",'Mapa riesgos'!#REF!="Mayor"),CONCATENATE("R1C",'Mapa riesgos'!#REF!),"")</f>
        <v>#REF!</v>
      </c>
      <c r="AC46" s="30" t="e">
        <f>IF(AND('Mapa riesgos'!#REF!="Muy Baja",'Mapa riesgos'!#REF!="Mayor"),CONCATENATE("R1C",'Mapa riesgos'!#REF!),"")</f>
        <v>#REF!</v>
      </c>
      <c r="AD46" s="30" t="e">
        <f>IF(AND('Mapa riesgos'!#REF!="Muy Baja",'Mapa riesgos'!#REF!="Mayor"),CONCATENATE("R1C",'Mapa riesgos'!#REF!),"")</f>
        <v>#REF!</v>
      </c>
      <c r="AE46" s="30" t="e">
        <f>IF(AND('Mapa riesgos'!#REF!="Muy Baja",'Mapa riesgos'!#REF!="Mayor"),CONCATENATE("R1C",'Mapa riesgos'!#REF!),"")</f>
        <v>#REF!</v>
      </c>
      <c r="AF46" s="30" t="e">
        <f>IF(AND('Mapa riesgos'!#REF!="Muy Baja",'Mapa riesgos'!#REF!="Mayor"),CONCATENATE("R1C",'Mapa riesgos'!#REF!),"")</f>
        <v>#REF!</v>
      </c>
      <c r="AG46" s="31" t="e">
        <f>IF(AND('Mapa riesgos'!#REF!="Muy Baja",'Mapa riesgos'!#REF!="Mayor"),CONCATENATE("R1C",'Mapa riesgos'!#REF!),"")</f>
        <v>#REF!</v>
      </c>
      <c r="AH46" s="32" t="e">
        <f>IF(AND('Mapa riesgos'!#REF!="Muy Baja",'Mapa riesgos'!#REF!="Catastrófico"),CONCATENATE("R1C",'Mapa riesgos'!#REF!),"")</f>
        <v>#REF!</v>
      </c>
      <c r="AI46" s="33" t="e">
        <f>IF(AND('Mapa riesgos'!#REF!="Muy Baja",'Mapa riesgos'!#REF!="Catastrófico"),CONCATENATE("R1C",'Mapa riesgos'!#REF!),"")</f>
        <v>#REF!</v>
      </c>
      <c r="AJ46" s="33" t="e">
        <f>IF(AND('Mapa riesgos'!#REF!="Muy Baja",'Mapa riesgos'!#REF!="Catastrófico"),CONCATENATE("R1C",'Mapa riesgos'!#REF!),"")</f>
        <v>#REF!</v>
      </c>
      <c r="AK46" s="33" t="e">
        <f>IF(AND('Mapa riesgos'!#REF!="Muy Baja",'Mapa riesgos'!#REF!="Catastrófico"),CONCATENATE("R1C",'Mapa riesgos'!#REF!),"")</f>
        <v>#REF!</v>
      </c>
      <c r="AL46" s="33" t="e">
        <f>IF(AND('Mapa riesgos'!#REF!="Muy Baja",'Mapa riesgos'!#REF!="Catastrófico"),CONCATENATE("R1C",'Mapa riesgos'!#REF!),"")</f>
        <v>#REF!</v>
      </c>
      <c r="AM46" s="34" t="e">
        <f>IF(AND('Mapa riesgos'!#REF!="Muy Baja",'Mapa riesgos'!#REF!="Catastrófico"),CONCATENATE("R1C",'Mapa riesgos'!#REF!),"")</f>
        <v>#REF!</v>
      </c>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ht="46.5" customHeight="1" x14ac:dyDescent="0.25">
      <c r="A47" s="66"/>
      <c r="B47" s="406"/>
      <c r="C47" s="406"/>
      <c r="D47" s="407"/>
      <c r="E47" s="503"/>
      <c r="F47" s="504"/>
      <c r="G47" s="504"/>
      <c r="H47" s="504"/>
      <c r="I47" s="520"/>
      <c r="J47" s="59" t="e">
        <f>IF(AND('Mapa riesgos'!#REF!="Muy Baja",'Mapa riesgos'!#REF!="Leve"),CONCATENATE("R2C",'Mapa riesgos'!#REF!),"")</f>
        <v>#REF!</v>
      </c>
      <c r="K47" s="60" t="e">
        <f>IF(AND('Mapa riesgos'!#REF!="Muy Baja",'Mapa riesgos'!#REF!="Leve"),CONCATENATE("R2C",'Mapa riesgos'!#REF!),"")</f>
        <v>#REF!</v>
      </c>
      <c r="L47" s="60" t="e">
        <f>IF(AND('Mapa riesgos'!#REF!="Muy Baja",'Mapa riesgos'!#REF!="Leve"),CONCATENATE("R2C",'Mapa riesgos'!#REF!),"")</f>
        <v>#REF!</v>
      </c>
      <c r="M47" s="60" t="e">
        <f>IF(AND('Mapa riesgos'!#REF!="Muy Baja",'Mapa riesgos'!#REF!="Leve"),CONCATENATE("R2C",'Mapa riesgos'!#REF!),"")</f>
        <v>#REF!</v>
      </c>
      <c r="N47" s="60" t="e">
        <f>IF(AND('Mapa riesgos'!#REF!="Muy Baja",'Mapa riesgos'!#REF!="Leve"),CONCATENATE("R2C",'Mapa riesgos'!#REF!),"")</f>
        <v>#REF!</v>
      </c>
      <c r="O47" s="61" t="e">
        <f>IF(AND('Mapa riesgos'!#REF!="Muy Baja",'Mapa riesgos'!#REF!="Leve"),CONCATENATE("R2C",'Mapa riesgos'!#REF!),"")</f>
        <v>#REF!</v>
      </c>
      <c r="P47" s="59" t="e">
        <f>IF(AND('Mapa riesgos'!#REF!="Muy Baja",'Mapa riesgos'!#REF!="Menor"),CONCATENATE("R2C",'Mapa riesgos'!#REF!),"")</f>
        <v>#REF!</v>
      </c>
      <c r="Q47" s="60" t="e">
        <f>IF(AND('Mapa riesgos'!#REF!="Muy Baja",'Mapa riesgos'!#REF!="Menor"),CONCATENATE("R2C",'Mapa riesgos'!#REF!),"")</f>
        <v>#REF!</v>
      </c>
      <c r="R47" s="60" t="e">
        <f>IF(AND('Mapa riesgos'!#REF!="Muy Baja",'Mapa riesgos'!#REF!="Menor"),CONCATENATE("R2C",'Mapa riesgos'!#REF!),"")</f>
        <v>#REF!</v>
      </c>
      <c r="S47" s="60" t="e">
        <f>IF(AND('Mapa riesgos'!#REF!="Muy Baja",'Mapa riesgos'!#REF!="Menor"),CONCATENATE("R2C",'Mapa riesgos'!#REF!),"")</f>
        <v>#REF!</v>
      </c>
      <c r="T47" s="60" t="e">
        <f>IF(AND('Mapa riesgos'!#REF!="Muy Baja",'Mapa riesgos'!#REF!="Menor"),CONCATENATE("R2C",'Mapa riesgos'!#REF!),"")</f>
        <v>#REF!</v>
      </c>
      <c r="U47" s="61" t="e">
        <f>IF(AND('Mapa riesgos'!#REF!="Muy Baja",'Mapa riesgos'!#REF!="Menor"),CONCATENATE("R2C",'Mapa riesgos'!#REF!),"")</f>
        <v>#REF!</v>
      </c>
      <c r="V47" s="50" t="e">
        <f>IF(AND('Mapa riesgos'!#REF!="Muy Baja",'Mapa riesgos'!#REF!="Moderado"),CONCATENATE("R2C",'Mapa riesgos'!#REF!),"")</f>
        <v>#REF!</v>
      </c>
      <c r="W47" s="51" t="e">
        <f>IF(AND('Mapa riesgos'!#REF!="Muy Baja",'Mapa riesgos'!#REF!="Moderado"),CONCATENATE("R2C",'Mapa riesgos'!#REF!),"")</f>
        <v>#REF!</v>
      </c>
      <c r="X47" s="51" t="e">
        <f>IF(AND('Mapa riesgos'!#REF!="Muy Baja",'Mapa riesgos'!#REF!="Moderado"),CONCATENATE("R2C",'Mapa riesgos'!#REF!),"")</f>
        <v>#REF!</v>
      </c>
      <c r="Y47" s="51" t="e">
        <f>IF(AND('Mapa riesgos'!#REF!="Muy Baja",'Mapa riesgos'!#REF!="Moderado"),CONCATENATE("R2C",'Mapa riesgos'!#REF!),"")</f>
        <v>#REF!</v>
      </c>
      <c r="Z47" s="51" t="e">
        <f>IF(AND('Mapa riesgos'!#REF!="Muy Baja",'Mapa riesgos'!#REF!="Moderado"),CONCATENATE("R2C",'Mapa riesgos'!#REF!),"")</f>
        <v>#REF!</v>
      </c>
      <c r="AA47" s="52" t="e">
        <f>IF(AND('Mapa riesgos'!#REF!="Muy Baja",'Mapa riesgos'!#REF!="Moderado"),CONCATENATE("R2C",'Mapa riesgos'!#REF!),"")</f>
        <v>#REF!</v>
      </c>
      <c r="AB47" s="35" t="e">
        <f>IF(AND('Mapa riesgos'!#REF!="Muy Baja",'Mapa riesgos'!#REF!="Mayor"),CONCATENATE("R2C",'Mapa riesgos'!#REF!),"")</f>
        <v>#REF!</v>
      </c>
      <c r="AC47" s="36" t="e">
        <f>IF(AND('Mapa riesgos'!#REF!="Muy Baja",'Mapa riesgos'!#REF!="Mayor"),CONCATENATE("R2C",'Mapa riesgos'!#REF!),"")</f>
        <v>#REF!</v>
      </c>
      <c r="AD47" s="36" t="e">
        <f>IF(AND('Mapa riesgos'!#REF!="Muy Baja",'Mapa riesgos'!#REF!="Mayor"),CONCATENATE("R2C",'Mapa riesgos'!#REF!),"")</f>
        <v>#REF!</v>
      </c>
      <c r="AE47" s="36" t="e">
        <f>IF(AND('Mapa riesgos'!#REF!="Muy Baja",'Mapa riesgos'!#REF!="Mayor"),CONCATENATE("R2C",'Mapa riesgos'!#REF!),"")</f>
        <v>#REF!</v>
      </c>
      <c r="AF47" s="36" t="e">
        <f>IF(AND('Mapa riesgos'!#REF!="Muy Baja",'Mapa riesgos'!#REF!="Mayor"),CONCATENATE("R2C",'Mapa riesgos'!#REF!),"")</f>
        <v>#REF!</v>
      </c>
      <c r="AG47" s="37" t="e">
        <f>IF(AND('Mapa riesgos'!#REF!="Muy Baja",'Mapa riesgos'!#REF!="Mayor"),CONCATENATE("R2C",'Mapa riesgos'!#REF!),"")</f>
        <v>#REF!</v>
      </c>
      <c r="AH47" s="38" t="e">
        <f>IF(AND('Mapa riesgos'!#REF!="Muy Baja",'Mapa riesgos'!#REF!="Catastrófico"),CONCATENATE("R2C",'Mapa riesgos'!#REF!),"")</f>
        <v>#REF!</v>
      </c>
      <c r="AI47" s="39" t="e">
        <f>IF(AND('Mapa riesgos'!#REF!="Muy Baja",'Mapa riesgos'!#REF!="Catastrófico"),CONCATENATE("R2C",'Mapa riesgos'!#REF!),"")</f>
        <v>#REF!</v>
      </c>
      <c r="AJ47" s="39" t="e">
        <f>IF(AND('Mapa riesgos'!#REF!="Muy Baja",'Mapa riesgos'!#REF!="Catastrófico"),CONCATENATE("R2C",'Mapa riesgos'!#REF!),"")</f>
        <v>#REF!</v>
      </c>
      <c r="AK47" s="39" t="e">
        <f>IF(AND('Mapa riesgos'!#REF!="Muy Baja",'Mapa riesgos'!#REF!="Catastrófico"),CONCATENATE("R2C",'Mapa riesgos'!#REF!),"")</f>
        <v>#REF!</v>
      </c>
      <c r="AL47" s="39" t="e">
        <f>IF(AND('Mapa riesgos'!#REF!="Muy Baja",'Mapa riesgos'!#REF!="Catastrófico"),CONCATENATE("R2C",'Mapa riesgos'!#REF!),"")</f>
        <v>#REF!</v>
      </c>
      <c r="AM47" s="40" t="e">
        <f>IF(AND('Mapa riesgos'!#REF!="Muy Baja",'Mapa riesgos'!#REF!="Catastrófico"),CONCATENATE("R2C",'Mapa riesgos'!#REF!),"")</f>
        <v>#REF!</v>
      </c>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ht="15" customHeight="1" x14ac:dyDescent="0.25">
      <c r="A48" s="66"/>
      <c r="B48" s="406"/>
      <c r="C48" s="406"/>
      <c r="D48" s="407"/>
      <c r="E48" s="503"/>
      <c r="F48" s="504"/>
      <c r="G48" s="504"/>
      <c r="H48" s="504"/>
      <c r="I48" s="520"/>
      <c r="J48" s="59" t="e">
        <f>IF(AND('Mapa riesgos'!#REF!="Muy Baja",'Mapa riesgos'!#REF!="Leve"),CONCATENATE("R3C",'Mapa riesgos'!#REF!),"")</f>
        <v>#REF!</v>
      </c>
      <c r="K48" s="60" t="e">
        <f>IF(AND('Mapa riesgos'!#REF!="Muy Baja",'Mapa riesgos'!#REF!="Leve"),CONCATENATE("R3C",'Mapa riesgos'!#REF!),"")</f>
        <v>#REF!</v>
      </c>
      <c r="L48" s="60" t="e">
        <f>IF(AND('Mapa riesgos'!#REF!="Muy Baja",'Mapa riesgos'!#REF!="Leve"),CONCATENATE("R3C",'Mapa riesgos'!#REF!),"")</f>
        <v>#REF!</v>
      </c>
      <c r="M48" s="60" t="e">
        <f>IF(AND('Mapa riesgos'!#REF!="Muy Baja",'Mapa riesgos'!#REF!="Leve"),CONCATENATE("R3C",'Mapa riesgos'!#REF!),"")</f>
        <v>#REF!</v>
      </c>
      <c r="N48" s="60" t="e">
        <f>IF(AND('Mapa riesgos'!#REF!="Muy Baja",'Mapa riesgos'!#REF!="Leve"),CONCATENATE("R3C",'Mapa riesgos'!#REF!),"")</f>
        <v>#REF!</v>
      </c>
      <c r="O48" s="61" t="e">
        <f>IF(AND('Mapa riesgos'!#REF!="Muy Baja",'Mapa riesgos'!#REF!="Leve"),CONCATENATE("R3C",'Mapa riesgos'!#REF!),"")</f>
        <v>#REF!</v>
      </c>
      <c r="P48" s="59" t="e">
        <f>IF(AND('Mapa riesgos'!#REF!="Muy Baja",'Mapa riesgos'!#REF!="Menor"),CONCATENATE("R3C",'Mapa riesgos'!#REF!),"")</f>
        <v>#REF!</v>
      </c>
      <c r="Q48" s="60" t="e">
        <f>IF(AND('Mapa riesgos'!#REF!="Muy Baja",'Mapa riesgos'!#REF!="Menor"),CONCATENATE("R3C",'Mapa riesgos'!#REF!),"")</f>
        <v>#REF!</v>
      </c>
      <c r="R48" s="60" t="e">
        <f>IF(AND('Mapa riesgos'!#REF!="Muy Baja",'Mapa riesgos'!#REF!="Menor"),CONCATENATE("R3C",'Mapa riesgos'!#REF!),"")</f>
        <v>#REF!</v>
      </c>
      <c r="S48" s="60" t="e">
        <f>IF(AND('Mapa riesgos'!#REF!="Muy Baja",'Mapa riesgos'!#REF!="Menor"),CONCATENATE("R3C",'Mapa riesgos'!#REF!),"")</f>
        <v>#REF!</v>
      </c>
      <c r="T48" s="60" t="e">
        <f>IF(AND('Mapa riesgos'!#REF!="Muy Baja",'Mapa riesgos'!#REF!="Menor"),CONCATENATE("R3C",'Mapa riesgos'!#REF!),"")</f>
        <v>#REF!</v>
      </c>
      <c r="U48" s="61" t="e">
        <f>IF(AND('Mapa riesgos'!#REF!="Muy Baja",'Mapa riesgos'!#REF!="Menor"),CONCATENATE("R3C",'Mapa riesgos'!#REF!),"")</f>
        <v>#REF!</v>
      </c>
      <c r="V48" s="50" t="e">
        <f>IF(AND('Mapa riesgos'!#REF!="Muy Baja",'Mapa riesgos'!#REF!="Moderado"),CONCATENATE("R3C",'Mapa riesgos'!#REF!),"")</f>
        <v>#REF!</v>
      </c>
      <c r="W48" s="51" t="e">
        <f>IF(AND('Mapa riesgos'!#REF!="Muy Baja",'Mapa riesgos'!#REF!="Moderado"),CONCATENATE("R3C",'Mapa riesgos'!#REF!),"")</f>
        <v>#REF!</v>
      </c>
      <c r="X48" s="51" t="e">
        <f>IF(AND('Mapa riesgos'!#REF!="Muy Baja",'Mapa riesgos'!#REF!="Moderado"),CONCATENATE("R3C",'Mapa riesgos'!#REF!),"")</f>
        <v>#REF!</v>
      </c>
      <c r="Y48" s="51" t="e">
        <f>IF(AND('Mapa riesgos'!#REF!="Muy Baja",'Mapa riesgos'!#REF!="Moderado"),CONCATENATE("R3C",'Mapa riesgos'!#REF!),"")</f>
        <v>#REF!</v>
      </c>
      <c r="Z48" s="51" t="e">
        <f>IF(AND('Mapa riesgos'!#REF!="Muy Baja",'Mapa riesgos'!#REF!="Moderado"),CONCATENATE("R3C",'Mapa riesgos'!#REF!),"")</f>
        <v>#REF!</v>
      </c>
      <c r="AA48" s="52" t="e">
        <f>IF(AND('Mapa riesgos'!#REF!="Muy Baja",'Mapa riesgos'!#REF!="Moderado"),CONCATENATE("R3C",'Mapa riesgos'!#REF!),"")</f>
        <v>#REF!</v>
      </c>
      <c r="AB48" s="35" t="e">
        <f>IF(AND('Mapa riesgos'!#REF!="Muy Baja",'Mapa riesgos'!#REF!="Mayor"),CONCATENATE("R3C",'Mapa riesgos'!#REF!),"")</f>
        <v>#REF!</v>
      </c>
      <c r="AC48" s="36" t="e">
        <f>IF(AND('Mapa riesgos'!#REF!="Muy Baja",'Mapa riesgos'!#REF!="Mayor"),CONCATENATE("R3C",'Mapa riesgos'!#REF!),"")</f>
        <v>#REF!</v>
      </c>
      <c r="AD48" s="36" t="e">
        <f>IF(AND('Mapa riesgos'!#REF!="Muy Baja",'Mapa riesgos'!#REF!="Mayor"),CONCATENATE("R3C",'Mapa riesgos'!#REF!),"")</f>
        <v>#REF!</v>
      </c>
      <c r="AE48" s="36" t="e">
        <f>IF(AND('Mapa riesgos'!#REF!="Muy Baja",'Mapa riesgos'!#REF!="Mayor"),CONCATENATE("R3C",'Mapa riesgos'!#REF!),"")</f>
        <v>#REF!</v>
      </c>
      <c r="AF48" s="36" t="e">
        <f>IF(AND('Mapa riesgos'!#REF!="Muy Baja",'Mapa riesgos'!#REF!="Mayor"),CONCATENATE("R3C",'Mapa riesgos'!#REF!),"")</f>
        <v>#REF!</v>
      </c>
      <c r="AG48" s="37" t="e">
        <f>IF(AND('Mapa riesgos'!#REF!="Muy Baja",'Mapa riesgos'!#REF!="Mayor"),CONCATENATE("R3C",'Mapa riesgos'!#REF!),"")</f>
        <v>#REF!</v>
      </c>
      <c r="AH48" s="38" t="e">
        <f>IF(AND('Mapa riesgos'!#REF!="Muy Baja",'Mapa riesgos'!#REF!="Catastrófico"),CONCATENATE("R3C",'Mapa riesgos'!#REF!),"")</f>
        <v>#REF!</v>
      </c>
      <c r="AI48" s="39" t="e">
        <f>IF(AND('Mapa riesgos'!#REF!="Muy Baja",'Mapa riesgos'!#REF!="Catastrófico"),CONCATENATE("R3C",'Mapa riesgos'!#REF!),"")</f>
        <v>#REF!</v>
      </c>
      <c r="AJ48" s="39" t="e">
        <f>IF(AND('Mapa riesgos'!#REF!="Muy Baja",'Mapa riesgos'!#REF!="Catastrófico"),CONCATENATE("R3C",'Mapa riesgos'!#REF!),"")</f>
        <v>#REF!</v>
      </c>
      <c r="AK48" s="39" t="e">
        <f>IF(AND('Mapa riesgos'!#REF!="Muy Baja",'Mapa riesgos'!#REF!="Catastrófico"),CONCATENATE("R3C",'Mapa riesgos'!#REF!),"")</f>
        <v>#REF!</v>
      </c>
      <c r="AL48" s="39" t="e">
        <f>IF(AND('Mapa riesgos'!#REF!="Muy Baja",'Mapa riesgos'!#REF!="Catastrófico"),CONCATENATE("R3C",'Mapa riesgos'!#REF!),"")</f>
        <v>#REF!</v>
      </c>
      <c r="AM48" s="40" t="e">
        <f>IF(AND('Mapa riesgos'!#REF!="Muy Baja",'Mapa riesgos'!#REF!="Catastrófico"),CONCATENATE("R3C",'Mapa riesgos'!#REF!),"")</f>
        <v>#REF!</v>
      </c>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ht="15" customHeight="1" x14ac:dyDescent="0.25">
      <c r="A49" s="66"/>
      <c r="B49" s="406"/>
      <c r="C49" s="406"/>
      <c r="D49" s="407"/>
      <c r="E49" s="505"/>
      <c r="F49" s="504"/>
      <c r="G49" s="504"/>
      <c r="H49" s="504"/>
      <c r="I49" s="520"/>
      <c r="J49" s="59" t="str">
        <f>IF(AND('Mapa riesgos'!$AD$17="Muy Baja",'Mapa riesgos'!$AF$17="Leve"),CONCATENATE("R4C",'Mapa riesgos'!$T$17),"")</f>
        <v/>
      </c>
      <c r="K49" s="60" t="str">
        <f>IF(AND('Mapa riesgos'!$AD$18="Muy Baja",'Mapa riesgos'!$AF$18="Leve"),CONCATENATE("R4C",'Mapa riesgos'!$T$18),"")</f>
        <v/>
      </c>
      <c r="L49" s="60" t="str">
        <f>IF(AND('Mapa riesgos'!$AD$19="Muy Baja",'Mapa riesgos'!$AF$19="Leve"),CONCATENATE("R4C",'Mapa riesgos'!$T$19),"")</f>
        <v/>
      </c>
      <c r="M49" s="60" t="str">
        <f>IF(AND('Mapa riesgos'!$AD$20="Muy Baja",'Mapa riesgos'!$AF$20="Leve"),CONCATENATE("R4C",'Mapa riesgos'!$T$20),"")</f>
        <v/>
      </c>
      <c r="N49" s="60" t="str">
        <f>IF(AND('Mapa riesgos'!$AD$21="Muy Baja",'Mapa riesgos'!$AF$21="Leve"),CONCATENATE("R4C",'Mapa riesgos'!$T$21),"")</f>
        <v/>
      </c>
      <c r="O49" s="61" t="str">
        <f>IF(AND('Mapa riesgos'!$AD$22="Muy Baja",'Mapa riesgos'!$AF$22="Leve"),CONCATENATE("R4C",'Mapa riesgos'!$T$22),"")</f>
        <v/>
      </c>
      <c r="P49" s="59" t="str">
        <f>IF(AND('Mapa riesgos'!$AD$17="Muy Baja",'Mapa riesgos'!$AF$17="Menor"),CONCATENATE("R4C",'Mapa riesgos'!$T$17),"")</f>
        <v/>
      </c>
      <c r="Q49" s="60" t="str">
        <f>IF(AND('Mapa riesgos'!$AD$18="Muy Baja",'Mapa riesgos'!$AF$18="Menor"),CONCATENATE("R4C",'Mapa riesgos'!$T$18),"")</f>
        <v/>
      </c>
      <c r="R49" s="60" t="str">
        <f>IF(AND('Mapa riesgos'!$AD$19="Muy Baja",'Mapa riesgos'!$AF$19="Menor"),CONCATENATE("R4C",'Mapa riesgos'!$T$19),"")</f>
        <v/>
      </c>
      <c r="S49" s="60" t="str">
        <f>IF(AND('Mapa riesgos'!$AD$20="Muy Baja",'Mapa riesgos'!$AF$20="Menor"),CONCATENATE("R4C",'Mapa riesgos'!$T$20),"")</f>
        <v/>
      </c>
      <c r="T49" s="60" t="str">
        <f>IF(AND('Mapa riesgos'!$AD$21="Muy Baja",'Mapa riesgos'!$AF$21="Menor"),CONCATENATE("R4C",'Mapa riesgos'!$T$21),"")</f>
        <v/>
      </c>
      <c r="U49" s="61" t="str">
        <f>IF(AND('Mapa riesgos'!$AD$22="Muy Baja",'Mapa riesgos'!$AF$22="Menor"),CONCATENATE("R4C",'Mapa riesgos'!$T$22),"")</f>
        <v/>
      </c>
      <c r="V49" s="50" t="str">
        <f>IF(AND('Mapa riesgos'!$AD$17="Muy Baja",'Mapa riesgos'!$AF$17="Moderado"),CONCATENATE("R4C",'Mapa riesgos'!$T$17),"")</f>
        <v/>
      </c>
      <c r="W49" s="51" t="str">
        <f>IF(AND('Mapa riesgos'!$AD$18="Muy Baja",'Mapa riesgos'!$AF$18="Moderado"),CONCATENATE("R4C",'Mapa riesgos'!$T$18),"")</f>
        <v/>
      </c>
      <c r="X49" s="51" t="str">
        <f>IF(AND('Mapa riesgos'!$AD$19="Muy Baja",'Mapa riesgos'!$AF$19="Moderado"),CONCATENATE("R4C",'Mapa riesgos'!$T$19),"")</f>
        <v/>
      </c>
      <c r="Y49" s="51" t="str">
        <f>IF(AND('Mapa riesgos'!$AD$20="Muy Baja",'Mapa riesgos'!$AF$20="Moderado"),CONCATENATE("R4C",'Mapa riesgos'!$T$20),"")</f>
        <v/>
      </c>
      <c r="Z49" s="51" t="str">
        <f>IF(AND('Mapa riesgos'!$AD$21="Muy Baja",'Mapa riesgos'!$AF$21="Moderado"),CONCATENATE("R4C",'Mapa riesgos'!$T$21),"")</f>
        <v/>
      </c>
      <c r="AA49" s="52" t="str">
        <f>IF(AND('Mapa riesgos'!$AD$22="Muy Baja",'Mapa riesgos'!$AF$22="Moderado"),CONCATENATE("R4C",'Mapa riesgos'!$T$22),"")</f>
        <v/>
      </c>
      <c r="AB49" s="35" t="str">
        <f>IF(AND('Mapa riesgos'!$AD$17="Muy Baja",'Mapa riesgos'!$AF$17="Mayor"),CONCATENATE("R4C",'Mapa riesgos'!$T$17),"")</f>
        <v/>
      </c>
      <c r="AC49" s="36" t="str">
        <f>IF(AND('Mapa riesgos'!$AD$18="Muy Baja",'Mapa riesgos'!$AF$18="Mayor"),CONCATENATE("R4C",'Mapa riesgos'!$T$18),"")</f>
        <v/>
      </c>
      <c r="AD49" s="36" t="str">
        <f>IF(AND('Mapa riesgos'!$AD$19="Muy Baja",'Mapa riesgos'!$AF$19="Mayor"),CONCATENATE("R4C",'Mapa riesgos'!$T$19),"")</f>
        <v/>
      </c>
      <c r="AE49" s="36" t="str">
        <f>IF(AND('Mapa riesgos'!$AD$20="Muy Baja",'Mapa riesgos'!$AF$20="Mayor"),CONCATENATE("R4C",'Mapa riesgos'!$T$20),"")</f>
        <v/>
      </c>
      <c r="AF49" s="36" t="str">
        <f>IF(AND('Mapa riesgos'!$AD$21="Muy Baja",'Mapa riesgos'!$AF$21="Mayor"),CONCATENATE("R4C",'Mapa riesgos'!$T$21),"")</f>
        <v/>
      </c>
      <c r="AG49" s="37" t="str">
        <f>IF(AND('Mapa riesgos'!$AD$22="Muy Baja",'Mapa riesgos'!$AF$22="Mayor"),CONCATENATE("R4C",'Mapa riesgos'!$T$22),"")</f>
        <v/>
      </c>
      <c r="AH49" s="38" t="str">
        <f>IF(AND('Mapa riesgos'!$AD$17="Muy Baja",'Mapa riesgos'!$AF$17="Catastrófico"),CONCATENATE("R4C",'Mapa riesgos'!$T$17),"")</f>
        <v/>
      </c>
      <c r="AI49" s="39" t="str">
        <f>IF(AND('Mapa riesgos'!$AD$18="Muy Baja",'Mapa riesgos'!$AF$18="Catastrófico"),CONCATENATE("R4C",'Mapa riesgos'!$T$18),"")</f>
        <v/>
      </c>
      <c r="AJ49" s="39" t="str">
        <f>IF(AND('Mapa riesgos'!$AD$19="Muy Baja",'Mapa riesgos'!$AF$19="Catastrófico"),CONCATENATE("R4C",'Mapa riesgos'!$T$19),"")</f>
        <v/>
      </c>
      <c r="AK49" s="39" t="str">
        <f>IF(AND('Mapa riesgos'!$AD$20="Muy Baja",'Mapa riesgos'!$AF$20="Catastrófico"),CONCATENATE("R4C",'Mapa riesgos'!$T$20),"")</f>
        <v/>
      </c>
      <c r="AL49" s="39" t="str">
        <f>IF(AND('Mapa riesgos'!$AD$21="Muy Baja",'Mapa riesgos'!$AF$21="Catastrófico"),CONCATENATE("R4C",'Mapa riesgos'!$T$21),"")</f>
        <v/>
      </c>
      <c r="AM49" s="40" t="str">
        <f>IF(AND('Mapa riesgos'!$AD$22="Muy Baja",'Mapa riesgos'!$AF$22="Catastrófico"),CONCATENATE("R4C",'Mapa riesgos'!$T$22),"")</f>
        <v/>
      </c>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ht="15" customHeight="1" x14ac:dyDescent="0.25">
      <c r="A50" s="66"/>
      <c r="B50" s="406"/>
      <c r="C50" s="406"/>
      <c r="D50" s="407"/>
      <c r="E50" s="505"/>
      <c r="F50" s="504"/>
      <c r="G50" s="504"/>
      <c r="H50" s="504"/>
      <c r="I50" s="520"/>
      <c r="J50" s="59" t="e">
        <f>IF(AND('Mapa riesgos'!#REF!="Muy Baja",'Mapa riesgos'!#REF!="Leve"),CONCATENATE("R5C",'Mapa riesgos'!#REF!),"")</f>
        <v>#REF!</v>
      </c>
      <c r="K50" s="60" t="e">
        <f>IF(AND('Mapa riesgos'!#REF!="Muy Baja",'Mapa riesgos'!#REF!="Leve"),CONCATENATE("R5C",'Mapa riesgos'!#REF!),"")</f>
        <v>#REF!</v>
      </c>
      <c r="L50" s="60" t="e">
        <f>IF(AND('Mapa riesgos'!#REF!="Muy Baja",'Mapa riesgos'!#REF!="Leve"),CONCATENATE("R5C",'Mapa riesgos'!#REF!),"")</f>
        <v>#REF!</v>
      </c>
      <c r="M50" s="60" t="e">
        <f>IF(AND('Mapa riesgos'!#REF!="Muy Baja",'Mapa riesgos'!#REF!="Leve"),CONCATENATE("R5C",'Mapa riesgos'!#REF!),"")</f>
        <v>#REF!</v>
      </c>
      <c r="N50" s="60" t="e">
        <f>IF(AND('Mapa riesgos'!#REF!="Muy Baja",'Mapa riesgos'!#REF!="Leve"),CONCATENATE("R5C",'Mapa riesgos'!#REF!),"")</f>
        <v>#REF!</v>
      </c>
      <c r="O50" s="61" t="e">
        <f>IF(AND('Mapa riesgos'!#REF!="Muy Baja",'Mapa riesgos'!#REF!="Leve"),CONCATENATE("R5C",'Mapa riesgos'!#REF!),"")</f>
        <v>#REF!</v>
      </c>
      <c r="P50" s="59" t="e">
        <f>IF(AND('Mapa riesgos'!#REF!="Muy Baja",'Mapa riesgos'!#REF!="Menor"),CONCATENATE("R5C",'Mapa riesgos'!#REF!),"")</f>
        <v>#REF!</v>
      </c>
      <c r="Q50" s="60" t="e">
        <f>IF(AND('Mapa riesgos'!#REF!="Muy Baja",'Mapa riesgos'!#REF!="Menor"),CONCATENATE("R5C",'Mapa riesgos'!#REF!),"")</f>
        <v>#REF!</v>
      </c>
      <c r="R50" s="60" t="e">
        <f>IF(AND('Mapa riesgos'!#REF!="Muy Baja",'Mapa riesgos'!#REF!="Menor"),CONCATENATE("R5C",'Mapa riesgos'!#REF!),"")</f>
        <v>#REF!</v>
      </c>
      <c r="S50" s="60" t="e">
        <f>IF(AND('Mapa riesgos'!#REF!="Muy Baja",'Mapa riesgos'!#REF!="Menor"),CONCATENATE("R5C",'Mapa riesgos'!#REF!),"")</f>
        <v>#REF!</v>
      </c>
      <c r="T50" s="60" t="e">
        <f>IF(AND('Mapa riesgos'!#REF!="Muy Baja",'Mapa riesgos'!#REF!="Menor"),CONCATENATE("R5C",'Mapa riesgos'!#REF!),"")</f>
        <v>#REF!</v>
      </c>
      <c r="U50" s="61" t="e">
        <f>IF(AND('Mapa riesgos'!#REF!="Muy Baja",'Mapa riesgos'!#REF!="Menor"),CONCATENATE("R5C",'Mapa riesgos'!#REF!),"")</f>
        <v>#REF!</v>
      </c>
      <c r="V50" s="50" t="e">
        <f>IF(AND('Mapa riesgos'!#REF!="Muy Baja",'Mapa riesgos'!#REF!="Moderado"),CONCATENATE("R5C",'Mapa riesgos'!#REF!),"")</f>
        <v>#REF!</v>
      </c>
      <c r="W50" s="51" t="e">
        <f>IF(AND('Mapa riesgos'!#REF!="Muy Baja",'Mapa riesgos'!#REF!="Moderado"),CONCATENATE("R5C",'Mapa riesgos'!#REF!),"")</f>
        <v>#REF!</v>
      </c>
      <c r="X50" s="51" t="e">
        <f>IF(AND('Mapa riesgos'!#REF!="Muy Baja",'Mapa riesgos'!#REF!="Moderado"),CONCATENATE("R5C",'Mapa riesgos'!#REF!),"")</f>
        <v>#REF!</v>
      </c>
      <c r="Y50" s="51" t="e">
        <f>IF(AND('Mapa riesgos'!#REF!="Muy Baja",'Mapa riesgos'!#REF!="Moderado"),CONCATENATE("R5C",'Mapa riesgos'!#REF!),"")</f>
        <v>#REF!</v>
      </c>
      <c r="Z50" s="51" t="e">
        <f>IF(AND('Mapa riesgos'!#REF!="Muy Baja",'Mapa riesgos'!#REF!="Moderado"),CONCATENATE("R5C",'Mapa riesgos'!#REF!),"")</f>
        <v>#REF!</v>
      </c>
      <c r="AA50" s="52" t="e">
        <f>IF(AND('Mapa riesgos'!#REF!="Muy Baja",'Mapa riesgos'!#REF!="Moderado"),CONCATENATE("R5C",'Mapa riesgos'!#REF!),"")</f>
        <v>#REF!</v>
      </c>
      <c r="AB50" s="35" t="e">
        <f>IF(AND('Mapa riesgos'!#REF!="Muy Baja",'Mapa riesgos'!#REF!="Mayor"),CONCATENATE("R5C",'Mapa riesgos'!#REF!),"")</f>
        <v>#REF!</v>
      </c>
      <c r="AC50" s="36" t="e">
        <f>IF(AND('Mapa riesgos'!#REF!="Muy Baja",'Mapa riesgos'!#REF!="Mayor"),CONCATENATE("R5C",'Mapa riesgos'!#REF!),"")</f>
        <v>#REF!</v>
      </c>
      <c r="AD50" s="36" t="e">
        <f>IF(AND('Mapa riesgos'!#REF!="Muy Baja",'Mapa riesgos'!#REF!="Mayor"),CONCATENATE("R5C",'Mapa riesgos'!#REF!),"")</f>
        <v>#REF!</v>
      </c>
      <c r="AE50" s="36" t="e">
        <f>IF(AND('Mapa riesgos'!#REF!="Muy Baja",'Mapa riesgos'!#REF!="Mayor"),CONCATENATE("R5C",'Mapa riesgos'!#REF!),"")</f>
        <v>#REF!</v>
      </c>
      <c r="AF50" s="36" t="e">
        <f>IF(AND('Mapa riesgos'!#REF!="Muy Baja",'Mapa riesgos'!#REF!="Mayor"),CONCATENATE("R5C",'Mapa riesgos'!#REF!),"")</f>
        <v>#REF!</v>
      </c>
      <c r="AG50" s="37" t="e">
        <f>IF(AND('Mapa riesgos'!#REF!="Muy Baja",'Mapa riesgos'!#REF!="Mayor"),CONCATENATE("R5C",'Mapa riesgos'!#REF!),"")</f>
        <v>#REF!</v>
      </c>
      <c r="AH50" s="38" t="e">
        <f>IF(AND('Mapa riesgos'!#REF!="Muy Baja",'Mapa riesgos'!#REF!="Catastrófico"),CONCATENATE("R5C",'Mapa riesgos'!#REF!),"")</f>
        <v>#REF!</v>
      </c>
      <c r="AI50" s="39" t="e">
        <f>IF(AND('Mapa riesgos'!#REF!="Muy Baja",'Mapa riesgos'!#REF!="Catastrófico"),CONCATENATE("R5C",'Mapa riesgos'!#REF!),"")</f>
        <v>#REF!</v>
      </c>
      <c r="AJ50" s="39" t="e">
        <f>IF(AND('Mapa riesgos'!#REF!="Muy Baja",'Mapa riesgos'!#REF!="Catastrófico"),CONCATENATE("R5C",'Mapa riesgos'!#REF!),"")</f>
        <v>#REF!</v>
      </c>
      <c r="AK50" s="39" t="e">
        <f>IF(AND('Mapa riesgos'!#REF!="Muy Baja",'Mapa riesgos'!#REF!="Catastrófico"),CONCATENATE("R5C",'Mapa riesgos'!#REF!),"")</f>
        <v>#REF!</v>
      </c>
      <c r="AL50" s="39" t="e">
        <f>IF(AND('Mapa riesgos'!#REF!="Muy Baja",'Mapa riesgos'!#REF!="Catastrófico"),CONCATENATE("R5C",'Mapa riesgos'!#REF!),"")</f>
        <v>#REF!</v>
      </c>
      <c r="AM50" s="40" t="e">
        <f>IF(AND('Mapa riesgos'!#REF!="Muy Baja",'Mapa riesgos'!#REF!="Catastrófico"),CONCATENATE("R5C",'Mapa riesgos'!#REF!),"")</f>
        <v>#REF!</v>
      </c>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 customHeight="1" x14ac:dyDescent="0.25">
      <c r="A51" s="66"/>
      <c r="B51" s="406"/>
      <c r="C51" s="406"/>
      <c r="D51" s="407"/>
      <c r="E51" s="505"/>
      <c r="F51" s="504"/>
      <c r="G51" s="504"/>
      <c r="H51" s="504"/>
      <c r="I51" s="520"/>
      <c r="J51" s="59" t="e">
        <f>IF(AND('Mapa riesgos'!#REF!="Muy Baja",'Mapa riesgos'!#REF!="Leve"),CONCATENATE("R6C",'Mapa riesgos'!#REF!),"")</f>
        <v>#REF!</v>
      </c>
      <c r="K51" s="60" t="e">
        <f>IF(AND('Mapa riesgos'!#REF!="Muy Baja",'Mapa riesgos'!#REF!="Leve"),CONCATENATE("R6C",'Mapa riesgos'!#REF!),"")</f>
        <v>#REF!</v>
      </c>
      <c r="L51" s="60" t="e">
        <f>IF(AND('Mapa riesgos'!#REF!="Muy Baja",'Mapa riesgos'!#REF!="Leve"),CONCATENATE("R6C",'Mapa riesgos'!#REF!),"")</f>
        <v>#REF!</v>
      </c>
      <c r="M51" s="60" t="e">
        <f>IF(AND('Mapa riesgos'!#REF!="Muy Baja",'Mapa riesgos'!#REF!="Leve"),CONCATENATE("R6C",'Mapa riesgos'!#REF!),"")</f>
        <v>#REF!</v>
      </c>
      <c r="N51" s="60" t="e">
        <f>IF(AND('Mapa riesgos'!#REF!="Muy Baja",'Mapa riesgos'!#REF!="Leve"),CONCATENATE("R6C",'Mapa riesgos'!#REF!),"")</f>
        <v>#REF!</v>
      </c>
      <c r="O51" s="61" t="e">
        <f>IF(AND('Mapa riesgos'!#REF!="Muy Baja",'Mapa riesgos'!#REF!="Leve"),CONCATENATE("R6C",'Mapa riesgos'!#REF!),"")</f>
        <v>#REF!</v>
      </c>
      <c r="P51" s="59" t="e">
        <f>IF(AND('Mapa riesgos'!#REF!="Muy Baja",'Mapa riesgos'!#REF!="Menor"),CONCATENATE("R6C",'Mapa riesgos'!#REF!),"")</f>
        <v>#REF!</v>
      </c>
      <c r="Q51" s="60" t="e">
        <f>IF(AND('Mapa riesgos'!#REF!="Muy Baja",'Mapa riesgos'!#REF!="Menor"),CONCATENATE("R6C",'Mapa riesgos'!#REF!),"")</f>
        <v>#REF!</v>
      </c>
      <c r="R51" s="60" t="e">
        <f>IF(AND('Mapa riesgos'!#REF!="Muy Baja",'Mapa riesgos'!#REF!="Menor"),CONCATENATE("R6C",'Mapa riesgos'!#REF!),"")</f>
        <v>#REF!</v>
      </c>
      <c r="S51" s="60" t="e">
        <f>IF(AND('Mapa riesgos'!#REF!="Muy Baja",'Mapa riesgos'!#REF!="Menor"),CONCATENATE("R6C",'Mapa riesgos'!#REF!),"")</f>
        <v>#REF!</v>
      </c>
      <c r="T51" s="60" t="e">
        <f>IF(AND('Mapa riesgos'!#REF!="Muy Baja",'Mapa riesgos'!#REF!="Menor"),CONCATENATE("R6C",'Mapa riesgos'!#REF!),"")</f>
        <v>#REF!</v>
      </c>
      <c r="U51" s="61" t="e">
        <f>IF(AND('Mapa riesgos'!#REF!="Muy Baja",'Mapa riesgos'!#REF!="Menor"),CONCATENATE("R6C",'Mapa riesgos'!#REF!),"")</f>
        <v>#REF!</v>
      </c>
      <c r="V51" s="50" t="e">
        <f>IF(AND('Mapa riesgos'!#REF!="Muy Baja",'Mapa riesgos'!#REF!="Moderado"),CONCATENATE("R6C",'Mapa riesgos'!#REF!),"")</f>
        <v>#REF!</v>
      </c>
      <c r="W51" s="51" t="e">
        <f>IF(AND('Mapa riesgos'!#REF!="Muy Baja",'Mapa riesgos'!#REF!="Moderado"),CONCATENATE("R6C",'Mapa riesgos'!#REF!),"")</f>
        <v>#REF!</v>
      </c>
      <c r="X51" s="51" t="e">
        <f>IF(AND('Mapa riesgos'!#REF!="Muy Baja",'Mapa riesgos'!#REF!="Moderado"),CONCATENATE("R6C",'Mapa riesgos'!#REF!),"")</f>
        <v>#REF!</v>
      </c>
      <c r="Y51" s="51" t="e">
        <f>IF(AND('Mapa riesgos'!#REF!="Muy Baja",'Mapa riesgos'!#REF!="Moderado"),CONCATENATE("R6C",'Mapa riesgos'!#REF!),"")</f>
        <v>#REF!</v>
      </c>
      <c r="Z51" s="51" t="e">
        <f>IF(AND('Mapa riesgos'!#REF!="Muy Baja",'Mapa riesgos'!#REF!="Moderado"),CONCATENATE("R6C",'Mapa riesgos'!#REF!),"")</f>
        <v>#REF!</v>
      </c>
      <c r="AA51" s="52" t="e">
        <f>IF(AND('Mapa riesgos'!#REF!="Muy Baja",'Mapa riesgos'!#REF!="Moderado"),CONCATENATE("R6C",'Mapa riesgos'!#REF!),"")</f>
        <v>#REF!</v>
      </c>
      <c r="AB51" s="35" t="e">
        <f>IF(AND('Mapa riesgos'!#REF!="Muy Baja",'Mapa riesgos'!#REF!="Mayor"),CONCATENATE("R6C",'Mapa riesgos'!#REF!),"")</f>
        <v>#REF!</v>
      </c>
      <c r="AC51" s="36" t="e">
        <f>IF(AND('Mapa riesgos'!#REF!="Muy Baja",'Mapa riesgos'!#REF!="Mayor"),CONCATENATE("R6C",'Mapa riesgos'!#REF!),"")</f>
        <v>#REF!</v>
      </c>
      <c r="AD51" s="36" t="e">
        <f>IF(AND('Mapa riesgos'!#REF!="Muy Baja",'Mapa riesgos'!#REF!="Mayor"),CONCATENATE("R6C",'Mapa riesgos'!#REF!),"")</f>
        <v>#REF!</v>
      </c>
      <c r="AE51" s="36" t="e">
        <f>IF(AND('Mapa riesgos'!#REF!="Muy Baja",'Mapa riesgos'!#REF!="Mayor"),CONCATENATE("R6C",'Mapa riesgos'!#REF!),"")</f>
        <v>#REF!</v>
      </c>
      <c r="AF51" s="36" t="e">
        <f>IF(AND('Mapa riesgos'!#REF!="Muy Baja",'Mapa riesgos'!#REF!="Mayor"),CONCATENATE("R6C",'Mapa riesgos'!#REF!),"")</f>
        <v>#REF!</v>
      </c>
      <c r="AG51" s="37" t="e">
        <f>IF(AND('Mapa riesgos'!#REF!="Muy Baja",'Mapa riesgos'!#REF!="Mayor"),CONCATENATE("R6C",'Mapa riesgos'!#REF!),"")</f>
        <v>#REF!</v>
      </c>
      <c r="AH51" s="38" t="e">
        <f>IF(AND('Mapa riesgos'!#REF!="Muy Baja",'Mapa riesgos'!#REF!="Catastrófico"),CONCATENATE("R6C",'Mapa riesgos'!#REF!),"")</f>
        <v>#REF!</v>
      </c>
      <c r="AI51" s="39" t="e">
        <f>IF(AND('Mapa riesgos'!#REF!="Muy Baja",'Mapa riesgos'!#REF!="Catastrófico"),CONCATENATE("R6C",'Mapa riesgos'!#REF!),"")</f>
        <v>#REF!</v>
      </c>
      <c r="AJ51" s="39" t="e">
        <f>IF(AND('Mapa riesgos'!#REF!="Muy Baja",'Mapa riesgos'!#REF!="Catastrófico"),CONCATENATE("R6C",'Mapa riesgos'!#REF!),"")</f>
        <v>#REF!</v>
      </c>
      <c r="AK51" s="39" t="e">
        <f>IF(AND('Mapa riesgos'!#REF!="Muy Baja",'Mapa riesgos'!#REF!="Catastrófico"),CONCATENATE("R6C",'Mapa riesgos'!#REF!),"")</f>
        <v>#REF!</v>
      </c>
      <c r="AL51" s="39" t="e">
        <f>IF(AND('Mapa riesgos'!#REF!="Muy Baja",'Mapa riesgos'!#REF!="Catastrófico"),CONCATENATE("R6C",'Mapa riesgos'!#REF!),"")</f>
        <v>#REF!</v>
      </c>
      <c r="AM51" s="40" t="e">
        <f>IF(AND('Mapa riesgos'!#REF!="Muy Baja",'Mapa riesgos'!#REF!="Catastrófico"),CONCATENATE("R6C",'Mapa riesgos'!#REF!),"")</f>
        <v>#REF!</v>
      </c>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ht="15" customHeight="1" x14ac:dyDescent="0.25">
      <c r="A52" s="66"/>
      <c r="B52" s="406"/>
      <c r="C52" s="406"/>
      <c r="D52" s="407"/>
      <c r="E52" s="505"/>
      <c r="F52" s="504"/>
      <c r="G52" s="504"/>
      <c r="H52" s="504"/>
      <c r="I52" s="520"/>
      <c r="J52" s="59" t="e">
        <f>IF(AND('Mapa riesgos'!#REF!="Muy Baja",'Mapa riesgos'!#REF!="Leve"),CONCATENATE("R7C",'Mapa riesgos'!#REF!),"")</f>
        <v>#REF!</v>
      </c>
      <c r="K52" s="60" t="e">
        <f>IF(AND('Mapa riesgos'!#REF!="Muy Baja",'Mapa riesgos'!#REF!="Leve"),CONCATENATE("R7C",'Mapa riesgos'!#REF!),"")</f>
        <v>#REF!</v>
      </c>
      <c r="L52" s="60" t="e">
        <f>IF(AND('Mapa riesgos'!#REF!="Muy Baja",'Mapa riesgos'!#REF!="Leve"),CONCATENATE("R7C",'Mapa riesgos'!#REF!),"")</f>
        <v>#REF!</v>
      </c>
      <c r="M52" s="60" t="e">
        <f>IF(AND('Mapa riesgos'!#REF!="Muy Baja",'Mapa riesgos'!#REF!="Leve"),CONCATENATE("R7C",'Mapa riesgos'!#REF!),"")</f>
        <v>#REF!</v>
      </c>
      <c r="N52" s="60" t="e">
        <f>IF(AND('Mapa riesgos'!#REF!="Muy Baja",'Mapa riesgos'!#REF!="Leve"),CONCATENATE("R7C",'Mapa riesgos'!#REF!),"")</f>
        <v>#REF!</v>
      </c>
      <c r="O52" s="61" t="e">
        <f>IF(AND('Mapa riesgos'!#REF!="Muy Baja",'Mapa riesgos'!#REF!="Leve"),CONCATENATE("R7C",'Mapa riesgos'!#REF!),"")</f>
        <v>#REF!</v>
      </c>
      <c r="P52" s="59" t="e">
        <f>IF(AND('Mapa riesgos'!#REF!="Muy Baja",'Mapa riesgos'!#REF!="Menor"),CONCATENATE("R7C",'Mapa riesgos'!#REF!),"")</f>
        <v>#REF!</v>
      </c>
      <c r="Q52" s="60" t="e">
        <f>IF(AND('Mapa riesgos'!#REF!="Muy Baja",'Mapa riesgos'!#REF!="Menor"),CONCATENATE("R7C",'Mapa riesgos'!#REF!),"")</f>
        <v>#REF!</v>
      </c>
      <c r="R52" s="60" t="e">
        <f>IF(AND('Mapa riesgos'!#REF!="Muy Baja",'Mapa riesgos'!#REF!="Menor"),CONCATENATE("R7C",'Mapa riesgos'!#REF!),"")</f>
        <v>#REF!</v>
      </c>
      <c r="S52" s="60" t="e">
        <f>IF(AND('Mapa riesgos'!#REF!="Muy Baja",'Mapa riesgos'!#REF!="Menor"),CONCATENATE("R7C",'Mapa riesgos'!#REF!),"")</f>
        <v>#REF!</v>
      </c>
      <c r="T52" s="60" t="e">
        <f>IF(AND('Mapa riesgos'!#REF!="Muy Baja",'Mapa riesgos'!#REF!="Menor"),CONCATENATE("R7C",'Mapa riesgos'!#REF!),"")</f>
        <v>#REF!</v>
      </c>
      <c r="U52" s="61" t="e">
        <f>IF(AND('Mapa riesgos'!#REF!="Muy Baja",'Mapa riesgos'!#REF!="Menor"),CONCATENATE("R7C",'Mapa riesgos'!#REF!),"")</f>
        <v>#REF!</v>
      </c>
      <c r="V52" s="50" t="e">
        <f>IF(AND('Mapa riesgos'!#REF!="Muy Baja",'Mapa riesgos'!#REF!="Moderado"),CONCATENATE("R7C",'Mapa riesgos'!#REF!),"")</f>
        <v>#REF!</v>
      </c>
      <c r="W52" s="51" t="e">
        <f>IF(AND('Mapa riesgos'!#REF!="Muy Baja",'Mapa riesgos'!#REF!="Moderado"),CONCATENATE("R7C",'Mapa riesgos'!#REF!),"")</f>
        <v>#REF!</v>
      </c>
      <c r="X52" s="51" t="e">
        <f>IF(AND('Mapa riesgos'!#REF!="Muy Baja",'Mapa riesgos'!#REF!="Moderado"),CONCATENATE("R7C",'Mapa riesgos'!#REF!),"")</f>
        <v>#REF!</v>
      </c>
      <c r="Y52" s="51" t="e">
        <f>IF(AND('Mapa riesgos'!#REF!="Muy Baja",'Mapa riesgos'!#REF!="Moderado"),CONCATENATE("R7C",'Mapa riesgos'!#REF!),"")</f>
        <v>#REF!</v>
      </c>
      <c r="Z52" s="51" t="e">
        <f>IF(AND('Mapa riesgos'!#REF!="Muy Baja",'Mapa riesgos'!#REF!="Moderado"),CONCATENATE("R7C",'Mapa riesgos'!#REF!),"")</f>
        <v>#REF!</v>
      </c>
      <c r="AA52" s="52" t="e">
        <f>IF(AND('Mapa riesgos'!#REF!="Muy Baja",'Mapa riesgos'!#REF!="Moderado"),CONCATENATE("R7C",'Mapa riesgos'!#REF!),"")</f>
        <v>#REF!</v>
      </c>
      <c r="AB52" s="35" t="e">
        <f>IF(AND('Mapa riesgos'!#REF!="Muy Baja",'Mapa riesgos'!#REF!="Mayor"),CONCATENATE("R7C",'Mapa riesgos'!#REF!),"")</f>
        <v>#REF!</v>
      </c>
      <c r="AC52" s="36" t="e">
        <f>IF(AND('Mapa riesgos'!#REF!="Muy Baja",'Mapa riesgos'!#REF!="Mayor"),CONCATENATE("R7C",'Mapa riesgos'!#REF!),"")</f>
        <v>#REF!</v>
      </c>
      <c r="AD52" s="36" t="e">
        <f>IF(AND('Mapa riesgos'!#REF!="Muy Baja",'Mapa riesgos'!#REF!="Mayor"),CONCATENATE("R7C",'Mapa riesgos'!#REF!),"")</f>
        <v>#REF!</v>
      </c>
      <c r="AE52" s="36" t="e">
        <f>IF(AND('Mapa riesgos'!#REF!="Muy Baja",'Mapa riesgos'!#REF!="Mayor"),CONCATENATE("R7C",'Mapa riesgos'!#REF!),"")</f>
        <v>#REF!</v>
      </c>
      <c r="AF52" s="36" t="e">
        <f>IF(AND('Mapa riesgos'!#REF!="Muy Baja",'Mapa riesgos'!#REF!="Mayor"),CONCATENATE("R7C",'Mapa riesgos'!#REF!),"")</f>
        <v>#REF!</v>
      </c>
      <c r="AG52" s="37" t="e">
        <f>IF(AND('Mapa riesgos'!#REF!="Muy Baja",'Mapa riesgos'!#REF!="Mayor"),CONCATENATE("R7C",'Mapa riesgos'!#REF!),"")</f>
        <v>#REF!</v>
      </c>
      <c r="AH52" s="38" t="e">
        <f>IF(AND('Mapa riesgos'!#REF!="Muy Baja",'Mapa riesgos'!#REF!="Catastrófico"),CONCATENATE("R7C",'Mapa riesgos'!#REF!),"")</f>
        <v>#REF!</v>
      </c>
      <c r="AI52" s="39" t="e">
        <f>IF(AND('Mapa riesgos'!#REF!="Muy Baja",'Mapa riesgos'!#REF!="Catastrófico"),CONCATENATE("R7C",'Mapa riesgos'!#REF!),"")</f>
        <v>#REF!</v>
      </c>
      <c r="AJ52" s="39" t="e">
        <f>IF(AND('Mapa riesgos'!#REF!="Muy Baja",'Mapa riesgos'!#REF!="Catastrófico"),CONCATENATE("R7C",'Mapa riesgos'!#REF!),"")</f>
        <v>#REF!</v>
      </c>
      <c r="AK52" s="39" t="e">
        <f>IF(AND('Mapa riesgos'!#REF!="Muy Baja",'Mapa riesgos'!#REF!="Catastrófico"),CONCATENATE("R7C",'Mapa riesgos'!#REF!),"")</f>
        <v>#REF!</v>
      </c>
      <c r="AL52" s="39" t="e">
        <f>IF(AND('Mapa riesgos'!#REF!="Muy Baja",'Mapa riesgos'!#REF!="Catastrófico"),CONCATENATE("R7C",'Mapa riesgos'!#REF!),"")</f>
        <v>#REF!</v>
      </c>
      <c r="AM52" s="40" t="e">
        <f>IF(AND('Mapa riesgos'!#REF!="Muy Baja",'Mapa riesgos'!#REF!="Catastrófico"),CONCATENATE("R7C",'Mapa riesgos'!#REF!),"")</f>
        <v>#REF!</v>
      </c>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406"/>
      <c r="C53" s="406"/>
      <c r="D53" s="407"/>
      <c r="E53" s="505"/>
      <c r="F53" s="504"/>
      <c r="G53" s="504"/>
      <c r="H53" s="504"/>
      <c r="I53" s="520"/>
      <c r="J53" s="59" t="e">
        <f>IF(AND('Mapa riesgos'!#REF!="Muy Baja",'Mapa riesgos'!#REF!="Leve"),CONCATENATE("R8C",'Mapa riesgos'!#REF!),"")</f>
        <v>#REF!</v>
      </c>
      <c r="K53" s="60" t="e">
        <f>IF(AND('Mapa riesgos'!#REF!="Muy Baja",'Mapa riesgos'!#REF!="Leve"),CONCATENATE("R8C",'Mapa riesgos'!#REF!),"")</f>
        <v>#REF!</v>
      </c>
      <c r="L53" s="60" t="e">
        <f>IF(AND('Mapa riesgos'!#REF!="Muy Baja",'Mapa riesgos'!#REF!="Leve"),CONCATENATE("R8C",'Mapa riesgos'!#REF!),"")</f>
        <v>#REF!</v>
      </c>
      <c r="M53" s="60" t="e">
        <f>IF(AND('Mapa riesgos'!#REF!="Muy Baja",'Mapa riesgos'!#REF!="Leve"),CONCATENATE("R8C",'Mapa riesgos'!#REF!),"")</f>
        <v>#REF!</v>
      </c>
      <c r="N53" s="60" t="e">
        <f>IF(AND('Mapa riesgos'!#REF!="Muy Baja",'Mapa riesgos'!#REF!="Leve"),CONCATENATE("R8C",'Mapa riesgos'!#REF!),"")</f>
        <v>#REF!</v>
      </c>
      <c r="O53" s="61" t="e">
        <f>IF(AND('Mapa riesgos'!#REF!="Muy Baja",'Mapa riesgos'!#REF!="Leve"),CONCATENATE("R8C",'Mapa riesgos'!#REF!),"")</f>
        <v>#REF!</v>
      </c>
      <c r="P53" s="59" t="e">
        <f>IF(AND('Mapa riesgos'!#REF!="Muy Baja",'Mapa riesgos'!#REF!="Menor"),CONCATENATE("R8C",'Mapa riesgos'!#REF!),"")</f>
        <v>#REF!</v>
      </c>
      <c r="Q53" s="60" t="e">
        <f>IF(AND('Mapa riesgos'!#REF!="Muy Baja",'Mapa riesgos'!#REF!="Menor"),CONCATENATE("R8C",'Mapa riesgos'!#REF!),"")</f>
        <v>#REF!</v>
      </c>
      <c r="R53" s="60" t="e">
        <f>IF(AND('Mapa riesgos'!#REF!="Muy Baja",'Mapa riesgos'!#REF!="Menor"),CONCATENATE("R8C",'Mapa riesgos'!#REF!),"")</f>
        <v>#REF!</v>
      </c>
      <c r="S53" s="60" t="e">
        <f>IF(AND('Mapa riesgos'!#REF!="Muy Baja",'Mapa riesgos'!#REF!="Menor"),CONCATENATE("R8C",'Mapa riesgos'!#REF!),"")</f>
        <v>#REF!</v>
      </c>
      <c r="T53" s="60" t="e">
        <f>IF(AND('Mapa riesgos'!#REF!="Muy Baja",'Mapa riesgos'!#REF!="Menor"),CONCATENATE("R8C",'Mapa riesgos'!#REF!),"")</f>
        <v>#REF!</v>
      </c>
      <c r="U53" s="61" t="e">
        <f>IF(AND('Mapa riesgos'!#REF!="Muy Baja",'Mapa riesgos'!#REF!="Menor"),CONCATENATE("R8C",'Mapa riesgos'!#REF!),"")</f>
        <v>#REF!</v>
      </c>
      <c r="V53" s="50" t="e">
        <f>IF(AND('Mapa riesgos'!#REF!="Muy Baja",'Mapa riesgos'!#REF!="Moderado"),CONCATENATE("R8C",'Mapa riesgos'!#REF!),"")</f>
        <v>#REF!</v>
      </c>
      <c r="W53" s="51" t="e">
        <f>IF(AND('Mapa riesgos'!#REF!="Muy Baja",'Mapa riesgos'!#REF!="Moderado"),CONCATENATE("R8C",'Mapa riesgos'!#REF!),"")</f>
        <v>#REF!</v>
      </c>
      <c r="X53" s="51" t="e">
        <f>IF(AND('Mapa riesgos'!#REF!="Muy Baja",'Mapa riesgos'!#REF!="Moderado"),CONCATENATE("R8C",'Mapa riesgos'!#REF!),"")</f>
        <v>#REF!</v>
      </c>
      <c r="Y53" s="51" t="e">
        <f>IF(AND('Mapa riesgos'!#REF!="Muy Baja",'Mapa riesgos'!#REF!="Moderado"),CONCATENATE("R8C",'Mapa riesgos'!#REF!),"")</f>
        <v>#REF!</v>
      </c>
      <c r="Z53" s="51" t="e">
        <f>IF(AND('Mapa riesgos'!#REF!="Muy Baja",'Mapa riesgos'!#REF!="Moderado"),CONCATENATE("R8C",'Mapa riesgos'!#REF!),"")</f>
        <v>#REF!</v>
      </c>
      <c r="AA53" s="52" t="e">
        <f>IF(AND('Mapa riesgos'!#REF!="Muy Baja",'Mapa riesgos'!#REF!="Moderado"),CONCATENATE("R8C",'Mapa riesgos'!#REF!),"")</f>
        <v>#REF!</v>
      </c>
      <c r="AB53" s="35" t="e">
        <f>IF(AND('Mapa riesgos'!#REF!="Muy Baja",'Mapa riesgos'!#REF!="Mayor"),CONCATENATE("R8C",'Mapa riesgos'!#REF!),"")</f>
        <v>#REF!</v>
      </c>
      <c r="AC53" s="36" t="e">
        <f>IF(AND('Mapa riesgos'!#REF!="Muy Baja",'Mapa riesgos'!#REF!="Mayor"),CONCATENATE("R8C",'Mapa riesgos'!#REF!),"")</f>
        <v>#REF!</v>
      </c>
      <c r="AD53" s="36" t="e">
        <f>IF(AND('Mapa riesgos'!#REF!="Muy Baja",'Mapa riesgos'!#REF!="Mayor"),CONCATENATE("R8C",'Mapa riesgos'!#REF!),"")</f>
        <v>#REF!</v>
      </c>
      <c r="AE53" s="36" t="e">
        <f>IF(AND('Mapa riesgos'!#REF!="Muy Baja",'Mapa riesgos'!#REF!="Mayor"),CONCATENATE("R8C",'Mapa riesgos'!#REF!),"")</f>
        <v>#REF!</v>
      </c>
      <c r="AF53" s="36" t="e">
        <f>IF(AND('Mapa riesgos'!#REF!="Muy Baja",'Mapa riesgos'!#REF!="Mayor"),CONCATENATE("R8C",'Mapa riesgos'!#REF!),"")</f>
        <v>#REF!</v>
      </c>
      <c r="AG53" s="37" t="e">
        <f>IF(AND('Mapa riesgos'!#REF!="Muy Baja",'Mapa riesgos'!#REF!="Mayor"),CONCATENATE("R8C",'Mapa riesgos'!#REF!),"")</f>
        <v>#REF!</v>
      </c>
      <c r="AH53" s="38" t="e">
        <f>IF(AND('Mapa riesgos'!#REF!="Muy Baja",'Mapa riesgos'!#REF!="Catastrófico"),CONCATENATE("R8C",'Mapa riesgos'!#REF!),"")</f>
        <v>#REF!</v>
      </c>
      <c r="AI53" s="39" t="e">
        <f>IF(AND('Mapa riesgos'!#REF!="Muy Baja",'Mapa riesgos'!#REF!="Catastrófico"),CONCATENATE("R8C",'Mapa riesgos'!#REF!),"")</f>
        <v>#REF!</v>
      </c>
      <c r="AJ53" s="39" t="e">
        <f>IF(AND('Mapa riesgos'!#REF!="Muy Baja",'Mapa riesgos'!#REF!="Catastrófico"),CONCATENATE("R8C",'Mapa riesgos'!#REF!),"")</f>
        <v>#REF!</v>
      </c>
      <c r="AK53" s="39" t="e">
        <f>IF(AND('Mapa riesgos'!#REF!="Muy Baja",'Mapa riesgos'!#REF!="Catastrófico"),CONCATENATE("R8C",'Mapa riesgos'!#REF!),"")</f>
        <v>#REF!</v>
      </c>
      <c r="AL53" s="39" t="e">
        <f>IF(AND('Mapa riesgos'!#REF!="Muy Baja",'Mapa riesgos'!#REF!="Catastrófico"),CONCATENATE("R8C",'Mapa riesgos'!#REF!),"")</f>
        <v>#REF!</v>
      </c>
      <c r="AM53" s="40" t="e">
        <f>IF(AND('Mapa riesgos'!#REF!="Muy Baja",'Mapa riesgos'!#REF!="Catastrófico"),CONCATENATE("R8C",'Mapa riesgos'!#REF!),"")</f>
        <v>#REF!</v>
      </c>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406"/>
      <c r="C54" s="406"/>
      <c r="D54" s="407"/>
      <c r="E54" s="505"/>
      <c r="F54" s="504"/>
      <c r="G54" s="504"/>
      <c r="H54" s="504"/>
      <c r="I54" s="520"/>
      <c r="J54" s="59" t="e">
        <f>IF(AND('Mapa riesgos'!#REF!="Muy Baja",'Mapa riesgos'!#REF!="Leve"),CONCATENATE("R9C",'Mapa riesgos'!#REF!),"")</f>
        <v>#REF!</v>
      </c>
      <c r="K54" s="60" t="e">
        <f>IF(AND('Mapa riesgos'!#REF!="Muy Baja",'Mapa riesgos'!#REF!="Leve"),CONCATENATE("R9C",'Mapa riesgos'!#REF!),"")</f>
        <v>#REF!</v>
      </c>
      <c r="L54" s="60" t="e">
        <f>IF(AND('Mapa riesgos'!#REF!="Muy Baja",'Mapa riesgos'!#REF!="Leve"),CONCATENATE("R9C",'Mapa riesgos'!#REF!),"")</f>
        <v>#REF!</v>
      </c>
      <c r="M54" s="60" t="e">
        <f>IF(AND('Mapa riesgos'!#REF!="Muy Baja",'Mapa riesgos'!#REF!="Leve"),CONCATENATE("R9C",'Mapa riesgos'!#REF!),"")</f>
        <v>#REF!</v>
      </c>
      <c r="N54" s="60" t="e">
        <f>IF(AND('Mapa riesgos'!#REF!="Muy Baja",'Mapa riesgos'!#REF!="Leve"),CONCATENATE("R9C",'Mapa riesgos'!#REF!),"")</f>
        <v>#REF!</v>
      </c>
      <c r="O54" s="61" t="e">
        <f>IF(AND('Mapa riesgos'!#REF!="Muy Baja",'Mapa riesgos'!#REF!="Leve"),CONCATENATE("R9C",'Mapa riesgos'!#REF!),"")</f>
        <v>#REF!</v>
      </c>
      <c r="P54" s="59" t="e">
        <f>IF(AND('Mapa riesgos'!#REF!="Muy Baja",'Mapa riesgos'!#REF!="Menor"),CONCATENATE("R9C",'Mapa riesgos'!#REF!),"")</f>
        <v>#REF!</v>
      </c>
      <c r="Q54" s="60" t="e">
        <f>IF(AND('Mapa riesgos'!#REF!="Muy Baja",'Mapa riesgos'!#REF!="Menor"),CONCATENATE("R9C",'Mapa riesgos'!#REF!),"")</f>
        <v>#REF!</v>
      </c>
      <c r="R54" s="60" t="e">
        <f>IF(AND('Mapa riesgos'!#REF!="Muy Baja",'Mapa riesgos'!#REF!="Menor"),CONCATENATE("R9C",'Mapa riesgos'!#REF!),"")</f>
        <v>#REF!</v>
      </c>
      <c r="S54" s="60" t="e">
        <f>IF(AND('Mapa riesgos'!#REF!="Muy Baja",'Mapa riesgos'!#REF!="Menor"),CONCATENATE("R9C",'Mapa riesgos'!#REF!),"")</f>
        <v>#REF!</v>
      </c>
      <c r="T54" s="60" t="e">
        <f>IF(AND('Mapa riesgos'!#REF!="Muy Baja",'Mapa riesgos'!#REF!="Menor"),CONCATENATE("R9C",'Mapa riesgos'!#REF!),"")</f>
        <v>#REF!</v>
      </c>
      <c r="U54" s="61" t="e">
        <f>IF(AND('Mapa riesgos'!#REF!="Muy Baja",'Mapa riesgos'!#REF!="Menor"),CONCATENATE("R9C",'Mapa riesgos'!#REF!),"")</f>
        <v>#REF!</v>
      </c>
      <c r="V54" s="50" t="e">
        <f>IF(AND('Mapa riesgos'!#REF!="Muy Baja",'Mapa riesgos'!#REF!="Moderado"),CONCATENATE("R9C",'Mapa riesgos'!#REF!),"")</f>
        <v>#REF!</v>
      </c>
      <c r="W54" s="51" t="e">
        <f>IF(AND('Mapa riesgos'!#REF!="Muy Baja",'Mapa riesgos'!#REF!="Moderado"),CONCATENATE("R9C",'Mapa riesgos'!#REF!),"")</f>
        <v>#REF!</v>
      </c>
      <c r="X54" s="51" t="e">
        <f>IF(AND('Mapa riesgos'!#REF!="Muy Baja",'Mapa riesgos'!#REF!="Moderado"),CONCATENATE("R9C",'Mapa riesgos'!#REF!),"")</f>
        <v>#REF!</v>
      </c>
      <c r="Y54" s="51" t="e">
        <f>IF(AND('Mapa riesgos'!#REF!="Muy Baja",'Mapa riesgos'!#REF!="Moderado"),CONCATENATE("R9C",'Mapa riesgos'!#REF!),"")</f>
        <v>#REF!</v>
      </c>
      <c r="Z54" s="51" t="e">
        <f>IF(AND('Mapa riesgos'!#REF!="Muy Baja",'Mapa riesgos'!#REF!="Moderado"),CONCATENATE("R9C",'Mapa riesgos'!#REF!),"")</f>
        <v>#REF!</v>
      </c>
      <c r="AA54" s="52" t="e">
        <f>IF(AND('Mapa riesgos'!#REF!="Muy Baja",'Mapa riesgos'!#REF!="Moderado"),CONCATENATE("R9C",'Mapa riesgos'!#REF!),"")</f>
        <v>#REF!</v>
      </c>
      <c r="AB54" s="35" t="e">
        <f>IF(AND('Mapa riesgos'!#REF!="Muy Baja",'Mapa riesgos'!#REF!="Mayor"),CONCATENATE("R9C",'Mapa riesgos'!#REF!),"")</f>
        <v>#REF!</v>
      </c>
      <c r="AC54" s="36" t="e">
        <f>IF(AND('Mapa riesgos'!#REF!="Muy Baja",'Mapa riesgos'!#REF!="Mayor"),CONCATENATE("R9C",'Mapa riesgos'!#REF!),"")</f>
        <v>#REF!</v>
      </c>
      <c r="AD54" s="36" t="e">
        <f>IF(AND('Mapa riesgos'!#REF!="Muy Baja",'Mapa riesgos'!#REF!="Mayor"),CONCATENATE("R9C",'Mapa riesgos'!#REF!),"")</f>
        <v>#REF!</v>
      </c>
      <c r="AE54" s="36" t="e">
        <f>IF(AND('Mapa riesgos'!#REF!="Muy Baja",'Mapa riesgos'!#REF!="Mayor"),CONCATENATE("R9C",'Mapa riesgos'!#REF!),"")</f>
        <v>#REF!</v>
      </c>
      <c r="AF54" s="36" t="e">
        <f>IF(AND('Mapa riesgos'!#REF!="Muy Baja",'Mapa riesgos'!#REF!="Mayor"),CONCATENATE("R9C",'Mapa riesgos'!#REF!),"")</f>
        <v>#REF!</v>
      </c>
      <c r="AG54" s="37" t="e">
        <f>IF(AND('Mapa riesgos'!#REF!="Muy Baja",'Mapa riesgos'!#REF!="Mayor"),CONCATENATE("R9C",'Mapa riesgos'!#REF!),"")</f>
        <v>#REF!</v>
      </c>
      <c r="AH54" s="38" t="e">
        <f>IF(AND('Mapa riesgos'!#REF!="Muy Baja",'Mapa riesgos'!#REF!="Catastrófico"),CONCATENATE("R9C",'Mapa riesgos'!#REF!),"")</f>
        <v>#REF!</v>
      </c>
      <c r="AI54" s="39" t="e">
        <f>IF(AND('Mapa riesgos'!#REF!="Muy Baja",'Mapa riesgos'!#REF!="Catastrófico"),CONCATENATE("R9C",'Mapa riesgos'!#REF!),"")</f>
        <v>#REF!</v>
      </c>
      <c r="AJ54" s="39" t="e">
        <f>IF(AND('Mapa riesgos'!#REF!="Muy Baja",'Mapa riesgos'!#REF!="Catastrófico"),CONCATENATE("R9C",'Mapa riesgos'!#REF!),"")</f>
        <v>#REF!</v>
      </c>
      <c r="AK54" s="39" t="e">
        <f>IF(AND('Mapa riesgos'!#REF!="Muy Baja",'Mapa riesgos'!#REF!="Catastrófico"),CONCATENATE("R9C",'Mapa riesgos'!#REF!),"")</f>
        <v>#REF!</v>
      </c>
      <c r="AL54" s="39" t="e">
        <f>IF(AND('Mapa riesgos'!#REF!="Muy Baja",'Mapa riesgos'!#REF!="Catastrófico"),CONCATENATE("R9C",'Mapa riesgos'!#REF!),"")</f>
        <v>#REF!</v>
      </c>
      <c r="AM54" s="40" t="e">
        <f>IF(AND('Mapa riesgos'!#REF!="Muy Baja",'Mapa riesgos'!#REF!="Catastrófico"),CONCATENATE("R9C",'Mapa riesgos'!#REF!),"")</f>
        <v>#REF!</v>
      </c>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ht="15.75" customHeight="1" thickBot="1" x14ac:dyDescent="0.3">
      <c r="A55" s="66"/>
      <c r="B55" s="406"/>
      <c r="C55" s="406"/>
      <c r="D55" s="407"/>
      <c r="E55" s="506"/>
      <c r="F55" s="507"/>
      <c r="G55" s="507"/>
      <c r="H55" s="507"/>
      <c r="I55" s="521"/>
      <c r="J55" s="62" t="e">
        <f>IF(AND('Mapa riesgos'!#REF!="Muy Baja",'Mapa riesgos'!#REF!="Leve"),CONCATENATE("R10C",'Mapa riesgos'!#REF!),"")</f>
        <v>#REF!</v>
      </c>
      <c r="K55" s="63" t="e">
        <f>IF(AND('Mapa riesgos'!#REF!="Muy Baja",'Mapa riesgos'!#REF!="Leve"),CONCATENATE("R10C",'Mapa riesgos'!#REF!),"")</f>
        <v>#REF!</v>
      </c>
      <c r="L55" s="63" t="e">
        <f>IF(AND('Mapa riesgos'!#REF!="Muy Baja",'Mapa riesgos'!#REF!="Leve"),CONCATENATE("R10C",'Mapa riesgos'!#REF!),"")</f>
        <v>#REF!</v>
      </c>
      <c r="M55" s="63" t="e">
        <f>IF(AND('Mapa riesgos'!#REF!="Muy Baja",'Mapa riesgos'!#REF!="Leve"),CONCATENATE("R10C",'Mapa riesgos'!#REF!),"")</f>
        <v>#REF!</v>
      </c>
      <c r="N55" s="63" t="e">
        <f>IF(AND('Mapa riesgos'!#REF!="Muy Baja",'Mapa riesgos'!#REF!="Leve"),CONCATENATE("R10C",'Mapa riesgos'!#REF!),"")</f>
        <v>#REF!</v>
      </c>
      <c r="O55" s="64" t="e">
        <f>IF(AND('Mapa riesgos'!#REF!="Muy Baja",'Mapa riesgos'!#REF!="Leve"),CONCATENATE("R10C",'Mapa riesgos'!#REF!),"")</f>
        <v>#REF!</v>
      </c>
      <c r="P55" s="62" t="e">
        <f>IF(AND('Mapa riesgos'!#REF!="Muy Baja",'Mapa riesgos'!#REF!="Menor"),CONCATENATE("R10C",'Mapa riesgos'!#REF!),"")</f>
        <v>#REF!</v>
      </c>
      <c r="Q55" s="63" t="e">
        <f>IF(AND('Mapa riesgos'!#REF!="Muy Baja",'Mapa riesgos'!#REF!="Menor"),CONCATENATE("R10C",'Mapa riesgos'!#REF!),"")</f>
        <v>#REF!</v>
      </c>
      <c r="R55" s="63" t="e">
        <f>IF(AND('Mapa riesgos'!#REF!="Muy Baja",'Mapa riesgos'!#REF!="Menor"),CONCATENATE("R10C",'Mapa riesgos'!#REF!),"")</f>
        <v>#REF!</v>
      </c>
      <c r="S55" s="63" t="e">
        <f>IF(AND('Mapa riesgos'!#REF!="Muy Baja",'Mapa riesgos'!#REF!="Menor"),CONCATENATE("R10C",'Mapa riesgos'!#REF!),"")</f>
        <v>#REF!</v>
      </c>
      <c r="T55" s="63" t="e">
        <f>IF(AND('Mapa riesgos'!#REF!="Muy Baja",'Mapa riesgos'!#REF!="Menor"),CONCATENATE("R10C",'Mapa riesgos'!#REF!),"")</f>
        <v>#REF!</v>
      </c>
      <c r="U55" s="64" t="e">
        <f>IF(AND('Mapa riesgos'!#REF!="Muy Baja",'Mapa riesgos'!#REF!="Menor"),CONCATENATE("R10C",'Mapa riesgos'!#REF!),"")</f>
        <v>#REF!</v>
      </c>
      <c r="V55" s="53" t="e">
        <f>IF(AND('Mapa riesgos'!#REF!="Muy Baja",'Mapa riesgos'!#REF!="Moderado"),CONCATENATE("R10C",'Mapa riesgos'!#REF!),"")</f>
        <v>#REF!</v>
      </c>
      <c r="W55" s="54" t="e">
        <f>IF(AND('Mapa riesgos'!#REF!="Muy Baja",'Mapa riesgos'!#REF!="Moderado"),CONCATENATE("R10C",'Mapa riesgos'!#REF!),"")</f>
        <v>#REF!</v>
      </c>
      <c r="X55" s="54" t="e">
        <f>IF(AND('Mapa riesgos'!#REF!="Muy Baja",'Mapa riesgos'!#REF!="Moderado"),CONCATENATE("R10C",'Mapa riesgos'!#REF!),"")</f>
        <v>#REF!</v>
      </c>
      <c r="Y55" s="54" t="e">
        <f>IF(AND('Mapa riesgos'!#REF!="Muy Baja",'Mapa riesgos'!#REF!="Moderado"),CONCATENATE("R10C",'Mapa riesgos'!#REF!),"")</f>
        <v>#REF!</v>
      </c>
      <c r="Z55" s="54" t="e">
        <f>IF(AND('Mapa riesgos'!#REF!="Muy Baja",'Mapa riesgos'!#REF!="Moderado"),CONCATENATE("R10C",'Mapa riesgos'!#REF!),"")</f>
        <v>#REF!</v>
      </c>
      <c r="AA55" s="55" t="e">
        <f>IF(AND('Mapa riesgos'!#REF!="Muy Baja",'Mapa riesgos'!#REF!="Moderado"),CONCATENATE("R10C",'Mapa riesgos'!#REF!),"")</f>
        <v>#REF!</v>
      </c>
      <c r="AB55" s="41" t="e">
        <f>IF(AND('Mapa riesgos'!#REF!="Muy Baja",'Mapa riesgos'!#REF!="Mayor"),CONCATENATE("R10C",'Mapa riesgos'!#REF!),"")</f>
        <v>#REF!</v>
      </c>
      <c r="AC55" s="42" t="e">
        <f>IF(AND('Mapa riesgos'!#REF!="Muy Baja",'Mapa riesgos'!#REF!="Mayor"),CONCATENATE("R10C",'Mapa riesgos'!#REF!),"")</f>
        <v>#REF!</v>
      </c>
      <c r="AD55" s="42" t="e">
        <f>IF(AND('Mapa riesgos'!#REF!="Muy Baja",'Mapa riesgos'!#REF!="Mayor"),CONCATENATE("R10C",'Mapa riesgos'!#REF!),"")</f>
        <v>#REF!</v>
      </c>
      <c r="AE55" s="42" t="e">
        <f>IF(AND('Mapa riesgos'!#REF!="Muy Baja",'Mapa riesgos'!#REF!="Mayor"),CONCATENATE("R10C",'Mapa riesgos'!#REF!),"")</f>
        <v>#REF!</v>
      </c>
      <c r="AF55" s="42" t="e">
        <f>IF(AND('Mapa riesgos'!#REF!="Muy Baja",'Mapa riesgos'!#REF!="Mayor"),CONCATENATE("R10C",'Mapa riesgos'!#REF!),"")</f>
        <v>#REF!</v>
      </c>
      <c r="AG55" s="43" t="e">
        <f>IF(AND('Mapa riesgos'!#REF!="Muy Baja",'Mapa riesgos'!#REF!="Mayor"),CONCATENATE("R10C",'Mapa riesgos'!#REF!),"")</f>
        <v>#REF!</v>
      </c>
      <c r="AH55" s="44" t="e">
        <f>IF(AND('Mapa riesgos'!#REF!="Muy Baja",'Mapa riesgos'!#REF!="Catastrófico"),CONCATENATE("R10C",'Mapa riesgos'!#REF!),"")</f>
        <v>#REF!</v>
      </c>
      <c r="AI55" s="45" t="e">
        <f>IF(AND('Mapa riesgos'!#REF!="Muy Baja",'Mapa riesgos'!#REF!="Catastrófico"),CONCATENATE("R10C",'Mapa riesgos'!#REF!),"")</f>
        <v>#REF!</v>
      </c>
      <c r="AJ55" s="45" t="e">
        <f>IF(AND('Mapa riesgos'!#REF!="Muy Baja",'Mapa riesgos'!#REF!="Catastrófico"),CONCATENATE("R10C",'Mapa riesgos'!#REF!),"")</f>
        <v>#REF!</v>
      </c>
      <c r="AK55" s="45" t="e">
        <f>IF(AND('Mapa riesgos'!#REF!="Muy Baja",'Mapa riesgos'!#REF!="Catastrófico"),CONCATENATE("R10C",'Mapa riesgos'!#REF!),"")</f>
        <v>#REF!</v>
      </c>
      <c r="AL55" s="45" t="e">
        <f>IF(AND('Mapa riesgos'!#REF!="Muy Baja",'Mapa riesgos'!#REF!="Catastrófico"),CONCATENATE("R10C",'Mapa riesgos'!#REF!),"")</f>
        <v>#REF!</v>
      </c>
      <c r="AM55" s="46" t="e">
        <f>IF(AND('Mapa riesgos'!#REF!="Muy Baja",'Mapa riesgos'!#REF!="Catastrófico"),CONCATENATE("R10C",'Mapa riesgos'!#REF!),"")</f>
        <v>#REF!</v>
      </c>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501" t="s">
        <v>212</v>
      </c>
      <c r="K56" s="502"/>
      <c r="L56" s="502"/>
      <c r="M56" s="502"/>
      <c r="N56" s="502"/>
      <c r="O56" s="519"/>
      <c r="P56" s="501" t="s">
        <v>213</v>
      </c>
      <c r="Q56" s="502"/>
      <c r="R56" s="502"/>
      <c r="S56" s="502"/>
      <c r="T56" s="502"/>
      <c r="U56" s="519"/>
      <c r="V56" s="501" t="s">
        <v>214</v>
      </c>
      <c r="W56" s="502"/>
      <c r="X56" s="502"/>
      <c r="Y56" s="502"/>
      <c r="Z56" s="502"/>
      <c r="AA56" s="519"/>
      <c r="AB56" s="501" t="s">
        <v>215</v>
      </c>
      <c r="AC56" s="540"/>
      <c r="AD56" s="502"/>
      <c r="AE56" s="502"/>
      <c r="AF56" s="502"/>
      <c r="AG56" s="519"/>
      <c r="AH56" s="501" t="s">
        <v>216</v>
      </c>
      <c r="AI56" s="502"/>
      <c r="AJ56" s="502"/>
      <c r="AK56" s="502"/>
      <c r="AL56" s="502"/>
      <c r="AM56" s="519"/>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505"/>
      <c r="K57" s="504"/>
      <c r="L57" s="504"/>
      <c r="M57" s="504"/>
      <c r="N57" s="504"/>
      <c r="O57" s="520"/>
      <c r="P57" s="505"/>
      <c r="Q57" s="504"/>
      <c r="R57" s="504"/>
      <c r="S57" s="504"/>
      <c r="T57" s="504"/>
      <c r="U57" s="520"/>
      <c r="V57" s="505"/>
      <c r="W57" s="504"/>
      <c r="X57" s="504"/>
      <c r="Y57" s="504"/>
      <c r="Z57" s="504"/>
      <c r="AA57" s="520"/>
      <c r="AB57" s="505"/>
      <c r="AC57" s="504"/>
      <c r="AD57" s="504"/>
      <c r="AE57" s="504"/>
      <c r="AF57" s="504"/>
      <c r="AG57" s="520"/>
      <c r="AH57" s="505"/>
      <c r="AI57" s="504"/>
      <c r="AJ57" s="504"/>
      <c r="AK57" s="504"/>
      <c r="AL57" s="504"/>
      <c r="AM57" s="520"/>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505"/>
      <c r="K58" s="504"/>
      <c r="L58" s="504"/>
      <c r="M58" s="504"/>
      <c r="N58" s="504"/>
      <c r="O58" s="520"/>
      <c r="P58" s="505"/>
      <c r="Q58" s="504"/>
      <c r="R58" s="504"/>
      <c r="S58" s="504"/>
      <c r="T58" s="504"/>
      <c r="U58" s="520"/>
      <c r="V58" s="505"/>
      <c r="W58" s="504"/>
      <c r="X58" s="504"/>
      <c r="Y58" s="504"/>
      <c r="Z58" s="504"/>
      <c r="AA58" s="520"/>
      <c r="AB58" s="505"/>
      <c r="AC58" s="504"/>
      <c r="AD58" s="504"/>
      <c r="AE58" s="504"/>
      <c r="AF58" s="504"/>
      <c r="AG58" s="520"/>
      <c r="AH58" s="505"/>
      <c r="AI58" s="504"/>
      <c r="AJ58" s="504"/>
      <c r="AK58" s="504"/>
      <c r="AL58" s="504"/>
      <c r="AM58" s="520"/>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505"/>
      <c r="K59" s="504"/>
      <c r="L59" s="504"/>
      <c r="M59" s="504"/>
      <c r="N59" s="504"/>
      <c r="O59" s="520"/>
      <c r="P59" s="505"/>
      <c r="Q59" s="504"/>
      <c r="R59" s="504"/>
      <c r="S59" s="504"/>
      <c r="T59" s="504"/>
      <c r="U59" s="520"/>
      <c r="V59" s="505"/>
      <c r="W59" s="504"/>
      <c r="X59" s="504"/>
      <c r="Y59" s="504"/>
      <c r="Z59" s="504"/>
      <c r="AA59" s="520"/>
      <c r="AB59" s="505"/>
      <c r="AC59" s="504"/>
      <c r="AD59" s="504"/>
      <c r="AE59" s="504"/>
      <c r="AF59" s="504"/>
      <c r="AG59" s="520"/>
      <c r="AH59" s="505"/>
      <c r="AI59" s="504"/>
      <c r="AJ59" s="504"/>
      <c r="AK59" s="504"/>
      <c r="AL59" s="504"/>
      <c r="AM59" s="520"/>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505"/>
      <c r="K60" s="504"/>
      <c r="L60" s="504"/>
      <c r="M60" s="504"/>
      <c r="N60" s="504"/>
      <c r="O60" s="520"/>
      <c r="P60" s="505"/>
      <c r="Q60" s="504"/>
      <c r="R60" s="504"/>
      <c r="S60" s="504"/>
      <c r="T60" s="504"/>
      <c r="U60" s="520"/>
      <c r="V60" s="505"/>
      <c r="W60" s="504"/>
      <c r="X60" s="504"/>
      <c r="Y60" s="504"/>
      <c r="Z60" s="504"/>
      <c r="AA60" s="520"/>
      <c r="AB60" s="505"/>
      <c r="AC60" s="504"/>
      <c r="AD60" s="504"/>
      <c r="AE60" s="504"/>
      <c r="AF60" s="504"/>
      <c r="AG60" s="520"/>
      <c r="AH60" s="505"/>
      <c r="AI60" s="504"/>
      <c r="AJ60" s="504"/>
      <c r="AK60" s="504"/>
      <c r="AL60" s="504"/>
      <c r="AM60" s="520"/>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ht="15.75" thickBot="1" x14ac:dyDescent="0.3">
      <c r="A61" s="66"/>
      <c r="B61" s="66"/>
      <c r="C61" s="66"/>
      <c r="D61" s="66"/>
      <c r="E61" s="66"/>
      <c r="F61" s="66"/>
      <c r="G61" s="66"/>
      <c r="H61" s="66"/>
      <c r="I61" s="66"/>
      <c r="J61" s="506"/>
      <c r="K61" s="507"/>
      <c r="L61" s="507"/>
      <c r="M61" s="507"/>
      <c r="N61" s="507"/>
      <c r="O61" s="521"/>
      <c r="P61" s="506"/>
      <c r="Q61" s="507"/>
      <c r="R61" s="507"/>
      <c r="S61" s="507"/>
      <c r="T61" s="507"/>
      <c r="U61" s="521"/>
      <c r="V61" s="506"/>
      <c r="W61" s="507"/>
      <c r="X61" s="507"/>
      <c r="Y61" s="507"/>
      <c r="Z61" s="507"/>
      <c r="AA61" s="521"/>
      <c r="AB61" s="506"/>
      <c r="AC61" s="507"/>
      <c r="AD61" s="507"/>
      <c r="AE61" s="507"/>
      <c r="AF61" s="507"/>
      <c r="AG61" s="521"/>
      <c r="AH61" s="506"/>
      <c r="AI61" s="507"/>
      <c r="AJ61" s="507"/>
      <c r="AK61" s="507"/>
      <c r="AL61" s="507"/>
      <c r="AM61" s="521"/>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row>
    <row r="63" spans="1:80" ht="15" customHeight="1" x14ac:dyDescent="0.25">
      <c r="A63" s="66"/>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66"/>
      <c r="AV63" s="66"/>
      <c r="AW63" s="66"/>
      <c r="AX63" s="66"/>
      <c r="AY63" s="66"/>
      <c r="AZ63" s="66"/>
      <c r="BA63" s="66"/>
      <c r="BB63" s="66"/>
      <c r="BC63" s="66"/>
      <c r="BD63" s="66"/>
      <c r="BE63" s="66"/>
      <c r="BF63" s="66"/>
      <c r="BG63" s="66"/>
      <c r="BH63" s="66"/>
    </row>
    <row r="64" spans="1:80" ht="15" customHeight="1" x14ac:dyDescent="0.25">
      <c r="A64" s="66"/>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66"/>
      <c r="AV64" s="66"/>
      <c r="AW64" s="66"/>
      <c r="AX64" s="66"/>
      <c r="AY64" s="66"/>
      <c r="AZ64" s="66"/>
      <c r="BA64" s="66"/>
      <c r="BB64" s="66"/>
      <c r="BC64" s="66"/>
      <c r="BD64" s="66"/>
      <c r="BE64" s="66"/>
      <c r="BF64" s="66"/>
      <c r="BG64" s="66"/>
      <c r="BH64" s="66"/>
    </row>
    <row r="65" spans="1:6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row>
    <row r="66" spans="1:6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row>
    <row r="67" spans="1:6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row>
    <row r="68" spans="1:6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row>
    <row r="69" spans="1:6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row>
    <row r="70" spans="1:6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row>
    <row r="71" spans="1:6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row>
    <row r="72" spans="1:6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row>
    <row r="73" spans="1:6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row>
    <row r="74" spans="1:6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row>
    <row r="75" spans="1:6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row>
    <row r="76" spans="1:6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row>
    <row r="77" spans="1:6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row>
    <row r="78" spans="1:6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row>
    <row r="79" spans="1:6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row>
    <row r="80" spans="1:6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row>
    <row r="81" spans="1:60"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row>
    <row r="82" spans="1:60"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row>
    <row r="83" spans="1:60"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row>
    <row r="84" spans="1:60"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row>
    <row r="85" spans="1:60"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row>
    <row r="86" spans="1:60"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row>
    <row r="87" spans="1:60"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row>
    <row r="88" spans="1:60"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row>
    <row r="89" spans="1:60"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row>
    <row r="90" spans="1:60"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row>
    <row r="91" spans="1:60"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row>
    <row r="92" spans="1:60"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row>
    <row r="93" spans="1:60"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row>
    <row r="94" spans="1:60"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row>
    <row r="95" spans="1:60"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row>
    <row r="96" spans="1:60"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row>
    <row r="97" spans="1:60"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row>
    <row r="98" spans="1:60"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row>
    <row r="99" spans="1:60"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row>
    <row r="100" spans="1:60"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row>
    <row r="101" spans="1:60"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row>
    <row r="102" spans="1:60"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row>
    <row r="103" spans="1:60"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row>
    <row r="104" spans="1:60"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row>
    <row r="105" spans="1:60"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row>
    <row r="106" spans="1:60"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row>
    <row r="107" spans="1:60"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row>
    <row r="108" spans="1:60"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row>
    <row r="109" spans="1:60"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row>
    <row r="110" spans="1:60"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row>
    <row r="111" spans="1:60"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row>
    <row r="112" spans="1:60"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row>
    <row r="113" spans="1:60"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row>
    <row r="114" spans="1:60"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row>
    <row r="115" spans="1:60"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row>
    <row r="116" spans="1:60"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row>
    <row r="117" spans="1:60"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row>
    <row r="118" spans="1:60"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row>
    <row r="119" spans="1:60"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row>
    <row r="120" spans="1:60"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row>
    <row r="121" spans="1:60"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row>
    <row r="122" spans="1:60" x14ac:dyDescent="0.25">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row>
    <row r="123" spans="1:60" x14ac:dyDescent="0.25">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row>
    <row r="124" spans="1:60" x14ac:dyDescent="0.25">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row>
    <row r="125" spans="1:60" x14ac:dyDescent="0.25">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row>
    <row r="126" spans="1:60" x14ac:dyDescent="0.25">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row>
    <row r="127" spans="1:60" x14ac:dyDescent="0.25">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row>
    <row r="128" spans="1:60" x14ac:dyDescent="0.25">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row>
    <row r="129" spans="1:60" x14ac:dyDescent="0.25">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row>
    <row r="130" spans="1:60" x14ac:dyDescent="0.25">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row>
    <row r="131" spans="1:60" x14ac:dyDescent="0.25">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row>
    <row r="132" spans="1:60" x14ac:dyDescent="0.25">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row>
    <row r="133" spans="1:60" x14ac:dyDescent="0.25">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row>
    <row r="134" spans="1:60" x14ac:dyDescent="0.25">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row>
    <row r="135" spans="1:60" x14ac:dyDescent="0.25">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row>
    <row r="136" spans="1:60" x14ac:dyDescent="0.25">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row>
    <row r="137" spans="1:60" x14ac:dyDescent="0.25">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6"/>
      <c r="BB137" s="66"/>
      <c r="BC137" s="66"/>
      <c r="BD137" s="66"/>
      <c r="BE137" s="66"/>
      <c r="BF137" s="66"/>
      <c r="BG137" s="66"/>
      <c r="BH137" s="66"/>
    </row>
    <row r="138" spans="1:60" x14ac:dyDescent="0.25">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c r="BB138" s="66"/>
      <c r="BC138" s="66"/>
      <c r="BD138" s="66"/>
      <c r="BE138" s="66"/>
      <c r="BF138" s="66"/>
      <c r="BG138" s="66"/>
      <c r="BH138" s="66"/>
    </row>
    <row r="139" spans="1:60" x14ac:dyDescent="0.25">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6"/>
      <c r="BC139" s="66"/>
      <c r="BD139" s="66"/>
      <c r="BE139" s="66"/>
      <c r="BF139" s="66"/>
      <c r="BG139" s="66"/>
      <c r="BH139" s="66"/>
    </row>
    <row r="140" spans="1:60" x14ac:dyDescent="0.25">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6"/>
      <c r="BC140" s="66"/>
      <c r="BD140" s="66"/>
      <c r="BE140" s="66"/>
      <c r="BF140" s="66"/>
      <c r="BG140" s="66"/>
      <c r="BH140" s="66"/>
    </row>
    <row r="141" spans="1:60" x14ac:dyDescent="0.25">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c r="BA141" s="66"/>
      <c r="BB141" s="66"/>
      <c r="BC141" s="66"/>
      <c r="BD141" s="66"/>
      <c r="BE141" s="66"/>
      <c r="BF141" s="66"/>
      <c r="BG141" s="66"/>
      <c r="BH141" s="66"/>
    </row>
    <row r="142" spans="1:60" x14ac:dyDescent="0.25">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6"/>
      <c r="BC142" s="66"/>
      <c r="BD142" s="66"/>
      <c r="BE142" s="66"/>
      <c r="BF142" s="66"/>
      <c r="BG142" s="66"/>
      <c r="BH142" s="66"/>
    </row>
    <row r="143" spans="1:60" x14ac:dyDescent="0.25">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6"/>
      <c r="BC143" s="66"/>
      <c r="BD143" s="66"/>
      <c r="BE143" s="66"/>
      <c r="BF143" s="66"/>
      <c r="BG143" s="66"/>
      <c r="BH143" s="66"/>
    </row>
    <row r="144" spans="1:60" x14ac:dyDescent="0.25">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c r="BF144" s="66"/>
      <c r="BG144" s="66"/>
      <c r="BH144" s="66"/>
    </row>
    <row r="145" spans="1:60" x14ac:dyDescent="0.25">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c r="BB145" s="66"/>
      <c r="BC145" s="66"/>
      <c r="BD145" s="66"/>
      <c r="BE145" s="66"/>
      <c r="BF145" s="66"/>
      <c r="BG145" s="66"/>
      <c r="BH145" s="66"/>
    </row>
    <row r="146" spans="1:60" x14ac:dyDescent="0.25">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6"/>
      <c r="BC146" s="66"/>
      <c r="BD146" s="66"/>
      <c r="BE146" s="66"/>
      <c r="BF146" s="66"/>
      <c r="BG146" s="66"/>
      <c r="BH146" s="66"/>
    </row>
    <row r="147" spans="1:60" x14ac:dyDescent="0.25">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6"/>
      <c r="BC147" s="66"/>
      <c r="BD147" s="66"/>
      <c r="BE147" s="66"/>
      <c r="BF147" s="66"/>
      <c r="BG147" s="66"/>
      <c r="BH147" s="66"/>
    </row>
    <row r="148" spans="1:60" x14ac:dyDescent="0.25">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6"/>
      <c r="BC148" s="66"/>
      <c r="BD148" s="66"/>
      <c r="BE148" s="66"/>
      <c r="BF148" s="66"/>
      <c r="BG148" s="66"/>
      <c r="BH148" s="66"/>
    </row>
    <row r="149" spans="1:60" x14ac:dyDescent="0.25">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c r="AZ149" s="66"/>
      <c r="BA149" s="66"/>
      <c r="BB149" s="66"/>
      <c r="BC149" s="66"/>
      <c r="BD149" s="66"/>
      <c r="BE149" s="66"/>
      <c r="BF149" s="66"/>
      <c r="BG149" s="66"/>
      <c r="BH149" s="66"/>
    </row>
    <row r="150" spans="1:60" x14ac:dyDescent="0.25">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6"/>
      <c r="BC150" s="66"/>
      <c r="BD150" s="66"/>
      <c r="BE150" s="66"/>
      <c r="BF150" s="66"/>
      <c r="BG150" s="66"/>
      <c r="BH150" s="66"/>
    </row>
    <row r="151" spans="1:60" x14ac:dyDescent="0.25">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c r="BB151" s="66"/>
      <c r="BC151" s="66"/>
      <c r="BD151" s="66"/>
      <c r="BE151" s="66"/>
      <c r="BF151" s="66"/>
      <c r="BG151" s="66"/>
      <c r="BH151" s="66"/>
    </row>
    <row r="152" spans="1:60" x14ac:dyDescent="0.25">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row>
    <row r="153" spans="1:60" x14ac:dyDescent="0.25">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6"/>
      <c r="BC153" s="66"/>
      <c r="BD153" s="66"/>
      <c r="BE153" s="66"/>
      <c r="BF153" s="66"/>
      <c r="BG153" s="66"/>
      <c r="BH153" s="66"/>
    </row>
    <row r="154" spans="1:60" x14ac:dyDescent="0.25">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6"/>
      <c r="BC154" s="66"/>
      <c r="BD154" s="66"/>
      <c r="BE154" s="66"/>
      <c r="BF154" s="66"/>
      <c r="BG154" s="66"/>
      <c r="BH154" s="66"/>
    </row>
    <row r="155" spans="1:60" x14ac:dyDescent="0.25">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c r="BA155" s="66"/>
      <c r="BB155" s="66"/>
      <c r="BC155" s="66"/>
      <c r="BD155" s="66"/>
      <c r="BE155" s="66"/>
      <c r="BF155" s="66"/>
      <c r="BG155" s="66"/>
      <c r="BH155" s="66"/>
    </row>
    <row r="156" spans="1:60" x14ac:dyDescent="0.25">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6"/>
      <c r="BC156" s="66"/>
      <c r="BD156" s="66"/>
      <c r="BE156" s="66"/>
      <c r="BF156" s="66"/>
      <c r="BG156" s="66"/>
      <c r="BH156" s="66"/>
    </row>
    <row r="157" spans="1:60" x14ac:dyDescent="0.25">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6"/>
      <c r="BC157" s="66"/>
      <c r="BD157" s="66"/>
      <c r="BE157" s="66"/>
      <c r="BF157" s="66"/>
      <c r="BG157" s="66"/>
      <c r="BH157" s="66"/>
    </row>
    <row r="158" spans="1:60" x14ac:dyDescent="0.25">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6"/>
      <c r="BC158" s="66"/>
      <c r="BD158" s="66"/>
      <c r="BE158" s="66"/>
      <c r="BF158" s="66"/>
      <c r="BG158" s="66"/>
      <c r="BH158" s="66"/>
    </row>
    <row r="159" spans="1:60" x14ac:dyDescent="0.25">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c r="AZ159" s="66"/>
      <c r="BA159" s="66"/>
      <c r="BB159" s="66"/>
      <c r="BC159" s="66"/>
      <c r="BD159" s="66"/>
      <c r="BE159" s="66"/>
      <c r="BF159" s="66"/>
      <c r="BG159" s="66"/>
      <c r="BH159" s="66"/>
    </row>
    <row r="160" spans="1:60" x14ac:dyDescent="0.25">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c r="AX160" s="66"/>
      <c r="AY160" s="66"/>
      <c r="AZ160" s="66"/>
      <c r="BA160" s="66"/>
      <c r="BB160" s="66"/>
      <c r="BC160" s="66"/>
      <c r="BD160" s="66"/>
      <c r="BE160" s="66"/>
      <c r="BF160" s="66"/>
      <c r="BG160" s="66"/>
      <c r="BH160" s="66"/>
    </row>
    <row r="161" spans="1:60" x14ac:dyDescent="0.25">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6"/>
      <c r="BB161" s="66"/>
      <c r="BC161" s="66"/>
      <c r="BD161" s="66"/>
      <c r="BE161" s="66"/>
      <c r="BF161" s="66"/>
      <c r="BG161" s="66"/>
      <c r="BH161" s="66"/>
    </row>
    <row r="162" spans="1:60" x14ac:dyDescent="0.25">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6"/>
      <c r="BB162" s="66"/>
      <c r="BC162" s="66"/>
      <c r="BD162" s="66"/>
      <c r="BE162" s="66"/>
      <c r="BF162" s="66"/>
      <c r="BG162" s="66"/>
      <c r="BH162" s="66"/>
    </row>
    <row r="163" spans="1:60" x14ac:dyDescent="0.25">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c r="AX163" s="66"/>
      <c r="AY163" s="66"/>
      <c r="AZ163" s="66"/>
      <c r="BA163" s="66"/>
      <c r="BB163" s="66"/>
      <c r="BC163" s="66"/>
      <c r="BD163" s="66"/>
      <c r="BE163" s="66"/>
      <c r="BF163" s="66"/>
      <c r="BG163" s="66"/>
      <c r="BH163" s="66"/>
    </row>
    <row r="164" spans="1:60" x14ac:dyDescent="0.25">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6"/>
      <c r="BC164" s="66"/>
      <c r="BD164" s="66"/>
      <c r="BE164" s="66"/>
      <c r="BF164" s="66"/>
      <c r="BG164" s="66"/>
      <c r="BH164" s="66"/>
    </row>
    <row r="165" spans="1:60" x14ac:dyDescent="0.25">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c r="BB165" s="66"/>
      <c r="BC165" s="66"/>
      <c r="BD165" s="66"/>
      <c r="BE165" s="66"/>
      <c r="BF165" s="66"/>
      <c r="BG165" s="66"/>
      <c r="BH165" s="66"/>
    </row>
    <row r="166" spans="1:60" x14ac:dyDescent="0.25">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6"/>
      <c r="BB166" s="66"/>
      <c r="BC166" s="66"/>
      <c r="BD166" s="66"/>
      <c r="BE166" s="66"/>
      <c r="BF166" s="66"/>
      <c r="BG166" s="66"/>
      <c r="BH166" s="66"/>
    </row>
    <row r="167" spans="1:60" x14ac:dyDescent="0.25">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66"/>
      <c r="AZ167" s="66"/>
      <c r="BA167" s="66"/>
      <c r="BB167" s="66"/>
      <c r="BC167" s="66"/>
      <c r="BD167" s="66"/>
      <c r="BE167" s="66"/>
      <c r="BF167" s="66"/>
      <c r="BG167" s="66"/>
      <c r="BH167" s="66"/>
    </row>
    <row r="168" spans="1:60" x14ac:dyDescent="0.25">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c r="AC168" s="66"/>
      <c r="AD168" s="66"/>
      <c r="AE168" s="66"/>
      <c r="AF168" s="66"/>
      <c r="AG168" s="66"/>
      <c r="AH168" s="66"/>
      <c r="AI168" s="66"/>
      <c r="AJ168" s="66"/>
      <c r="AK168" s="66"/>
      <c r="AL168" s="66"/>
      <c r="AM168" s="66"/>
      <c r="AN168" s="66"/>
      <c r="AO168" s="66"/>
      <c r="AP168" s="66"/>
      <c r="AQ168" s="66"/>
      <c r="AR168" s="66"/>
      <c r="AS168" s="66"/>
      <c r="AT168" s="66"/>
      <c r="AU168" s="66"/>
      <c r="AV168" s="66"/>
      <c r="AW168" s="66"/>
      <c r="AX168" s="66"/>
      <c r="AY168" s="66"/>
      <c r="AZ168" s="66"/>
      <c r="BA168" s="66"/>
      <c r="BB168" s="66"/>
      <c r="BC168" s="66"/>
      <c r="BD168" s="66"/>
      <c r="BE168" s="66"/>
      <c r="BF168" s="66"/>
      <c r="BG168" s="66"/>
      <c r="BH168" s="66"/>
    </row>
    <row r="169" spans="1:60" x14ac:dyDescent="0.25">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c r="BB169" s="66"/>
      <c r="BC169" s="66"/>
      <c r="BD169" s="66"/>
      <c r="BE169" s="66"/>
      <c r="BF169" s="66"/>
      <c r="BG169" s="66"/>
      <c r="BH169" s="66"/>
    </row>
    <row r="170" spans="1:60" x14ac:dyDescent="0.25">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c r="BA170" s="66"/>
      <c r="BB170" s="66"/>
      <c r="BC170" s="66"/>
      <c r="BD170" s="66"/>
      <c r="BE170" s="66"/>
      <c r="BF170" s="66"/>
      <c r="BG170" s="66"/>
      <c r="BH170" s="66"/>
    </row>
    <row r="171" spans="1:60" x14ac:dyDescent="0.25">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6"/>
      <c r="BC171" s="66"/>
      <c r="BD171" s="66"/>
      <c r="BE171" s="66"/>
      <c r="BF171" s="66"/>
      <c r="BG171" s="66"/>
      <c r="BH171" s="66"/>
    </row>
    <row r="172" spans="1:60" x14ac:dyDescent="0.25">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6"/>
      <c r="BC172" s="66"/>
      <c r="BD172" s="66"/>
      <c r="BE172" s="66"/>
      <c r="BF172" s="66"/>
      <c r="BG172" s="66"/>
      <c r="BH172" s="66"/>
    </row>
    <row r="173" spans="1:60" x14ac:dyDescent="0.25">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6"/>
      <c r="BC173" s="66"/>
      <c r="BD173" s="66"/>
      <c r="BE173" s="66"/>
      <c r="BF173" s="66"/>
      <c r="BG173" s="66"/>
      <c r="BH173" s="66"/>
    </row>
    <row r="174" spans="1:60" x14ac:dyDescent="0.25">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G174" s="66"/>
      <c r="AH174" s="66"/>
      <c r="AI174" s="66"/>
      <c r="AJ174" s="66"/>
      <c r="AK174" s="66"/>
      <c r="AL174" s="66"/>
      <c r="AM174" s="66"/>
      <c r="AN174" s="66"/>
      <c r="AO174" s="66"/>
      <c r="AP174" s="66"/>
      <c r="AQ174" s="66"/>
      <c r="AR174" s="66"/>
      <c r="AS174" s="66"/>
      <c r="AT174" s="66"/>
      <c r="AU174" s="66"/>
      <c r="AV174" s="66"/>
      <c r="AW174" s="66"/>
      <c r="AX174" s="66"/>
      <c r="AY174" s="66"/>
      <c r="AZ174" s="66"/>
      <c r="BA174" s="66"/>
      <c r="BB174" s="66"/>
      <c r="BC174" s="66"/>
      <c r="BD174" s="66"/>
      <c r="BE174" s="66"/>
      <c r="BF174" s="66"/>
      <c r="BG174" s="66"/>
      <c r="BH174" s="66"/>
    </row>
    <row r="175" spans="1:60" x14ac:dyDescent="0.25">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66"/>
      <c r="AK175" s="66"/>
      <c r="AL175" s="66"/>
      <c r="AM175" s="66"/>
      <c r="AN175" s="66"/>
      <c r="AO175" s="66"/>
      <c r="AP175" s="66"/>
      <c r="AQ175" s="66"/>
      <c r="AR175" s="66"/>
      <c r="AS175" s="66"/>
      <c r="AT175" s="66"/>
      <c r="AU175" s="66"/>
      <c r="AV175" s="66"/>
      <c r="AW175" s="66"/>
      <c r="AX175" s="66"/>
      <c r="AY175" s="66"/>
      <c r="AZ175" s="66"/>
      <c r="BA175" s="66"/>
      <c r="BB175" s="66"/>
      <c r="BC175" s="66"/>
      <c r="BD175" s="66"/>
      <c r="BE175" s="66"/>
      <c r="BF175" s="66"/>
      <c r="BG175" s="66"/>
      <c r="BH175" s="66"/>
    </row>
    <row r="176" spans="1:60" x14ac:dyDescent="0.25">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c r="AX176" s="66"/>
      <c r="AY176" s="66"/>
      <c r="AZ176" s="66"/>
      <c r="BA176" s="66"/>
      <c r="BB176" s="66"/>
      <c r="BC176" s="66"/>
      <c r="BD176" s="66"/>
      <c r="BE176" s="66"/>
      <c r="BF176" s="66"/>
      <c r="BG176" s="66"/>
      <c r="BH176" s="66"/>
    </row>
    <row r="177" spans="1:60" x14ac:dyDescent="0.25">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6"/>
      <c r="AY177" s="66"/>
      <c r="AZ177" s="66"/>
      <c r="BA177" s="66"/>
      <c r="BB177" s="66"/>
      <c r="BC177" s="66"/>
      <c r="BD177" s="66"/>
      <c r="BE177" s="66"/>
      <c r="BF177" s="66"/>
      <c r="BG177" s="66"/>
      <c r="BH177" s="66"/>
    </row>
    <row r="178" spans="1:60" x14ac:dyDescent="0.25">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6"/>
      <c r="BC178" s="66"/>
      <c r="BD178" s="66"/>
      <c r="BE178" s="66"/>
      <c r="BF178" s="66"/>
      <c r="BG178" s="66"/>
      <c r="BH178" s="66"/>
    </row>
    <row r="179" spans="1:60" x14ac:dyDescent="0.25">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66"/>
      <c r="AD179" s="66"/>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c r="BA179" s="66"/>
      <c r="BB179" s="66"/>
      <c r="BC179" s="66"/>
      <c r="BD179" s="66"/>
      <c r="BE179" s="66"/>
      <c r="BF179" s="66"/>
      <c r="BG179" s="66"/>
      <c r="BH179" s="66"/>
    </row>
    <row r="180" spans="1:60" x14ac:dyDescent="0.25">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c r="BB180" s="66"/>
      <c r="BC180" s="66"/>
      <c r="BD180" s="66"/>
      <c r="BE180" s="66"/>
      <c r="BF180" s="66"/>
      <c r="BG180" s="66"/>
      <c r="BH180" s="66"/>
    </row>
    <row r="181" spans="1:60" x14ac:dyDescent="0.25">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c r="BA181" s="66"/>
      <c r="BB181" s="66"/>
      <c r="BC181" s="66"/>
      <c r="BD181" s="66"/>
      <c r="BE181" s="66"/>
      <c r="BF181" s="66"/>
      <c r="BG181" s="66"/>
      <c r="BH181" s="66"/>
    </row>
    <row r="182" spans="1:60" x14ac:dyDescent="0.25">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6"/>
      <c r="BC182" s="66"/>
      <c r="BD182" s="66"/>
      <c r="BE182" s="66"/>
      <c r="BF182" s="66"/>
      <c r="BG182" s="66"/>
      <c r="BH182" s="66"/>
    </row>
    <row r="183" spans="1:60" x14ac:dyDescent="0.25">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6"/>
      <c r="BC183" s="66"/>
      <c r="BD183" s="66"/>
      <c r="BE183" s="66"/>
      <c r="BF183" s="66"/>
      <c r="BG183" s="66"/>
      <c r="BH183" s="66"/>
    </row>
    <row r="184" spans="1:60" x14ac:dyDescent="0.25">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66"/>
      <c r="BC184" s="66"/>
      <c r="BD184" s="66"/>
      <c r="BE184" s="66"/>
      <c r="BF184" s="66"/>
      <c r="BG184" s="66"/>
      <c r="BH184" s="66"/>
    </row>
    <row r="185" spans="1:60" x14ac:dyDescent="0.25">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6"/>
      <c r="BC185" s="66"/>
      <c r="BD185" s="66"/>
      <c r="BE185" s="66"/>
      <c r="BF185" s="66"/>
      <c r="BG185" s="66"/>
      <c r="BH185" s="66"/>
    </row>
    <row r="186" spans="1:60" x14ac:dyDescent="0.25">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66"/>
      <c r="BC186" s="66"/>
      <c r="BD186" s="66"/>
      <c r="BE186" s="66"/>
      <c r="BF186" s="66"/>
      <c r="BG186" s="66"/>
      <c r="BH186" s="66"/>
    </row>
    <row r="187" spans="1:60" x14ac:dyDescent="0.25">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c r="AX187" s="66"/>
      <c r="AY187" s="66"/>
      <c r="AZ187" s="66"/>
      <c r="BA187" s="66"/>
      <c r="BB187" s="66"/>
      <c r="BC187" s="66"/>
      <c r="BD187" s="66"/>
      <c r="BE187" s="66"/>
      <c r="BF187" s="66"/>
      <c r="BG187" s="66"/>
      <c r="BH187" s="66"/>
    </row>
    <row r="188" spans="1:60" x14ac:dyDescent="0.25">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66"/>
      <c r="BC188" s="66"/>
      <c r="BD188" s="66"/>
      <c r="BE188" s="66"/>
      <c r="BF188" s="66"/>
      <c r="BG188" s="66"/>
      <c r="BH188" s="66"/>
    </row>
    <row r="189" spans="1:60" x14ac:dyDescent="0.25">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c r="BA189" s="66"/>
      <c r="BB189" s="66"/>
      <c r="BC189" s="66"/>
      <c r="BD189" s="66"/>
      <c r="BE189" s="66"/>
      <c r="BF189" s="66"/>
      <c r="BG189" s="66"/>
      <c r="BH189" s="66"/>
    </row>
    <row r="190" spans="1:60" x14ac:dyDescent="0.25">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66"/>
      <c r="BC190" s="66"/>
      <c r="BD190" s="66"/>
      <c r="BE190" s="66"/>
      <c r="BF190" s="66"/>
      <c r="BG190" s="66"/>
      <c r="BH190" s="66"/>
    </row>
    <row r="191" spans="1:60" x14ac:dyDescent="0.25">
      <c r="A191" s="66"/>
      <c r="J191" s="66"/>
      <c r="K191" s="66"/>
      <c r="L191" s="66"/>
      <c r="M191" s="66"/>
      <c r="N191" s="66"/>
      <c r="O191" s="66"/>
      <c r="P191" s="66"/>
      <c r="Q191" s="66"/>
      <c r="R191" s="66"/>
      <c r="S191" s="66"/>
      <c r="T191" s="66"/>
      <c r="U191" s="66"/>
      <c r="V191" s="66"/>
      <c r="W191" s="66"/>
      <c r="X191" s="66"/>
      <c r="Y191" s="66"/>
      <c r="Z191" s="66"/>
      <c r="AA191" s="66"/>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c r="BB191" s="66"/>
      <c r="BC191" s="66"/>
      <c r="BD191" s="66"/>
      <c r="BE191" s="66"/>
      <c r="BF191" s="66"/>
      <c r="BG191" s="66"/>
      <c r="BH191" s="66"/>
    </row>
    <row r="192" spans="1:60" x14ac:dyDescent="0.25">
      <c r="A192" s="66"/>
      <c r="J192" s="66"/>
      <c r="K192" s="66"/>
      <c r="L192" s="66"/>
      <c r="M192" s="66"/>
      <c r="N192" s="66"/>
      <c r="O192" s="66"/>
      <c r="P192" s="66"/>
      <c r="Q192" s="66"/>
      <c r="R192" s="66"/>
      <c r="S192" s="66"/>
      <c r="T192" s="66"/>
      <c r="U192" s="66"/>
      <c r="V192" s="66"/>
      <c r="W192" s="66"/>
      <c r="X192" s="66"/>
      <c r="Y192" s="66"/>
      <c r="Z192" s="66"/>
      <c r="AA192" s="66"/>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66"/>
      <c r="BC192" s="66"/>
      <c r="BD192" s="66"/>
      <c r="BE192" s="66"/>
      <c r="BF192" s="66"/>
      <c r="BG192" s="66"/>
      <c r="BH192" s="66"/>
    </row>
    <row r="193" spans="1:60" x14ac:dyDescent="0.25">
      <c r="A193" s="66"/>
      <c r="J193" s="66"/>
      <c r="K193" s="66"/>
      <c r="L193" s="66"/>
      <c r="M193" s="66"/>
      <c r="N193" s="66"/>
      <c r="O193" s="66"/>
      <c r="P193" s="66"/>
      <c r="Q193" s="66"/>
      <c r="R193" s="66"/>
      <c r="S193" s="66"/>
      <c r="T193" s="66"/>
      <c r="U193" s="66"/>
      <c r="V193" s="66"/>
      <c r="W193" s="66"/>
      <c r="X193" s="66"/>
      <c r="Y193" s="66"/>
      <c r="Z193" s="66"/>
      <c r="AA193" s="66"/>
      <c r="AB193" s="66"/>
      <c r="AC193" s="66"/>
      <c r="AD193" s="66"/>
      <c r="AE193" s="66"/>
      <c r="AF193" s="66"/>
      <c r="AG193" s="66"/>
      <c r="AH193" s="66"/>
      <c r="AI193" s="66"/>
      <c r="AJ193" s="66"/>
      <c r="AK193" s="66"/>
      <c r="AL193" s="66"/>
      <c r="AM193" s="66"/>
      <c r="AN193" s="66"/>
      <c r="AO193" s="66"/>
      <c r="AP193" s="66"/>
      <c r="AQ193" s="66"/>
      <c r="AR193" s="66"/>
      <c r="AS193" s="66"/>
      <c r="AT193" s="66"/>
      <c r="AU193" s="66"/>
      <c r="AV193" s="66"/>
      <c r="AW193" s="66"/>
      <c r="AX193" s="66"/>
      <c r="AY193" s="66"/>
      <c r="AZ193" s="66"/>
      <c r="BA193" s="66"/>
      <c r="BB193" s="66"/>
      <c r="BC193" s="66"/>
      <c r="BD193" s="66"/>
      <c r="BE193" s="66"/>
      <c r="BF193" s="66"/>
      <c r="BG193" s="66"/>
      <c r="BH193" s="66"/>
    </row>
    <row r="194" spans="1:60" x14ac:dyDescent="0.25">
      <c r="A194" s="66"/>
      <c r="J194" s="66"/>
      <c r="K194" s="66"/>
      <c r="L194" s="66"/>
      <c r="M194" s="66"/>
      <c r="N194" s="66"/>
      <c r="O194" s="66"/>
      <c r="P194" s="66"/>
      <c r="Q194" s="66"/>
      <c r="R194" s="66"/>
      <c r="S194" s="66"/>
      <c r="T194" s="66"/>
      <c r="U194" s="66"/>
      <c r="V194" s="66"/>
      <c r="W194" s="66"/>
      <c r="X194" s="66"/>
      <c r="Y194" s="66"/>
      <c r="Z194" s="66"/>
      <c r="AA194" s="66"/>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66"/>
      <c r="BC194" s="66"/>
      <c r="BD194" s="66"/>
      <c r="BE194" s="66"/>
      <c r="BF194" s="66"/>
      <c r="BG194" s="66"/>
      <c r="BH194" s="66"/>
    </row>
    <row r="195" spans="1:60" x14ac:dyDescent="0.25">
      <c r="A195" s="66"/>
      <c r="J195" s="66"/>
      <c r="K195" s="66"/>
      <c r="L195" s="66"/>
      <c r="M195" s="66"/>
      <c r="N195" s="66"/>
      <c r="O195" s="66"/>
      <c r="P195" s="66"/>
      <c r="Q195" s="66"/>
      <c r="R195" s="66"/>
      <c r="S195" s="66"/>
      <c r="T195" s="66"/>
      <c r="U195" s="66"/>
      <c r="V195" s="66"/>
      <c r="W195" s="66"/>
      <c r="X195" s="66"/>
      <c r="Y195" s="66"/>
      <c r="Z195" s="66"/>
      <c r="AA195" s="66"/>
      <c r="AB195" s="66"/>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66"/>
      <c r="AY195" s="66"/>
      <c r="AZ195" s="66"/>
      <c r="BA195" s="66"/>
      <c r="BB195" s="66"/>
      <c r="BC195" s="66"/>
      <c r="BD195" s="66"/>
      <c r="BE195" s="66"/>
      <c r="BF195" s="66"/>
      <c r="BG195" s="66"/>
      <c r="BH195" s="66"/>
    </row>
    <row r="196" spans="1:60" x14ac:dyDescent="0.25">
      <c r="A196" s="66"/>
      <c r="J196" s="66"/>
      <c r="K196" s="66"/>
      <c r="L196" s="66"/>
      <c r="M196" s="66"/>
      <c r="N196" s="66"/>
      <c r="O196" s="66"/>
      <c r="P196" s="66"/>
      <c r="Q196" s="66"/>
      <c r="R196" s="66"/>
      <c r="S196" s="66"/>
      <c r="T196" s="66"/>
      <c r="U196" s="66"/>
      <c r="V196" s="66"/>
      <c r="W196" s="66"/>
      <c r="X196" s="66"/>
      <c r="Y196" s="66"/>
      <c r="Z196" s="66"/>
      <c r="AA196" s="66"/>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6"/>
      <c r="BC196" s="66"/>
      <c r="BD196" s="66"/>
      <c r="BE196" s="66"/>
      <c r="BF196" s="66"/>
      <c r="BG196" s="66"/>
      <c r="BH196" s="66"/>
    </row>
    <row r="197" spans="1:60" x14ac:dyDescent="0.25">
      <c r="A197" s="66"/>
      <c r="J197" s="66"/>
      <c r="K197" s="66"/>
      <c r="L197" s="66"/>
      <c r="M197" s="66"/>
      <c r="N197" s="66"/>
      <c r="O197" s="66"/>
      <c r="P197" s="66"/>
      <c r="Q197" s="66"/>
      <c r="R197" s="66"/>
      <c r="S197" s="66"/>
      <c r="T197" s="66"/>
      <c r="U197" s="66"/>
      <c r="V197" s="66"/>
      <c r="W197" s="66"/>
      <c r="X197" s="66"/>
      <c r="Y197" s="66"/>
      <c r="Z197" s="66"/>
      <c r="AA197" s="66"/>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c r="BA197" s="66"/>
      <c r="BB197" s="66"/>
      <c r="BC197" s="66"/>
      <c r="BD197" s="66"/>
      <c r="BE197" s="66"/>
      <c r="BF197" s="66"/>
      <c r="BG197" s="66"/>
      <c r="BH197" s="66"/>
    </row>
    <row r="198" spans="1:60" x14ac:dyDescent="0.25">
      <c r="A198" s="66"/>
      <c r="J198" s="66"/>
      <c r="K198" s="66"/>
      <c r="L198" s="66"/>
      <c r="M198" s="66"/>
      <c r="N198" s="66"/>
      <c r="O198" s="66"/>
      <c r="P198" s="66"/>
      <c r="Q198" s="66"/>
      <c r="R198" s="66"/>
      <c r="S198" s="66"/>
      <c r="T198" s="66"/>
      <c r="U198" s="66"/>
      <c r="V198" s="66"/>
      <c r="W198" s="66"/>
      <c r="X198" s="66"/>
      <c r="Y198" s="66"/>
      <c r="Z198" s="66"/>
      <c r="AA198" s="66"/>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66"/>
      <c r="BC198" s="66"/>
      <c r="BD198" s="66"/>
      <c r="BE198" s="66"/>
      <c r="BF198" s="66"/>
      <c r="BG198" s="66"/>
      <c r="BH198" s="66"/>
    </row>
    <row r="199" spans="1:60" x14ac:dyDescent="0.25">
      <c r="A199" s="66"/>
      <c r="J199" s="66"/>
      <c r="K199" s="66"/>
      <c r="L199" s="66"/>
      <c r="M199" s="66"/>
      <c r="N199" s="66"/>
      <c r="O199" s="66"/>
      <c r="P199" s="66"/>
      <c r="Q199" s="66"/>
      <c r="R199" s="66"/>
      <c r="S199" s="66"/>
      <c r="T199" s="66"/>
      <c r="U199" s="66"/>
      <c r="V199" s="66"/>
      <c r="W199" s="66"/>
      <c r="X199" s="66"/>
      <c r="Y199" s="66"/>
      <c r="Z199" s="66"/>
      <c r="AA199" s="66"/>
      <c r="AB199" s="66"/>
      <c r="AC199" s="66"/>
      <c r="AD199" s="66"/>
      <c r="AE199" s="66"/>
      <c r="AF199" s="66"/>
      <c r="AG199" s="66"/>
      <c r="AH199" s="66"/>
      <c r="AI199" s="66"/>
      <c r="AJ199" s="66"/>
      <c r="AK199" s="66"/>
      <c r="AL199" s="66"/>
      <c r="AM199" s="66"/>
      <c r="AN199" s="66"/>
      <c r="AO199" s="66"/>
      <c r="AP199" s="66"/>
      <c r="AQ199" s="66"/>
      <c r="AR199" s="66"/>
      <c r="AS199" s="66"/>
      <c r="AT199" s="66"/>
      <c r="AU199" s="66"/>
      <c r="AV199" s="66"/>
      <c r="AW199" s="66"/>
      <c r="AX199" s="66"/>
      <c r="AY199" s="66"/>
      <c r="AZ199" s="66"/>
      <c r="BA199" s="66"/>
      <c r="BB199" s="66"/>
      <c r="BC199" s="66"/>
      <c r="BD199" s="66"/>
      <c r="BE199" s="66"/>
      <c r="BF199" s="66"/>
      <c r="BG199" s="66"/>
      <c r="BH199" s="66"/>
    </row>
    <row r="200" spans="1:60" x14ac:dyDescent="0.25">
      <c r="A200" s="66"/>
      <c r="J200" s="66"/>
      <c r="K200" s="66"/>
      <c r="L200" s="66"/>
      <c r="M200" s="66"/>
      <c r="N200" s="66"/>
      <c r="O200" s="66"/>
      <c r="P200" s="66"/>
      <c r="Q200" s="66"/>
      <c r="R200" s="66"/>
      <c r="S200" s="66"/>
      <c r="T200" s="66"/>
      <c r="U200" s="66"/>
      <c r="V200" s="66"/>
      <c r="W200" s="66"/>
      <c r="X200" s="66"/>
      <c r="Y200" s="66"/>
      <c r="Z200" s="66"/>
      <c r="AA200" s="66"/>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66"/>
      <c r="BC200" s="66"/>
      <c r="BD200" s="66"/>
      <c r="BE200" s="66"/>
      <c r="BF200" s="66"/>
      <c r="BG200" s="66"/>
      <c r="BH200" s="66"/>
    </row>
    <row r="201" spans="1:60" x14ac:dyDescent="0.25">
      <c r="A201" s="66"/>
      <c r="J201" s="66"/>
      <c r="K201" s="66"/>
      <c r="L201" s="66"/>
      <c r="M201" s="66"/>
      <c r="N201" s="66"/>
      <c r="O201" s="66"/>
      <c r="P201" s="66"/>
      <c r="Q201" s="66"/>
      <c r="R201" s="66"/>
      <c r="S201" s="66"/>
      <c r="T201" s="66"/>
      <c r="U201" s="66"/>
      <c r="V201" s="66"/>
      <c r="W201" s="66"/>
      <c r="X201" s="66"/>
      <c r="Y201" s="66"/>
      <c r="Z201" s="66"/>
      <c r="AA201" s="66"/>
      <c r="AB201" s="66"/>
      <c r="AC201" s="66"/>
      <c r="AD201" s="66"/>
      <c r="AE201" s="66"/>
      <c r="AF201" s="66"/>
      <c r="AG201" s="66"/>
      <c r="AH201" s="66"/>
      <c r="AI201" s="66"/>
      <c r="AJ201" s="66"/>
      <c r="AK201" s="66"/>
      <c r="AL201" s="66"/>
      <c r="AM201" s="66"/>
      <c r="AN201" s="66"/>
      <c r="AO201" s="66"/>
      <c r="AP201" s="66"/>
      <c r="AQ201" s="66"/>
      <c r="AR201" s="66"/>
      <c r="AS201" s="66"/>
      <c r="AT201" s="66"/>
      <c r="AU201" s="66"/>
      <c r="AV201" s="66"/>
      <c r="AW201" s="66"/>
      <c r="AX201" s="66"/>
      <c r="AY201" s="66"/>
      <c r="AZ201" s="66"/>
      <c r="BA201" s="66"/>
      <c r="BB201" s="66"/>
      <c r="BC201" s="66"/>
      <c r="BD201" s="66"/>
      <c r="BE201" s="66"/>
      <c r="BF201" s="66"/>
      <c r="BG201" s="66"/>
      <c r="BH201" s="66"/>
    </row>
    <row r="202" spans="1:60" x14ac:dyDescent="0.25">
      <c r="A202" s="66"/>
      <c r="J202" s="66"/>
      <c r="K202" s="66"/>
      <c r="L202" s="66"/>
      <c r="M202" s="66"/>
      <c r="N202" s="66"/>
      <c r="O202" s="66"/>
      <c r="P202" s="66"/>
      <c r="Q202" s="66"/>
      <c r="R202" s="66"/>
      <c r="S202" s="66"/>
      <c r="T202" s="66"/>
      <c r="U202" s="66"/>
      <c r="V202" s="66"/>
      <c r="W202" s="66"/>
      <c r="X202" s="66"/>
      <c r="Y202" s="66"/>
      <c r="Z202" s="66"/>
      <c r="AA202" s="66"/>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66"/>
      <c r="BC202" s="66"/>
      <c r="BD202" s="66"/>
      <c r="BE202" s="66"/>
      <c r="BF202" s="66"/>
      <c r="BG202" s="66"/>
      <c r="BH202" s="66"/>
    </row>
    <row r="203" spans="1:60" x14ac:dyDescent="0.25">
      <c r="A203" s="66"/>
      <c r="J203" s="66"/>
      <c r="K203" s="66"/>
      <c r="L203" s="66"/>
      <c r="M203" s="66"/>
      <c r="N203" s="66"/>
      <c r="O203" s="66"/>
      <c r="P203" s="66"/>
      <c r="Q203" s="66"/>
      <c r="R203" s="66"/>
      <c r="S203" s="66"/>
      <c r="T203" s="66"/>
      <c r="U203" s="66"/>
      <c r="V203" s="66"/>
      <c r="W203" s="66"/>
      <c r="X203" s="66"/>
      <c r="Y203" s="66"/>
      <c r="Z203" s="66"/>
      <c r="AA203" s="66"/>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66"/>
      <c r="BC203" s="66"/>
      <c r="BD203" s="66"/>
      <c r="BE203" s="66"/>
      <c r="BF203" s="66"/>
      <c r="BG203" s="66"/>
      <c r="BH203" s="66"/>
    </row>
    <row r="204" spans="1:60" x14ac:dyDescent="0.25">
      <c r="A204" s="66"/>
      <c r="J204" s="66"/>
      <c r="K204" s="66"/>
      <c r="L204" s="66"/>
      <c r="M204" s="66"/>
      <c r="N204" s="66"/>
      <c r="O204" s="66"/>
      <c r="P204" s="66"/>
      <c r="Q204" s="66"/>
      <c r="R204" s="66"/>
      <c r="S204" s="66"/>
      <c r="T204" s="66"/>
      <c r="U204" s="66"/>
      <c r="V204" s="66"/>
      <c r="W204" s="66"/>
      <c r="X204" s="66"/>
      <c r="Y204" s="66"/>
      <c r="Z204" s="66"/>
      <c r="AA204" s="66"/>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6"/>
      <c r="BC204" s="66"/>
      <c r="BD204" s="66"/>
      <c r="BE204" s="66"/>
      <c r="BF204" s="66"/>
      <c r="BG204" s="66"/>
      <c r="BH204" s="66"/>
    </row>
    <row r="205" spans="1:60" x14ac:dyDescent="0.25">
      <c r="A205" s="66"/>
      <c r="J205" s="66"/>
      <c r="K205" s="66"/>
      <c r="L205" s="66"/>
      <c r="M205" s="66"/>
      <c r="N205" s="66"/>
      <c r="O205" s="66"/>
      <c r="P205" s="66"/>
      <c r="Q205" s="66"/>
      <c r="R205" s="66"/>
      <c r="S205" s="66"/>
      <c r="T205" s="66"/>
      <c r="U205" s="66"/>
      <c r="V205" s="66"/>
      <c r="W205" s="66"/>
      <c r="X205" s="66"/>
      <c r="Y205" s="66"/>
      <c r="Z205" s="66"/>
      <c r="AA205" s="66"/>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66"/>
      <c r="BC205" s="66"/>
      <c r="BD205" s="66"/>
      <c r="BE205" s="66"/>
      <c r="BF205" s="66"/>
      <c r="BG205" s="66"/>
      <c r="BH205" s="66"/>
    </row>
    <row r="206" spans="1:60" x14ac:dyDescent="0.25">
      <c r="A206" s="66"/>
      <c r="J206" s="66"/>
      <c r="K206" s="66"/>
      <c r="L206" s="66"/>
      <c r="M206" s="66"/>
      <c r="N206" s="66"/>
      <c r="O206" s="66"/>
      <c r="P206" s="66"/>
      <c r="Q206" s="66"/>
      <c r="R206" s="66"/>
      <c r="S206" s="66"/>
      <c r="T206" s="66"/>
      <c r="U206" s="66"/>
      <c r="V206" s="66"/>
      <c r="W206" s="66"/>
      <c r="X206" s="66"/>
      <c r="Y206" s="66"/>
      <c r="Z206" s="66"/>
      <c r="AA206" s="66"/>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66"/>
      <c r="BC206" s="66"/>
      <c r="BD206" s="66"/>
      <c r="BE206" s="66"/>
      <c r="BF206" s="66"/>
      <c r="BG206" s="66"/>
      <c r="BH206" s="66"/>
    </row>
    <row r="207" spans="1:60" x14ac:dyDescent="0.25">
      <c r="A207" s="66"/>
      <c r="J207" s="66"/>
      <c r="K207" s="66"/>
      <c r="L207" s="66"/>
      <c r="M207" s="66"/>
      <c r="N207" s="66"/>
      <c r="O207" s="66"/>
      <c r="P207" s="66"/>
      <c r="Q207" s="66"/>
      <c r="R207" s="66"/>
      <c r="S207" s="66"/>
      <c r="T207" s="66"/>
      <c r="U207" s="66"/>
      <c r="V207" s="66"/>
      <c r="W207" s="66"/>
      <c r="X207" s="66"/>
      <c r="Y207" s="66"/>
      <c r="Z207" s="66"/>
      <c r="AA207" s="66"/>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c r="AY207" s="66"/>
      <c r="AZ207" s="66"/>
      <c r="BA207" s="66"/>
      <c r="BB207" s="66"/>
      <c r="BC207" s="66"/>
      <c r="BD207" s="66"/>
      <c r="BE207" s="66"/>
      <c r="BF207" s="66"/>
      <c r="BG207" s="66"/>
      <c r="BH207" s="66"/>
    </row>
    <row r="208" spans="1:60" x14ac:dyDescent="0.25">
      <c r="A208" s="66"/>
      <c r="J208" s="66"/>
      <c r="K208" s="66"/>
      <c r="L208" s="66"/>
      <c r="M208" s="66"/>
      <c r="N208" s="66"/>
      <c r="O208" s="66"/>
      <c r="P208" s="66"/>
      <c r="Q208" s="66"/>
      <c r="R208" s="66"/>
      <c r="S208" s="66"/>
      <c r="T208" s="66"/>
      <c r="U208" s="66"/>
      <c r="V208" s="66"/>
      <c r="W208" s="66"/>
      <c r="X208" s="66"/>
      <c r="Y208" s="66"/>
      <c r="Z208" s="66"/>
      <c r="AA208" s="66"/>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6"/>
      <c r="BC208" s="66"/>
      <c r="BD208" s="66"/>
      <c r="BE208" s="66"/>
      <c r="BF208" s="66"/>
      <c r="BG208" s="66"/>
      <c r="BH208" s="66"/>
    </row>
    <row r="209" spans="1:60" x14ac:dyDescent="0.25">
      <c r="A209" s="66"/>
      <c r="J209" s="66"/>
      <c r="K209" s="66"/>
      <c r="L209" s="66"/>
      <c r="M209" s="66"/>
      <c r="N209" s="66"/>
      <c r="O209" s="66"/>
      <c r="P209" s="66"/>
      <c r="Q209" s="66"/>
      <c r="R209" s="66"/>
      <c r="S209" s="66"/>
      <c r="T209" s="66"/>
      <c r="U209" s="66"/>
      <c r="V209" s="66"/>
      <c r="W209" s="66"/>
      <c r="X209" s="66"/>
      <c r="Y209" s="66"/>
      <c r="Z209" s="66"/>
      <c r="AA209" s="66"/>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66"/>
      <c r="BC209" s="66"/>
      <c r="BD209" s="66"/>
      <c r="BE209" s="66"/>
      <c r="BF209" s="66"/>
      <c r="BG209" s="66"/>
      <c r="BH209" s="66"/>
    </row>
    <row r="210" spans="1:60" x14ac:dyDescent="0.25">
      <c r="A210" s="66"/>
      <c r="J210" s="66"/>
      <c r="K210" s="66"/>
      <c r="L210" s="66"/>
      <c r="M210" s="66"/>
      <c r="N210" s="66"/>
      <c r="O210" s="66"/>
      <c r="P210" s="66"/>
      <c r="Q210" s="66"/>
      <c r="R210" s="66"/>
      <c r="S210" s="66"/>
      <c r="T210" s="66"/>
      <c r="U210" s="66"/>
      <c r="V210" s="66"/>
      <c r="W210" s="66"/>
      <c r="X210" s="66"/>
      <c r="Y210" s="66"/>
      <c r="Z210" s="66"/>
      <c r="AA210" s="66"/>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66"/>
      <c r="BC210" s="66"/>
      <c r="BD210" s="66"/>
      <c r="BE210" s="66"/>
      <c r="BF210" s="66"/>
      <c r="BG210" s="66"/>
      <c r="BH210" s="66"/>
    </row>
    <row r="211" spans="1:60" x14ac:dyDescent="0.25">
      <c r="A211" s="66"/>
      <c r="J211" s="66"/>
      <c r="K211" s="66"/>
      <c r="L211" s="66"/>
      <c r="M211" s="66"/>
      <c r="N211" s="66"/>
      <c r="O211" s="66"/>
      <c r="P211" s="66"/>
      <c r="Q211" s="66"/>
      <c r="R211" s="66"/>
      <c r="S211" s="66"/>
      <c r="T211" s="66"/>
      <c r="U211" s="66"/>
      <c r="V211" s="66"/>
      <c r="W211" s="66"/>
      <c r="X211" s="66"/>
      <c r="Y211" s="66"/>
      <c r="Z211" s="66"/>
      <c r="AA211" s="66"/>
      <c r="AB211" s="66"/>
      <c r="AC211" s="66"/>
      <c r="AD211" s="66"/>
      <c r="AE211" s="66"/>
      <c r="AF211" s="66"/>
      <c r="AG211" s="66"/>
      <c r="AH211" s="66"/>
      <c r="AI211" s="66"/>
      <c r="AJ211" s="66"/>
      <c r="AK211" s="66"/>
      <c r="AL211" s="66"/>
      <c r="AM211" s="66"/>
      <c r="AN211" s="66"/>
      <c r="AO211" s="66"/>
      <c r="AP211" s="66"/>
      <c r="AQ211" s="66"/>
      <c r="AR211" s="66"/>
      <c r="AS211" s="66"/>
      <c r="AT211" s="66"/>
      <c r="AU211" s="66"/>
      <c r="AV211" s="66"/>
      <c r="AW211" s="66"/>
      <c r="AX211" s="66"/>
      <c r="AY211" s="66"/>
      <c r="AZ211" s="66"/>
      <c r="BA211" s="66"/>
      <c r="BB211" s="66"/>
      <c r="BC211" s="66"/>
      <c r="BD211" s="66"/>
      <c r="BE211" s="66"/>
      <c r="BF211" s="66"/>
      <c r="BG211" s="66"/>
      <c r="BH211" s="66"/>
    </row>
    <row r="212" spans="1:60" x14ac:dyDescent="0.25">
      <c r="A212" s="66"/>
      <c r="J212" s="66"/>
      <c r="K212" s="66"/>
      <c r="L212" s="66"/>
      <c r="M212" s="66"/>
      <c r="N212" s="66"/>
      <c r="O212" s="66"/>
      <c r="P212" s="66"/>
      <c r="Q212" s="66"/>
      <c r="R212" s="66"/>
      <c r="S212" s="66"/>
      <c r="T212" s="66"/>
      <c r="U212" s="66"/>
      <c r="V212" s="66"/>
      <c r="W212" s="66"/>
      <c r="X212" s="66"/>
      <c r="Y212" s="66"/>
      <c r="Z212" s="66"/>
      <c r="AA212" s="66"/>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66"/>
      <c r="BC212" s="66"/>
      <c r="BD212" s="66"/>
      <c r="BE212" s="66"/>
      <c r="BF212" s="66"/>
      <c r="BG212" s="66"/>
      <c r="BH212" s="66"/>
    </row>
    <row r="213" spans="1:60" x14ac:dyDescent="0.25">
      <c r="A213" s="66"/>
      <c r="J213" s="66"/>
      <c r="K213" s="66"/>
      <c r="L213" s="66"/>
      <c r="M213" s="66"/>
      <c r="N213" s="66"/>
      <c r="O213" s="66"/>
      <c r="P213" s="66"/>
      <c r="Q213" s="66"/>
      <c r="R213" s="66"/>
      <c r="S213" s="66"/>
      <c r="T213" s="66"/>
      <c r="U213" s="66"/>
      <c r="V213" s="66"/>
      <c r="W213" s="66"/>
      <c r="X213" s="66"/>
      <c r="Y213" s="66"/>
      <c r="Z213" s="66"/>
      <c r="AA213" s="66"/>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66"/>
      <c r="BC213" s="66"/>
      <c r="BD213" s="66"/>
      <c r="BE213" s="66"/>
      <c r="BF213" s="66"/>
      <c r="BG213" s="66"/>
      <c r="BH213" s="66"/>
    </row>
    <row r="214" spans="1:60" x14ac:dyDescent="0.25">
      <c r="A214" s="66"/>
      <c r="J214" s="66"/>
      <c r="K214" s="66"/>
      <c r="L214" s="66"/>
      <c r="M214" s="66"/>
      <c r="N214" s="66"/>
      <c r="O214" s="66"/>
      <c r="P214" s="66"/>
      <c r="Q214" s="66"/>
      <c r="R214" s="66"/>
      <c r="S214" s="66"/>
      <c r="T214" s="66"/>
      <c r="U214" s="66"/>
      <c r="V214" s="66"/>
      <c r="W214" s="66"/>
      <c r="X214" s="66"/>
      <c r="Y214" s="66"/>
      <c r="Z214" s="66"/>
      <c r="AA214" s="66"/>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66"/>
      <c r="BC214" s="66"/>
      <c r="BD214" s="66"/>
      <c r="BE214" s="66"/>
      <c r="BF214" s="66"/>
      <c r="BG214" s="66"/>
      <c r="BH214" s="66"/>
    </row>
    <row r="215" spans="1:60" x14ac:dyDescent="0.25">
      <c r="A215" s="66"/>
      <c r="J215" s="66"/>
      <c r="K215" s="66"/>
      <c r="L215" s="66"/>
      <c r="M215" s="66"/>
      <c r="N215" s="66"/>
      <c r="O215" s="66"/>
      <c r="P215" s="66"/>
      <c r="Q215" s="66"/>
      <c r="R215" s="66"/>
      <c r="S215" s="66"/>
      <c r="T215" s="66"/>
      <c r="U215" s="66"/>
      <c r="V215" s="66"/>
      <c r="W215" s="66"/>
      <c r="X215" s="66"/>
      <c r="Y215" s="66"/>
      <c r="Z215" s="66"/>
      <c r="AA215" s="66"/>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c r="AZ215" s="66"/>
      <c r="BA215" s="66"/>
      <c r="BB215" s="66"/>
      <c r="BC215" s="66"/>
      <c r="BD215" s="66"/>
      <c r="BE215" s="66"/>
      <c r="BF215" s="66"/>
      <c r="BG215" s="66"/>
      <c r="BH215" s="66"/>
    </row>
    <row r="216" spans="1:60" x14ac:dyDescent="0.25">
      <c r="A216" s="66"/>
      <c r="J216" s="66"/>
      <c r="K216" s="66"/>
      <c r="L216" s="66"/>
      <c r="M216" s="66"/>
      <c r="N216" s="66"/>
      <c r="O216" s="66"/>
      <c r="P216" s="66"/>
      <c r="Q216" s="66"/>
      <c r="R216" s="66"/>
      <c r="S216" s="66"/>
      <c r="T216" s="66"/>
      <c r="U216" s="66"/>
      <c r="V216" s="66"/>
      <c r="W216" s="66"/>
      <c r="X216" s="66"/>
      <c r="Y216" s="66"/>
      <c r="Z216" s="66"/>
      <c r="AA216" s="66"/>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66"/>
      <c r="BC216" s="66"/>
      <c r="BD216" s="66"/>
      <c r="BE216" s="66"/>
      <c r="BF216" s="66"/>
      <c r="BG216" s="66"/>
      <c r="BH216" s="66"/>
    </row>
    <row r="217" spans="1:60" x14ac:dyDescent="0.25">
      <c r="A217" s="66"/>
      <c r="J217" s="66"/>
      <c r="K217" s="66"/>
      <c r="L217" s="66"/>
      <c r="M217" s="66"/>
      <c r="N217" s="66"/>
      <c r="O217" s="66"/>
      <c r="P217" s="66"/>
      <c r="Q217" s="66"/>
      <c r="R217" s="66"/>
      <c r="S217" s="66"/>
      <c r="T217" s="66"/>
      <c r="U217" s="66"/>
      <c r="V217" s="66"/>
      <c r="W217" s="66"/>
      <c r="X217" s="66"/>
      <c r="Y217" s="66"/>
      <c r="Z217" s="66"/>
      <c r="AA217" s="66"/>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6"/>
      <c r="BB217" s="66"/>
      <c r="BC217" s="66"/>
      <c r="BD217" s="66"/>
      <c r="BE217" s="66"/>
      <c r="BF217" s="66"/>
      <c r="BG217" s="66"/>
      <c r="BH217" s="66"/>
    </row>
    <row r="218" spans="1:60" x14ac:dyDescent="0.25">
      <c r="A218" s="66"/>
      <c r="J218" s="66"/>
      <c r="K218" s="66"/>
      <c r="L218" s="66"/>
      <c r="M218" s="66"/>
      <c r="N218" s="66"/>
      <c r="O218" s="66"/>
      <c r="P218" s="66"/>
      <c r="Q218" s="66"/>
      <c r="R218" s="66"/>
      <c r="S218" s="66"/>
      <c r="T218" s="66"/>
      <c r="U218" s="66"/>
      <c r="V218" s="66"/>
      <c r="W218" s="66"/>
      <c r="X218" s="66"/>
      <c r="Y218" s="66"/>
      <c r="Z218" s="66"/>
      <c r="AA218" s="66"/>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66"/>
      <c r="BC218" s="66"/>
      <c r="BD218" s="66"/>
      <c r="BE218" s="66"/>
      <c r="BF218" s="66"/>
      <c r="BG218" s="66"/>
      <c r="BH218" s="66"/>
    </row>
    <row r="219" spans="1:60" x14ac:dyDescent="0.25">
      <c r="A219" s="66"/>
      <c r="J219" s="66"/>
      <c r="K219" s="66"/>
      <c r="L219" s="66"/>
      <c r="M219" s="66"/>
      <c r="N219" s="66"/>
      <c r="O219" s="66"/>
      <c r="P219" s="66"/>
      <c r="Q219" s="66"/>
      <c r="R219" s="66"/>
      <c r="S219" s="66"/>
      <c r="T219" s="66"/>
      <c r="U219" s="66"/>
      <c r="V219" s="66"/>
      <c r="W219" s="66"/>
      <c r="X219" s="66"/>
      <c r="Y219" s="66"/>
      <c r="Z219" s="66"/>
      <c r="AA219" s="66"/>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c r="AZ219" s="66"/>
      <c r="BA219" s="66"/>
      <c r="BB219" s="66"/>
      <c r="BC219" s="66"/>
      <c r="BD219" s="66"/>
      <c r="BE219" s="66"/>
      <c r="BF219" s="66"/>
      <c r="BG219" s="66"/>
      <c r="BH219" s="66"/>
    </row>
    <row r="220" spans="1:60" x14ac:dyDescent="0.25">
      <c r="A220" s="66"/>
      <c r="J220" s="66"/>
      <c r="K220" s="66"/>
      <c r="L220" s="66"/>
      <c r="M220" s="66"/>
      <c r="N220" s="66"/>
      <c r="O220" s="66"/>
      <c r="P220" s="66"/>
      <c r="Q220" s="66"/>
      <c r="R220" s="66"/>
      <c r="S220" s="66"/>
      <c r="T220" s="66"/>
      <c r="U220" s="66"/>
      <c r="V220" s="66"/>
      <c r="W220" s="66"/>
      <c r="X220" s="66"/>
      <c r="Y220" s="66"/>
      <c r="Z220" s="66"/>
      <c r="AA220" s="66"/>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66"/>
      <c r="BC220" s="66"/>
      <c r="BD220" s="66"/>
      <c r="BE220" s="66"/>
      <c r="BF220" s="66"/>
      <c r="BG220" s="66"/>
      <c r="BH220" s="66"/>
    </row>
    <row r="221" spans="1:60" x14ac:dyDescent="0.25">
      <c r="A221" s="66"/>
      <c r="J221" s="66"/>
      <c r="K221" s="66"/>
      <c r="L221" s="66"/>
      <c r="M221" s="66"/>
      <c r="N221" s="66"/>
      <c r="O221" s="66"/>
      <c r="P221" s="66"/>
      <c r="Q221" s="66"/>
      <c r="R221" s="66"/>
      <c r="S221" s="66"/>
      <c r="T221" s="66"/>
      <c r="U221" s="66"/>
      <c r="V221" s="66"/>
      <c r="W221" s="66"/>
      <c r="X221" s="66"/>
      <c r="Y221" s="66"/>
      <c r="Z221" s="66"/>
      <c r="AA221" s="66"/>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6"/>
      <c r="BC221" s="66"/>
      <c r="BD221" s="66"/>
      <c r="BE221" s="66"/>
      <c r="BF221" s="66"/>
      <c r="BG221" s="66"/>
      <c r="BH221" s="66"/>
    </row>
    <row r="222" spans="1:60" x14ac:dyDescent="0.25">
      <c r="A222" s="66"/>
      <c r="J222" s="66"/>
      <c r="K222" s="66"/>
      <c r="L222" s="66"/>
      <c r="M222" s="66"/>
      <c r="N222" s="66"/>
      <c r="O222" s="66"/>
      <c r="P222" s="66"/>
      <c r="Q222" s="66"/>
      <c r="R222" s="66"/>
      <c r="S222" s="66"/>
      <c r="T222" s="66"/>
      <c r="U222" s="66"/>
      <c r="V222" s="66"/>
      <c r="W222" s="66"/>
      <c r="X222" s="66"/>
      <c r="Y222" s="66"/>
      <c r="Z222" s="66"/>
      <c r="AA222" s="66"/>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66"/>
      <c r="BC222" s="66"/>
      <c r="BD222" s="66"/>
      <c r="BE222" s="66"/>
      <c r="BF222" s="66"/>
      <c r="BG222" s="66"/>
      <c r="BH222" s="66"/>
    </row>
    <row r="223" spans="1:60" x14ac:dyDescent="0.25">
      <c r="A223" s="66"/>
      <c r="J223" s="66"/>
      <c r="K223" s="66"/>
      <c r="L223" s="66"/>
      <c r="M223" s="66"/>
      <c r="N223" s="66"/>
      <c r="O223" s="66"/>
      <c r="P223" s="66"/>
      <c r="Q223" s="66"/>
      <c r="R223" s="66"/>
      <c r="S223" s="66"/>
      <c r="T223" s="66"/>
      <c r="U223" s="66"/>
      <c r="V223" s="66"/>
      <c r="W223" s="66"/>
      <c r="X223" s="66"/>
      <c r="Y223" s="66"/>
      <c r="Z223" s="66"/>
      <c r="AA223" s="66"/>
      <c r="AB223" s="66"/>
      <c r="AC223" s="66"/>
      <c r="AD223" s="66"/>
      <c r="AE223" s="66"/>
      <c r="AF223" s="66"/>
      <c r="AG223" s="66"/>
      <c r="AH223" s="66"/>
      <c r="AI223" s="66"/>
      <c r="AJ223" s="66"/>
      <c r="AK223" s="66"/>
      <c r="AL223" s="66"/>
      <c r="AM223" s="66"/>
      <c r="AN223" s="66"/>
      <c r="AO223" s="66"/>
      <c r="AP223" s="66"/>
      <c r="AQ223" s="66"/>
      <c r="AR223" s="66"/>
      <c r="AS223" s="66"/>
      <c r="AT223" s="66"/>
      <c r="AU223" s="66"/>
      <c r="AV223" s="66"/>
      <c r="AW223" s="66"/>
      <c r="AX223" s="66"/>
      <c r="AY223" s="66"/>
      <c r="AZ223" s="66"/>
      <c r="BA223" s="66"/>
      <c r="BB223" s="66"/>
      <c r="BC223" s="66"/>
      <c r="BD223" s="66"/>
      <c r="BE223" s="66"/>
      <c r="BF223" s="66"/>
      <c r="BG223" s="66"/>
      <c r="BH223" s="66"/>
    </row>
    <row r="224" spans="1:60" x14ac:dyDescent="0.25">
      <c r="A224" s="66"/>
      <c r="J224" s="66"/>
      <c r="K224" s="66"/>
      <c r="L224" s="66"/>
      <c r="M224" s="66"/>
      <c r="N224" s="66"/>
      <c r="O224" s="66"/>
      <c r="P224" s="66"/>
      <c r="Q224" s="66"/>
      <c r="R224" s="66"/>
      <c r="S224" s="66"/>
      <c r="T224" s="66"/>
      <c r="U224" s="66"/>
      <c r="V224" s="66"/>
      <c r="W224" s="66"/>
      <c r="X224" s="66"/>
      <c r="Y224" s="66"/>
      <c r="Z224" s="66"/>
      <c r="AA224" s="66"/>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66"/>
      <c r="BC224" s="66"/>
      <c r="BD224" s="66"/>
      <c r="BE224" s="66"/>
      <c r="BF224" s="66"/>
      <c r="BG224" s="66"/>
      <c r="BH224" s="66"/>
    </row>
    <row r="225" spans="1:60" x14ac:dyDescent="0.25">
      <c r="A225" s="66"/>
      <c r="J225" s="66"/>
      <c r="K225" s="66"/>
      <c r="L225" s="66"/>
      <c r="M225" s="66"/>
      <c r="N225" s="66"/>
      <c r="O225" s="66"/>
      <c r="P225" s="66"/>
      <c r="Q225" s="66"/>
      <c r="R225" s="66"/>
      <c r="S225" s="66"/>
      <c r="T225" s="66"/>
      <c r="U225" s="66"/>
      <c r="V225" s="66"/>
      <c r="W225" s="66"/>
      <c r="X225" s="66"/>
      <c r="Y225" s="66"/>
      <c r="Z225" s="66"/>
      <c r="AA225" s="66"/>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c r="BA225" s="66"/>
      <c r="BB225" s="66"/>
      <c r="BC225" s="66"/>
      <c r="BD225" s="66"/>
      <c r="BE225" s="66"/>
      <c r="BF225" s="66"/>
      <c r="BG225" s="66"/>
      <c r="BH225" s="66"/>
    </row>
    <row r="226" spans="1:60" x14ac:dyDescent="0.25">
      <c r="A226" s="66"/>
      <c r="J226" s="66"/>
      <c r="K226" s="66"/>
      <c r="L226" s="66"/>
      <c r="M226" s="66"/>
      <c r="N226" s="66"/>
      <c r="O226" s="66"/>
      <c r="P226" s="66"/>
      <c r="Q226" s="66"/>
      <c r="R226" s="66"/>
      <c r="S226" s="66"/>
      <c r="T226" s="66"/>
      <c r="U226" s="66"/>
      <c r="V226" s="66"/>
      <c r="W226" s="66"/>
      <c r="X226" s="66"/>
      <c r="Y226" s="66"/>
      <c r="Z226" s="66"/>
      <c r="AA226" s="66"/>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66"/>
      <c r="BC226" s="66"/>
      <c r="BD226" s="66"/>
      <c r="BE226" s="66"/>
      <c r="BF226" s="66"/>
      <c r="BG226" s="66"/>
      <c r="BH226" s="66"/>
    </row>
    <row r="227" spans="1:60" x14ac:dyDescent="0.25">
      <c r="A227" s="66"/>
      <c r="J227" s="66"/>
      <c r="K227" s="66"/>
      <c r="L227" s="66"/>
      <c r="M227" s="66"/>
      <c r="N227" s="66"/>
      <c r="O227" s="66"/>
      <c r="P227" s="66"/>
      <c r="Q227" s="66"/>
      <c r="R227" s="66"/>
      <c r="S227" s="66"/>
      <c r="T227" s="66"/>
      <c r="U227" s="66"/>
      <c r="V227" s="66"/>
      <c r="W227" s="66"/>
      <c r="X227" s="66"/>
      <c r="Y227" s="66"/>
      <c r="Z227" s="66"/>
      <c r="AA227" s="66"/>
      <c r="AB227" s="66"/>
      <c r="AC227" s="66"/>
      <c r="AD227" s="66"/>
      <c r="AE227" s="66"/>
      <c r="AF227" s="66"/>
      <c r="AG227" s="66"/>
      <c r="AH227" s="66"/>
      <c r="AI227" s="66"/>
      <c r="AJ227" s="66"/>
      <c r="AK227" s="66"/>
      <c r="AL227" s="66"/>
      <c r="AM227" s="66"/>
      <c r="AN227" s="66"/>
      <c r="AO227" s="66"/>
      <c r="AP227" s="66"/>
      <c r="AQ227" s="66"/>
      <c r="AR227" s="66"/>
      <c r="AS227" s="66"/>
      <c r="AT227" s="66"/>
      <c r="AU227" s="66"/>
      <c r="AV227" s="66"/>
      <c r="AW227" s="66"/>
      <c r="AX227" s="66"/>
      <c r="AY227" s="66"/>
      <c r="AZ227" s="66"/>
      <c r="BA227" s="66"/>
      <c r="BB227" s="66"/>
      <c r="BC227" s="66"/>
      <c r="BD227" s="66"/>
      <c r="BE227" s="66"/>
      <c r="BF227" s="66"/>
      <c r="BG227" s="66"/>
      <c r="BH227" s="66"/>
    </row>
    <row r="228" spans="1:60" x14ac:dyDescent="0.25">
      <c r="A228" s="66"/>
      <c r="J228" s="66"/>
      <c r="K228" s="66"/>
      <c r="L228" s="66"/>
      <c r="M228" s="66"/>
      <c r="N228" s="66"/>
      <c r="O228" s="66"/>
      <c r="P228" s="66"/>
      <c r="Q228" s="66"/>
      <c r="R228" s="66"/>
      <c r="S228" s="66"/>
      <c r="T228" s="66"/>
      <c r="U228" s="66"/>
      <c r="V228" s="66"/>
      <c r="W228" s="66"/>
      <c r="X228" s="66"/>
      <c r="Y228" s="66"/>
      <c r="Z228" s="66"/>
      <c r="AA228" s="66"/>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66"/>
      <c r="BC228" s="66"/>
      <c r="BD228" s="66"/>
      <c r="BE228" s="66"/>
      <c r="BF228" s="66"/>
      <c r="BG228" s="66"/>
      <c r="BH228" s="66"/>
    </row>
    <row r="229" spans="1:60" x14ac:dyDescent="0.25">
      <c r="A229" s="66"/>
      <c r="J229" s="66"/>
      <c r="K229" s="66"/>
      <c r="L229" s="66"/>
      <c r="M229" s="66"/>
      <c r="N229" s="66"/>
      <c r="O229" s="66"/>
      <c r="P229" s="66"/>
      <c r="Q229" s="66"/>
      <c r="R229" s="66"/>
      <c r="S229" s="66"/>
      <c r="T229" s="66"/>
      <c r="U229" s="66"/>
      <c r="V229" s="66"/>
      <c r="W229" s="66"/>
      <c r="X229" s="66"/>
      <c r="Y229" s="66"/>
      <c r="Z229" s="66"/>
      <c r="AA229" s="66"/>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c r="AZ229" s="66"/>
      <c r="BA229" s="66"/>
      <c r="BB229" s="66"/>
      <c r="BC229" s="66"/>
      <c r="BD229" s="66"/>
      <c r="BE229" s="66"/>
      <c r="BF229" s="66"/>
      <c r="BG229" s="66"/>
      <c r="BH229" s="66"/>
    </row>
    <row r="230" spans="1:60" x14ac:dyDescent="0.25">
      <c r="A230" s="66"/>
      <c r="J230" s="66"/>
      <c r="K230" s="66"/>
      <c r="L230" s="66"/>
      <c r="M230" s="66"/>
      <c r="N230" s="66"/>
      <c r="O230" s="66"/>
      <c r="P230" s="66"/>
      <c r="Q230" s="66"/>
      <c r="R230" s="66"/>
      <c r="S230" s="66"/>
      <c r="T230" s="66"/>
      <c r="U230" s="66"/>
      <c r="V230" s="66"/>
      <c r="W230" s="66"/>
      <c r="X230" s="66"/>
      <c r="Y230" s="66"/>
      <c r="Z230" s="66"/>
      <c r="AA230" s="66"/>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66"/>
      <c r="BC230" s="66"/>
      <c r="BD230" s="66"/>
      <c r="BE230" s="66"/>
      <c r="BF230" s="66"/>
      <c r="BG230" s="66"/>
      <c r="BH230" s="66"/>
    </row>
    <row r="231" spans="1:60" x14ac:dyDescent="0.25">
      <c r="A231" s="66"/>
      <c r="J231" s="66"/>
      <c r="K231" s="66"/>
      <c r="L231" s="66"/>
      <c r="M231" s="66"/>
      <c r="N231" s="66"/>
      <c r="O231" s="66"/>
      <c r="P231" s="66"/>
      <c r="Q231" s="66"/>
      <c r="R231" s="66"/>
      <c r="S231" s="66"/>
      <c r="T231" s="66"/>
      <c r="U231" s="66"/>
      <c r="V231" s="66"/>
      <c r="W231" s="66"/>
      <c r="X231" s="66"/>
      <c r="Y231" s="66"/>
      <c r="Z231" s="66"/>
      <c r="AA231" s="66"/>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c r="BA231" s="66"/>
      <c r="BB231" s="66"/>
      <c r="BC231" s="66"/>
      <c r="BD231" s="66"/>
      <c r="BE231" s="66"/>
      <c r="BF231" s="66"/>
      <c r="BG231" s="66"/>
      <c r="BH231" s="66"/>
    </row>
    <row r="232" spans="1:60" x14ac:dyDescent="0.25">
      <c r="A232" s="66"/>
      <c r="J232" s="66"/>
      <c r="K232" s="66"/>
      <c r="L232" s="66"/>
      <c r="M232" s="66"/>
      <c r="N232" s="66"/>
      <c r="O232" s="66"/>
      <c r="P232" s="66"/>
      <c r="Q232" s="66"/>
      <c r="R232" s="66"/>
      <c r="S232" s="66"/>
      <c r="T232" s="66"/>
      <c r="U232" s="66"/>
      <c r="V232" s="66"/>
      <c r="W232" s="66"/>
      <c r="X232" s="66"/>
      <c r="Y232" s="66"/>
      <c r="Z232" s="66"/>
      <c r="AA232" s="66"/>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66"/>
      <c r="BC232" s="66"/>
      <c r="BD232" s="66"/>
      <c r="BE232" s="66"/>
      <c r="BF232" s="66"/>
      <c r="BG232" s="66"/>
      <c r="BH232" s="66"/>
    </row>
    <row r="233" spans="1:60" x14ac:dyDescent="0.25">
      <c r="A233" s="66"/>
      <c r="J233" s="66"/>
      <c r="K233" s="66"/>
      <c r="L233" s="66"/>
      <c r="M233" s="66"/>
      <c r="N233" s="66"/>
      <c r="O233" s="66"/>
      <c r="P233" s="66"/>
      <c r="Q233" s="66"/>
      <c r="R233" s="66"/>
      <c r="S233" s="66"/>
      <c r="T233" s="66"/>
      <c r="U233" s="66"/>
      <c r="V233" s="66"/>
      <c r="W233" s="66"/>
      <c r="X233" s="66"/>
      <c r="Y233" s="66"/>
      <c r="Z233" s="66"/>
      <c r="AA233" s="66"/>
      <c r="AB233" s="66"/>
      <c r="AC233" s="66"/>
      <c r="AD233" s="66"/>
      <c r="AE233" s="66"/>
      <c r="AF233" s="66"/>
      <c r="AG233" s="66"/>
      <c r="AH233" s="66"/>
      <c r="AI233" s="66"/>
      <c r="AJ233" s="66"/>
      <c r="AK233" s="66"/>
      <c r="AL233" s="66"/>
      <c r="AM233" s="66"/>
      <c r="AN233" s="66"/>
      <c r="AO233" s="66"/>
      <c r="AP233" s="66"/>
      <c r="AQ233" s="66"/>
      <c r="AR233" s="66"/>
      <c r="AS233" s="66"/>
      <c r="AT233" s="66"/>
      <c r="AU233" s="66"/>
      <c r="AV233" s="66"/>
      <c r="AW233" s="66"/>
      <c r="AX233" s="66"/>
      <c r="AY233" s="66"/>
      <c r="AZ233" s="66"/>
      <c r="BA233" s="66"/>
      <c r="BB233" s="66"/>
      <c r="BC233" s="66"/>
      <c r="BD233" s="66"/>
      <c r="BE233" s="66"/>
      <c r="BF233" s="66"/>
      <c r="BG233" s="66"/>
      <c r="BH233" s="66"/>
    </row>
    <row r="234" spans="1:60" x14ac:dyDescent="0.25">
      <c r="A234" s="66"/>
      <c r="J234" s="66"/>
      <c r="K234" s="66"/>
      <c r="L234" s="66"/>
      <c r="M234" s="66"/>
      <c r="N234" s="66"/>
      <c r="O234" s="66"/>
      <c r="P234" s="66"/>
      <c r="Q234" s="66"/>
      <c r="R234" s="66"/>
      <c r="S234" s="66"/>
      <c r="T234" s="66"/>
      <c r="U234" s="66"/>
      <c r="V234" s="66"/>
      <c r="W234" s="66"/>
      <c r="X234" s="66"/>
      <c r="Y234" s="66"/>
      <c r="Z234" s="66"/>
      <c r="AA234" s="66"/>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66"/>
      <c r="BC234" s="66"/>
      <c r="BD234" s="66"/>
      <c r="BE234" s="66"/>
      <c r="BF234" s="66"/>
      <c r="BG234" s="66"/>
      <c r="BH234" s="66"/>
    </row>
    <row r="235" spans="1:60" x14ac:dyDescent="0.25">
      <c r="A235" s="66"/>
      <c r="J235" s="66"/>
      <c r="K235" s="66"/>
      <c r="L235" s="66"/>
      <c r="M235" s="66"/>
      <c r="N235" s="66"/>
      <c r="O235" s="66"/>
      <c r="P235" s="66"/>
      <c r="Q235" s="66"/>
      <c r="R235" s="66"/>
      <c r="S235" s="66"/>
      <c r="T235" s="66"/>
      <c r="U235" s="66"/>
      <c r="V235" s="66"/>
      <c r="W235" s="66"/>
      <c r="X235" s="66"/>
      <c r="Y235" s="66"/>
      <c r="Z235" s="66"/>
      <c r="AA235" s="66"/>
      <c r="AB235" s="66"/>
      <c r="AC235" s="66"/>
      <c r="AD235" s="66"/>
      <c r="AE235" s="66"/>
      <c r="AF235" s="66"/>
      <c r="AG235" s="66"/>
      <c r="AH235" s="66"/>
      <c r="AI235" s="66"/>
      <c r="AJ235" s="66"/>
      <c r="AK235" s="66"/>
      <c r="AL235" s="66"/>
      <c r="AM235" s="66"/>
      <c r="AN235" s="66"/>
      <c r="AO235" s="66"/>
      <c r="AP235" s="66"/>
      <c r="AQ235" s="66"/>
      <c r="AR235" s="66"/>
      <c r="AS235" s="66"/>
      <c r="AT235" s="66"/>
      <c r="AU235" s="66"/>
      <c r="AV235" s="66"/>
      <c r="AW235" s="66"/>
      <c r="AX235" s="66"/>
      <c r="AY235" s="66"/>
      <c r="AZ235" s="66"/>
      <c r="BA235" s="66"/>
      <c r="BB235" s="66"/>
      <c r="BC235" s="66"/>
      <c r="BD235" s="66"/>
      <c r="BE235" s="66"/>
      <c r="BF235" s="66"/>
      <c r="BG235" s="66"/>
      <c r="BH235" s="66"/>
    </row>
    <row r="236" spans="1:60" x14ac:dyDescent="0.25">
      <c r="A236" s="66"/>
      <c r="J236" s="66"/>
      <c r="K236" s="66"/>
      <c r="L236" s="66"/>
      <c r="M236" s="66"/>
      <c r="N236" s="66"/>
      <c r="O236" s="66"/>
      <c r="P236" s="66"/>
      <c r="Q236" s="66"/>
      <c r="R236" s="66"/>
      <c r="S236" s="66"/>
      <c r="T236" s="66"/>
      <c r="U236" s="66"/>
      <c r="V236" s="66"/>
      <c r="W236" s="66"/>
      <c r="X236" s="66"/>
      <c r="Y236" s="66"/>
      <c r="Z236" s="66"/>
      <c r="AA236" s="66"/>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66"/>
      <c r="BC236" s="66"/>
      <c r="BD236" s="66"/>
      <c r="BE236" s="66"/>
      <c r="BF236" s="66"/>
      <c r="BG236" s="66"/>
      <c r="BH236" s="66"/>
    </row>
    <row r="237" spans="1:60" x14ac:dyDescent="0.25">
      <c r="A237" s="66"/>
      <c r="J237" s="66"/>
      <c r="K237" s="66"/>
      <c r="L237" s="66"/>
      <c r="M237" s="66"/>
      <c r="N237" s="66"/>
      <c r="O237" s="66"/>
      <c r="P237" s="66"/>
      <c r="Q237" s="66"/>
      <c r="R237" s="66"/>
      <c r="S237" s="66"/>
      <c r="T237" s="66"/>
      <c r="U237" s="66"/>
      <c r="V237" s="66"/>
      <c r="W237" s="66"/>
      <c r="X237" s="66"/>
      <c r="Y237" s="66"/>
      <c r="Z237" s="66"/>
      <c r="AA237" s="66"/>
      <c r="AB237" s="66"/>
      <c r="AC237" s="66"/>
      <c r="AD237" s="66"/>
      <c r="AE237" s="66"/>
      <c r="AF237" s="66"/>
      <c r="AG237" s="66"/>
      <c r="AH237" s="66"/>
      <c r="AI237" s="66"/>
      <c r="AJ237" s="66"/>
      <c r="AK237" s="66"/>
      <c r="AL237" s="66"/>
      <c r="AM237" s="66"/>
      <c r="AN237" s="66"/>
      <c r="AO237" s="66"/>
      <c r="AP237" s="66"/>
      <c r="AQ237" s="66"/>
      <c r="AR237" s="66"/>
      <c r="AS237" s="66"/>
      <c r="AT237" s="66"/>
      <c r="AU237" s="66"/>
      <c r="AV237" s="66"/>
      <c r="AW237" s="66"/>
      <c r="AX237" s="66"/>
      <c r="AY237" s="66"/>
      <c r="AZ237" s="66"/>
      <c r="BA237" s="66"/>
      <c r="BB237" s="66"/>
      <c r="BC237" s="66"/>
      <c r="BD237" s="66"/>
      <c r="BE237" s="66"/>
      <c r="BF237" s="66"/>
      <c r="BG237" s="66"/>
      <c r="BH237" s="66"/>
    </row>
    <row r="238" spans="1:60" x14ac:dyDescent="0.25">
      <c r="A238" s="66"/>
      <c r="J238" s="66"/>
      <c r="K238" s="66"/>
      <c r="L238" s="66"/>
      <c r="M238" s="66"/>
      <c r="N238" s="66"/>
      <c r="O238" s="66"/>
      <c r="P238" s="66"/>
      <c r="Q238" s="66"/>
      <c r="R238" s="66"/>
      <c r="S238" s="66"/>
      <c r="T238" s="66"/>
      <c r="U238" s="66"/>
      <c r="V238" s="66"/>
      <c r="W238" s="66"/>
      <c r="X238" s="66"/>
      <c r="Y238" s="66"/>
      <c r="Z238" s="66"/>
      <c r="AA238" s="66"/>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66"/>
      <c r="BC238" s="66"/>
      <c r="BD238" s="66"/>
      <c r="BE238" s="66"/>
      <c r="BF238" s="66"/>
      <c r="BG238" s="66"/>
      <c r="BH238" s="66"/>
    </row>
    <row r="239" spans="1:60" x14ac:dyDescent="0.25">
      <c r="A239" s="66"/>
      <c r="J239" s="66"/>
      <c r="K239" s="66"/>
      <c r="L239" s="66"/>
      <c r="M239" s="66"/>
      <c r="N239" s="66"/>
      <c r="O239" s="66"/>
      <c r="P239" s="66"/>
      <c r="Q239" s="66"/>
      <c r="R239" s="66"/>
      <c r="S239" s="66"/>
      <c r="T239" s="66"/>
      <c r="U239" s="66"/>
      <c r="V239" s="66"/>
      <c r="W239" s="66"/>
      <c r="X239" s="66"/>
      <c r="Y239" s="66"/>
      <c r="Z239" s="66"/>
      <c r="AA239" s="66"/>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66"/>
      <c r="BC239" s="66"/>
      <c r="BD239" s="66"/>
      <c r="BE239" s="66"/>
      <c r="BF239" s="66"/>
      <c r="BG239" s="66"/>
      <c r="BH239" s="66"/>
    </row>
    <row r="240" spans="1:60" x14ac:dyDescent="0.25">
      <c r="A240" s="66"/>
      <c r="J240" s="66"/>
      <c r="K240" s="66"/>
      <c r="L240" s="66"/>
      <c r="M240" s="66"/>
      <c r="N240" s="66"/>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66"/>
      <c r="BC240" s="66"/>
      <c r="BD240" s="66"/>
      <c r="BE240" s="66"/>
      <c r="BF240" s="66"/>
      <c r="BG240" s="66"/>
      <c r="BH240" s="66"/>
    </row>
    <row r="241" spans="1:60" x14ac:dyDescent="0.25">
      <c r="A241" s="66"/>
      <c r="J241" s="66"/>
      <c r="K241" s="66"/>
      <c r="L241" s="66"/>
      <c r="M241" s="66"/>
      <c r="N241" s="66"/>
      <c r="O241" s="66"/>
      <c r="P241" s="66"/>
      <c r="Q241" s="66"/>
      <c r="R241" s="66"/>
      <c r="S241" s="66"/>
      <c r="T241" s="66"/>
      <c r="U241" s="66"/>
      <c r="V241" s="66"/>
      <c r="W241" s="66"/>
      <c r="X241" s="66"/>
      <c r="Y241" s="66"/>
      <c r="Z241" s="66"/>
      <c r="AA241" s="66"/>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66"/>
      <c r="AY241" s="66"/>
      <c r="AZ241" s="66"/>
      <c r="BA241" s="66"/>
      <c r="BB241" s="66"/>
      <c r="BC241" s="66"/>
      <c r="BD241" s="66"/>
      <c r="BE241" s="66"/>
      <c r="BF241" s="66"/>
      <c r="BG241" s="66"/>
      <c r="BH241" s="66"/>
    </row>
    <row r="242" spans="1:60" x14ac:dyDescent="0.25">
      <c r="A242" s="66"/>
      <c r="J242" s="66"/>
      <c r="K242" s="66"/>
      <c r="L242" s="66"/>
      <c r="M242" s="66"/>
      <c r="N242" s="66"/>
      <c r="O242" s="66"/>
      <c r="P242" s="66"/>
      <c r="Q242" s="66"/>
      <c r="R242" s="66"/>
      <c r="S242" s="66"/>
      <c r="T242" s="66"/>
      <c r="U242" s="66"/>
      <c r="V242" s="66"/>
      <c r="W242" s="66"/>
      <c r="X242" s="66"/>
      <c r="Y242" s="66"/>
      <c r="Z242" s="66"/>
      <c r="AA242" s="66"/>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66"/>
      <c r="BC242" s="66"/>
      <c r="BD242" s="66"/>
      <c r="BE242" s="66"/>
      <c r="BF242" s="66"/>
      <c r="BG242" s="66"/>
      <c r="BH242" s="66"/>
    </row>
    <row r="243" spans="1:60" x14ac:dyDescent="0.25">
      <c r="A243" s="66"/>
      <c r="J243" s="66"/>
      <c r="K243" s="66"/>
      <c r="L243" s="66"/>
      <c r="M243" s="66"/>
      <c r="N243" s="66"/>
      <c r="O243" s="66"/>
      <c r="P243" s="66"/>
      <c r="Q243" s="66"/>
      <c r="R243" s="66"/>
      <c r="S243" s="66"/>
      <c r="T243" s="66"/>
      <c r="U243" s="66"/>
      <c r="V243" s="66"/>
      <c r="W243" s="66"/>
      <c r="X243" s="66"/>
      <c r="Y243" s="66"/>
      <c r="Z243" s="66"/>
      <c r="AA243" s="66"/>
      <c r="AB243" s="66"/>
      <c r="AC243" s="66"/>
      <c r="AD243" s="66"/>
      <c r="AE243" s="66"/>
      <c r="AF243" s="66"/>
      <c r="AG243" s="66"/>
      <c r="AH243" s="66"/>
      <c r="AI243" s="66"/>
      <c r="AJ243" s="66"/>
      <c r="AK243" s="66"/>
      <c r="AL243" s="66"/>
      <c r="AM243" s="66"/>
      <c r="AN243" s="66"/>
      <c r="AO243" s="66"/>
      <c r="AP243" s="66"/>
      <c r="AQ243" s="66"/>
      <c r="AR243" s="66"/>
      <c r="AS243" s="66"/>
      <c r="AT243" s="66"/>
      <c r="AU243" s="66"/>
      <c r="AV243" s="66"/>
      <c r="AW243" s="66"/>
      <c r="AX243" s="66"/>
      <c r="AY243" s="66"/>
      <c r="AZ243" s="66"/>
      <c r="BA243" s="66"/>
      <c r="BB243" s="66"/>
      <c r="BC243" s="66"/>
      <c r="BD243" s="66"/>
      <c r="BE243" s="66"/>
      <c r="BF243" s="66"/>
      <c r="BG243" s="66"/>
      <c r="BH243" s="66"/>
    </row>
    <row r="244" spans="1:60" x14ac:dyDescent="0.25">
      <c r="A244" s="66"/>
      <c r="J244" s="66"/>
      <c r="K244" s="66"/>
      <c r="L244" s="66"/>
      <c r="M244" s="66"/>
      <c r="N244" s="66"/>
      <c r="O244" s="66"/>
      <c r="P244" s="66"/>
      <c r="Q244" s="66"/>
      <c r="R244" s="66"/>
      <c r="S244" s="66"/>
      <c r="T244" s="66"/>
      <c r="U244" s="66"/>
      <c r="V244" s="66"/>
      <c r="W244" s="66"/>
      <c r="X244" s="66"/>
      <c r="Y244" s="66"/>
      <c r="Z244" s="66"/>
      <c r="AA244" s="66"/>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66"/>
      <c r="BC244" s="66"/>
      <c r="BD244" s="66"/>
      <c r="BE244" s="66"/>
      <c r="BF244" s="66"/>
      <c r="BG244" s="66"/>
      <c r="BH244" s="66"/>
    </row>
    <row r="245" spans="1:60" x14ac:dyDescent="0.25">
      <c r="A245" s="66"/>
    </row>
    <row r="246" spans="1:60" x14ac:dyDescent="0.25">
      <c r="A246" s="66"/>
    </row>
    <row r="247" spans="1:60" x14ac:dyDescent="0.25">
      <c r="A247" s="66"/>
    </row>
    <row r="248" spans="1:60" x14ac:dyDescent="0.25">
      <c r="A248" s="66"/>
    </row>
  </sheetData>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K55"/>
  <sheetViews>
    <sheetView topLeftCell="A7" zoomScale="90" zoomScaleNormal="90" workbookViewId="0">
      <selection activeCell="C6" sqref="C6"/>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66"/>
      <c r="B1" s="541" t="s">
        <v>218</v>
      </c>
      <c r="C1" s="541"/>
      <c r="D1" s="541"/>
      <c r="E1" s="66"/>
      <c r="F1" s="66"/>
      <c r="G1" s="66"/>
      <c r="H1" s="66"/>
      <c r="I1" s="66"/>
      <c r="J1" s="66"/>
      <c r="K1" s="66"/>
      <c r="L1" s="66"/>
      <c r="M1" s="66"/>
      <c r="N1" s="66"/>
      <c r="O1" s="66"/>
      <c r="P1" s="66"/>
      <c r="Q1" s="66"/>
      <c r="R1" s="66"/>
      <c r="S1" s="66"/>
      <c r="T1" s="66"/>
      <c r="U1" s="66"/>
      <c r="V1" s="66"/>
      <c r="W1" s="66"/>
      <c r="X1" s="66"/>
      <c r="Y1" s="66"/>
      <c r="Z1" s="66"/>
      <c r="AA1" s="66"/>
      <c r="AB1" s="66"/>
      <c r="AC1" s="66"/>
      <c r="AD1" s="66"/>
      <c r="AE1" s="66"/>
    </row>
    <row r="2" spans="1:37" x14ac:dyDescent="0.25">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row>
    <row r="3" spans="1:37" ht="25.5" x14ac:dyDescent="0.25">
      <c r="A3" s="66"/>
      <c r="B3" s="3"/>
      <c r="C3" s="4" t="s">
        <v>219</v>
      </c>
      <c r="D3" s="4" t="s">
        <v>193</v>
      </c>
      <c r="E3" s="66"/>
      <c r="F3" s="66"/>
      <c r="G3" s="66"/>
      <c r="H3" s="66"/>
      <c r="I3" s="66"/>
      <c r="J3" s="66"/>
      <c r="K3" s="66"/>
      <c r="L3" s="66"/>
      <c r="M3" s="66"/>
      <c r="N3" s="66"/>
      <c r="O3" s="66"/>
      <c r="P3" s="66"/>
      <c r="Q3" s="66"/>
      <c r="R3" s="66"/>
      <c r="S3" s="66"/>
      <c r="T3" s="66"/>
      <c r="U3" s="66"/>
      <c r="V3" s="66"/>
      <c r="W3" s="66"/>
      <c r="X3" s="66"/>
      <c r="Y3" s="66"/>
      <c r="Z3" s="66"/>
      <c r="AA3" s="66"/>
      <c r="AB3" s="66"/>
      <c r="AC3" s="66"/>
      <c r="AD3" s="66"/>
      <c r="AE3" s="66"/>
    </row>
    <row r="4" spans="1:37" ht="51" x14ac:dyDescent="0.25">
      <c r="A4" s="66"/>
      <c r="B4" s="5" t="s">
        <v>220</v>
      </c>
      <c r="C4" s="6" t="s">
        <v>221</v>
      </c>
      <c r="D4" s="7">
        <v>0.2</v>
      </c>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37" ht="51" x14ac:dyDescent="0.25">
      <c r="A5" s="66"/>
      <c r="B5" s="8" t="s">
        <v>222</v>
      </c>
      <c r="C5" s="9" t="s">
        <v>223</v>
      </c>
      <c r="D5" s="10">
        <v>0.4</v>
      </c>
      <c r="E5" s="66"/>
      <c r="F5" s="66"/>
      <c r="G5" s="66"/>
      <c r="H5" s="66"/>
      <c r="I5" s="66"/>
      <c r="J5" s="66"/>
      <c r="K5" s="66"/>
      <c r="L5" s="66"/>
      <c r="M5" s="66"/>
      <c r="N5" s="66"/>
      <c r="O5" s="66"/>
      <c r="P5" s="66"/>
      <c r="Q5" s="66"/>
      <c r="R5" s="66"/>
      <c r="S5" s="66"/>
      <c r="T5" s="66"/>
      <c r="U5" s="66"/>
      <c r="V5" s="66"/>
      <c r="W5" s="66"/>
      <c r="X5" s="66"/>
      <c r="Y5" s="66"/>
      <c r="Z5" s="66"/>
      <c r="AA5" s="66"/>
      <c r="AB5" s="66"/>
      <c r="AC5" s="66"/>
      <c r="AD5" s="66"/>
      <c r="AE5" s="66"/>
    </row>
    <row r="6" spans="1:37" ht="51" x14ac:dyDescent="0.25">
      <c r="A6" s="66"/>
      <c r="B6" s="11" t="s">
        <v>224</v>
      </c>
      <c r="C6" s="9" t="s">
        <v>225</v>
      </c>
      <c r="D6" s="10">
        <v>0.6</v>
      </c>
      <c r="E6" s="66"/>
      <c r="F6" s="66"/>
      <c r="G6" s="66"/>
      <c r="H6" s="66"/>
      <c r="I6" s="66"/>
      <c r="J6" s="66"/>
      <c r="K6" s="66"/>
      <c r="L6" s="66"/>
      <c r="M6" s="66"/>
      <c r="N6" s="66"/>
      <c r="O6" s="66"/>
      <c r="P6" s="66"/>
      <c r="Q6" s="66"/>
      <c r="R6" s="66"/>
      <c r="S6" s="66"/>
      <c r="T6" s="66"/>
      <c r="U6" s="66"/>
      <c r="V6" s="66"/>
      <c r="W6" s="66"/>
      <c r="X6" s="66"/>
      <c r="Y6" s="66"/>
      <c r="Z6" s="66"/>
      <c r="AA6" s="66"/>
      <c r="AB6" s="66"/>
      <c r="AC6" s="66"/>
      <c r="AD6" s="66"/>
      <c r="AE6" s="66"/>
    </row>
    <row r="7" spans="1:37" ht="76.5" x14ac:dyDescent="0.25">
      <c r="A7" s="66"/>
      <c r="B7" s="12" t="s">
        <v>226</v>
      </c>
      <c r="C7" s="9" t="s">
        <v>227</v>
      </c>
      <c r="D7" s="10">
        <v>0.8</v>
      </c>
      <c r="E7" s="66"/>
      <c r="F7" s="66"/>
      <c r="G7" s="66"/>
      <c r="H7" s="66"/>
      <c r="I7" s="66"/>
      <c r="J7" s="66"/>
      <c r="K7" s="66"/>
      <c r="L7" s="66"/>
      <c r="M7" s="66"/>
      <c r="N7" s="66"/>
      <c r="O7" s="66"/>
      <c r="P7" s="66"/>
      <c r="Q7" s="66"/>
      <c r="R7" s="66"/>
      <c r="S7" s="66"/>
      <c r="T7" s="66"/>
      <c r="U7" s="66"/>
      <c r="V7" s="66"/>
      <c r="W7" s="66"/>
      <c r="X7" s="66"/>
      <c r="Y7" s="66"/>
      <c r="Z7" s="66"/>
      <c r="AA7" s="66"/>
      <c r="AB7" s="66"/>
      <c r="AC7" s="66"/>
      <c r="AD7" s="66"/>
      <c r="AE7" s="66"/>
    </row>
    <row r="8" spans="1:37" ht="51" x14ac:dyDescent="0.25">
      <c r="A8" s="66"/>
      <c r="B8" s="13" t="s">
        <v>228</v>
      </c>
      <c r="C8" s="9" t="s">
        <v>229</v>
      </c>
      <c r="D8" s="10">
        <v>1</v>
      </c>
      <c r="E8" s="66"/>
      <c r="F8" s="66"/>
      <c r="G8" s="66"/>
      <c r="H8" s="66"/>
      <c r="I8" s="66"/>
      <c r="J8" s="66"/>
      <c r="K8" s="66"/>
      <c r="L8" s="66"/>
      <c r="M8" s="66"/>
      <c r="N8" s="66"/>
      <c r="O8" s="66"/>
      <c r="P8" s="66"/>
      <c r="Q8" s="66"/>
      <c r="R8" s="66"/>
      <c r="S8" s="66"/>
      <c r="T8" s="66"/>
      <c r="U8" s="66"/>
      <c r="V8" s="66"/>
      <c r="W8" s="66"/>
      <c r="X8" s="66"/>
      <c r="Y8" s="66"/>
      <c r="Z8" s="66"/>
      <c r="AA8" s="66"/>
      <c r="AB8" s="66"/>
      <c r="AC8" s="66"/>
      <c r="AD8" s="66"/>
      <c r="AE8" s="66"/>
    </row>
    <row r="9" spans="1:37" x14ac:dyDescent="0.25">
      <c r="A9" s="66"/>
      <c r="B9" s="88"/>
      <c r="C9" s="88"/>
      <c r="D9" s="88"/>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row>
    <row r="10" spans="1:37" ht="16.5" x14ac:dyDescent="0.25">
      <c r="A10" s="66"/>
      <c r="B10" s="89"/>
      <c r="C10" s="88"/>
      <c r="D10" s="88"/>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row>
    <row r="11" spans="1:37" x14ac:dyDescent="0.25">
      <c r="A11" s="66"/>
      <c r="B11" s="88"/>
      <c r="C11" s="88"/>
      <c r="D11" s="88"/>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row>
    <row r="12" spans="1:37" x14ac:dyDescent="0.25">
      <c r="A12" s="66"/>
      <c r="B12" s="88"/>
      <c r="C12" s="88"/>
      <c r="D12" s="88"/>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row>
    <row r="13" spans="1:37" x14ac:dyDescent="0.25">
      <c r="A13" s="66"/>
      <c r="B13" s="88"/>
      <c r="C13" s="88"/>
      <c r="D13" s="88"/>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row>
    <row r="14" spans="1:37" x14ac:dyDescent="0.25">
      <c r="A14" s="66"/>
      <c r="B14" s="88"/>
      <c r="C14" s="88"/>
      <c r="D14" s="88"/>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row>
    <row r="15" spans="1:37" x14ac:dyDescent="0.25">
      <c r="A15" s="66"/>
      <c r="B15" s="88"/>
      <c r="C15" s="88"/>
      <c r="D15" s="88"/>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row>
    <row r="16" spans="1:37" x14ac:dyDescent="0.25">
      <c r="A16" s="66"/>
      <c r="B16" s="88"/>
      <c r="C16" s="88"/>
      <c r="D16" s="88"/>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row>
    <row r="17" spans="1:37" x14ac:dyDescent="0.25">
      <c r="A17" s="66"/>
      <c r="B17" s="88"/>
      <c r="C17" s="88"/>
      <c r="D17" s="88"/>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row>
    <row r="18" spans="1:37" x14ac:dyDescent="0.25">
      <c r="A18" s="66"/>
      <c r="B18" s="88"/>
      <c r="C18" s="88"/>
      <c r="D18" s="88"/>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row>
    <row r="19" spans="1:37" x14ac:dyDescent="0.25">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row>
    <row r="20" spans="1:37" x14ac:dyDescent="0.25">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row>
    <row r="21" spans="1:37" x14ac:dyDescent="0.25">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row>
    <row r="22" spans="1:37" x14ac:dyDescent="0.25">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row>
    <row r="23" spans="1:37" x14ac:dyDescent="0.25">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row>
    <row r="24" spans="1:37" x14ac:dyDescent="0.25">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row>
    <row r="25" spans="1:37" x14ac:dyDescent="0.25">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row>
    <row r="26" spans="1:37" x14ac:dyDescent="0.25">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row>
    <row r="27" spans="1:37" x14ac:dyDescent="0.25">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row>
    <row r="28" spans="1:37" x14ac:dyDescent="0.25">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row>
    <row r="29" spans="1:37" x14ac:dyDescent="0.25">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row>
    <row r="30" spans="1:37" x14ac:dyDescent="0.25">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row>
    <row r="31" spans="1:37" x14ac:dyDescent="0.25">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row>
    <row r="32" spans="1:37" x14ac:dyDescent="0.25">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row>
    <row r="33" spans="1:31" x14ac:dyDescent="0.25">
      <c r="A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row>
    <row r="34" spans="1:31" x14ac:dyDescent="0.25">
      <c r="A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row>
    <row r="35" spans="1:31" x14ac:dyDescent="0.25">
      <c r="A35" s="66"/>
    </row>
    <row r="36" spans="1:31" x14ac:dyDescent="0.25">
      <c r="A36" s="66"/>
    </row>
    <row r="37" spans="1:31" x14ac:dyDescent="0.25">
      <c r="A37" s="66"/>
    </row>
    <row r="38" spans="1:31" x14ac:dyDescent="0.25">
      <c r="A38" s="66"/>
    </row>
    <row r="39" spans="1:31" x14ac:dyDescent="0.25">
      <c r="A39" s="66"/>
    </row>
    <row r="40" spans="1:31" x14ac:dyDescent="0.25">
      <c r="A40" s="66"/>
    </row>
    <row r="41" spans="1:31" x14ac:dyDescent="0.25">
      <c r="A41" s="66"/>
    </row>
    <row r="42" spans="1:31" x14ac:dyDescent="0.25">
      <c r="A42" s="66"/>
    </row>
    <row r="43" spans="1:31" x14ac:dyDescent="0.25">
      <c r="A43" s="66"/>
    </row>
    <row r="44" spans="1:31" x14ac:dyDescent="0.25">
      <c r="A44" s="66"/>
    </row>
    <row r="45" spans="1:31" x14ac:dyDescent="0.25">
      <c r="A45" s="66"/>
    </row>
    <row r="46" spans="1:31" x14ac:dyDescent="0.25">
      <c r="A46" s="66"/>
    </row>
    <row r="47" spans="1:31" x14ac:dyDescent="0.25">
      <c r="A47" s="66"/>
    </row>
    <row r="48" spans="1:31" x14ac:dyDescent="0.25">
      <c r="A48" s="66"/>
    </row>
    <row r="49" spans="1:1" x14ac:dyDescent="0.25">
      <c r="A49" s="66"/>
    </row>
    <row r="50" spans="1:1" x14ac:dyDescent="0.25">
      <c r="A50" s="66"/>
    </row>
    <row r="51" spans="1:1" x14ac:dyDescent="0.25">
      <c r="A51" s="66"/>
    </row>
    <row r="52" spans="1:1" x14ac:dyDescent="0.25">
      <c r="A52" s="66"/>
    </row>
    <row r="53" spans="1:1" x14ac:dyDescent="0.25">
      <c r="A53" s="66"/>
    </row>
    <row r="54" spans="1:1" x14ac:dyDescent="0.25">
      <c r="A54" s="66"/>
    </row>
    <row r="55" spans="1:1" x14ac:dyDescent="0.25">
      <c r="A55" s="66"/>
    </row>
  </sheetData>
  <mergeCells count="1">
    <mergeCell ref="B1:D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U233"/>
  <sheetViews>
    <sheetView zoomScale="50" zoomScaleNormal="50" workbookViewId="0">
      <selection activeCell="G8" sqref="G8"/>
    </sheetView>
  </sheetViews>
  <sheetFormatPr baseColWidth="10" defaultColWidth="11.42578125" defaultRowHeight="15" x14ac:dyDescent="0.25"/>
  <cols>
    <col min="1" max="1" width="5.28515625" customWidth="1"/>
    <col min="2" max="2" width="56.85546875" customWidth="1"/>
    <col min="3" max="3" width="75.140625" customWidth="1"/>
    <col min="4" max="4" width="87.5703125" customWidth="1"/>
    <col min="5" max="5" width="46.42578125" customWidth="1"/>
    <col min="6" max="6" width="23.42578125" style="114" customWidth="1"/>
    <col min="7" max="7" width="26.85546875" customWidth="1"/>
  </cols>
  <sheetData>
    <row r="2" spans="1:21" s="180" customFormat="1" ht="45.75" customHeight="1" x14ac:dyDescent="0.25">
      <c r="A2" s="178"/>
      <c r="B2" s="542" t="s">
        <v>230</v>
      </c>
      <c r="C2" s="542"/>
      <c r="D2" s="542"/>
      <c r="E2" s="542"/>
      <c r="F2" s="179"/>
      <c r="G2" s="178"/>
      <c r="H2" s="178"/>
      <c r="I2" s="178"/>
      <c r="J2" s="178"/>
      <c r="K2" s="178"/>
      <c r="L2" s="178"/>
      <c r="M2" s="178"/>
      <c r="N2" s="178"/>
      <c r="O2" s="178"/>
      <c r="P2" s="178"/>
      <c r="Q2" s="178"/>
      <c r="R2" s="178"/>
      <c r="S2" s="178"/>
      <c r="T2" s="178"/>
      <c r="U2" s="178"/>
    </row>
    <row r="3" spans="1:21" s="180" customFormat="1" ht="18.75" customHeight="1" x14ac:dyDescent="0.25">
      <c r="A3" s="178"/>
      <c r="B3" s="181"/>
      <c r="C3" s="178"/>
      <c r="D3" s="178"/>
      <c r="E3" s="178"/>
      <c r="F3" s="179"/>
      <c r="G3" s="178"/>
      <c r="H3" s="178"/>
      <c r="I3" s="178"/>
      <c r="J3" s="178"/>
      <c r="K3" s="178"/>
      <c r="L3" s="178"/>
      <c r="M3" s="178"/>
      <c r="N3" s="178"/>
      <c r="O3" s="178"/>
      <c r="P3" s="178"/>
      <c r="Q3" s="178"/>
      <c r="R3" s="178"/>
      <c r="S3" s="178"/>
      <c r="T3" s="178"/>
      <c r="U3" s="178"/>
    </row>
    <row r="4" spans="1:21" ht="67.5" customHeight="1" x14ac:dyDescent="0.25">
      <c r="A4" s="66"/>
      <c r="B4" s="106"/>
      <c r="C4" s="21" t="s">
        <v>231</v>
      </c>
      <c r="D4" s="21" t="s">
        <v>232</v>
      </c>
      <c r="E4" s="21" t="s">
        <v>233</v>
      </c>
      <c r="F4" s="112"/>
      <c r="G4" s="66"/>
      <c r="H4" s="66"/>
      <c r="I4" s="66"/>
      <c r="J4" s="66"/>
      <c r="K4" s="66"/>
      <c r="L4" s="66"/>
      <c r="M4" s="66"/>
      <c r="N4" s="66"/>
      <c r="O4" s="66"/>
      <c r="P4" s="66"/>
      <c r="Q4" s="66"/>
      <c r="R4" s="66"/>
      <c r="S4" s="66"/>
      <c r="T4" s="66"/>
      <c r="U4" s="66"/>
    </row>
    <row r="5" spans="1:21" ht="67.5" customHeight="1" x14ac:dyDescent="0.25">
      <c r="A5" s="86" t="s">
        <v>234</v>
      </c>
      <c r="B5" s="22" t="s">
        <v>235</v>
      </c>
      <c r="C5" s="27" t="s">
        <v>236</v>
      </c>
      <c r="D5" s="104" t="s">
        <v>237</v>
      </c>
      <c r="E5" s="230">
        <f>908526*130</f>
        <v>118108380</v>
      </c>
      <c r="F5" s="66"/>
      <c r="G5" s="66"/>
      <c r="H5" s="66"/>
      <c r="I5" s="66"/>
      <c r="J5" s="66"/>
      <c r="K5" s="66"/>
      <c r="L5" s="66"/>
      <c r="M5" s="66"/>
      <c r="N5" s="66"/>
      <c r="O5" s="66"/>
      <c r="P5" s="66"/>
      <c r="Q5" s="66"/>
      <c r="R5" s="66"/>
      <c r="S5" s="66"/>
      <c r="T5" s="66"/>
      <c r="U5" s="66"/>
    </row>
    <row r="6" spans="1:21" ht="129" customHeight="1" x14ac:dyDescent="0.25">
      <c r="A6" s="86" t="s">
        <v>238</v>
      </c>
      <c r="B6" s="23" t="s">
        <v>239</v>
      </c>
      <c r="C6" s="28" t="s">
        <v>240</v>
      </c>
      <c r="D6" s="105" t="s">
        <v>241</v>
      </c>
      <c r="E6" s="230">
        <f>908526*650</f>
        <v>590541900</v>
      </c>
      <c r="F6" s="66"/>
      <c r="G6" s="66"/>
      <c r="H6" s="66"/>
      <c r="I6" s="66"/>
      <c r="J6" s="66"/>
      <c r="K6" s="66"/>
      <c r="L6" s="66"/>
      <c r="M6" s="66"/>
      <c r="N6" s="66"/>
      <c r="O6" s="66"/>
      <c r="P6" s="66"/>
      <c r="Q6" s="66"/>
      <c r="R6" s="66"/>
      <c r="S6" s="66"/>
      <c r="T6" s="66"/>
      <c r="U6" s="66"/>
    </row>
    <row r="7" spans="1:21" ht="101.25" x14ac:dyDescent="0.25">
      <c r="A7" s="86" t="s">
        <v>208</v>
      </c>
      <c r="B7" s="24" t="s">
        <v>242</v>
      </c>
      <c r="C7" s="28" t="s">
        <v>243</v>
      </c>
      <c r="D7" s="105" t="s">
        <v>244</v>
      </c>
      <c r="E7" s="230">
        <f>908526*1300</f>
        <v>1181083800</v>
      </c>
      <c r="F7" s="66"/>
      <c r="G7" s="66"/>
      <c r="H7" s="66"/>
      <c r="I7" s="66"/>
      <c r="J7" s="66"/>
      <c r="K7" s="66"/>
      <c r="L7" s="66"/>
      <c r="M7" s="66"/>
      <c r="N7" s="66"/>
      <c r="O7" s="66"/>
      <c r="P7" s="66"/>
      <c r="Q7" s="66"/>
      <c r="R7" s="66"/>
      <c r="S7" s="66"/>
      <c r="T7" s="66"/>
      <c r="U7" s="66"/>
    </row>
    <row r="8" spans="1:21" ht="135" x14ac:dyDescent="0.25">
      <c r="A8" s="86" t="s">
        <v>245</v>
      </c>
      <c r="B8" s="25" t="s">
        <v>246</v>
      </c>
      <c r="C8" s="28" t="s">
        <v>247</v>
      </c>
      <c r="D8" s="105" t="s">
        <v>248</v>
      </c>
      <c r="E8" s="230">
        <f>908526*6500</f>
        <v>5905419000</v>
      </c>
      <c r="F8" s="66"/>
      <c r="G8" s="66"/>
      <c r="H8" s="66"/>
      <c r="I8" s="66"/>
      <c r="J8" s="66"/>
      <c r="K8" s="66"/>
      <c r="L8" s="66"/>
      <c r="M8" s="66"/>
      <c r="N8" s="66"/>
      <c r="O8" s="66"/>
      <c r="P8" s="66"/>
      <c r="Q8" s="66"/>
      <c r="R8" s="66"/>
      <c r="S8" s="66"/>
      <c r="T8" s="66"/>
      <c r="U8" s="66"/>
    </row>
    <row r="9" spans="1:21" ht="101.25" x14ac:dyDescent="0.25">
      <c r="A9" s="86" t="s">
        <v>249</v>
      </c>
      <c r="B9" s="26" t="s">
        <v>250</v>
      </c>
      <c r="C9" s="28" t="s">
        <v>251</v>
      </c>
      <c r="D9" s="105" t="s">
        <v>252</v>
      </c>
      <c r="E9" s="230"/>
      <c r="F9" s="107"/>
      <c r="G9" s="107"/>
      <c r="H9" s="66"/>
      <c r="I9" s="66"/>
      <c r="J9" s="66"/>
      <c r="K9" s="66"/>
      <c r="L9" s="66"/>
      <c r="M9" s="66"/>
      <c r="N9" s="66"/>
      <c r="O9" s="66"/>
      <c r="P9" s="66"/>
      <c r="Q9" s="66"/>
      <c r="R9" s="66"/>
      <c r="S9" s="66"/>
      <c r="T9" s="66"/>
      <c r="U9" s="66"/>
    </row>
    <row r="10" spans="1:21" s="110" customFormat="1" ht="20.25" hidden="1" x14ac:dyDescent="0.25">
      <c r="A10" s="108"/>
      <c r="B10" s="108"/>
      <c r="C10" s="109"/>
      <c r="D10" s="109"/>
      <c r="E10" s="108"/>
      <c r="F10" s="108"/>
      <c r="G10" s="108"/>
      <c r="H10" s="108"/>
      <c r="I10" s="108"/>
      <c r="J10" s="108"/>
      <c r="K10" s="108"/>
      <c r="L10" s="108"/>
      <c r="M10" s="108"/>
      <c r="N10" s="108"/>
      <c r="O10" s="108"/>
      <c r="P10" s="108"/>
      <c r="Q10" s="108"/>
      <c r="R10" s="108"/>
      <c r="S10" s="108"/>
      <c r="T10" s="108"/>
      <c r="U10" s="108"/>
    </row>
    <row r="11" spans="1:21" s="110" customFormat="1" ht="16.5" hidden="1" x14ac:dyDescent="0.25">
      <c r="A11" s="108"/>
      <c r="B11" s="111"/>
      <c r="C11" s="111"/>
      <c r="D11" s="111"/>
      <c r="E11" s="108"/>
      <c r="F11" s="108"/>
      <c r="G11" s="108"/>
      <c r="H11" s="108"/>
      <c r="I11" s="108"/>
      <c r="J11" s="108"/>
      <c r="K11" s="108"/>
      <c r="L11" s="108"/>
      <c r="M11" s="108"/>
      <c r="N11" s="108"/>
      <c r="O11" s="108"/>
      <c r="P11" s="108"/>
      <c r="Q11" s="108"/>
      <c r="R11" s="108"/>
      <c r="S11" s="108"/>
      <c r="T11" s="108"/>
      <c r="U11" s="108"/>
    </row>
    <row r="12" spans="1:21" s="110" customFormat="1" hidden="1" x14ac:dyDescent="0.25">
      <c r="A12" s="108"/>
      <c r="B12" s="108" t="s">
        <v>253</v>
      </c>
      <c r="C12" s="108" t="s">
        <v>254</v>
      </c>
      <c r="D12" s="108" t="s">
        <v>255</v>
      </c>
      <c r="E12" s="108"/>
      <c r="F12" s="108"/>
      <c r="G12" s="108"/>
      <c r="H12" s="108"/>
      <c r="I12" s="108"/>
      <c r="J12" s="108"/>
      <c r="K12" s="108"/>
      <c r="L12" s="108"/>
      <c r="M12" s="108"/>
      <c r="N12" s="108"/>
      <c r="O12" s="108"/>
      <c r="P12" s="108"/>
      <c r="Q12" s="108"/>
      <c r="R12" s="108"/>
      <c r="S12" s="108"/>
      <c r="T12" s="108"/>
      <c r="U12" s="108"/>
    </row>
    <row r="13" spans="1:21" s="110" customFormat="1" hidden="1" x14ac:dyDescent="0.25">
      <c r="A13" s="108"/>
      <c r="B13" s="108" t="s">
        <v>256</v>
      </c>
      <c r="C13" s="108" t="s">
        <v>257</v>
      </c>
      <c r="D13" s="108" t="s">
        <v>258</v>
      </c>
      <c r="E13" s="108"/>
      <c r="F13" s="108"/>
      <c r="G13" s="108"/>
      <c r="H13" s="108"/>
      <c r="I13" s="108"/>
      <c r="J13" s="108"/>
      <c r="K13" s="108"/>
      <c r="L13" s="108"/>
      <c r="M13" s="108"/>
      <c r="N13" s="108"/>
      <c r="O13" s="108"/>
      <c r="P13" s="108"/>
      <c r="Q13" s="108"/>
      <c r="R13" s="108"/>
      <c r="S13" s="108"/>
      <c r="T13" s="108"/>
      <c r="U13" s="108"/>
    </row>
    <row r="14" spans="1:21" s="110" customFormat="1" hidden="1" x14ac:dyDescent="0.25">
      <c r="A14" s="108"/>
      <c r="B14" s="108"/>
      <c r="C14" s="108" t="s">
        <v>259</v>
      </c>
      <c r="D14" s="108" t="s">
        <v>169</v>
      </c>
      <c r="E14" s="108"/>
      <c r="F14" s="108"/>
      <c r="G14" s="108"/>
      <c r="H14" s="108"/>
      <c r="I14" s="108"/>
      <c r="J14" s="108"/>
      <c r="K14" s="108"/>
      <c r="L14" s="108"/>
      <c r="M14" s="108"/>
      <c r="N14" s="108"/>
      <c r="O14" s="108"/>
      <c r="P14" s="108"/>
      <c r="Q14" s="108"/>
      <c r="R14" s="108"/>
      <c r="S14" s="108"/>
      <c r="T14" s="108"/>
      <c r="U14" s="108"/>
    </row>
    <row r="15" spans="1:21" s="110" customFormat="1" hidden="1" x14ac:dyDescent="0.25">
      <c r="A15" s="108"/>
      <c r="B15" s="108"/>
      <c r="C15" s="108" t="s">
        <v>260</v>
      </c>
      <c r="D15" s="108" t="s">
        <v>261</v>
      </c>
      <c r="E15" s="108"/>
      <c r="F15" s="108"/>
      <c r="G15" s="108"/>
      <c r="H15" s="108"/>
      <c r="I15" s="108"/>
      <c r="J15" s="108"/>
      <c r="K15" s="108"/>
      <c r="L15" s="108"/>
      <c r="M15" s="108"/>
      <c r="N15" s="108"/>
      <c r="O15" s="108"/>
      <c r="P15" s="108"/>
      <c r="Q15" s="108"/>
      <c r="R15" s="108"/>
      <c r="S15" s="108"/>
      <c r="T15" s="108"/>
      <c r="U15" s="108"/>
    </row>
    <row r="16" spans="1:21" s="110" customFormat="1" hidden="1" x14ac:dyDescent="0.25">
      <c r="A16" s="108"/>
      <c r="B16" s="108"/>
      <c r="C16" s="108" t="s">
        <v>262</v>
      </c>
      <c r="D16" s="108" t="s">
        <v>263</v>
      </c>
      <c r="E16" s="108"/>
      <c r="F16" s="108"/>
      <c r="G16" s="108"/>
      <c r="H16" s="108"/>
      <c r="I16" s="108"/>
      <c r="J16" s="108"/>
      <c r="K16" s="108"/>
      <c r="L16" s="108"/>
      <c r="M16" s="108"/>
      <c r="N16" s="108"/>
      <c r="O16" s="108"/>
      <c r="P16" s="108"/>
      <c r="Q16" s="108"/>
      <c r="R16" s="108"/>
      <c r="S16" s="108"/>
      <c r="T16" s="108"/>
      <c r="U16" s="108"/>
    </row>
    <row r="17" spans="1:15" s="110" customFormat="1" hidden="1" x14ac:dyDescent="0.25">
      <c r="A17" s="108"/>
      <c r="B17" s="108"/>
      <c r="C17" s="108"/>
      <c r="D17" s="108"/>
      <c r="E17" s="108"/>
      <c r="F17" s="108"/>
      <c r="G17" s="108"/>
      <c r="H17" s="108"/>
      <c r="I17" s="108"/>
      <c r="J17" s="108"/>
      <c r="K17" s="108"/>
      <c r="L17" s="108"/>
      <c r="M17" s="108"/>
      <c r="N17" s="108"/>
      <c r="O17" s="108"/>
    </row>
    <row r="18" spans="1:15" s="110" customFormat="1" x14ac:dyDescent="0.25">
      <c r="A18" s="108"/>
      <c r="B18" s="108"/>
      <c r="C18" s="108"/>
      <c r="D18" s="108"/>
      <c r="E18" s="108"/>
      <c r="F18" s="108"/>
      <c r="G18" s="108"/>
      <c r="H18" s="108"/>
      <c r="I18" s="108"/>
      <c r="J18" s="108"/>
      <c r="K18" s="108"/>
      <c r="L18" s="108"/>
      <c r="M18" s="108"/>
      <c r="N18" s="108"/>
      <c r="O18" s="108"/>
    </row>
    <row r="19" spans="1:15" s="110" customFormat="1" x14ac:dyDescent="0.25">
      <c r="A19" s="108"/>
      <c r="B19" s="108"/>
      <c r="C19" s="108"/>
      <c r="D19" s="108"/>
      <c r="E19" s="108"/>
      <c r="F19" s="108"/>
      <c r="G19" s="108"/>
      <c r="H19" s="108"/>
      <c r="I19" s="108"/>
      <c r="J19" s="108"/>
      <c r="K19" s="108"/>
      <c r="L19" s="108"/>
      <c r="M19" s="108"/>
      <c r="N19" s="108"/>
      <c r="O19" s="108"/>
    </row>
    <row r="20" spans="1:15" s="110" customFormat="1" x14ac:dyDescent="0.25">
      <c r="A20" s="108"/>
      <c r="B20" s="108"/>
      <c r="C20" s="108"/>
      <c r="D20" s="108"/>
      <c r="E20" s="108"/>
      <c r="F20" s="108"/>
      <c r="G20" s="108"/>
      <c r="H20" s="108"/>
      <c r="I20" s="108"/>
      <c r="J20" s="108"/>
      <c r="K20" s="108"/>
      <c r="L20" s="108"/>
      <c r="M20" s="108"/>
      <c r="N20" s="108"/>
      <c r="O20" s="108"/>
    </row>
    <row r="21" spans="1:15" s="110" customFormat="1" x14ac:dyDescent="0.25">
      <c r="A21" s="108"/>
      <c r="B21" s="108"/>
      <c r="C21" s="108"/>
      <c r="D21" s="108"/>
      <c r="E21" s="108"/>
      <c r="F21" s="113"/>
      <c r="G21" s="108"/>
      <c r="H21" s="108"/>
      <c r="I21" s="108"/>
      <c r="J21" s="108"/>
      <c r="K21" s="108"/>
      <c r="L21" s="108"/>
      <c r="M21" s="108"/>
      <c r="N21" s="108"/>
      <c r="O21" s="108"/>
    </row>
    <row r="22" spans="1:15" s="110" customFormat="1" x14ac:dyDescent="0.25">
      <c r="A22" s="108"/>
      <c r="B22" s="108"/>
      <c r="C22" s="108"/>
      <c r="D22" s="108"/>
      <c r="E22" s="108"/>
      <c r="F22" s="113"/>
      <c r="G22" s="108"/>
      <c r="H22" s="108"/>
      <c r="I22" s="108"/>
      <c r="J22" s="108"/>
      <c r="K22" s="108"/>
      <c r="L22" s="108"/>
      <c r="M22" s="108"/>
      <c r="N22" s="108"/>
      <c r="O22" s="108"/>
    </row>
    <row r="23" spans="1:15" s="110" customFormat="1" ht="20.25" x14ac:dyDescent="0.25">
      <c r="A23" s="108"/>
      <c r="B23" s="108"/>
      <c r="C23" s="109"/>
      <c r="D23" s="109"/>
      <c r="E23" s="108"/>
      <c r="F23" s="113"/>
      <c r="G23" s="108"/>
      <c r="H23" s="108"/>
      <c r="I23" s="108"/>
      <c r="J23" s="108"/>
      <c r="K23" s="108"/>
      <c r="L23" s="108"/>
      <c r="M23" s="108"/>
      <c r="N23" s="108"/>
      <c r="O23" s="108"/>
    </row>
    <row r="24" spans="1:15" s="110" customFormat="1" ht="20.25" x14ac:dyDescent="0.25">
      <c r="A24" s="108"/>
      <c r="B24" s="108"/>
      <c r="C24" s="109"/>
      <c r="D24" s="109"/>
      <c r="E24" s="108"/>
      <c r="F24" s="113"/>
      <c r="G24" s="108"/>
      <c r="H24" s="108"/>
      <c r="I24" s="108"/>
      <c r="J24" s="108"/>
      <c r="K24" s="108"/>
      <c r="L24" s="108"/>
      <c r="M24" s="108"/>
      <c r="N24" s="108"/>
      <c r="O24" s="108"/>
    </row>
    <row r="25" spans="1:15" s="110" customFormat="1" ht="20.25" x14ac:dyDescent="0.25">
      <c r="A25" s="108"/>
      <c r="B25" s="108"/>
      <c r="C25" s="109"/>
      <c r="D25" s="109"/>
      <c r="E25" s="108"/>
      <c r="F25" s="113"/>
      <c r="G25" s="108"/>
      <c r="H25" s="108"/>
      <c r="I25" s="108"/>
      <c r="J25" s="108"/>
      <c r="K25" s="108"/>
      <c r="L25" s="108"/>
      <c r="M25" s="108"/>
      <c r="N25" s="108"/>
      <c r="O25" s="108"/>
    </row>
    <row r="26" spans="1:15" s="110" customFormat="1" ht="20.25" x14ac:dyDescent="0.25">
      <c r="A26" s="108"/>
      <c r="B26" s="108"/>
      <c r="C26" s="109"/>
      <c r="D26" s="109"/>
      <c r="E26" s="108"/>
      <c r="F26" s="113"/>
      <c r="G26" s="108"/>
      <c r="H26" s="108"/>
      <c r="I26" s="108"/>
      <c r="J26" s="108"/>
      <c r="K26" s="108"/>
      <c r="L26" s="108"/>
      <c r="M26" s="108"/>
      <c r="N26" s="108"/>
      <c r="O26" s="108"/>
    </row>
    <row r="27" spans="1:15" s="110" customFormat="1" ht="20.25" x14ac:dyDescent="0.25">
      <c r="A27" s="108"/>
      <c r="B27" s="108"/>
      <c r="C27" s="109"/>
      <c r="D27" s="109"/>
      <c r="E27" s="108"/>
      <c r="F27" s="113"/>
      <c r="G27" s="108"/>
      <c r="H27" s="108"/>
      <c r="I27" s="108"/>
      <c r="J27" s="108"/>
      <c r="K27" s="108"/>
      <c r="L27" s="108"/>
      <c r="M27" s="108"/>
      <c r="N27" s="108"/>
      <c r="O27" s="108"/>
    </row>
    <row r="28" spans="1:15" s="110" customFormat="1" ht="20.25" x14ac:dyDescent="0.25">
      <c r="A28" s="108"/>
      <c r="B28" s="108"/>
      <c r="C28" s="109"/>
      <c r="D28" s="109"/>
      <c r="E28" s="108"/>
      <c r="F28" s="113"/>
      <c r="G28" s="108"/>
      <c r="H28" s="108"/>
      <c r="I28" s="108"/>
      <c r="J28" s="108"/>
      <c r="K28" s="108"/>
      <c r="L28" s="108"/>
      <c r="M28" s="108"/>
      <c r="N28" s="108"/>
      <c r="O28" s="108"/>
    </row>
    <row r="29" spans="1:15" s="110" customFormat="1" ht="20.25" x14ac:dyDescent="0.25">
      <c r="A29" s="108"/>
      <c r="B29" s="108"/>
      <c r="C29" s="109"/>
      <c r="D29" s="109"/>
      <c r="E29" s="108"/>
      <c r="F29" s="113"/>
      <c r="G29" s="108"/>
      <c r="H29" s="108"/>
      <c r="I29" s="108"/>
      <c r="J29" s="108"/>
      <c r="K29" s="108"/>
      <c r="L29" s="108"/>
      <c r="M29" s="108"/>
      <c r="N29" s="108"/>
      <c r="O29" s="108"/>
    </row>
    <row r="30" spans="1:15" s="110" customFormat="1" ht="20.25" x14ac:dyDescent="0.25">
      <c r="A30" s="108"/>
      <c r="B30" s="108"/>
      <c r="C30" s="109"/>
      <c r="D30" s="109"/>
      <c r="E30" s="108"/>
      <c r="F30" s="113"/>
      <c r="G30" s="108"/>
      <c r="H30" s="108"/>
      <c r="I30" s="108"/>
      <c r="J30" s="108"/>
      <c r="K30" s="108"/>
      <c r="L30" s="108"/>
      <c r="M30" s="108"/>
      <c r="N30" s="108"/>
      <c r="O30" s="108"/>
    </row>
    <row r="31" spans="1:15" s="110" customFormat="1" ht="20.25" x14ac:dyDescent="0.25">
      <c r="A31" s="108"/>
      <c r="B31" s="108"/>
      <c r="C31" s="109"/>
      <c r="D31" s="109"/>
      <c r="E31" s="108"/>
      <c r="F31" s="113"/>
      <c r="G31" s="108"/>
      <c r="H31" s="108"/>
      <c r="I31" s="108"/>
      <c r="J31" s="108"/>
      <c r="K31" s="108"/>
      <c r="L31" s="108"/>
      <c r="M31" s="108"/>
      <c r="N31" s="108"/>
      <c r="O31" s="108"/>
    </row>
    <row r="32" spans="1:15" s="110" customFormat="1" ht="20.25" x14ac:dyDescent="0.25">
      <c r="A32" s="108"/>
      <c r="B32" s="108"/>
      <c r="C32" s="109"/>
      <c r="D32" s="109"/>
      <c r="E32" s="108"/>
      <c r="F32" s="113"/>
      <c r="G32" s="108"/>
      <c r="H32" s="108"/>
      <c r="I32" s="108"/>
      <c r="J32" s="108"/>
      <c r="K32" s="108"/>
      <c r="L32" s="108"/>
      <c r="M32" s="108"/>
      <c r="N32" s="108"/>
      <c r="O32" s="108"/>
    </row>
    <row r="33" spans="1:15" s="110" customFormat="1" ht="20.25" x14ac:dyDescent="0.25">
      <c r="A33" s="108"/>
      <c r="B33" s="108"/>
      <c r="C33" s="109"/>
      <c r="D33" s="109"/>
      <c r="E33" s="108"/>
      <c r="F33" s="113"/>
      <c r="G33" s="108"/>
      <c r="H33" s="108"/>
      <c r="I33" s="108"/>
      <c r="J33" s="108"/>
      <c r="K33" s="108"/>
      <c r="L33" s="108"/>
      <c r="M33" s="108"/>
      <c r="N33" s="108"/>
      <c r="O33" s="108"/>
    </row>
    <row r="34" spans="1:15" s="110" customFormat="1" ht="20.25" x14ac:dyDescent="0.25">
      <c r="A34" s="108"/>
      <c r="B34" s="108"/>
      <c r="C34" s="109"/>
      <c r="D34" s="109"/>
      <c r="E34" s="108"/>
      <c r="F34" s="113"/>
      <c r="G34" s="108"/>
      <c r="H34" s="108"/>
      <c r="I34" s="108"/>
      <c r="J34" s="108"/>
      <c r="K34" s="108"/>
      <c r="L34" s="108"/>
      <c r="M34" s="108"/>
      <c r="N34" s="108"/>
      <c r="O34" s="108"/>
    </row>
    <row r="35" spans="1:15" s="110" customFormat="1" ht="20.25" x14ac:dyDescent="0.25">
      <c r="A35" s="108"/>
      <c r="B35" s="108"/>
      <c r="C35" s="109"/>
      <c r="D35" s="109"/>
      <c r="E35" s="108"/>
      <c r="F35" s="113"/>
      <c r="G35" s="108"/>
      <c r="H35" s="108"/>
      <c r="I35" s="108"/>
      <c r="J35" s="108"/>
      <c r="K35" s="108"/>
      <c r="L35" s="108"/>
      <c r="M35" s="108"/>
      <c r="N35" s="108"/>
      <c r="O35" s="108"/>
    </row>
    <row r="36" spans="1:15" s="110" customFormat="1" ht="20.25" x14ac:dyDescent="0.25">
      <c r="A36" s="108"/>
      <c r="B36" s="108"/>
      <c r="C36" s="109"/>
      <c r="D36" s="109"/>
      <c r="E36" s="108"/>
      <c r="F36" s="113"/>
      <c r="G36" s="108"/>
      <c r="H36" s="108"/>
      <c r="I36" s="108"/>
      <c r="J36" s="108"/>
      <c r="K36" s="108"/>
      <c r="L36" s="108"/>
      <c r="M36" s="108"/>
      <c r="N36" s="108"/>
      <c r="O36" s="108"/>
    </row>
    <row r="37" spans="1:15" s="110" customFormat="1" ht="20.25" x14ac:dyDescent="0.25">
      <c r="A37" s="108"/>
      <c r="B37" s="108"/>
      <c r="C37" s="109"/>
      <c r="D37" s="109"/>
      <c r="E37" s="108"/>
      <c r="F37" s="113"/>
      <c r="G37" s="108"/>
      <c r="H37" s="108"/>
      <c r="I37" s="108"/>
      <c r="J37" s="108"/>
      <c r="K37" s="108"/>
      <c r="L37" s="108"/>
      <c r="M37" s="108"/>
      <c r="N37" s="108"/>
      <c r="O37" s="108"/>
    </row>
    <row r="38" spans="1:15" s="110" customFormat="1" ht="20.25" x14ac:dyDescent="0.25">
      <c r="A38" s="108"/>
      <c r="B38" s="108"/>
      <c r="C38" s="109"/>
      <c r="D38" s="109"/>
      <c r="E38" s="108"/>
      <c r="F38" s="113"/>
      <c r="G38" s="108"/>
      <c r="H38" s="108"/>
      <c r="I38" s="108"/>
      <c r="J38" s="108"/>
      <c r="K38" s="108"/>
      <c r="L38" s="108"/>
      <c r="M38" s="108"/>
      <c r="N38" s="108"/>
      <c r="O38" s="108"/>
    </row>
    <row r="39" spans="1:15" s="110" customFormat="1" ht="20.25" x14ac:dyDescent="0.25">
      <c r="A39" s="108"/>
      <c r="B39" s="108"/>
      <c r="C39" s="109"/>
      <c r="D39" s="109"/>
      <c r="E39" s="108"/>
      <c r="F39" s="113"/>
      <c r="G39" s="108"/>
      <c r="H39" s="108"/>
      <c r="I39" s="108"/>
      <c r="J39" s="108"/>
      <c r="K39" s="108"/>
      <c r="L39" s="108"/>
      <c r="M39" s="108"/>
      <c r="N39" s="108"/>
      <c r="O39" s="108"/>
    </row>
    <row r="40" spans="1:15" s="110" customFormat="1" ht="20.25" x14ac:dyDescent="0.25">
      <c r="A40" s="108"/>
      <c r="B40" s="108"/>
      <c r="C40" s="109"/>
      <c r="D40" s="109"/>
      <c r="E40" s="108"/>
      <c r="F40" s="113"/>
      <c r="G40" s="108"/>
      <c r="H40" s="108"/>
      <c r="I40" s="108"/>
      <c r="J40" s="108"/>
      <c r="K40" s="108"/>
      <c r="L40" s="108"/>
      <c r="M40" s="108"/>
      <c r="N40" s="108"/>
      <c r="O40" s="108"/>
    </row>
    <row r="41" spans="1:15" s="110" customFormat="1" ht="20.25" x14ac:dyDescent="0.25">
      <c r="A41" s="108"/>
      <c r="B41" s="108"/>
      <c r="C41" s="109"/>
      <c r="D41" s="109"/>
      <c r="E41" s="108"/>
      <c r="F41" s="113"/>
      <c r="G41" s="108"/>
      <c r="H41" s="108"/>
      <c r="I41" s="108"/>
      <c r="J41" s="108"/>
      <c r="K41" s="108"/>
      <c r="L41" s="108"/>
      <c r="M41" s="108"/>
      <c r="N41" s="108"/>
      <c r="O41" s="108"/>
    </row>
    <row r="42" spans="1:15" s="110" customFormat="1" ht="20.25" x14ac:dyDescent="0.25">
      <c r="A42" s="108"/>
      <c r="B42" s="108"/>
      <c r="C42" s="109"/>
      <c r="D42" s="109"/>
      <c r="E42" s="108"/>
      <c r="F42" s="113"/>
      <c r="G42" s="108"/>
      <c r="H42" s="108"/>
      <c r="I42" s="108"/>
      <c r="J42" s="108"/>
      <c r="K42" s="108"/>
      <c r="L42" s="108"/>
      <c r="M42" s="108"/>
      <c r="N42" s="108"/>
      <c r="O42" s="108"/>
    </row>
    <row r="43" spans="1:15" s="110" customFormat="1" ht="20.25" x14ac:dyDescent="0.25">
      <c r="A43" s="108"/>
      <c r="B43" s="108"/>
      <c r="C43" s="109"/>
      <c r="D43" s="109"/>
      <c r="E43" s="108"/>
      <c r="F43" s="113"/>
      <c r="G43" s="108"/>
      <c r="H43" s="108"/>
      <c r="I43" s="108"/>
      <c r="J43" s="108"/>
      <c r="K43" s="108"/>
      <c r="L43" s="108"/>
      <c r="M43" s="108"/>
      <c r="N43" s="108"/>
      <c r="O43" s="108"/>
    </row>
    <row r="44" spans="1:15" s="110" customFormat="1" ht="20.25" x14ac:dyDescent="0.25">
      <c r="A44" s="108"/>
      <c r="B44" s="108"/>
      <c r="C44" s="109"/>
      <c r="D44" s="109"/>
      <c r="E44" s="108"/>
      <c r="F44" s="113"/>
      <c r="G44" s="108"/>
      <c r="H44" s="108"/>
      <c r="I44" s="108"/>
      <c r="J44" s="108"/>
      <c r="K44" s="108"/>
      <c r="L44" s="108"/>
      <c r="M44" s="108"/>
      <c r="N44" s="108"/>
      <c r="O44" s="108"/>
    </row>
    <row r="45" spans="1:15" s="110" customFormat="1" ht="20.25" x14ac:dyDescent="0.25">
      <c r="A45" s="108"/>
      <c r="B45" s="108"/>
      <c r="C45" s="109"/>
      <c r="D45" s="109"/>
      <c r="E45" s="108"/>
      <c r="F45" s="113"/>
      <c r="G45" s="108"/>
      <c r="H45" s="108"/>
      <c r="I45" s="108"/>
      <c r="J45" s="108"/>
      <c r="K45" s="108"/>
      <c r="L45" s="108"/>
      <c r="M45" s="108"/>
      <c r="N45" s="108"/>
      <c r="O45" s="108"/>
    </row>
    <row r="46" spans="1:15" s="110" customFormat="1" ht="20.25" x14ac:dyDescent="0.25">
      <c r="A46" s="108"/>
      <c r="B46" s="108"/>
      <c r="C46" s="109"/>
      <c r="D46" s="109"/>
      <c r="E46" s="108"/>
      <c r="F46" s="113"/>
      <c r="G46" s="108"/>
      <c r="H46" s="108"/>
      <c r="I46" s="108"/>
      <c r="J46" s="108"/>
      <c r="K46" s="108"/>
      <c r="L46" s="108"/>
      <c r="M46" s="108"/>
      <c r="N46" s="108"/>
      <c r="O46" s="108"/>
    </row>
    <row r="47" spans="1:15" ht="20.25" x14ac:dyDescent="0.25">
      <c r="A47" s="86"/>
      <c r="B47" s="86"/>
      <c r="C47" s="87"/>
      <c r="D47" s="87"/>
      <c r="E47" s="66"/>
      <c r="F47" s="112"/>
      <c r="G47" s="66"/>
      <c r="H47" s="66"/>
      <c r="I47" s="66"/>
      <c r="J47" s="66"/>
      <c r="K47" s="66"/>
      <c r="L47" s="66"/>
      <c r="M47" s="66"/>
      <c r="N47" s="66"/>
      <c r="O47" s="66"/>
    </row>
    <row r="48" spans="1:15" ht="20.25" x14ac:dyDescent="0.25">
      <c r="A48" s="86"/>
      <c r="B48" s="86"/>
      <c r="C48" s="87"/>
      <c r="D48" s="87"/>
      <c r="E48" s="66"/>
      <c r="F48" s="112"/>
      <c r="G48" s="66"/>
      <c r="H48" s="66"/>
      <c r="I48" s="66"/>
      <c r="J48" s="66"/>
      <c r="K48" s="66"/>
      <c r="L48" s="66"/>
      <c r="M48" s="66"/>
      <c r="N48" s="66"/>
      <c r="O48" s="66"/>
    </row>
    <row r="49" spans="1:15" ht="20.25" x14ac:dyDescent="0.25">
      <c r="A49" s="86"/>
      <c r="B49" s="86"/>
      <c r="C49" s="87"/>
      <c r="D49" s="87"/>
      <c r="E49" s="66"/>
      <c r="F49" s="112"/>
      <c r="G49" s="66"/>
      <c r="H49" s="66"/>
      <c r="I49" s="66"/>
      <c r="J49" s="66"/>
      <c r="K49" s="66"/>
      <c r="L49" s="66"/>
      <c r="M49" s="66"/>
      <c r="N49" s="66"/>
      <c r="O49" s="66"/>
    </row>
    <row r="50" spans="1:15" ht="20.25" x14ac:dyDescent="0.25">
      <c r="A50" s="86"/>
      <c r="B50" s="86"/>
      <c r="C50" s="87"/>
      <c r="D50" s="87"/>
      <c r="E50" s="66"/>
      <c r="F50" s="112"/>
      <c r="G50" s="66"/>
      <c r="H50" s="66"/>
      <c r="I50" s="66"/>
      <c r="J50" s="66"/>
      <c r="K50" s="66"/>
      <c r="L50" s="66"/>
      <c r="M50" s="66"/>
      <c r="N50" s="66"/>
      <c r="O50" s="66"/>
    </row>
    <row r="51" spans="1:15" ht="20.25" x14ac:dyDescent="0.25">
      <c r="A51" s="86"/>
      <c r="B51" s="86"/>
      <c r="C51" s="87"/>
      <c r="D51" s="87"/>
      <c r="E51" s="66"/>
      <c r="F51" s="112"/>
      <c r="G51" s="66"/>
      <c r="H51" s="66"/>
      <c r="I51" s="66"/>
      <c r="J51" s="66"/>
      <c r="K51" s="66"/>
      <c r="L51" s="66"/>
      <c r="M51" s="66"/>
      <c r="N51" s="66"/>
      <c r="O51" s="66"/>
    </row>
    <row r="52" spans="1:15" ht="20.25" x14ac:dyDescent="0.25">
      <c r="A52" s="86"/>
      <c r="B52" s="86"/>
      <c r="C52" s="87"/>
      <c r="D52" s="87"/>
      <c r="E52" s="66"/>
      <c r="F52" s="112"/>
      <c r="G52" s="66"/>
      <c r="H52" s="66"/>
      <c r="I52" s="66"/>
      <c r="J52" s="66"/>
      <c r="K52" s="66"/>
      <c r="L52" s="66"/>
      <c r="M52" s="66"/>
      <c r="N52" s="66"/>
      <c r="O52" s="66"/>
    </row>
    <row r="53" spans="1:15" ht="20.25" x14ac:dyDescent="0.25">
      <c r="A53" s="86"/>
      <c r="B53" s="15"/>
      <c r="C53" s="20"/>
      <c r="D53" s="20"/>
    </row>
    <row r="54" spans="1:15" ht="20.25" x14ac:dyDescent="0.25">
      <c r="A54" s="86"/>
      <c r="B54" s="15"/>
      <c r="C54" s="20"/>
      <c r="D54" s="20"/>
    </row>
    <row r="55" spans="1:15" ht="20.25" x14ac:dyDescent="0.25">
      <c r="A55" s="86"/>
      <c r="B55" s="15"/>
      <c r="C55" s="20"/>
      <c r="D55" s="20"/>
    </row>
    <row r="56" spans="1:15" ht="20.25" x14ac:dyDescent="0.25">
      <c r="A56" s="86"/>
      <c r="B56" s="15"/>
      <c r="C56" s="20"/>
      <c r="D56" s="20"/>
    </row>
    <row r="57" spans="1:15" ht="20.25" x14ac:dyDescent="0.25">
      <c r="A57" s="86"/>
      <c r="B57" s="15"/>
      <c r="C57" s="20"/>
      <c r="D57" s="20"/>
    </row>
    <row r="58" spans="1:15" ht="20.25" x14ac:dyDescent="0.25">
      <c r="A58" s="86"/>
      <c r="B58" s="15"/>
      <c r="C58" s="20"/>
      <c r="D58" s="20"/>
    </row>
    <row r="59" spans="1:15" ht="20.25" x14ac:dyDescent="0.25">
      <c r="A59" s="86"/>
      <c r="B59" s="15"/>
      <c r="C59" s="20"/>
      <c r="D59" s="20"/>
    </row>
    <row r="60" spans="1:15" ht="20.25" x14ac:dyDescent="0.25">
      <c r="A60" s="86"/>
      <c r="B60" s="15"/>
      <c r="C60" s="20"/>
      <c r="D60" s="20"/>
    </row>
    <row r="61" spans="1:15" ht="20.25" x14ac:dyDescent="0.25">
      <c r="A61" s="86"/>
      <c r="B61" s="15"/>
      <c r="C61" s="20"/>
      <c r="D61" s="20"/>
    </row>
    <row r="62" spans="1:15" ht="20.25" x14ac:dyDescent="0.25">
      <c r="A62" s="86"/>
      <c r="B62" s="15"/>
      <c r="C62" s="20"/>
      <c r="D62" s="20"/>
    </row>
    <row r="63" spans="1:15" ht="20.25" x14ac:dyDescent="0.25">
      <c r="A63" s="86"/>
      <c r="B63" s="15"/>
      <c r="C63" s="20"/>
      <c r="D63" s="20"/>
    </row>
    <row r="64" spans="1:15" ht="20.25" x14ac:dyDescent="0.25">
      <c r="A64" s="86"/>
      <c r="B64" s="15"/>
      <c r="C64" s="20"/>
      <c r="D64" s="20"/>
    </row>
    <row r="65" spans="1:4" ht="20.25" x14ac:dyDescent="0.25">
      <c r="A65" s="86"/>
      <c r="B65" s="15"/>
      <c r="C65" s="20"/>
      <c r="D65" s="20"/>
    </row>
    <row r="66" spans="1:4" ht="20.25" x14ac:dyDescent="0.25">
      <c r="A66" s="86"/>
      <c r="B66" s="15"/>
      <c r="C66" s="20"/>
      <c r="D66" s="20"/>
    </row>
    <row r="67" spans="1:4" ht="20.25" x14ac:dyDescent="0.25">
      <c r="A67" s="86"/>
      <c r="B67" s="15"/>
      <c r="C67" s="20"/>
      <c r="D67" s="20"/>
    </row>
    <row r="68" spans="1:4" ht="20.25" x14ac:dyDescent="0.25">
      <c r="A68" s="86"/>
      <c r="B68" s="15"/>
      <c r="C68" s="20"/>
      <c r="D68" s="20"/>
    </row>
    <row r="69" spans="1:4" ht="20.25" x14ac:dyDescent="0.25">
      <c r="A69" s="86"/>
      <c r="B69" s="15"/>
      <c r="C69" s="20"/>
      <c r="D69" s="20"/>
    </row>
    <row r="70" spans="1:4" ht="20.25" x14ac:dyDescent="0.25">
      <c r="A70" s="86"/>
      <c r="B70" s="15"/>
      <c r="C70" s="20"/>
      <c r="D70" s="20"/>
    </row>
    <row r="71" spans="1:4" ht="20.25" x14ac:dyDescent="0.25">
      <c r="A71" s="86"/>
      <c r="B71" s="15"/>
      <c r="C71" s="20"/>
      <c r="D71" s="20"/>
    </row>
    <row r="72" spans="1:4" ht="20.25" x14ac:dyDescent="0.25">
      <c r="A72" s="86"/>
      <c r="B72" s="15"/>
      <c r="C72" s="20"/>
      <c r="D72" s="20"/>
    </row>
    <row r="73" spans="1:4" ht="20.25" x14ac:dyDescent="0.25">
      <c r="A73" s="86"/>
      <c r="B73" s="15"/>
      <c r="C73" s="20"/>
      <c r="D73" s="20"/>
    </row>
    <row r="74" spans="1:4" ht="20.25" x14ac:dyDescent="0.25">
      <c r="A74" s="86"/>
      <c r="B74" s="15"/>
      <c r="C74" s="20"/>
      <c r="D74" s="20"/>
    </row>
    <row r="75" spans="1:4" ht="20.25" x14ac:dyDescent="0.25">
      <c r="A75" s="86"/>
      <c r="B75" s="15"/>
      <c r="C75" s="20"/>
      <c r="D75" s="20"/>
    </row>
    <row r="76" spans="1:4" ht="20.25" x14ac:dyDescent="0.25">
      <c r="A76" s="86"/>
      <c r="B76" s="15"/>
      <c r="C76" s="20"/>
      <c r="D76" s="20"/>
    </row>
    <row r="77" spans="1:4" ht="20.25" x14ac:dyDescent="0.25">
      <c r="A77" s="86"/>
      <c r="B77" s="15"/>
      <c r="C77" s="20"/>
      <c r="D77" s="20"/>
    </row>
    <row r="78" spans="1:4" ht="20.25" x14ac:dyDescent="0.25">
      <c r="A78" s="86"/>
      <c r="B78" s="15"/>
      <c r="C78" s="20"/>
      <c r="D78" s="20"/>
    </row>
    <row r="79" spans="1:4" ht="20.25" x14ac:dyDescent="0.25">
      <c r="A79" s="86"/>
      <c r="B79" s="15"/>
      <c r="C79" s="20"/>
      <c r="D79" s="20"/>
    </row>
    <row r="80" spans="1:4" ht="20.25" x14ac:dyDescent="0.25">
      <c r="A80" s="86"/>
      <c r="B80" s="15"/>
      <c r="C80" s="20"/>
      <c r="D80" s="20"/>
    </row>
    <row r="81" spans="1:4" ht="20.25" x14ac:dyDescent="0.25">
      <c r="A81" s="86"/>
      <c r="B81" s="15"/>
      <c r="C81" s="20"/>
      <c r="D81" s="20"/>
    </row>
    <row r="82" spans="1:4" ht="20.25" x14ac:dyDescent="0.25">
      <c r="A82" s="86"/>
      <c r="B82" s="15"/>
      <c r="C82" s="20"/>
      <c r="D82" s="20"/>
    </row>
    <row r="83" spans="1:4" ht="20.25" x14ac:dyDescent="0.25">
      <c r="A83" s="86"/>
      <c r="B83" s="15"/>
      <c r="C83" s="20"/>
      <c r="D83" s="20"/>
    </row>
    <row r="84" spans="1:4" ht="20.25" x14ac:dyDescent="0.25">
      <c r="A84" s="86"/>
      <c r="B84" s="15"/>
      <c r="C84" s="20"/>
      <c r="D84" s="20"/>
    </row>
    <row r="85" spans="1:4" ht="20.25" x14ac:dyDescent="0.25">
      <c r="A85" s="86"/>
      <c r="B85" s="15"/>
      <c r="C85" s="20"/>
      <c r="D85" s="20"/>
    </row>
    <row r="86" spans="1:4" ht="20.25" x14ac:dyDescent="0.25">
      <c r="A86" s="86"/>
      <c r="B86" s="15"/>
      <c r="C86" s="20"/>
      <c r="D86" s="20"/>
    </row>
    <row r="87" spans="1:4" ht="20.25" x14ac:dyDescent="0.25">
      <c r="A87" s="86"/>
      <c r="B87" s="15"/>
      <c r="C87" s="20"/>
      <c r="D87" s="20"/>
    </row>
    <row r="88" spans="1:4" ht="20.25" x14ac:dyDescent="0.25">
      <c r="A88" s="86"/>
      <c r="B88" s="15"/>
      <c r="C88" s="20"/>
      <c r="D88" s="20"/>
    </row>
    <row r="89" spans="1:4" ht="20.25" x14ac:dyDescent="0.25">
      <c r="A89" s="86"/>
      <c r="B89" s="15"/>
      <c r="C89" s="20"/>
      <c r="D89" s="20"/>
    </row>
    <row r="90" spans="1:4" ht="20.25" x14ac:dyDescent="0.25">
      <c r="A90" s="86"/>
      <c r="B90" s="15"/>
      <c r="C90" s="20"/>
      <c r="D90" s="20"/>
    </row>
    <row r="91" spans="1:4" ht="20.25" x14ac:dyDescent="0.25">
      <c r="A91" s="86"/>
      <c r="B91" s="15"/>
      <c r="C91" s="20"/>
      <c r="D91" s="20"/>
    </row>
    <row r="92" spans="1:4" ht="20.25" x14ac:dyDescent="0.25">
      <c r="A92" s="86"/>
      <c r="B92" s="15"/>
      <c r="C92" s="20"/>
      <c r="D92" s="20"/>
    </row>
    <row r="93" spans="1:4" ht="20.25" x14ac:dyDescent="0.25">
      <c r="A93" s="86"/>
      <c r="B93" s="15"/>
      <c r="C93" s="20"/>
      <c r="D93" s="20"/>
    </row>
    <row r="94" spans="1:4" ht="20.25" x14ac:dyDescent="0.25">
      <c r="A94" s="86"/>
      <c r="B94" s="15"/>
      <c r="C94" s="20"/>
      <c r="D94" s="20"/>
    </row>
    <row r="95" spans="1:4" ht="20.25" x14ac:dyDescent="0.25">
      <c r="A95" s="86"/>
      <c r="B95" s="15"/>
      <c r="C95" s="20"/>
      <c r="D95" s="20"/>
    </row>
    <row r="96" spans="1:4" ht="20.25" x14ac:dyDescent="0.25">
      <c r="A96" s="86"/>
      <c r="B96" s="15"/>
      <c r="C96" s="20"/>
      <c r="D96" s="20"/>
    </row>
    <row r="97" spans="1:4" ht="20.25" x14ac:dyDescent="0.25">
      <c r="A97" s="86"/>
      <c r="B97" s="15"/>
      <c r="C97" s="20"/>
      <c r="D97" s="20"/>
    </row>
    <row r="98" spans="1:4" ht="20.25" x14ac:dyDescent="0.25">
      <c r="A98" s="86"/>
      <c r="B98" s="15"/>
      <c r="C98" s="20"/>
      <c r="D98" s="20"/>
    </row>
    <row r="99" spans="1:4" ht="20.25" x14ac:dyDescent="0.25">
      <c r="A99" s="86"/>
      <c r="B99" s="15"/>
      <c r="C99" s="20"/>
      <c r="D99" s="20"/>
    </row>
    <row r="100" spans="1:4" ht="20.25" x14ac:dyDescent="0.25">
      <c r="A100" s="86"/>
      <c r="B100" s="15"/>
      <c r="C100" s="20"/>
      <c r="D100" s="20"/>
    </row>
    <row r="101" spans="1:4" ht="20.25" x14ac:dyDescent="0.25">
      <c r="A101" s="86"/>
      <c r="B101" s="15"/>
      <c r="C101" s="20"/>
      <c r="D101" s="20"/>
    </row>
    <row r="102" spans="1:4" ht="20.25" x14ac:dyDescent="0.25">
      <c r="A102" s="86"/>
      <c r="B102" s="15"/>
      <c r="C102" s="20"/>
      <c r="D102" s="20"/>
    </row>
    <row r="103" spans="1:4" ht="20.25" x14ac:dyDescent="0.25">
      <c r="A103" s="86"/>
      <c r="B103" s="15"/>
      <c r="C103" s="20"/>
      <c r="D103" s="20"/>
    </row>
    <row r="104" spans="1:4" ht="20.25" x14ac:dyDescent="0.25">
      <c r="A104" s="86"/>
      <c r="B104" s="15"/>
      <c r="C104" s="20"/>
      <c r="D104" s="20"/>
    </row>
    <row r="105" spans="1:4" ht="20.25" x14ac:dyDescent="0.25">
      <c r="A105" s="86"/>
      <c r="B105" s="15"/>
      <c r="C105" s="20"/>
      <c r="D105" s="20"/>
    </row>
    <row r="106" spans="1:4" ht="20.25" x14ac:dyDescent="0.25">
      <c r="A106" s="86"/>
      <c r="B106" s="15"/>
      <c r="C106" s="20"/>
      <c r="D106" s="20"/>
    </row>
    <row r="107" spans="1:4" ht="20.25" x14ac:dyDescent="0.25">
      <c r="A107" s="86"/>
      <c r="B107" s="15"/>
      <c r="C107" s="20"/>
      <c r="D107" s="20"/>
    </row>
    <row r="108" spans="1:4" ht="20.25" x14ac:dyDescent="0.25">
      <c r="A108" s="86"/>
      <c r="B108" s="15"/>
      <c r="C108" s="20"/>
      <c r="D108" s="20"/>
    </row>
    <row r="109" spans="1:4" ht="20.25" x14ac:dyDescent="0.25">
      <c r="A109" s="86"/>
      <c r="B109" s="15"/>
      <c r="C109" s="20"/>
      <c r="D109" s="20"/>
    </row>
    <row r="110" spans="1:4" ht="20.25" x14ac:dyDescent="0.25">
      <c r="A110" s="86"/>
      <c r="B110" s="15"/>
      <c r="C110" s="20"/>
      <c r="D110" s="20"/>
    </row>
    <row r="111" spans="1:4" ht="20.25" x14ac:dyDescent="0.25">
      <c r="A111" s="86"/>
      <c r="B111" s="15"/>
      <c r="C111" s="20"/>
      <c r="D111" s="20"/>
    </row>
    <row r="112" spans="1:4" ht="20.25" x14ac:dyDescent="0.25">
      <c r="A112" s="86"/>
      <c r="B112" s="15"/>
      <c r="C112" s="20"/>
      <c r="D112" s="20"/>
    </row>
    <row r="113" spans="1:4" ht="20.25" x14ac:dyDescent="0.25">
      <c r="A113" s="86"/>
      <c r="B113" s="15"/>
      <c r="C113" s="20"/>
      <c r="D113" s="20"/>
    </row>
    <row r="114" spans="1:4" ht="20.25" x14ac:dyDescent="0.25">
      <c r="A114" s="86"/>
      <c r="B114" s="15"/>
      <c r="C114" s="20"/>
      <c r="D114" s="20"/>
    </row>
    <row r="115" spans="1:4" ht="20.25" x14ac:dyDescent="0.25">
      <c r="A115" s="86"/>
      <c r="B115" s="15"/>
      <c r="C115" s="20"/>
      <c r="D115" s="20"/>
    </row>
    <row r="116" spans="1:4" ht="20.25" x14ac:dyDescent="0.25">
      <c r="A116" s="86"/>
      <c r="B116" s="15"/>
      <c r="C116" s="20"/>
      <c r="D116" s="20"/>
    </row>
    <row r="117" spans="1:4" ht="20.25" x14ac:dyDescent="0.25">
      <c r="A117" s="86"/>
      <c r="B117" s="15"/>
      <c r="C117" s="20"/>
      <c r="D117" s="20"/>
    </row>
    <row r="118" spans="1:4" ht="20.25" x14ac:dyDescent="0.25">
      <c r="A118" s="86"/>
      <c r="B118" s="15"/>
      <c r="C118" s="20"/>
      <c r="D118" s="20"/>
    </row>
    <row r="119" spans="1:4" ht="20.25" x14ac:dyDescent="0.25">
      <c r="A119" s="86"/>
      <c r="B119" s="15"/>
      <c r="C119" s="20"/>
      <c r="D119" s="20"/>
    </row>
    <row r="120" spans="1:4" ht="20.25" x14ac:dyDescent="0.25">
      <c r="A120" s="86"/>
      <c r="B120" s="15"/>
      <c r="C120" s="20"/>
      <c r="D120" s="20"/>
    </row>
    <row r="121" spans="1:4" ht="20.25" x14ac:dyDescent="0.25">
      <c r="A121" s="86"/>
      <c r="B121" s="15"/>
      <c r="C121" s="20"/>
      <c r="D121" s="20"/>
    </row>
    <row r="122" spans="1:4" ht="20.25" x14ac:dyDescent="0.25">
      <c r="A122" s="86"/>
      <c r="B122" s="15"/>
      <c r="C122" s="20"/>
      <c r="D122" s="20"/>
    </row>
    <row r="123" spans="1:4" ht="20.25" x14ac:dyDescent="0.25">
      <c r="A123" s="86"/>
      <c r="B123" s="15"/>
      <c r="C123" s="20"/>
      <c r="D123" s="20"/>
    </row>
    <row r="124" spans="1:4" ht="20.25" x14ac:dyDescent="0.25">
      <c r="A124" s="86"/>
      <c r="B124" s="15"/>
      <c r="C124" s="20"/>
      <c r="D124" s="20"/>
    </row>
    <row r="125" spans="1:4" ht="20.25" x14ac:dyDescent="0.25">
      <c r="A125" s="86"/>
      <c r="B125" s="15"/>
      <c r="C125" s="20"/>
      <c r="D125" s="20"/>
    </row>
    <row r="126" spans="1:4" ht="20.25" x14ac:dyDescent="0.25">
      <c r="A126" s="86"/>
      <c r="B126" s="15"/>
      <c r="C126" s="20"/>
      <c r="D126" s="20"/>
    </row>
    <row r="127" spans="1:4" ht="20.25" x14ac:dyDescent="0.25">
      <c r="A127" s="86"/>
      <c r="B127" s="15"/>
      <c r="C127" s="20"/>
      <c r="D127" s="20"/>
    </row>
    <row r="128" spans="1:4" ht="20.25" x14ac:dyDescent="0.25">
      <c r="A128" s="86"/>
      <c r="B128" s="15"/>
      <c r="C128" s="20"/>
      <c r="D128" s="20"/>
    </row>
    <row r="129" spans="1:4" ht="20.25" x14ac:dyDescent="0.25">
      <c r="A129" s="86"/>
      <c r="B129" s="15"/>
      <c r="C129" s="20"/>
      <c r="D129" s="20"/>
    </row>
    <row r="130" spans="1:4" ht="20.25" x14ac:dyDescent="0.25">
      <c r="A130" s="86"/>
      <c r="B130" s="15"/>
      <c r="C130" s="20"/>
      <c r="D130" s="20"/>
    </row>
    <row r="131" spans="1:4" ht="20.25" x14ac:dyDescent="0.25">
      <c r="A131" s="86"/>
      <c r="B131" s="15"/>
      <c r="C131" s="20"/>
      <c r="D131" s="20"/>
    </row>
    <row r="132" spans="1:4" ht="20.25" x14ac:dyDescent="0.25">
      <c r="A132" s="86"/>
      <c r="B132" s="15"/>
      <c r="C132" s="20"/>
      <c r="D132" s="20"/>
    </row>
    <row r="133" spans="1:4" ht="20.25" x14ac:dyDescent="0.25">
      <c r="A133" s="86"/>
      <c r="B133" s="15"/>
      <c r="C133" s="20"/>
      <c r="D133" s="20"/>
    </row>
    <row r="134" spans="1:4" ht="20.25" x14ac:dyDescent="0.25">
      <c r="A134" s="86"/>
      <c r="B134" s="15"/>
      <c r="C134" s="20"/>
      <c r="D134" s="20"/>
    </row>
    <row r="135" spans="1:4" ht="20.25" x14ac:dyDescent="0.25">
      <c r="A135" s="86"/>
      <c r="B135" s="15"/>
      <c r="C135" s="20"/>
      <c r="D135" s="20"/>
    </row>
    <row r="136" spans="1:4" ht="20.25" x14ac:dyDescent="0.25">
      <c r="A136" s="86"/>
      <c r="B136" s="15"/>
      <c r="C136" s="20"/>
      <c r="D136" s="20"/>
    </row>
    <row r="137" spans="1:4" ht="20.25" x14ac:dyDescent="0.25">
      <c r="A137" s="86"/>
      <c r="B137" s="15"/>
      <c r="C137" s="20"/>
      <c r="D137" s="20"/>
    </row>
    <row r="138" spans="1:4" ht="20.25" x14ac:dyDescent="0.25">
      <c r="A138" s="86"/>
      <c r="B138" s="15"/>
      <c r="C138" s="20"/>
      <c r="D138" s="20"/>
    </row>
    <row r="139" spans="1:4" ht="20.25" x14ac:dyDescent="0.25">
      <c r="A139" s="86"/>
      <c r="B139" s="15"/>
      <c r="C139" s="20"/>
      <c r="D139" s="20"/>
    </row>
    <row r="140" spans="1:4" ht="20.25" x14ac:dyDescent="0.25">
      <c r="A140" s="86"/>
      <c r="B140" s="15"/>
      <c r="C140" s="20"/>
      <c r="D140" s="20"/>
    </row>
    <row r="141" spans="1:4" ht="20.25" x14ac:dyDescent="0.25">
      <c r="A141" s="86"/>
      <c r="B141" s="15"/>
      <c r="C141" s="20"/>
      <c r="D141" s="20"/>
    </row>
    <row r="142" spans="1:4" ht="20.25" x14ac:dyDescent="0.25">
      <c r="A142" s="86"/>
      <c r="B142" s="15"/>
      <c r="C142" s="20"/>
      <c r="D142" s="20"/>
    </row>
    <row r="143" spans="1:4" ht="20.25" x14ac:dyDescent="0.25">
      <c r="A143" s="86"/>
      <c r="B143" s="15"/>
      <c r="C143" s="20"/>
      <c r="D143" s="20"/>
    </row>
    <row r="144" spans="1:4" ht="20.25" x14ac:dyDescent="0.25">
      <c r="A144" s="86"/>
      <c r="B144" s="15"/>
      <c r="C144" s="20"/>
      <c r="D144" s="20"/>
    </row>
    <row r="145" spans="1:4" ht="20.25" x14ac:dyDescent="0.25">
      <c r="A145" s="86"/>
      <c r="B145" s="15"/>
      <c r="C145" s="20"/>
      <c r="D145" s="20"/>
    </row>
    <row r="146" spans="1:4" ht="20.25" x14ac:dyDescent="0.25">
      <c r="A146" s="86"/>
      <c r="B146" s="15"/>
      <c r="C146" s="20"/>
      <c r="D146" s="20"/>
    </row>
    <row r="147" spans="1:4" ht="20.25" x14ac:dyDescent="0.25">
      <c r="A147" s="86"/>
      <c r="B147" s="15"/>
      <c r="C147" s="20"/>
      <c r="D147" s="20"/>
    </row>
    <row r="148" spans="1:4" ht="20.25" x14ac:dyDescent="0.25">
      <c r="A148" s="86"/>
      <c r="B148" s="15"/>
      <c r="C148" s="20"/>
      <c r="D148" s="20"/>
    </row>
    <row r="149" spans="1:4" ht="20.25" x14ac:dyDescent="0.25">
      <c r="A149" s="86"/>
      <c r="B149" s="15"/>
      <c r="C149" s="20"/>
      <c r="D149" s="20"/>
    </row>
    <row r="150" spans="1:4" ht="20.25" x14ac:dyDescent="0.25">
      <c r="A150" s="86"/>
      <c r="B150" s="15"/>
      <c r="C150" s="20"/>
      <c r="D150" s="20"/>
    </row>
    <row r="151" spans="1:4" ht="20.25" x14ac:dyDescent="0.25">
      <c r="A151" s="86"/>
      <c r="B151" s="15"/>
      <c r="C151" s="20"/>
      <c r="D151" s="20"/>
    </row>
    <row r="152" spans="1:4" ht="20.25" x14ac:dyDescent="0.25">
      <c r="A152" s="86"/>
      <c r="B152" s="15"/>
      <c r="C152" s="20"/>
      <c r="D152" s="20"/>
    </row>
    <row r="153" spans="1:4" ht="20.25" x14ac:dyDescent="0.25">
      <c r="A153" s="86"/>
      <c r="B153" s="15"/>
      <c r="C153" s="20"/>
      <c r="D153" s="20"/>
    </row>
    <row r="154" spans="1:4" ht="20.25" x14ac:dyDescent="0.25">
      <c r="A154" s="86"/>
      <c r="B154" s="15"/>
      <c r="C154" s="20"/>
      <c r="D154" s="20"/>
    </row>
    <row r="155" spans="1:4" ht="20.25" x14ac:dyDescent="0.25">
      <c r="A155" s="86"/>
      <c r="B155" s="15"/>
      <c r="C155" s="20"/>
      <c r="D155" s="20"/>
    </row>
    <row r="156" spans="1:4" ht="20.25" x14ac:dyDescent="0.25">
      <c r="A156" s="86"/>
      <c r="B156" s="15"/>
      <c r="C156" s="20"/>
      <c r="D156" s="20"/>
    </row>
    <row r="157" spans="1:4" ht="20.25" x14ac:dyDescent="0.25">
      <c r="A157" s="86"/>
      <c r="B157" s="15"/>
      <c r="C157" s="20"/>
      <c r="D157" s="20"/>
    </row>
    <row r="158" spans="1:4" ht="20.25" x14ac:dyDescent="0.25">
      <c r="A158" s="86"/>
      <c r="B158" s="15"/>
      <c r="C158" s="20"/>
      <c r="D158" s="20"/>
    </row>
    <row r="159" spans="1:4" ht="20.25" x14ac:dyDescent="0.25">
      <c r="A159" s="86"/>
      <c r="B159" s="15"/>
      <c r="C159" s="20"/>
      <c r="D159" s="20"/>
    </row>
    <row r="160" spans="1:4" ht="20.25" x14ac:dyDescent="0.25">
      <c r="A160" s="86"/>
      <c r="B160" s="15"/>
      <c r="C160" s="20"/>
      <c r="D160" s="20"/>
    </row>
    <row r="161" spans="1:4" ht="20.25" x14ac:dyDescent="0.25">
      <c r="A161" s="86"/>
      <c r="B161" s="15"/>
      <c r="C161" s="20"/>
      <c r="D161" s="20"/>
    </row>
    <row r="162" spans="1:4" ht="20.25" x14ac:dyDescent="0.25">
      <c r="A162" s="86"/>
      <c r="B162" s="15"/>
      <c r="C162" s="20"/>
      <c r="D162" s="20"/>
    </row>
    <row r="163" spans="1:4" ht="20.25" x14ac:dyDescent="0.25">
      <c r="A163" s="86"/>
      <c r="B163" s="15"/>
      <c r="C163" s="20"/>
      <c r="D163" s="20"/>
    </row>
    <row r="164" spans="1:4" ht="20.25" x14ac:dyDescent="0.25">
      <c r="A164" s="86"/>
      <c r="B164" s="15"/>
      <c r="C164" s="20"/>
      <c r="D164" s="20"/>
    </row>
    <row r="165" spans="1:4" ht="20.25" x14ac:dyDescent="0.25">
      <c r="A165" s="86"/>
      <c r="B165" s="15"/>
      <c r="C165" s="20"/>
      <c r="D165" s="20"/>
    </row>
    <row r="166" spans="1:4" ht="20.25" x14ac:dyDescent="0.25">
      <c r="A166" s="86"/>
      <c r="B166" s="15"/>
      <c r="C166" s="20"/>
      <c r="D166" s="20"/>
    </row>
    <row r="167" spans="1:4" ht="20.25" x14ac:dyDescent="0.25">
      <c r="A167" s="86"/>
      <c r="B167" s="15"/>
      <c r="C167" s="20"/>
      <c r="D167" s="20"/>
    </row>
    <row r="168" spans="1:4" ht="20.25" x14ac:dyDescent="0.25">
      <c r="A168" s="86"/>
      <c r="B168" s="15"/>
      <c r="C168" s="20"/>
      <c r="D168" s="20"/>
    </row>
    <row r="169" spans="1:4" ht="20.25" x14ac:dyDescent="0.25">
      <c r="A169" s="86"/>
      <c r="B169" s="15"/>
      <c r="C169" s="20"/>
      <c r="D169" s="20"/>
    </row>
    <row r="170" spans="1:4" ht="20.25" x14ac:dyDescent="0.25">
      <c r="A170" s="86"/>
      <c r="B170" s="15"/>
      <c r="C170" s="20"/>
      <c r="D170" s="20"/>
    </row>
    <row r="171" spans="1:4" ht="20.25" x14ac:dyDescent="0.25">
      <c r="A171" s="86"/>
      <c r="B171" s="15"/>
      <c r="C171" s="20"/>
      <c r="D171" s="20"/>
    </row>
    <row r="172" spans="1:4" ht="20.25" x14ac:dyDescent="0.25">
      <c r="A172" s="86"/>
      <c r="B172" s="15"/>
      <c r="C172" s="20"/>
      <c r="D172" s="20"/>
    </row>
    <row r="173" spans="1:4" ht="20.25" x14ac:dyDescent="0.25">
      <c r="A173" s="86"/>
      <c r="B173" s="15"/>
      <c r="C173" s="20"/>
      <c r="D173" s="20"/>
    </row>
    <row r="174" spans="1:4" ht="20.25" x14ac:dyDescent="0.25">
      <c r="A174" s="86"/>
      <c r="B174" s="15"/>
      <c r="C174" s="20"/>
      <c r="D174" s="20"/>
    </row>
    <row r="175" spans="1:4" ht="20.25" x14ac:dyDescent="0.25">
      <c r="A175" s="86"/>
      <c r="B175" s="15"/>
      <c r="C175" s="20"/>
      <c r="D175" s="20"/>
    </row>
    <row r="176" spans="1:4" ht="20.25" x14ac:dyDescent="0.25">
      <c r="A176" s="86"/>
      <c r="B176" s="15"/>
      <c r="C176" s="20"/>
      <c r="D176" s="20"/>
    </row>
    <row r="177" spans="1:4" ht="20.25" x14ac:dyDescent="0.25">
      <c r="A177" s="86"/>
      <c r="B177" s="15"/>
      <c r="C177" s="20"/>
      <c r="D177" s="20"/>
    </row>
    <row r="178" spans="1:4" ht="20.25" x14ac:dyDescent="0.25">
      <c r="A178" s="86"/>
      <c r="B178" s="15"/>
      <c r="C178" s="20"/>
      <c r="D178" s="20"/>
    </row>
    <row r="179" spans="1:4" ht="20.25" x14ac:dyDescent="0.25">
      <c r="A179" s="86"/>
      <c r="B179" s="15"/>
      <c r="C179" s="20"/>
      <c r="D179" s="20"/>
    </row>
    <row r="180" spans="1:4" ht="20.25" x14ac:dyDescent="0.25">
      <c r="A180" s="86"/>
      <c r="B180" s="15"/>
      <c r="C180" s="20"/>
      <c r="D180" s="20"/>
    </row>
    <row r="181" spans="1:4" ht="20.25" x14ac:dyDescent="0.25">
      <c r="A181" s="86"/>
      <c r="B181" s="15"/>
      <c r="C181" s="20"/>
      <c r="D181" s="20"/>
    </row>
    <row r="182" spans="1:4" ht="20.25" x14ac:dyDescent="0.25">
      <c r="A182" s="86"/>
      <c r="B182" s="15"/>
      <c r="C182" s="20"/>
      <c r="D182" s="20"/>
    </row>
    <row r="183" spans="1:4" ht="20.25" x14ac:dyDescent="0.25">
      <c r="A183" s="86"/>
      <c r="B183" s="15"/>
      <c r="C183" s="20"/>
      <c r="D183" s="20"/>
    </row>
    <row r="184" spans="1:4" ht="20.25" x14ac:dyDescent="0.25">
      <c r="A184" s="86"/>
      <c r="B184" s="15"/>
      <c r="C184" s="20"/>
      <c r="D184" s="20"/>
    </row>
    <row r="185" spans="1:4" ht="20.25" x14ac:dyDescent="0.25">
      <c r="A185" s="86"/>
      <c r="B185" s="15"/>
      <c r="C185" s="20"/>
      <c r="D185" s="20"/>
    </row>
    <row r="186" spans="1:4" ht="20.25" x14ac:dyDescent="0.25">
      <c r="A186" s="86"/>
      <c r="B186" s="15"/>
      <c r="C186" s="20"/>
      <c r="D186" s="20"/>
    </row>
    <row r="187" spans="1:4" ht="20.25" x14ac:dyDescent="0.25">
      <c r="A187" s="86"/>
      <c r="B187" s="15"/>
      <c r="C187" s="20"/>
      <c r="D187" s="20"/>
    </row>
    <row r="188" spans="1:4" ht="20.25" x14ac:dyDescent="0.25">
      <c r="A188" s="86"/>
      <c r="B188" s="15"/>
      <c r="C188" s="20"/>
      <c r="D188" s="20"/>
    </row>
    <row r="189" spans="1:4" ht="20.25" x14ac:dyDescent="0.25">
      <c r="A189" s="86"/>
      <c r="B189" s="15"/>
      <c r="C189" s="20"/>
      <c r="D189" s="20"/>
    </row>
    <row r="190" spans="1:4" ht="20.25" x14ac:dyDescent="0.25">
      <c r="A190" s="86"/>
      <c r="B190" s="15"/>
      <c r="C190" s="20"/>
      <c r="D190" s="20"/>
    </row>
    <row r="191" spans="1:4" ht="20.25" x14ac:dyDescent="0.25">
      <c r="A191" s="86"/>
      <c r="B191" s="15"/>
      <c r="C191" s="20"/>
      <c r="D191" s="20"/>
    </row>
    <row r="192" spans="1:4" ht="20.25" x14ac:dyDescent="0.25">
      <c r="A192" s="86"/>
      <c r="B192" s="15"/>
      <c r="C192" s="20"/>
      <c r="D192" s="20"/>
    </row>
    <row r="193" spans="1:6" ht="20.25" x14ac:dyDescent="0.25">
      <c r="A193" s="86"/>
      <c r="B193" s="15"/>
      <c r="C193" s="20"/>
      <c r="D193" s="20"/>
    </row>
    <row r="194" spans="1:6" ht="20.25" x14ac:dyDescent="0.25">
      <c r="A194" s="86"/>
      <c r="B194" s="15"/>
      <c r="C194" s="20"/>
      <c r="D194" s="20"/>
    </row>
    <row r="195" spans="1:6" ht="20.25" x14ac:dyDescent="0.25">
      <c r="A195" s="86"/>
      <c r="B195" s="15"/>
      <c r="C195" s="20"/>
      <c r="D195" s="20"/>
    </row>
    <row r="196" spans="1:6" ht="20.25" x14ac:dyDescent="0.25">
      <c r="A196" s="86"/>
      <c r="B196" s="15"/>
      <c r="C196" s="20"/>
      <c r="D196" s="20"/>
    </row>
    <row r="197" spans="1:6" ht="20.25" x14ac:dyDescent="0.25">
      <c r="A197" s="86"/>
      <c r="B197" s="15"/>
      <c r="C197" s="20"/>
      <c r="D197" s="20"/>
    </row>
    <row r="198" spans="1:6" ht="20.25" x14ac:dyDescent="0.25">
      <c r="A198" s="86"/>
      <c r="B198" s="15"/>
      <c r="C198" s="20"/>
      <c r="D198" s="20"/>
    </row>
    <row r="199" spans="1:6" ht="20.25" x14ac:dyDescent="0.25">
      <c r="A199" s="86"/>
      <c r="B199" s="15"/>
      <c r="C199" s="20"/>
      <c r="D199" s="20"/>
    </row>
    <row r="200" spans="1:6" ht="20.25" x14ac:dyDescent="0.25">
      <c r="A200" s="86"/>
      <c r="B200" s="15"/>
      <c r="C200" s="20"/>
      <c r="D200" s="20"/>
    </row>
    <row r="201" spans="1:6" ht="20.25" x14ac:dyDescent="0.25">
      <c r="A201" s="86"/>
      <c r="B201" s="15"/>
      <c r="C201" s="20"/>
      <c r="D201" s="20"/>
    </row>
    <row r="202" spans="1:6" ht="20.25" x14ac:dyDescent="0.25">
      <c r="A202" s="86"/>
      <c r="B202" s="15"/>
      <c r="C202" s="20"/>
      <c r="D202" s="20"/>
    </row>
    <row r="203" spans="1:6" ht="20.25" x14ac:dyDescent="0.25">
      <c r="A203" s="86"/>
      <c r="B203" s="15"/>
      <c r="C203" s="20"/>
      <c r="D203" s="20"/>
    </row>
    <row r="204" spans="1:6" ht="20.25" x14ac:dyDescent="0.25">
      <c r="A204" s="86"/>
      <c r="B204" s="15"/>
      <c r="C204" s="20"/>
      <c r="D204" s="20"/>
    </row>
    <row r="205" spans="1:6" ht="20.25" x14ac:dyDescent="0.25">
      <c r="A205" s="86"/>
      <c r="B205" s="15"/>
      <c r="C205" s="20"/>
      <c r="D205" s="20"/>
    </row>
    <row r="206" spans="1:6" ht="20.25" x14ac:dyDescent="0.25">
      <c r="A206" s="86"/>
      <c r="B206" s="15"/>
      <c r="C206" s="20"/>
      <c r="D206" s="20"/>
    </row>
    <row r="207" spans="1:6" ht="20.25" x14ac:dyDescent="0.25">
      <c r="A207" s="86"/>
      <c r="B207" s="15"/>
      <c r="C207" s="20"/>
      <c r="D207" s="20"/>
    </row>
    <row r="208" spans="1:6" ht="20.25" x14ac:dyDescent="0.25">
      <c r="A208" s="86"/>
      <c r="B208" s="15"/>
      <c r="C208" s="20"/>
      <c r="D208" s="20"/>
      <c r="F208" s="114" t="s">
        <v>208</v>
      </c>
    </row>
    <row r="209" spans="1:8" x14ac:dyDescent="0.25">
      <c r="A209" s="66"/>
      <c r="B209" s="15"/>
      <c r="C209" s="15"/>
      <c r="D209" s="15"/>
      <c r="F209" s="114" t="s">
        <v>245</v>
      </c>
    </row>
    <row r="210" spans="1:8" ht="20.25" x14ac:dyDescent="0.25">
      <c r="A210" s="66"/>
      <c r="B210" s="16" t="s">
        <v>264</v>
      </c>
      <c r="C210" s="16" t="s">
        <v>265</v>
      </c>
      <c r="D210" s="19" t="s">
        <v>264</v>
      </c>
      <c r="E210" s="19" t="s">
        <v>265</v>
      </c>
      <c r="F210" s="114" t="s">
        <v>266</v>
      </c>
    </row>
    <row r="211" spans="1:8" ht="21" x14ac:dyDescent="0.35">
      <c r="A211" s="66"/>
      <c r="B211" s="17" t="s">
        <v>267</v>
      </c>
      <c r="C211" s="117" t="s">
        <v>268</v>
      </c>
      <c r="D211" s="116" t="s">
        <v>267</v>
      </c>
      <c r="F211" s="114" t="str">
        <f>IF(NOT(ISBLANK(D211)),D211,IF(NOT(ISBLANK(E211)),"     "&amp;E211,FALSE))</f>
        <v>Afectación Económica o presupuestal</v>
      </c>
      <c r="G211" t="s">
        <v>267</v>
      </c>
      <c r="H211" t="str">
        <f>IF(NOT(ISERROR(MATCH(G211,_xlfn.ANCHORARRAY(B222),0))),F224&amp;"Por favor no seleccionar los criterios de impacto",G211)</f>
        <v>❌Por favor no seleccionar los criterios de impacto</v>
      </c>
    </row>
    <row r="212" spans="1:8" ht="21" x14ac:dyDescent="0.35">
      <c r="A212" s="66"/>
      <c r="B212" s="17" t="s">
        <v>267</v>
      </c>
      <c r="C212" s="117" t="s">
        <v>240</v>
      </c>
      <c r="E212" t="s">
        <v>268</v>
      </c>
      <c r="F212" s="114" t="str">
        <f t="shared" ref="F212:F222" si="0">IF(NOT(ISBLANK(D212)),D212,IF(NOT(ISBLANK(E212)),"     "&amp;E212,FALSE))</f>
        <v xml:space="preserve">     Afectación menor a 130 SMLMV .</v>
      </c>
    </row>
    <row r="213" spans="1:8" ht="21" x14ac:dyDescent="0.35">
      <c r="A213" s="66"/>
      <c r="B213" s="17" t="s">
        <v>267</v>
      </c>
      <c r="C213" s="117" t="s">
        <v>243</v>
      </c>
      <c r="E213" t="s">
        <v>240</v>
      </c>
      <c r="F213" s="114" t="str">
        <f t="shared" si="0"/>
        <v xml:space="preserve">     Entre 130 y 650 SMLMV </v>
      </c>
    </row>
    <row r="214" spans="1:8" ht="21" x14ac:dyDescent="0.35">
      <c r="A214" s="66"/>
      <c r="B214" s="17" t="s">
        <v>267</v>
      </c>
      <c r="C214" s="117" t="s">
        <v>247</v>
      </c>
      <c r="E214" t="s">
        <v>243</v>
      </c>
      <c r="F214" s="114" t="str">
        <f t="shared" si="0"/>
        <v xml:space="preserve">     Entre 650 y 1300 SMLMV </v>
      </c>
    </row>
    <row r="215" spans="1:8" ht="21" x14ac:dyDescent="0.35">
      <c r="A215" s="66"/>
      <c r="B215" s="17" t="s">
        <v>267</v>
      </c>
      <c r="C215" s="117" t="s">
        <v>251</v>
      </c>
      <c r="E215" t="s">
        <v>247</v>
      </c>
      <c r="F215" s="114" t="str">
        <f t="shared" si="0"/>
        <v xml:space="preserve">     Entre 1300 y 6500 SMLMV </v>
      </c>
    </row>
    <row r="216" spans="1:8" ht="21" x14ac:dyDescent="0.35">
      <c r="A216" s="66"/>
      <c r="B216" s="17" t="s">
        <v>232</v>
      </c>
      <c r="C216" s="117" t="s">
        <v>237</v>
      </c>
      <c r="E216" t="s">
        <v>251</v>
      </c>
      <c r="F216" s="114" t="str">
        <f t="shared" si="0"/>
        <v xml:space="preserve">     Mayor a 6500 SMLMV </v>
      </c>
    </row>
    <row r="217" spans="1:8" ht="63" x14ac:dyDescent="0.35">
      <c r="A217" s="66"/>
      <c r="B217" s="17" t="s">
        <v>232</v>
      </c>
      <c r="C217" s="117" t="s">
        <v>241</v>
      </c>
      <c r="D217" s="116" t="s">
        <v>232</v>
      </c>
      <c r="F217" s="114" t="str">
        <f t="shared" si="0"/>
        <v>Pérdida Reputacional</v>
      </c>
    </row>
    <row r="218" spans="1:8" ht="42" x14ac:dyDescent="0.35">
      <c r="A218" s="66"/>
      <c r="B218" s="17" t="s">
        <v>232</v>
      </c>
      <c r="C218" s="117" t="s">
        <v>244</v>
      </c>
      <c r="D218" s="116"/>
      <c r="E218" s="118" t="s">
        <v>237</v>
      </c>
      <c r="F218" s="114" t="str">
        <f t="shared" si="0"/>
        <v xml:space="preserve">     El riesgo afecta la imagen de alguna área de la organización</v>
      </c>
    </row>
    <row r="219" spans="1:8" ht="63" x14ac:dyDescent="0.35">
      <c r="A219" s="66"/>
      <c r="B219" s="17" t="s">
        <v>232</v>
      </c>
      <c r="C219" s="117" t="s">
        <v>269</v>
      </c>
      <c r="D219" s="116"/>
      <c r="E219" s="118" t="s">
        <v>241</v>
      </c>
      <c r="F219" s="114" t="str">
        <f t="shared" si="0"/>
        <v xml:space="preserve">     El riesgo afecta la imagen de la entidad internamente, de conocimiento general, nivel interno, de junta dircetiva y accionistas y/o de provedores</v>
      </c>
    </row>
    <row r="220" spans="1:8" ht="45" x14ac:dyDescent="0.35">
      <c r="A220" s="66"/>
      <c r="B220" s="17" t="s">
        <v>232</v>
      </c>
      <c r="C220" s="117" t="s">
        <v>252</v>
      </c>
      <c r="D220" s="116"/>
      <c r="E220" s="118" t="s">
        <v>244</v>
      </c>
      <c r="F220" s="114" t="str">
        <f t="shared" si="0"/>
        <v xml:space="preserve">     El riesgo afecta la imagen de la entidad con algunos usuarios de relevancia frente al logro de los objetivos</v>
      </c>
    </row>
    <row r="221" spans="1:8" ht="45" x14ac:dyDescent="0.25">
      <c r="A221" s="66"/>
      <c r="B221" s="18"/>
      <c r="C221" s="18"/>
      <c r="D221" s="116"/>
      <c r="E221" s="118" t="s">
        <v>269</v>
      </c>
      <c r="F221" s="114" t="str">
        <f t="shared" si="0"/>
        <v xml:space="preserve">     El riesgo afecta la imagen de de la entidad con efecto publicitario sostenido a nivel de sector administrativo, nivel departamental o municipal</v>
      </c>
    </row>
    <row r="222" spans="1:8" ht="58.5" customHeight="1" x14ac:dyDescent="0.25">
      <c r="A222" s="66"/>
      <c r="B222" s="18" t="str" cm="1">
        <f t="array" ref="B222:B224">_xlfn.UNIQUE(Tabla1[[#All],[Criterios]])</f>
        <v>Criterios</v>
      </c>
      <c r="C222" s="18"/>
      <c r="D222" s="116"/>
      <c r="E222" s="118" t="s">
        <v>252</v>
      </c>
      <c r="F222" s="114" t="str">
        <f t="shared" si="0"/>
        <v xml:space="preserve">     El riesgo afecta la imagen de la entidad a nivel nacional, con efecto publicitarios sostenible a nivel país</v>
      </c>
    </row>
    <row r="223" spans="1:8" x14ac:dyDescent="0.25">
      <c r="A223" s="66"/>
      <c r="B223" s="18" t="str">
        <v>Afectación Económica o presupuestal</v>
      </c>
      <c r="C223" s="18"/>
    </row>
    <row r="224" spans="1:8" x14ac:dyDescent="0.25">
      <c r="B224" s="18" t="str">
        <v>Pérdida Reputacional</v>
      </c>
      <c r="C224" s="18"/>
      <c r="F224" s="115" t="s">
        <v>270</v>
      </c>
    </row>
    <row r="225" spans="2:6" x14ac:dyDescent="0.25">
      <c r="B225" s="14"/>
      <c r="C225" s="14"/>
      <c r="F225" s="115" t="s">
        <v>271</v>
      </c>
    </row>
    <row r="226" spans="2:6" x14ac:dyDescent="0.25">
      <c r="B226" s="14"/>
      <c r="C226" s="14"/>
    </row>
    <row r="227" spans="2:6" x14ac:dyDescent="0.25">
      <c r="B227" s="14"/>
      <c r="C227" s="14"/>
    </row>
    <row r="228" spans="2:6" x14ac:dyDescent="0.25">
      <c r="B228" s="14"/>
      <c r="C228" s="14"/>
      <c r="D228" s="14"/>
    </row>
    <row r="229" spans="2:6" x14ac:dyDescent="0.25">
      <c r="B229" s="14"/>
      <c r="C229" s="14"/>
      <c r="D229" s="14"/>
    </row>
    <row r="230" spans="2:6" x14ac:dyDescent="0.25">
      <c r="B230" s="14"/>
      <c r="C230" s="14"/>
      <c r="D230" s="14"/>
    </row>
    <row r="231" spans="2:6" x14ac:dyDescent="0.25">
      <c r="B231" s="14"/>
      <c r="C231" s="14"/>
      <c r="D231" s="14"/>
    </row>
    <row r="232" spans="2:6" x14ac:dyDescent="0.25">
      <c r="B232" s="14"/>
      <c r="C232" s="14"/>
      <c r="D232" s="14"/>
    </row>
    <row r="233" spans="2:6" x14ac:dyDescent="0.25">
      <c r="B233" s="14"/>
      <c r="C233" s="14"/>
      <c r="D233" s="14"/>
    </row>
  </sheetData>
  <mergeCells count="1">
    <mergeCell ref="B2:E2"/>
  </mergeCells>
  <dataValidations disablePrompts="1" count="1">
    <dataValidation type="list" allowBlank="1" showInputMessage="1" showErrorMessage="1" sqref="G211" xr:uid="{00000000-0002-0000-0A00-000000000000}">
      <formula1>$F$211:$F$222</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F26"/>
  <sheetViews>
    <sheetView topLeftCell="A16" zoomScaleNormal="100" zoomScaleSheetLayoutView="90" workbookViewId="0">
      <selection activeCell="E24" sqref="E24:F24"/>
    </sheetView>
  </sheetViews>
  <sheetFormatPr baseColWidth="10" defaultColWidth="11.42578125" defaultRowHeight="14.25" x14ac:dyDescent="0.25"/>
  <cols>
    <col min="1" max="1" width="2.140625" style="148" customWidth="1"/>
    <col min="2" max="2" width="11.42578125" style="148"/>
    <col min="3" max="3" width="34.28515625" style="148" customWidth="1"/>
    <col min="4" max="4" width="36.42578125" style="148" customWidth="1"/>
    <col min="5" max="6" width="13.85546875" style="148" customWidth="1"/>
    <col min="7" max="7" width="1.28515625" style="148" customWidth="1"/>
    <col min="8" max="16384" width="11.42578125" style="148"/>
  </cols>
  <sheetData>
    <row r="1" spans="2:6" ht="11.25" customHeight="1" thickBot="1" x14ac:dyDescent="0.3"/>
    <row r="2" spans="2:6" ht="18.75" customHeight="1" thickBot="1" x14ac:dyDescent="0.3">
      <c r="B2" s="550" t="s">
        <v>272</v>
      </c>
      <c r="C2" s="551"/>
      <c r="D2" s="551"/>
      <c r="E2" s="551"/>
      <c r="F2" s="552"/>
    </row>
    <row r="3" spans="2:6" ht="31.9" customHeight="1" x14ac:dyDescent="0.25">
      <c r="B3" s="553" t="s">
        <v>273</v>
      </c>
      <c r="C3" s="555" t="s">
        <v>274</v>
      </c>
      <c r="D3" s="555"/>
      <c r="E3" s="555" t="s">
        <v>275</v>
      </c>
      <c r="F3" s="557"/>
    </row>
    <row r="4" spans="2:6" ht="28.15" customHeight="1" x14ac:dyDescent="0.25">
      <c r="B4" s="554"/>
      <c r="C4" s="556"/>
      <c r="D4" s="556"/>
      <c r="E4" s="255" t="s">
        <v>276</v>
      </c>
      <c r="F4" s="256" t="s">
        <v>277</v>
      </c>
    </row>
    <row r="5" spans="2:6" ht="23.25" customHeight="1" x14ac:dyDescent="0.25">
      <c r="B5" s="149">
        <v>1</v>
      </c>
      <c r="C5" s="547" t="s">
        <v>278</v>
      </c>
      <c r="D5" s="547"/>
      <c r="E5" s="176" t="s">
        <v>443</v>
      </c>
      <c r="F5" s="177"/>
    </row>
    <row r="6" spans="2:6" ht="33" customHeight="1" x14ac:dyDescent="0.25">
      <c r="B6" s="149">
        <v>2</v>
      </c>
      <c r="C6" s="547" t="s">
        <v>279</v>
      </c>
      <c r="D6" s="547"/>
      <c r="E6" s="176"/>
      <c r="F6" s="177" t="s">
        <v>443</v>
      </c>
    </row>
    <row r="7" spans="2:6" ht="39" customHeight="1" x14ac:dyDescent="0.25">
      <c r="B7" s="149">
        <v>3</v>
      </c>
      <c r="C7" s="547" t="s">
        <v>280</v>
      </c>
      <c r="D7" s="547"/>
      <c r="E7" s="176"/>
      <c r="F7" s="177" t="s">
        <v>443</v>
      </c>
    </row>
    <row r="8" spans="2:6" ht="24.75" customHeight="1" x14ac:dyDescent="0.25">
      <c r="B8" s="149">
        <v>4</v>
      </c>
      <c r="C8" s="547" t="s">
        <v>281</v>
      </c>
      <c r="D8" s="547"/>
      <c r="E8" s="176"/>
      <c r="F8" s="177" t="s">
        <v>443</v>
      </c>
    </row>
    <row r="9" spans="2:6" ht="23.25" customHeight="1" x14ac:dyDescent="0.25">
      <c r="B9" s="149">
        <v>5</v>
      </c>
      <c r="C9" s="547" t="s">
        <v>282</v>
      </c>
      <c r="D9" s="547"/>
      <c r="E9" s="176"/>
      <c r="F9" s="177" t="s">
        <v>443</v>
      </c>
    </row>
    <row r="10" spans="2:6" ht="23.25" customHeight="1" x14ac:dyDescent="0.25">
      <c r="B10" s="149">
        <v>6</v>
      </c>
      <c r="C10" s="547" t="s">
        <v>283</v>
      </c>
      <c r="D10" s="547"/>
      <c r="E10" s="176"/>
      <c r="F10" s="177" t="s">
        <v>443</v>
      </c>
    </row>
    <row r="11" spans="2:6" ht="23.25" customHeight="1" x14ac:dyDescent="0.25">
      <c r="B11" s="149">
        <v>7</v>
      </c>
      <c r="C11" s="547" t="s">
        <v>284</v>
      </c>
      <c r="D11" s="547"/>
      <c r="E11" s="176"/>
      <c r="F11" s="177" t="s">
        <v>443</v>
      </c>
    </row>
    <row r="12" spans="2:6" ht="25.5" customHeight="1" x14ac:dyDescent="0.25">
      <c r="B12" s="149">
        <v>8</v>
      </c>
      <c r="C12" s="547" t="s">
        <v>285</v>
      </c>
      <c r="D12" s="547"/>
      <c r="E12" s="150"/>
      <c r="F12" s="177" t="s">
        <v>443</v>
      </c>
    </row>
    <row r="13" spans="2:6" ht="23.25" customHeight="1" x14ac:dyDescent="0.25">
      <c r="B13" s="149">
        <v>9</v>
      </c>
      <c r="C13" s="547" t="s">
        <v>286</v>
      </c>
      <c r="D13" s="547"/>
      <c r="E13" s="150"/>
      <c r="F13" s="177" t="s">
        <v>443</v>
      </c>
    </row>
    <row r="14" spans="2:6" ht="23.25" customHeight="1" x14ac:dyDescent="0.25">
      <c r="B14" s="149">
        <v>10</v>
      </c>
      <c r="C14" s="547" t="s">
        <v>287</v>
      </c>
      <c r="D14" s="547"/>
      <c r="E14" s="176" t="s">
        <v>443</v>
      </c>
      <c r="F14" s="151"/>
    </row>
    <row r="15" spans="2:6" ht="23.25" customHeight="1" x14ac:dyDescent="0.25">
      <c r="B15" s="149">
        <v>11</v>
      </c>
      <c r="C15" s="547" t="s">
        <v>288</v>
      </c>
      <c r="D15" s="547"/>
      <c r="E15" s="176" t="s">
        <v>443</v>
      </c>
      <c r="F15" s="151"/>
    </row>
    <row r="16" spans="2:6" ht="23.25" customHeight="1" x14ac:dyDescent="0.25">
      <c r="B16" s="149">
        <v>12</v>
      </c>
      <c r="C16" s="547" t="s">
        <v>289</v>
      </c>
      <c r="D16" s="547"/>
      <c r="E16" s="176" t="s">
        <v>443</v>
      </c>
      <c r="F16" s="151"/>
    </row>
    <row r="17" spans="2:6" ht="23.25" customHeight="1" x14ac:dyDescent="0.25">
      <c r="B17" s="149">
        <v>13</v>
      </c>
      <c r="C17" s="547" t="s">
        <v>290</v>
      </c>
      <c r="D17" s="547"/>
      <c r="E17" s="150"/>
      <c r="F17" s="177" t="s">
        <v>443</v>
      </c>
    </row>
    <row r="18" spans="2:6" ht="23.25" customHeight="1" x14ac:dyDescent="0.25">
      <c r="B18" s="149">
        <v>14</v>
      </c>
      <c r="C18" s="547" t="s">
        <v>291</v>
      </c>
      <c r="D18" s="547"/>
      <c r="E18" s="176" t="s">
        <v>443</v>
      </c>
      <c r="F18" s="151"/>
    </row>
    <row r="19" spans="2:6" ht="23.25" customHeight="1" x14ac:dyDescent="0.25">
      <c r="B19" s="149">
        <v>15</v>
      </c>
      <c r="C19" s="547" t="s">
        <v>292</v>
      </c>
      <c r="D19" s="547"/>
      <c r="E19" s="150"/>
      <c r="F19" s="177" t="s">
        <v>443</v>
      </c>
    </row>
    <row r="20" spans="2:6" ht="23.25" customHeight="1" x14ac:dyDescent="0.25">
      <c r="B20" s="149">
        <v>16</v>
      </c>
      <c r="C20" s="547" t="s">
        <v>293</v>
      </c>
      <c r="D20" s="547"/>
      <c r="E20" s="150"/>
      <c r="F20" s="177" t="s">
        <v>443</v>
      </c>
    </row>
    <row r="21" spans="2:6" ht="23.25" customHeight="1" x14ac:dyDescent="0.25">
      <c r="B21" s="149">
        <v>17</v>
      </c>
      <c r="C21" s="547" t="s">
        <v>294</v>
      </c>
      <c r="D21" s="547"/>
      <c r="E21" s="150"/>
      <c r="F21" s="177" t="s">
        <v>443</v>
      </c>
    </row>
    <row r="22" spans="2:6" ht="23.25" customHeight="1" x14ac:dyDescent="0.25">
      <c r="B22" s="149">
        <v>18</v>
      </c>
      <c r="C22" s="547" t="s">
        <v>295</v>
      </c>
      <c r="D22" s="547"/>
      <c r="E22" s="150"/>
      <c r="F22" s="177" t="s">
        <v>443</v>
      </c>
    </row>
    <row r="23" spans="2:6" ht="23.25" customHeight="1" thickBot="1" x14ac:dyDescent="0.3">
      <c r="B23" s="257">
        <v>19</v>
      </c>
      <c r="C23" s="548" t="s">
        <v>296</v>
      </c>
      <c r="D23" s="548"/>
      <c r="E23" s="258"/>
      <c r="F23" s="259" t="s">
        <v>443</v>
      </c>
    </row>
    <row r="24" spans="2:6" ht="15.75" customHeight="1" thickBot="1" x14ac:dyDescent="0.3">
      <c r="B24" s="549" t="s">
        <v>297</v>
      </c>
      <c r="C24" s="543"/>
      <c r="D24" s="543"/>
      <c r="E24" s="543">
        <f>COUNTIF(E5:E23,"X")</f>
        <v>5</v>
      </c>
      <c r="F24" s="544"/>
    </row>
    <row r="25" spans="2:6" ht="45.75" customHeight="1" x14ac:dyDescent="0.25">
      <c r="B25" s="545" t="s">
        <v>298</v>
      </c>
      <c r="C25" s="545"/>
      <c r="D25" s="545"/>
      <c r="E25" s="545"/>
      <c r="F25" s="545"/>
    </row>
    <row r="26" spans="2:6" ht="9.75" customHeight="1" x14ac:dyDescent="0.25">
      <c r="B26" s="546"/>
      <c r="C26" s="546"/>
      <c r="D26" s="546"/>
      <c r="E26" s="546"/>
      <c r="F26" s="546"/>
    </row>
  </sheetData>
  <mergeCells count="27">
    <mergeCell ref="C6:D6"/>
    <mergeCell ref="B2:F2"/>
    <mergeCell ref="B3:B4"/>
    <mergeCell ref="C3:D4"/>
    <mergeCell ref="E3:F3"/>
    <mergeCell ref="C5:D5"/>
    <mergeCell ref="C18:D18"/>
    <mergeCell ref="C7:D7"/>
    <mergeCell ref="C8:D8"/>
    <mergeCell ref="C9:D9"/>
    <mergeCell ref="C10:D10"/>
    <mergeCell ref="C11:D11"/>
    <mergeCell ref="C12:D12"/>
    <mergeCell ref="C13:D13"/>
    <mergeCell ref="C14:D14"/>
    <mergeCell ref="C15:D15"/>
    <mergeCell ref="C16:D16"/>
    <mergeCell ref="C17:D17"/>
    <mergeCell ref="E24:F24"/>
    <mergeCell ref="B25:F25"/>
    <mergeCell ref="B26:F26"/>
    <mergeCell ref="C19:D19"/>
    <mergeCell ref="C20:D20"/>
    <mergeCell ref="C21:D21"/>
    <mergeCell ref="C22:D22"/>
    <mergeCell ref="C23:D23"/>
    <mergeCell ref="B24:D24"/>
  </mergeCells>
  <dataValidations count="1">
    <dataValidation type="list" allowBlank="1" showInputMessage="1" showErrorMessage="1" sqref="E5:F23" xr:uid="{00000000-0002-0000-0B00-000000000000}">
      <formula1>"X"</formula1>
    </dataValidation>
  </dataValidations>
  <printOptions horizontalCentered="1"/>
  <pageMargins left="0.25" right="0.25" top="0.75" bottom="0.75" header="0.3" footer="0.3"/>
  <pageSetup scale="8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670AE1AE6FA834AA83A836C18DEA923" ma:contentTypeVersion="2" ma:contentTypeDescription="Crear nuevo documento." ma:contentTypeScope="" ma:versionID="a62cfdc602a04c333e86b22e9e6bac47">
  <xsd:schema xmlns:xsd="http://www.w3.org/2001/XMLSchema" xmlns:xs="http://www.w3.org/2001/XMLSchema" xmlns:p="http://schemas.microsoft.com/office/2006/metadata/properties" xmlns:ns2="0cfa14bc-9d1a-4fe3-acd3-d0fd74c60550" targetNamespace="http://schemas.microsoft.com/office/2006/metadata/properties" ma:root="true" ma:fieldsID="97e2173ffdf52498c12cc423af56d0d5" ns2:_="">
    <xsd:import namespace="0cfa14bc-9d1a-4fe3-acd3-d0fd74c60550"/>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fa14bc-9d1a-4fe3-acd3-d0fd74c605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31D24E5-887F-4546-8D2B-CC0B5225FC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fa14bc-9d1a-4fe3-acd3-d0fd74c605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D5E4EF-2809-49C9-8DCF-B2E4E5208101}">
  <ds:schemaRefs>
    <ds:schemaRef ds:uri="http://purl.org/dc/terms/"/>
    <ds:schemaRef ds:uri="http://schemas.openxmlformats.org/package/2006/metadata/core-properties"/>
    <ds:schemaRef ds:uri="c944bc39-dfd9-4f1d-8737-6d74dd64575e"/>
    <ds:schemaRef ds:uri="http://schemas.microsoft.com/office/2006/metadata/properties"/>
    <ds:schemaRef ds:uri="http://purl.org/dc/elements/1.1/"/>
    <ds:schemaRef ds:uri="6fe3b173-4fd6-445e-9b3d-9121ea5e8dd2"/>
    <ds:schemaRef ds:uri="http://schemas.microsoft.com/office/infopath/2007/PartnerControls"/>
    <ds:schemaRef ds:uri="http://schemas.microsoft.com/office/2006/documentManagement/types"/>
    <ds:schemaRef ds:uri="http://www.w3.org/XML/1998/namespace"/>
    <ds:schemaRef ds:uri="http://purl.org/dc/dcmitype/"/>
  </ds:schemaRefs>
</ds:datastoreItem>
</file>

<file path=customXml/itemProps3.xml><?xml version="1.0" encoding="utf-8"?>
<ds:datastoreItem xmlns:ds="http://schemas.openxmlformats.org/officeDocument/2006/customXml" ds:itemID="{0238E702-99CD-4A3A-A328-D1F3ADA68E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5</vt:i4>
      </vt:variant>
    </vt:vector>
  </HeadingPairs>
  <TitlesOfParts>
    <vt:vector size="20" baseType="lpstr">
      <vt:lpstr>Intructivo</vt:lpstr>
      <vt:lpstr>DOFA </vt:lpstr>
      <vt:lpstr>Revisión DOFA</vt:lpstr>
      <vt:lpstr>Mapa riesgos</vt:lpstr>
      <vt:lpstr>Matriz Calor Inherente</vt:lpstr>
      <vt:lpstr>Matriz Calor Residual</vt:lpstr>
      <vt:lpstr>Tabla probabilidad</vt:lpstr>
      <vt:lpstr>Tabla Impacto</vt:lpstr>
      <vt:lpstr>Impacto Corrupción </vt:lpstr>
      <vt:lpstr>Tipo de riesgos</vt:lpstr>
      <vt:lpstr>Amenazas</vt:lpstr>
      <vt:lpstr>Ejemplos de riesgos</vt:lpstr>
      <vt:lpstr>Tabla Valoración controles</vt:lpstr>
      <vt:lpstr>Opciones Tratamiento</vt:lpstr>
      <vt:lpstr>Hoja1</vt:lpstr>
      <vt:lpstr>'DOFA '!Área_de_impresión</vt:lpstr>
      <vt:lpstr>'Impacto Corrupción '!Área_de_impresión</vt:lpstr>
      <vt:lpstr>'Mapa riesgos'!Área_de_impresión</vt:lpstr>
      <vt:lpstr>'DOFA '!Títulos_a_imprimir</vt:lpstr>
      <vt:lpstr>'Mapa riesgos'!Títulos_a_imprimir</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maria natalia norato mora</cp:lastModifiedBy>
  <cp:revision/>
  <dcterms:created xsi:type="dcterms:W3CDTF">2020-03-24T23:12:47Z</dcterms:created>
  <dcterms:modified xsi:type="dcterms:W3CDTF">2022-05-19T20:23:37Z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0x0101003670AE1AE6FA834AA83A836C18DEA923</vt:lpwstr>
  </property>
</Properties>
</file>