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OneDrive - uaermv\UMV\Descargas\"/>
    </mc:Choice>
  </mc:AlternateContent>
  <bookViews>
    <workbookView xWindow="0" yWindow="0" windowWidth="20490" windowHeight="7620" tabRatio="933" activeTab="1"/>
  </bookViews>
  <sheets>
    <sheet name="Intructivo" sheetId="20" r:id="rId1"/>
    <sheet name="DOFA " sheetId="27" r:id="rId2"/>
    <sheet name="Mapa riesgos" sheetId="1" r:id="rId3"/>
    <sheet name="Matriz Calor Inherente" sheetId="18" r:id="rId4"/>
    <sheet name="Matriz Calor Residual" sheetId="19" r:id="rId5"/>
    <sheet name="Tabla probabilidad" sheetId="12" r:id="rId6"/>
    <sheet name="Tabla Impacto" sheetId="13" r:id="rId7"/>
    <sheet name="Impacto Corrupción " sheetId="22" r:id="rId8"/>
    <sheet name="Tipo de riesgos" sheetId="23" r:id="rId9"/>
    <sheet name="Amenazas" sheetId="28" r:id="rId10"/>
    <sheet name="Ejemplos de riesgos" sheetId="26" r:id="rId11"/>
    <sheet name="Tabla Valoración controles" sheetId="15" r:id="rId12"/>
    <sheet name="Opciones Tratamiento" sheetId="16" state="hidden" r:id="rId13"/>
    <sheet name="Hoja1" sheetId="11" state="hidden" r:id="rId14"/>
  </sheets>
  <externalReferences>
    <externalReference r:id="rId15"/>
    <externalReference r:id="rId16"/>
  </externalReferences>
  <definedNames>
    <definedName name="_xlnm.Print_Area" localSheetId="1">'DOFA '!$B$8:$E$17</definedName>
    <definedName name="_xlnm.Print_Area" localSheetId="7">'Impacto Corrupción '!$A$1:$G$26</definedName>
    <definedName name="_xlnm.Print_Area" localSheetId="2">'Mapa riesgos'!$A$1:$AP$18</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1">'DOFA '!$9:$9</definedName>
    <definedName name="_xlnm.Print_Titles" localSheetId="2">'Mapa riesgos'!$1:$8</definedName>
  </definedNames>
  <calcPr calcId="162913"/>
  <pivotCaches>
    <pivotCache cacheId="0" r:id="rId17"/>
  </pivotCaches>
</workbook>
</file>

<file path=xl/calcChain.xml><?xml version="1.0" encoding="utf-8"?>
<calcChain xmlns="http://schemas.openxmlformats.org/spreadsheetml/2006/main">
  <c r="M13" i="1" l="1"/>
  <c r="N13" i="1" s="1"/>
  <c r="P13" i="1"/>
  <c r="Q13" i="1" s="1"/>
  <c r="R13" i="1" s="1"/>
  <c r="V13" i="1"/>
  <c r="Y13" i="1"/>
  <c r="V14" i="1"/>
  <c r="Y14" i="1"/>
  <c r="P14" i="1"/>
  <c r="AG13" i="1" l="1"/>
  <c r="AF13" i="1" s="1"/>
  <c r="AC13" i="1"/>
  <c r="AE13" i="1" s="1"/>
  <c r="AC14" i="1" s="1"/>
  <c r="S13" i="1"/>
  <c r="AG14" i="1" l="1"/>
  <c r="AF14" i="1" s="1"/>
  <c r="AD13" i="1"/>
  <c r="AH13" i="1" s="1"/>
  <c r="AD14" i="1"/>
  <c r="AE14" i="1"/>
  <c r="AH14" i="1" l="1"/>
  <c r="M43" i="1" l="1"/>
  <c r="U8" i="1" l="1"/>
  <c r="U7" i="1"/>
  <c r="U6" i="1"/>
  <c r="V15" i="1" l="1"/>
  <c r="V16" i="1"/>
  <c r="E24" i="22" l="1"/>
  <c r="E8" i="13"/>
  <c r="E7" i="13"/>
  <c r="E6" i="13"/>
  <c r="E5" i="13"/>
  <c r="P22" i="1"/>
  <c r="P52" i="1"/>
  <c r="P48" i="1"/>
  <c r="P16" i="1"/>
  <c r="P36" i="1"/>
  <c r="P32" i="1"/>
  <c r="P56" i="1"/>
  <c r="P39" i="1"/>
  <c r="P58" i="1"/>
  <c r="P35" i="1"/>
  <c r="P18" i="1"/>
  <c r="P20" i="1"/>
  <c r="P53" i="1"/>
  <c r="P54" i="1"/>
  <c r="P23" i="1"/>
  <c r="P27" i="1"/>
  <c r="P51" i="1"/>
  <c r="P42" i="1"/>
  <c r="P44" i="1"/>
  <c r="P50" i="1"/>
  <c r="P24" i="1"/>
  <c r="P26" i="1"/>
  <c r="P40" i="1"/>
  <c r="P46" i="1"/>
  <c r="P45" i="1"/>
  <c r="P34" i="1"/>
  <c r="P30" i="1"/>
  <c r="P57" i="1"/>
  <c r="P59" i="1"/>
  <c r="P29" i="1"/>
  <c r="P41" i="1"/>
  <c r="P33" i="1"/>
  <c r="P47" i="1"/>
  <c r="P60" i="1"/>
  <c r="P38" i="1"/>
  <c r="P21" i="1"/>
  <c r="P28" i="1"/>
  <c r="F222" i="13" l="1"/>
  <c r="F212" i="13"/>
  <c r="F213" i="13"/>
  <c r="F214" i="13"/>
  <c r="F215" i="13"/>
  <c r="F216" i="13"/>
  <c r="F217" i="13"/>
  <c r="F218" i="13"/>
  <c r="F219" i="13"/>
  <c r="F220" i="13"/>
  <c r="F221" i="13"/>
  <c r="F211" i="13"/>
  <c r="B222" i="13" a="1"/>
  <c r="B222" i="13" l="1"/>
  <c r="V43" i="1"/>
  <c r="V38" i="1"/>
  <c r="V32" i="1"/>
  <c r="AG43" i="1" l="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Y60" i="1" l="1"/>
  <c r="V60" i="1"/>
  <c r="Y59" i="1"/>
  <c r="V59" i="1"/>
  <c r="AG60" i="1" s="1"/>
  <c r="Y58" i="1"/>
  <c r="V58" i="1"/>
  <c r="Y57" i="1"/>
  <c r="V57" i="1"/>
  <c r="AG58" i="1" s="1"/>
  <c r="Y56" i="1"/>
  <c r="V56" i="1"/>
  <c r="Y55" i="1"/>
  <c r="V55" i="1"/>
  <c r="M55" i="1"/>
  <c r="N55" i="1" s="1"/>
  <c r="Y54" i="1"/>
  <c r="V54" i="1"/>
  <c r="Y53" i="1"/>
  <c r="V53" i="1"/>
  <c r="Y52" i="1"/>
  <c r="V52" i="1"/>
  <c r="Y51" i="1"/>
  <c r="V51" i="1"/>
  <c r="AG52" i="1" s="1"/>
  <c r="Y50" i="1"/>
  <c r="V50" i="1"/>
  <c r="Y49" i="1"/>
  <c r="V49" i="1"/>
  <c r="M49" i="1"/>
  <c r="N49" i="1" s="1"/>
  <c r="Y48" i="1"/>
  <c r="V48" i="1"/>
  <c r="Y47" i="1"/>
  <c r="V47" i="1"/>
  <c r="Y46" i="1"/>
  <c r="V46" i="1"/>
  <c r="AG47" i="1" s="1"/>
  <c r="Y45" i="1"/>
  <c r="V45" i="1"/>
  <c r="Y44" i="1"/>
  <c r="V44" i="1"/>
  <c r="Y43" i="1"/>
  <c r="N43" i="1"/>
  <c r="Y42" i="1"/>
  <c r="V42" i="1"/>
  <c r="Y41" i="1"/>
  <c r="V41" i="1"/>
  <c r="Y40" i="1"/>
  <c r="V40" i="1"/>
  <c r="Y39" i="1"/>
  <c r="V39" i="1"/>
  <c r="Y38" i="1"/>
  <c r="Y37" i="1"/>
  <c r="V37" i="1"/>
  <c r="M37" i="1"/>
  <c r="N37" i="1" s="1"/>
  <c r="Y36" i="1"/>
  <c r="V36" i="1"/>
  <c r="Y35" i="1"/>
  <c r="V35" i="1"/>
  <c r="Y34" i="1"/>
  <c r="V34" i="1"/>
  <c r="AG35" i="1" s="1"/>
  <c r="Y33" i="1"/>
  <c r="V33" i="1"/>
  <c r="Y32" i="1"/>
  <c r="Y31" i="1"/>
  <c r="V31" i="1"/>
  <c r="M31" i="1"/>
  <c r="N31" i="1" s="1"/>
  <c r="Y30" i="1"/>
  <c r="V30" i="1"/>
  <c r="Y29" i="1"/>
  <c r="V29" i="1"/>
  <c r="Y28" i="1"/>
  <c r="V28" i="1"/>
  <c r="Y27" i="1"/>
  <c r="V27" i="1"/>
  <c r="Y26" i="1"/>
  <c r="V26" i="1"/>
  <c r="AG27" i="1" s="1"/>
  <c r="Y25" i="1"/>
  <c r="V25" i="1"/>
  <c r="M25" i="1"/>
  <c r="N25" i="1" s="1"/>
  <c r="Y24" i="1"/>
  <c r="V24" i="1"/>
  <c r="Y23" i="1"/>
  <c r="V23" i="1"/>
  <c r="Y22" i="1"/>
  <c r="V22" i="1"/>
  <c r="Y21" i="1"/>
  <c r="V21" i="1"/>
  <c r="Y20" i="1"/>
  <c r="V20" i="1"/>
  <c r="AG21" i="1" s="1"/>
  <c r="Y19" i="1"/>
  <c r="V19" i="1"/>
  <c r="M19" i="1"/>
  <c r="N19" i="1" s="1"/>
  <c r="Y18" i="1"/>
  <c r="V18" i="1"/>
  <c r="Y17" i="1"/>
  <c r="V17" i="1"/>
  <c r="M17" i="1"/>
  <c r="N17" i="1" s="1"/>
  <c r="M15" i="1"/>
  <c r="Y16" i="1"/>
  <c r="Y15" i="1"/>
  <c r="AG29" i="1" l="1"/>
  <c r="AG41" i="1"/>
  <c r="AF41" i="1" s="1"/>
  <c r="AG22" i="1"/>
  <c r="AG53" i="1"/>
  <c r="AG19" i="1"/>
  <c r="AG20" i="1"/>
  <c r="AG24" i="1"/>
  <c r="AG51" i="1"/>
  <c r="AG28" i="1"/>
  <c r="AG36" i="1"/>
  <c r="AG40" i="1"/>
  <c r="AG39" i="1"/>
  <c r="AG48" i="1"/>
  <c r="AG59" i="1"/>
  <c r="AG56" i="1"/>
  <c r="AG55" i="1"/>
  <c r="AG45" i="1"/>
  <c r="AG44" i="1"/>
  <c r="AG26" i="1"/>
  <c r="AG25" i="1"/>
  <c r="AG30" i="1"/>
  <c r="AG34" i="1"/>
  <c r="AG33" i="1"/>
  <c r="AG42" i="1"/>
  <c r="AF42" i="1" s="1"/>
  <c r="AG46" i="1"/>
  <c r="AG57" i="1"/>
  <c r="AG32" i="1"/>
  <c r="AG31" i="1"/>
  <c r="AG23" i="1"/>
  <c r="AG37" i="1"/>
  <c r="AG38" i="1"/>
  <c r="AG50" i="1"/>
  <c r="AG49" i="1"/>
  <c r="AG54" i="1"/>
  <c r="N15" i="1"/>
  <c r="AC15" i="1" s="1"/>
  <c r="AC55" i="1"/>
  <c r="AC49" i="1"/>
  <c r="AC43" i="1"/>
  <c r="AC37" i="1"/>
  <c r="AC41" i="1"/>
  <c r="AC42" i="1"/>
  <c r="AC31" i="1"/>
  <c r="AC25" i="1"/>
  <c r="AC19" i="1"/>
  <c r="AC17" i="1"/>
  <c r="AD55" i="1" l="1"/>
  <c r="AE55" i="1"/>
  <c r="AC56" i="1" s="1"/>
  <c r="AD56" i="1" s="1"/>
  <c r="AD49" i="1"/>
  <c r="AE49" i="1"/>
  <c r="AC50" i="1" s="1"/>
  <c r="AE50" i="1" s="1"/>
  <c r="AC51" i="1" s="1"/>
  <c r="AD43" i="1"/>
  <c r="AE43" i="1"/>
  <c r="AC44" i="1" s="1"/>
  <c r="AE44" i="1" s="1"/>
  <c r="AC45" i="1" s="1"/>
  <c r="AD42" i="1"/>
  <c r="AE42" i="1"/>
  <c r="AD41" i="1"/>
  <c r="AE41" i="1"/>
  <c r="AD37" i="1"/>
  <c r="AE37" i="1"/>
  <c r="AD31" i="1"/>
  <c r="AE31" i="1"/>
  <c r="AC32" i="1" s="1"/>
  <c r="AE32" i="1" s="1"/>
  <c r="AC33" i="1" s="1"/>
  <c r="AD25" i="1"/>
  <c r="AE25" i="1"/>
  <c r="AD19" i="1"/>
  <c r="AE19" i="1"/>
  <c r="AC20" i="1" s="1"/>
  <c r="AE20" i="1" s="1"/>
  <c r="AC21" i="1" s="1"/>
  <c r="AD21" i="1" s="1"/>
  <c r="AD17" i="1"/>
  <c r="AE17" i="1"/>
  <c r="AC18" i="1" s="1"/>
  <c r="AD18" i="1" s="1"/>
  <c r="AD15" i="1"/>
  <c r="AE15" i="1"/>
  <c r="AC16" i="1" s="1"/>
  <c r="AD50" i="1" l="1"/>
  <c r="AD44" i="1"/>
  <c r="AE18" i="1"/>
  <c r="AD32" i="1"/>
  <c r="AD20" i="1"/>
  <c r="AD33" i="1"/>
  <c r="AE33" i="1"/>
  <c r="AE51" i="1"/>
  <c r="AC52" i="1" s="1"/>
  <c r="AD51" i="1"/>
  <c r="AE45" i="1"/>
  <c r="AC46" i="1" s="1"/>
  <c r="AD45" i="1"/>
  <c r="AE56" i="1"/>
  <c r="AC57" i="1" s="1"/>
  <c r="AC26" i="1"/>
  <c r="AC38" i="1"/>
  <c r="AE2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41" i="1"/>
  <c r="AH42" i="1"/>
  <c r="AD52" i="1" l="1"/>
  <c r="AE52" i="1"/>
  <c r="AD46" i="1"/>
  <c r="AE46" i="1"/>
  <c r="AC47" i="1" s="1"/>
  <c r="AD57" i="1"/>
  <c r="AE57" i="1"/>
  <c r="AC58" i="1" s="1"/>
  <c r="AD38" i="1"/>
  <c r="AE38" i="1"/>
  <c r="AC39" i="1" s="1"/>
  <c r="AD39" i="1" s="1"/>
  <c r="AC34" i="1"/>
  <c r="AD26" i="1"/>
  <c r="AE26" i="1"/>
  <c r="AC27" i="1" s="1"/>
  <c r="AD27" i="1" s="1"/>
  <c r="AC23" i="1"/>
  <c r="AD23" i="1" s="1"/>
  <c r="AC22" i="1"/>
  <c r="AD16" i="1"/>
  <c r="AE16" i="1"/>
  <c r="AE39" i="1" l="1"/>
  <c r="AC40" i="1" s="1"/>
  <c r="AD40" i="1" s="1"/>
  <c r="AE27" i="1"/>
  <c r="AC28" i="1" s="1"/>
  <c r="AE28" i="1" s="1"/>
  <c r="AC29" i="1" s="1"/>
  <c r="AD47" i="1"/>
  <c r="AE47" i="1"/>
  <c r="AC48" i="1" s="1"/>
  <c r="AC53" i="1"/>
  <c r="AC54" i="1"/>
  <c r="AD34" i="1"/>
  <c r="AE34" i="1"/>
  <c r="AC35" i="1" s="1"/>
  <c r="AD35" i="1" s="1"/>
  <c r="AE58" i="1"/>
  <c r="AD58" i="1"/>
  <c r="AD22" i="1"/>
  <c r="AE22" i="1"/>
  <c r="AE23" i="1"/>
  <c r="AC24" i="1" s="1"/>
  <c r="AE40" i="1" l="1"/>
  <c r="AD28" i="1"/>
  <c r="AD54" i="1"/>
  <c r="AE54" i="1"/>
  <c r="AD53" i="1"/>
  <c r="AE53" i="1"/>
  <c r="AD48" i="1"/>
  <c r="AE48" i="1"/>
  <c r="AC59" i="1"/>
  <c r="AC60" i="1"/>
  <c r="AE35" i="1"/>
  <c r="AC36" i="1" s="1"/>
  <c r="AD36" i="1" s="1"/>
  <c r="AE29" i="1"/>
  <c r="AC30" i="1" s="1"/>
  <c r="AD29" i="1"/>
  <c r="AD24" i="1"/>
  <c r="AE24" i="1"/>
  <c r="AD60" i="1" l="1"/>
  <c r="AE60" i="1"/>
  <c r="AD59" i="1"/>
  <c r="AE59" i="1"/>
  <c r="AD30" i="1"/>
  <c r="AE30" i="1"/>
  <c r="AE36" i="1"/>
  <c r="P31" i="1" l="1"/>
  <c r="Q31" i="1" s="1"/>
  <c r="P19" i="1"/>
  <c r="Q19" i="1" s="1"/>
  <c r="P17" i="1"/>
  <c r="Q17" i="1" s="1"/>
  <c r="P43" i="1"/>
  <c r="Q43" i="1" s="1"/>
  <c r="P37" i="1"/>
  <c r="Q37" i="1" s="1"/>
  <c r="P25" i="1"/>
  <c r="Q25" i="1" s="1"/>
  <c r="P55" i="1"/>
  <c r="Q55" i="1" s="1"/>
  <c r="P49" i="1"/>
  <c r="Q49" i="1" s="1"/>
  <c r="P15" i="1"/>
  <c r="Q15" i="1" s="1"/>
  <c r="Z42" i="18" l="1"/>
  <c r="N42" i="18"/>
  <c r="AF26" i="18"/>
  <c r="N26" i="18"/>
  <c r="AF18" i="18"/>
  <c r="T10" i="18"/>
  <c r="N34" i="18"/>
  <c r="T34" i="18"/>
  <c r="T18" i="18"/>
  <c r="Z18" i="18"/>
  <c r="Z10" i="18"/>
  <c r="AL18" i="18"/>
  <c r="Z26" i="18"/>
  <c r="S49" i="1"/>
  <c r="R49"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43" i="1"/>
  <c r="AJ42" i="18"/>
  <c r="AJ18" i="18"/>
  <c r="AD26" i="18"/>
  <c r="L10" i="18"/>
  <c r="AD10" i="18"/>
  <c r="X18" i="18"/>
  <c r="AD42" i="18"/>
  <c r="L18" i="18"/>
  <c r="R10" i="18"/>
  <c r="S43" i="1"/>
  <c r="R55" i="1"/>
  <c r="AB36" i="18"/>
  <c r="AH12" i="18"/>
  <c r="P28" i="18"/>
  <c r="AH20" i="18"/>
  <c r="P36" i="18"/>
  <c r="V12" i="18"/>
  <c r="AH28" i="18"/>
  <c r="AB20" i="18"/>
  <c r="J12" i="18"/>
  <c r="J20" i="18"/>
  <c r="S55" i="1"/>
  <c r="P44" i="18"/>
  <c r="AB44" i="18"/>
  <c r="V28" i="18"/>
  <c r="V36" i="18"/>
  <c r="J28" i="18"/>
  <c r="AH36" i="18"/>
  <c r="J44" i="18"/>
  <c r="P12" i="18"/>
  <c r="AB12" i="18"/>
  <c r="V44" i="18"/>
  <c r="AH44" i="18"/>
  <c r="V20" i="18"/>
  <c r="P20" i="18"/>
  <c r="J36" i="18"/>
  <c r="AB28" i="18"/>
  <c r="T38" i="18"/>
  <c r="AF22" i="18"/>
  <c r="N38" i="18"/>
  <c r="AF30" i="18"/>
  <c r="AL6" i="18"/>
  <c r="Z6" i="18"/>
  <c r="S17" i="1"/>
  <c r="T14" i="18"/>
  <c r="T22" i="18"/>
  <c r="N6" i="18"/>
  <c r="AL30" i="18"/>
  <c r="Z22" i="18"/>
  <c r="Z14" i="18"/>
  <c r="R17" i="1"/>
  <c r="AG17" i="1" s="1"/>
  <c r="AG18" i="1" s="1"/>
  <c r="Z30" i="18"/>
  <c r="AL38" i="18"/>
  <c r="AL14" i="18"/>
  <c r="AF6" i="18"/>
  <c r="AL22" i="18"/>
  <c r="T30" i="18"/>
  <c r="Z38" i="18"/>
  <c r="AF14" i="18"/>
  <c r="N30" i="18"/>
  <c r="N14" i="18"/>
  <c r="N22" i="18"/>
  <c r="AF38" i="18"/>
  <c r="T6" i="18"/>
  <c r="R25" i="1"/>
  <c r="X32" i="18"/>
  <c r="AD32" i="18"/>
  <c r="AJ8" i="18"/>
  <c r="L16" i="18"/>
  <c r="R32" i="18"/>
  <c r="AJ32" i="18"/>
  <c r="S25" i="1"/>
  <c r="R40" i="18"/>
  <c r="AJ40" i="18"/>
  <c r="AD24" i="18"/>
  <c r="AJ24" i="18"/>
  <c r="R24" i="18"/>
  <c r="AJ16" i="18"/>
  <c r="AD8" i="18"/>
  <c r="L32" i="18"/>
  <c r="L40" i="18"/>
  <c r="R16" i="18"/>
  <c r="L24" i="18"/>
  <c r="AD16" i="18"/>
  <c r="L8" i="18"/>
  <c r="R8" i="18"/>
  <c r="X40" i="18"/>
  <c r="X8" i="18"/>
  <c r="X16" i="18"/>
  <c r="AD40" i="18"/>
  <c r="X24" i="18"/>
  <c r="R19" i="1"/>
  <c r="J40" i="18"/>
  <c r="J16" i="18"/>
  <c r="P16" i="18"/>
  <c r="V8" i="18"/>
  <c r="J8" i="18"/>
  <c r="J24" i="18"/>
  <c r="AH16" i="18"/>
  <c r="AB16" i="18"/>
  <c r="AB40" i="18"/>
  <c r="P32" i="18"/>
  <c r="P40" i="18"/>
  <c r="AH24" i="18"/>
  <c r="AB32" i="18"/>
  <c r="J32" i="18"/>
  <c r="V16" i="18"/>
  <c r="V40" i="18"/>
  <c r="AH32" i="18"/>
  <c r="V24" i="18"/>
  <c r="V32" i="18"/>
  <c r="AH8" i="18"/>
  <c r="AB8" i="18"/>
  <c r="P8" i="18"/>
  <c r="S19" i="1"/>
  <c r="AH40" i="18"/>
  <c r="AB24" i="18"/>
  <c r="P24" i="18"/>
  <c r="AD38" i="18"/>
  <c r="L30" i="18"/>
  <c r="AD30" i="18"/>
  <c r="AJ6" i="18"/>
  <c r="L14" i="18"/>
  <c r="L22" i="18"/>
  <c r="X6" i="18"/>
  <c r="L6" i="18"/>
  <c r="S15" i="1"/>
  <c r="R38" i="18"/>
  <c r="AJ38" i="18"/>
  <c r="L38" i="18"/>
  <c r="AD6" i="18"/>
  <c r="R6" i="18"/>
  <c r="AJ30" i="18"/>
  <c r="R30" i="18"/>
  <c r="AD22" i="18"/>
  <c r="AJ14" i="18"/>
  <c r="AJ22" i="18"/>
  <c r="AD14" i="18"/>
  <c r="X38" i="18"/>
  <c r="X14" i="18"/>
  <c r="R22" i="18"/>
  <c r="X22" i="18"/>
  <c r="R15" i="1"/>
  <c r="AG15" i="1" s="1"/>
  <c r="AG16"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37" i="1"/>
  <c r="AH34" i="18"/>
  <c r="AH42" i="18"/>
  <c r="AH18" i="18"/>
  <c r="AB10" i="18"/>
  <c r="J26" i="18"/>
  <c r="V18" i="18"/>
  <c r="V42" i="18"/>
  <c r="J42" i="18"/>
  <c r="P10" i="18"/>
  <c r="AB26" i="18"/>
  <c r="J34" i="18"/>
  <c r="J18" i="18"/>
  <c r="AH10" i="18"/>
  <c r="AB34" i="18"/>
  <c r="P26" i="18"/>
  <c r="P34" i="18"/>
  <c r="V34" i="18"/>
  <c r="AH26" i="18"/>
  <c r="J10" i="18"/>
  <c r="S37" i="1"/>
  <c r="P18" i="18"/>
  <c r="AB42" i="18"/>
  <c r="V10" i="18"/>
  <c r="AB18" i="18"/>
  <c r="P42" i="18"/>
  <c r="V26" i="18"/>
  <c r="Z32" i="18"/>
  <c r="N24" i="18"/>
  <c r="AL32" i="18"/>
  <c r="AL40" i="18"/>
  <c r="N8" i="18"/>
  <c r="AF24" i="18"/>
  <c r="Z40" i="18"/>
  <c r="Z16" i="18"/>
  <c r="N32" i="18"/>
  <c r="T32" i="18"/>
  <c r="N40" i="18"/>
  <c r="T8" i="18"/>
  <c r="R31" i="1"/>
  <c r="AF32" i="18"/>
  <c r="AL8" i="18"/>
  <c r="T24" i="18"/>
  <c r="N16" i="18"/>
  <c r="T16" i="18"/>
  <c r="Z24" i="18"/>
  <c r="AF16" i="18"/>
  <c r="S31" i="1"/>
  <c r="T40" i="18"/>
  <c r="AF8" i="18"/>
  <c r="AL24" i="18"/>
  <c r="Z8" i="18"/>
  <c r="AF40" i="18"/>
  <c r="AL16" i="18"/>
  <c r="AF19" i="1" l="1"/>
  <c r="AF55" i="1"/>
  <c r="AF31" i="1"/>
  <c r="AF43" i="1"/>
  <c r="AF15" i="1"/>
  <c r="AF17" i="1"/>
  <c r="AF37" i="1"/>
  <c r="AF25" i="1"/>
  <c r="AF38" i="1" l="1"/>
  <c r="AF44" i="1"/>
  <c r="AF50" i="1"/>
  <c r="AF26" i="1"/>
  <c r="AF32" i="1"/>
  <c r="AF20" i="1"/>
  <c r="AF18" i="1"/>
  <c r="J40" i="19"/>
  <c r="V30" i="19"/>
  <c r="AH20" i="19"/>
  <c r="J30" i="19"/>
  <c r="V20" i="19"/>
  <c r="AH10" i="19"/>
  <c r="P10" i="19"/>
  <c r="AB50" i="19"/>
  <c r="J50" i="19"/>
  <c r="AB40" i="19"/>
  <c r="P30" i="19"/>
  <c r="V50" i="19"/>
  <c r="P50" i="19"/>
  <c r="AB10" i="19"/>
  <c r="AH30" i="19"/>
  <c r="AH40" i="19"/>
  <c r="J10" i="19"/>
  <c r="AB20" i="19"/>
  <c r="AH50" i="19"/>
  <c r="AH25" i="1"/>
  <c r="V10" i="19"/>
  <c r="P20" i="19"/>
  <c r="J20" i="19"/>
  <c r="P40" i="19"/>
  <c r="V40" i="19"/>
  <c r="AB30" i="19"/>
  <c r="J11" i="19"/>
  <c r="V11" i="19"/>
  <c r="AB21" i="19"/>
  <c r="P31" i="19"/>
  <c r="J31" i="19"/>
  <c r="AB41" i="19"/>
  <c r="AH31"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55" i="1"/>
  <c r="P25" i="19"/>
  <c r="V55" i="19"/>
  <c r="J15" i="19"/>
  <c r="AB15" i="19"/>
  <c r="J35" i="19"/>
  <c r="AB35" i="19"/>
  <c r="J55" i="19"/>
  <c r="AB25" i="19"/>
  <c r="P35" i="19"/>
  <c r="P55" i="19"/>
  <c r="AB45" i="19"/>
  <c r="P15" i="19"/>
  <c r="J47" i="19"/>
  <c r="V27" i="19"/>
  <c r="AH7" i="19"/>
  <c r="P47" i="19"/>
  <c r="AB27" i="19"/>
  <c r="J17" i="19"/>
  <c r="V47" i="19"/>
  <c r="J37" i="19"/>
  <c r="AH15" i="1"/>
  <c r="AB37" i="19"/>
  <c r="J27" i="19"/>
  <c r="V7" i="19"/>
  <c r="AH37" i="19"/>
  <c r="P27" i="19"/>
  <c r="AB7" i="19"/>
  <c r="P17" i="19"/>
  <c r="V17" i="19"/>
  <c r="AH47" i="19"/>
  <c r="P37" i="19"/>
  <c r="AB17" i="19"/>
  <c r="J7" i="19"/>
  <c r="V37" i="19"/>
  <c r="AH17" i="19"/>
  <c r="P7" i="19"/>
  <c r="AH27" i="19"/>
  <c r="AB47" i="19"/>
  <c r="AH43"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49" i="1"/>
  <c r="AH19"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17"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33" i="1"/>
  <c r="V32" i="19"/>
  <c r="P42" i="19"/>
  <c r="J12" i="19"/>
  <c r="J32" i="19"/>
  <c r="AB52" i="19"/>
  <c r="AH37" i="1"/>
  <c r="J22" i="19"/>
  <c r="V22" i="19"/>
  <c r="J52" i="19"/>
  <c r="AH12" i="19"/>
  <c r="J42" i="19"/>
  <c r="AH42" i="19"/>
  <c r="P32" i="19"/>
  <c r="AB12" i="19"/>
  <c r="AH32" i="19"/>
  <c r="AB32" i="19"/>
  <c r="AB42" i="19"/>
  <c r="V42" i="19"/>
  <c r="V12" i="19"/>
  <c r="V52" i="19"/>
  <c r="AB22" i="19"/>
  <c r="AH52" i="19"/>
  <c r="AH22" i="19"/>
  <c r="P22" i="19"/>
  <c r="P12" i="19"/>
  <c r="P52" i="19"/>
  <c r="AF39" i="1"/>
  <c r="AF16" i="1"/>
  <c r="AF56" i="1" l="1"/>
  <c r="K45" i="19" s="1"/>
  <c r="AF40" i="1"/>
  <c r="S12" i="19" s="1"/>
  <c r="W37" i="19"/>
  <c r="AI7" i="19"/>
  <c r="W17" i="19"/>
  <c r="W27" i="19"/>
  <c r="Q47" i="19"/>
  <c r="W7" i="19"/>
  <c r="AI17" i="19"/>
  <c r="K47" i="19"/>
  <c r="AI47" i="19"/>
  <c r="Q27" i="19"/>
  <c r="AC27" i="19"/>
  <c r="AC47" i="19"/>
  <c r="AC37" i="19"/>
  <c r="AI37" i="19"/>
  <c r="AH16"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50"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32" i="1"/>
  <c r="P54" i="19"/>
  <c r="AH14" i="19"/>
  <c r="AB14" i="19"/>
  <c r="AH34" i="19"/>
  <c r="AB54" i="19"/>
  <c r="AH54" i="19"/>
  <c r="AH49"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39" i="1"/>
  <c r="AD12" i="19"/>
  <c r="AD32" i="19"/>
  <c r="AD22" i="19"/>
  <c r="X52" i="19"/>
  <c r="AD52" i="19"/>
  <c r="L42" i="19"/>
  <c r="R42" i="19"/>
  <c r="AJ21" i="19"/>
  <c r="AD31" i="19"/>
  <c r="R21" i="19"/>
  <c r="AD41" i="19"/>
  <c r="AJ11" i="19"/>
  <c r="AJ51" i="19"/>
  <c r="AH33" i="1"/>
  <c r="L41" i="19"/>
  <c r="AD11" i="19"/>
  <c r="L21" i="19"/>
  <c r="L11" i="19"/>
  <c r="X51" i="19"/>
  <c r="X21" i="19"/>
  <c r="R11" i="19"/>
  <c r="R31" i="19"/>
  <c r="AJ41" i="19"/>
  <c r="L31" i="19"/>
  <c r="R51" i="19"/>
  <c r="X31" i="19"/>
  <c r="X11" i="19"/>
  <c r="X41" i="19"/>
  <c r="AJ31" i="19"/>
  <c r="AD51" i="19"/>
  <c r="R41" i="19"/>
  <c r="AD21" i="19"/>
  <c r="L51" i="19"/>
  <c r="AF21" i="1"/>
  <c r="AF45" i="1"/>
  <c r="K42" i="19"/>
  <c r="AC32" i="19"/>
  <c r="W42" i="19"/>
  <c r="AI52" i="19"/>
  <c r="K22" i="19"/>
  <c r="Q32" i="19"/>
  <c r="AI12" i="19"/>
  <c r="AC52" i="19"/>
  <c r="Q42" i="19"/>
  <c r="AC42" i="19"/>
  <c r="K12" i="19"/>
  <c r="Q22" i="19"/>
  <c r="W52" i="19"/>
  <c r="AI42" i="19"/>
  <c r="W32" i="19"/>
  <c r="AI22" i="19"/>
  <c r="W12" i="19"/>
  <c r="AI32" i="19"/>
  <c r="AC12" i="19"/>
  <c r="Q12" i="19"/>
  <c r="Q52" i="19"/>
  <c r="AH38" i="1"/>
  <c r="K32" i="19"/>
  <c r="W22" i="19"/>
  <c r="K52" i="19"/>
  <c r="AC22" i="19"/>
  <c r="AC40" i="19"/>
  <c r="W10" i="19"/>
  <c r="AC50" i="19"/>
  <c r="Q10" i="19"/>
  <c r="Q30" i="19"/>
  <c r="W50" i="19"/>
  <c r="K40" i="19"/>
  <c r="Q50" i="19"/>
  <c r="W20" i="19"/>
  <c r="AH26"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51" i="1"/>
  <c r="K39" i="19"/>
  <c r="AC39" i="19"/>
  <c r="W29" i="19"/>
  <c r="AI49" i="19"/>
  <c r="W9" i="19"/>
  <c r="AC19" i="19"/>
  <c r="Q49" i="19"/>
  <c r="W49" i="19"/>
  <c r="AC9" i="19"/>
  <c r="AI9" i="19"/>
  <c r="Q29" i="19"/>
  <c r="W39" i="19"/>
  <c r="Q39" i="19"/>
  <c r="AH20"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44" i="1"/>
  <c r="Q33" i="19"/>
  <c r="AI23" i="19"/>
  <c r="K53" i="19"/>
  <c r="AC23" i="19"/>
  <c r="AC13" i="19"/>
  <c r="W23" i="19"/>
  <c r="W33" i="19"/>
  <c r="Q13" i="19"/>
  <c r="W13" i="19"/>
  <c r="AI13" i="19"/>
  <c r="Q43" i="19"/>
  <c r="Q23" i="19"/>
  <c r="W53" i="19"/>
  <c r="M12" i="19"/>
  <c r="AK42" i="19"/>
  <c r="AE32" i="19"/>
  <c r="AH40" i="1"/>
  <c r="Y52" i="19"/>
  <c r="S22" i="19"/>
  <c r="AK52" i="19"/>
  <c r="M22" i="19"/>
  <c r="AK32" i="19"/>
  <c r="AE22" i="19"/>
  <c r="AE42" i="19"/>
  <c r="S42" i="19"/>
  <c r="AF34" i="1"/>
  <c r="AF36" i="1"/>
  <c r="AF35" i="1"/>
  <c r="AF2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18" i="1"/>
  <c r="S52" i="19" l="1"/>
  <c r="AK22" i="19"/>
  <c r="AK12" i="19"/>
  <c r="AE52" i="19"/>
  <c r="Y42" i="19"/>
  <c r="Q55" i="19"/>
  <c r="Y22" i="19"/>
  <c r="Y32" i="19"/>
  <c r="AE12" i="19"/>
  <c r="M52" i="19"/>
  <c r="Y12" i="19"/>
  <c r="S32" i="19"/>
  <c r="M32" i="19"/>
  <c r="M42" i="19"/>
  <c r="W45" i="19"/>
  <c r="K25" i="19"/>
  <c r="W55" i="19"/>
  <c r="AI25" i="19"/>
  <c r="AI45" i="19"/>
  <c r="Q25" i="19"/>
  <c r="AH56" i="1"/>
  <c r="AC35" i="19"/>
  <c r="AI15" i="19"/>
  <c r="Q35" i="19"/>
  <c r="W25" i="19"/>
  <c r="AC25" i="19"/>
  <c r="AI55" i="19"/>
  <c r="K15" i="19"/>
  <c r="Q15" i="19"/>
  <c r="K35" i="19"/>
  <c r="W35" i="19"/>
  <c r="W15" i="19"/>
  <c r="AC15" i="19"/>
  <c r="Q45" i="19"/>
  <c r="AC55" i="19"/>
  <c r="K55" i="19"/>
  <c r="AC45" i="19"/>
  <c r="AI35" i="19"/>
  <c r="AF57" i="1"/>
  <c r="R18" i="19"/>
  <c r="R40" i="19"/>
  <c r="AD10" i="19"/>
  <c r="X40" i="19"/>
  <c r="AJ10" i="19"/>
  <c r="R50" i="19"/>
  <c r="X10" i="19"/>
  <c r="R30" i="19"/>
  <c r="AH27" i="1"/>
  <c r="L10" i="19"/>
  <c r="L50" i="19"/>
  <c r="AJ20" i="19"/>
  <c r="AJ40" i="19"/>
  <c r="AD30" i="19"/>
  <c r="R20" i="19"/>
  <c r="AD50" i="19"/>
  <c r="AJ30" i="19"/>
  <c r="AJ50" i="19"/>
  <c r="X30" i="19"/>
  <c r="AD20" i="19"/>
  <c r="L40" i="19"/>
  <c r="X50" i="19"/>
  <c r="X20" i="19"/>
  <c r="AD40" i="19"/>
  <c r="R10" i="19"/>
  <c r="L30" i="19"/>
  <c r="L20" i="19"/>
  <c r="AF46" i="1"/>
  <c r="AF60"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H45" i="1"/>
  <c r="X23" i="19"/>
  <c r="R33" i="19"/>
  <c r="R43" i="19"/>
  <c r="AD53" i="19"/>
  <c r="AJ13" i="19"/>
  <c r="R23" i="19"/>
  <c r="R13" i="19"/>
  <c r="AJ53" i="19"/>
  <c r="L33" i="19"/>
  <c r="L23" i="19"/>
  <c r="X43" i="19"/>
  <c r="X53" i="19"/>
  <c r="AD13" i="19"/>
  <c r="L53" i="19"/>
  <c r="L13" i="19"/>
  <c r="AD23" i="19"/>
  <c r="AJ33" i="19"/>
  <c r="AJ23" i="19"/>
  <c r="R53" i="19"/>
  <c r="Z11" i="19"/>
  <c r="AF31" i="19"/>
  <c r="T51" i="19"/>
  <c r="N51" i="19"/>
  <c r="Z41" i="19"/>
  <c r="AF21" i="19"/>
  <c r="AL31" i="19"/>
  <c r="T31" i="19"/>
  <c r="Z31" i="19"/>
  <c r="N21" i="19"/>
  <c r="N31" i="19"/>
  <c r="AL11" i="19"/>
  <c r="T11" i="19"/>
  <c r="AF11" i="19"/>
  <c r="AL41" i="19"/>
  <c r="T21" i="19"/>
  <c r="Z21" i="19"/>
  <c r="AL51" i="19"/>
  <c r="N11" i="19"/>
  <c r="AF51" i="19"/>
  <c r="N41" i="19"/>
  <c r="Z51" i="19"/>
  <c r="AH35"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36" i="1"/>
  <c r="AG11" i="19"/>
  <c r="AM41" i="19"/>
  <c r="AA21" i="19"/>
  <c r="AA51" i="19"/>
  <c r="U51" i="19"/>
  <c r="U31" i="19"/>
  <c r="AA11" i="19"/>
  <c r="AG21" i="19"/>
  <c r="O31" i="19"/>
  <c r="AF52" i="1"/>
  <c r="AF22" i="1"/>
  <c r="AF23" i="1"/>
  <c r="AF24"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28" i="1"/>
  <c r="AE11" i="19"/>
  <c r="Y41" i="19"/>
  <c r="M41" i="19"/>
  <c r="Y21" i="19"/>
  <c r="AK41" i="19"/>
  <c r="S31" i="19"/>
  <c r="M31" i="19"/>
  <c r="M51" i="19"/>
  <c r="Y51" i="19"/>
  <c r="AK21" i="19"/>
  <c r="AK31" i="19"/>
  <c r="Y11" i="19"/>
  <c r="AE41" i="19"/>
  <c r="AE21" i="19"/>
  <c r="S51" i="19"/>
  <c r="AE51" i="19"/>
  <c r="AK51" i="19"/>
  <c r="M21" i="19"/>
  <c r="AE31" i="19"/>
  <c r="AH34" i="1"/>
  <c r="S41" i="19"/>
  <c r="AK11" i="19"/>
  <c r="S11" i="19"/>
  <c r="Y31" i="19"/>
  <c r="S21" i="19"/>
  <c r="M11" i="19"/>
  <c r="L54" i="19"/>
  <c r="AJ14" i="19"/>
  <c r="AD44" i="19"/>
  <c r="X54" i="19"/>
  <c r="R14" i="19"/>
  <c r="AD24" i="19"/>
  <c r="AD34" i="19"/>
  <c r="R54" i="19"/>
  <c r="L34" i="19"/>
  <c r="AJ34" i="19"/>
  <c r="X24" i="19"/>
  <c r="AJ24" i="19"/>
  <c r="X44" i="19"/>
  <c r="R24" i="19"/>
  <c r="AH51" i="1"/>
  <c r="X34" i="19"/>
  <c r="L14" i="19"/>
  <c r="AD14" i="19"/>
  <c r="L44" i="19"/>
  <c r="R44" i="19"/>
  <c r="AD54" i="19"/>
  <c r="X14" i="19"/>
  <c r="AJ44" i="19"/>
  <c r="R34" i="19"/>
  <c r="AJ54" i="19"/>
  <c r="L24" i="19"/>
  <c r="AD29" i="19"/>
  <c r="AD19" i="19"/>
  <c r="R39" i="19"/>
  <c r="R9" i="19"/>
  <c r="X49" i="19"/>
  <c r="X9" i="19"/>
  <c r="AD39" i="19"/>
  <c r="R29" i="19"/>
  <c r="L49" i="19"/>
  <c r="X19" i="19"/>
  <c r="X29" i="19"/>
  <c r="X39" i="19"/>
  <c r="L9" i="19"/>
  <c r="AH21" i="1"/>
  <c r="AD9" i="19"/>
  <c r="AJ49" i="19"/>
  <c r="L39" i="19"/>
  <c r="R19" i="19"/>
  <c r="AJ39" i="19"/>
  <c r="AJ29" i="19"/>
  <c r="AJ19" i="19"/>
  <c r="AJ9" i="19"/>
  <c r="AD49" i="19"/>
  <c r="L19" i="19"/>
  <c r="L29" i="19"/>
  <c r="R49" i="19"/>
  <c r="R15" i="19" l="1"/>
  <c r="R55" i="19"/>
  <c r="AD25" i="19"/>
  <c r="L55" i="19"/>
  <c r="AJ35" i="19"/>
  <c r="X55" i="19"/>
  <c r="X35" i="19"/>
  <c r="AH57" i="1"/>
  <c r="AD15" i="19"/>
  <c r="X25" i="19"/>
  <c r="X45" i="19"/>
  <c r="L35" i="19"/>
  <c r="R35" i="19"/>
  <c r="AJ15" i="19"/>
  <c r="L15" i="19"/>
  <c r="AJ25" i="19"/>
  <c r="AJ55" i="19"/>
  <c r="L45" i="19"/>
  <c r="AD35" i="19"/>
  <c r="R25" i="19"/>
  <c r="AD45" i="19"/>
  <c r="R45" i="19"/>
  <c r="AD55" i="19"/>
  <c r="X15" i="19"/>
  <c r="L25" i="19"/>
  <c r="AJ45" i="19"/>
  <c r="AF59" i="1"/>
  <c r="Z35" i="19" s="1"/>
  <c r="AF58" i="1"/>
  <c r="AJ48" i="19"/>
  <c r="L18" i="19"/>
  <c r="AD8" i="19"/>
  <c r="AJ8" i="19"/>
  <c r="AJ28" i="19"/>
  <c r="R48" i="19"/>
  <c r="X48" i="19"/>
  <c r="L8" i="19"/>
  <c r="AD28" i="19"/>
  <c r="X38" i="19"/>
  <c r="X8" i="19"/>
  <c r="L48" i="19"/>
  <c r="AD48" i="19"/>
  <c r="AD38" i="19"/>
  <c r="X18" i="19"/>
  <c r="R38" i="19"/>
  <c r="R8" i="19"/>
  <c r="L38" i="19"/>
  <c r="R28" i="19"/>
  <c r="AJ38" i="19"/>
  <c r="AD18" i="19"/>
  <c r="L28" i="19"/>
  <c r="AJ18" i="19"/>
  <c r="X28" i="19"/>
  <c r="AF29" i="1"/>
  <c r="AF30" i="1"/>
  <c r="AG39" i="19"/>
  <c r="AG29" i="19"/>
  <c r="AM19" i="19"/>
  <c r="O39" i="19"/>
  <c r="AH24"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52"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H60" i="1"/>
  <c r="AG15" i="19"/>
  <c r="U15" i="19"/>
  <c r="AG55" i="19"/>
  <c r="U55" i="19"/>
  <c r="AE40" i="19"/>
  <c r="Y30" i="19"/>
  <c r="M20" i="19"/>
  <c r="AH28"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23"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22" i="1"/>
  <c r="M9" i="19"/>
  <c r="Y29" i="19"/>
  <c r="AF47" i="1"/>
  <c r="AF48"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53" i="1"/>
  <c r="AF54"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46"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59"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58"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54" i="1"/>
  <c r="AA14" i="19"/>
  <c r="O54" i="19"/>
  <c r="U44" i="19"/>
  <c r="U43" i="19"/>
  <c r="U13" i="19"/>
  <c r="AM53" i="19"/>
  <c r="AA53" i="19"/>
  <c r="AA43" i="19"/>
  <c r="O53" i="19"/>
  <c r="O23" i="19"/>
  <c r="O13" i="19"/>
  <c r="AG43" i="19"/>
  <c r="U33" i="19"/>
  <c r="U23" i="19"/>
  <c r="AM13" i="19"/>
  <c r="AM23" i="19"/>
  <c r="AG13" i="19"/>
  <c r="AA23" i="19"/>
  <c r="AG33" i="19"/>
  <c r="AA33" i="19"/>
  <c r="AM33" i="19"/>
  <c r="AA13" i="19"/>
  <c r="AH48"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53" i="1"/>
  <c r="AF53" i="19"/>
  <c r="T43" i="19"/>
  <c r="Z53" i="19"/>
  <c r="N43" i="19"/>
  <c r="T23" i="19"/>
  <c r="AF43" i="19"/>
  <c r="Z13" i="19"/>
  <c r="Z43" i="19"/>
  <c r="AF23" i="19"/>
  <c r="AL13" i="19"/>
  <c r="Z23" i="19"/>
  <c r="AL43" i="19"/>
  <c r="AF13" i="19"/>
  <c r="AL23" i="19"/>
  <c r="N13" i="19"/>
  <c r="T33" i="19"/>
  <c r="AL53" i="19"/>
  <c r="N23" i="19"/>
  <c r="N53" i="19"/>
  <c r="AF33" i="19"/>
  <c r="N33" i="19"/>
  <c r="AH47"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30"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H29"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4" i="13"/>
  <c r="B223" i="13"/>
</calcChain>
</file>

<file path=xl/comments1.xml><?xml version="1.0" encoding="utf-8"?>
<comments xmlns="http://schemas.openxmlformats.org/spreadsheetml/2006/main">
  <authors>
    <author>Natalia Norato Mora</author>
  </authors>
  <commentList>
    <comment ref="C8" authorId="0" shapeId="0">
      <text>
        <r>
          <rPr>
            <b/>
            <sz val="9"/>
            <color indexed="81"/>
            <rFont val="Tahoma"/>
            <family val="2"/>
          </rPr>
          <t>Natalia Norato Mora:</t>
        </r>
        <r>
          <rPr>
            <sz val="9"/>
            <color indexed="81"/>
            <rFont val="Tahoma"/>
            <family val="2"/>
          </rPr>
          <t xml:space="preserve">
Falta diligenciar el alcance del proceso</t>
        </r>
      </text>
    </comment>
    <comment ref="C13" authorId="0" shapeId="0">
      <text>
        <r>
          <rPr>
            <b/>
            <sz val="9"/>
            <color indexed="81"/>
            <rFont val="Tahoma"/>
            <family val="2"/>
          </rPr>
          <t>Natalia Norato Mora:</t>
        </r>
        <r>
          <rPr>
            <sz val="9"/>
            <color indexed="81"/>
            <rFont val="Tahoma"/>
            <family val="2"/>
          </rPr>
          <t xml:space="preserve">
Revisar la causa inmediata por esa inconclusa</t>
        </r>
      </text>
    </comment>
    <comment ref="E13" authorId="0" shapeId="0">
      <text>
        <r>
          <rPr>
            <b/>
            <sz val="9"/>
            <color indexed="81"/>
            <rFont val="Tahoma"/>
            <family val="2"/>
          </rPr>
          <t>Natalia Norato Mora:</t>
        </r>
        <r>
          <rPr>
            <sz val="9"/>
            <color indexed="81"/>
            <rFont val="Tahoma"/>
            <family val="2"/>
          </rPr>
          <t xml:space="preserve">
</t>
        </r>
        <r>
          <rPr>
            <sz val="10"/>
            <color indexed="81"/>
            <rFont val="Tahoma"/>
            <family val="2"/>
          </rPr>
          <t xml:space="preserve">Ajustar teniendo en cuenta  la causa inmediata
la descricpción del riesgo debe tener la estructura de 
QUE: Impacto
COMO:Causa Inmediata
PORQUE: Causas Raíz
</t>
        </r>
      </text>
    </comment>
    <comment ref="O13" authorId="0" shapeId="0">
      <text>
        <r>
          <rPr>
            <b/>
            <sz val="9"/>
            <color indexed="81"/>
            <rFont val="Tahoma"/>
            <family val="2"/>
          </rPr>
          <t>Natalia Norato Mora:</t>
        </r>
        <r>
          <rPr>
            <sz val="9"/>
            <color indexed="81"/>
            <rFont val="Tahoma"/>
            <family val="2"/>
          </rPr>
          <t xml:space="preserve">
SI en la causa se habla de sanciones el riesgo afacta minimo un  algunos usuarios de relevancia</t>
        </r>
      </text>
    </comment>
    <comment ref="U13" authorId="0" shapeId="0">
      <text>
        <r>
          <rPr>
            <b/>
            <sz val="9"/>
            <color indexed="81"/>
            <rFont val="Tahoma"/>
            <family val="2"/>
          </rPr>
          <t>Natalia Norato Mora:</t>
        </r>
        <r>
          <rPr>
            <sz val="9"/>
            <color indexed="81"/>
            <rFont val="Tahoma"/>
            <family val="2"/>
          </rPr>
          <t xml:space="preserve">
Verificar los cotenidos elimina  omitiga la demora??</t>
        </r>
      </text>
    </comment>
    <comment ref="U14" authorId="0" shapeId="0">
      <text>
        <r>
          <rPr>
            <b/>
            <sz val="9"/>
            <color indexed="81"/>
            <rFont val="Tahoma"/>
            <family val="2"/>
          </rPr>
          <t>Natalia Norato Mora:</t>
        </r>
        <r>
          <rPr>
            <sz val="9"/>
            <color indexed="81"/>
            <rFont val="Tahoma"/>
            <family val="2"/>
          </rPr>
          <t xml:space="preserve">
Se recomienda mejorar la redacción del control dejando explicito cual es la evidencia </t>
        </r>
      </text>
    </comment>
    <comment ref="C15" authorId="0" shapeId="0">
      <text>
        <r>
          <rPr>
            <b/>
            <sz val="9"/>
            <color indexed="81"/>
            <rFont val="Tahoma"/>
            <family val="2"/>
          </rPr>
          <t>Natalia Norato Mora:</t>
        </r>
        <r>
          <rPr>
            <sz val="9"/>
            <color indexed="81"/>
            <rFont val="Tahoma"/>
            <family val="2"/>
          </rPr>
          <t xml:space="preserve">
revisar esta causa inmediata es sobrecarga o la afectación de la reputación se da 
</t>
        </r>
        <r>
          <rPr>
            <b/>
            <sz val="9"/>
            <color indexed="81"/>
            <rFont val="Tahoma"/>
            <family val="2"/>
          </rPr>
          <t xml:space="preserve">Por incumplir con la ejecución del Plan anual de auditorias </t>
        </r>
      </text>
    </comment>
    <comment ref="E15" authorId="0" shapeId="0">
      <text>
        <r>
          <rPr>
            <b/>
            <sz val="9"/>
            <color indexed="81"/>
            <rFont val="Tahoma"/>
            <family val="2"/>
          </rPr>
          <t>Natalia Norato Mora:</t>
        </r>
        <r>
          <rPr>
            <sz val="9"/>
            <color indexed="81"/>
            <rFont val="Tahoma"/>
            <family val="2"/>
          </rPr>
          <t xml:space="preserve">
Ajustar teniendo en cuenta el impacto, causa inmediata y causa raiz
la descricpción del riesgo debe tener la estructura de 
QUE: Impacto
COMO:Causa Inmediata
PORQUE: Causas Raíz</t>
        </r>
      </text>
    </comment>
    <comment ref="C17" authorId="0" shapeId="0">
      <text>
        <r>
          <rPr>
            <b/>
            <sz val="9"/>
            <color indexed="81"/>
            <rFont val="Tahoma"/>
            <family val="2"/>
          </rPr>
          <t>Natalia Norato Mora:</t>
        </r>
        <r>
          <rPr>
            <sz val="9"/>
            <color indexed="81"/>
            <rFont val="Tahoma"/>
            <family val="2"/>
          </rPr>
          <t xml:space="preserve">
Para los riesgos de seguridad de la informacón la causa Inmediata es la perdida de disponibilidad (para este caso, es disponibilidad )</t>
        </r>
      </text>
    </comment>
    <comment ref="E17" authorId="0" shapeId="0">
      <text>
        <r>
          <rPr>
            <b/>
            <sz val="9"/>
            <color indexed="81"/>
            <rFont val="Tahoma"/>
            <family val="2"/>
          </rPr>
          <t>Natalia Norato Mora:</t>
        </r>
        <r>
          <rPr>
            <sz val="9"/>
            <color indexed="81"/>
            <rFont val="Tahoma"/>
            <family val="2"/>
          </rPr>
          <t xml:space="preserve">
Ajustar teniendo en cuenta el impacto, causa inmediata y causa raiz
la descricpción del riesgo debe tener la estructura de 
QUE: Impacto
COMO:Causa Inmediata
PORQUE: Causas Raíz</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<sst xmlns="http://schemas.openxmlformats.org/spreadsheetml/2006/main" count="708" uniqueCount="485">
  <si>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</si>
  <si>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</si>
  <si>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</si>
  <si>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</si>
  <si>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</si>
  <si>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</si>
  <si>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</si>
  <si>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</si>
  <si>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</si>
  <si>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</si>
  <si>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</si>
  <si>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</si>
  <si>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</si>
  <si>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</si>
  <si>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</si>
  <si>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</si>
  <si>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</si>
  <si>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</si>
  <si>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</si>
  <si>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</si>
  <si>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</si>
  <si>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</si>
  <si>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</si>
  <si>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</si>
  <si>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</si>
  <si>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</si>
  <si>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</si>
  <si>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</si>
  <si>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</si>
  <si>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</si>
  <si>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</si>
  <si>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</si>
  <si>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</si>
  <si>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</si>
  <si>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</si>
  <si>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</si>
  <si>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</si>
  <si>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</si>
  <si>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</si>
  <si>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</si>
  <si>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</si>
  <si>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</si>
  <si>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</si>
  <si>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</si>
  <si>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</si>
  <si>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</si>
  <si>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</si>
  <si>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</si>
  <si>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</si>
  <si>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</si>
  <si>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</si>
  <si>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</si>
  <si>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</si>
  <si>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</si>
  <si>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</si>
  <si>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</si>
  <si>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</si>
  <si>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</si>
  <si>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</si>
  <si>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</si>
  <si>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</si>
  <si>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</si>
  <si>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</si>
  <si>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</si>
  <si>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</si>
  <si>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</si>
  <si>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</si>
  <si>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</si>
  <si>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</si>
  <si>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</si>
  <si>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</si>
  <si>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</si>
  <si>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</si>
  <si>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</si>
  <si>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</si>
  <si>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</si>
  <si>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</si>
  <si>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</si>
  <si>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</si>
  <si>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</si>
  <si>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</si>
  <si>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</si>
  <si>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</si>
  <si>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</si>
  <si>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</si>
  <si>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</si>
  <si>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</si>
  <si>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</si>
  <si>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</si>
  <si>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</si>
  <si>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</si>
  <si>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FACTORES INTERNOS</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</si>
  <si>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</si>
  <si>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</si>
  <si>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</si>
  <si>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</si>
  <si>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</si>
  <si>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</si>
  <si>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</si>
  <si>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</si>
  <si>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</si>
  <si>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</si>
  <si>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</si>
  <si>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</si>
  <si>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</si>
  <si>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</si>
  <si>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</si>
  <si>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</si>
  <si>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</si>
  <si>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</si>
  <si>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</si>
  <si>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</si>
  <si>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</si>
  <si>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</si>
  <si>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</si>
  <si>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</si>
  <si>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</si>
  <si>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</si>
  <si>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</si>
  <si>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</si>
  <si>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</si>
  <si>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</si>
  <si>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</si>
  <si>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</si>
  <si>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</si>
  <si>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</si>
  <si>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</si>
  <si>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</si>
  <si>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</si>
  <si>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</si>
  <si>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</si>
  <si>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</si>
  <si>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</si>
  <si>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</si>
  <si>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</si>
  <si>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</si>
  <si>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</si>
  <si>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</si>
  <si>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</si>
  <si>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</si>
  <si>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</si>
  <si>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</si>
  <si>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</si>
  <si>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</si>
  <si>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</si>
  <si>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</si>
  <si>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</si>
  <si>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</si>
  <si>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</si>
  <si>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</si>
  <si>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</si>
  <si>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</si>
  <si>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</si>
  <si>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</si>
  <si>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</si>
  <si>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</si>
  <si>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</si>
  <si>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</si>
  <si>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</si>
  <si>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</si>
  <si>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</si>
  <si>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</si>
  <si>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</si>
  <si>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</si>
  <si>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</si>
  <si>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</si>
  <si>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</si>
  <si>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</si>
  <si>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</si>
  <si>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</si>
  <si>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</si>
  <si>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</si>
  <si>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</si>
  <si>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</si>
  <si>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</si>
  <si>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</si>
  <si>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</si>
  <si>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</si>
  <si>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</si>
  <si>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</si>
  <si>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</si>
  <si>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</si>
  <si>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</si>
  <si>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</si>
  <si>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</si>
  <si>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</si>
  <si>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</si>
  <si>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</si>
  <si>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</si>
  <si>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</si>
  <si>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</si>
  <si>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</si>
  <si>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</si>
  <si>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</si>
  <si>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</si>
  <si>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</si>
  <si>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</si>
  <si>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</si>
  <si>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</si>
  <si>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</si>
  <si>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</si>
  <si>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</si>
  <si>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</si>
  <si>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</si>
  <si>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</si>
  <si>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</si>
  <si>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</si>
  <si>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</si>
  <si>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</si>
  <si>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</si>
  <si>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</si>
  <si>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</si>
  <si>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</si>
  <si>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</si>
  <si>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</si>
  <si>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</si>
  <si>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</si>
  <si>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</si>
  <si>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</si>
  <si>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</si>
  <si>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</si>
  <si>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</si>
  <si>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</si>
  <si>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</si>
  <si>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</si>
  <si>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</si>
  <si>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</si>
  <si>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</si>
  <si>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</si>
  <si>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</si>
  <si>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</si>
  <si>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</si>
  <si>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</si>
  <si>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</si>
  <si>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</si>
  <si>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</si>
  <si>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</si>
  <si>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</si>
  <si>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</si>
  <si>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</si>
  <si>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</si>
  <si>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</si>
  <si>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</si>
  <si>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</si>
  <si>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</si>
  <si>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</si>
  <si>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</si>
  <si>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</si>
  <si>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</si>
  <si>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</si>
  <si>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</si>
  <si>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</si>
  <si>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</si>
  <si>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</si>
  <si>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</si>
  <si>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</si>
  <si>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</si>
  <si>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</si>
  <si>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</si>
  <si>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</si>
  <si>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</si>
  <si>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</si>
  <si>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</si>
  <si>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</si>
  <si>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</si>
  <si>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</si>
  <si>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</si>
  <si>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</si>
  <si>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</si>
  <si>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</si>
  <si>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</si>
  <si>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</si>
  <si>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</si>
  <si>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</si>
  <si>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</si>
  <si>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</si>
  <si>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</si>
  <si>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</si>
  <si>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</si>
  <si>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</si>
  <si>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</si>
  <si>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</si>
  <si>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</si>
  <si>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</si>
  <si>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</si>
  <si>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</si>
  <si>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</si>
  <si>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</si>
  <si>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</si>
  <si>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</si>
  <si>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</si>
  <si>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</si>
  <si>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</si>
  <si>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</si>
  <si>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</si>
  <si>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</si>
  <si>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</si>
  <si>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</si>
  <si>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</si>
  <si>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</si>
  <si>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</si>
  <si>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</si>
  <si>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</si>
  <si>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</si>
  <si>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</si>
  <si>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</si>
  <si>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</si>
  <si>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</si>
  <si>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</si>
  <si>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</si>
  <si>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</si>
  <si>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</si>
  <si>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</si>
  <si>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</si>
  <si>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</si>
  <si>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</si>
  <si>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</si>
  <si>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</si>
  <si>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</si>
  <si>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</si>
  <si>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</si>
  <si>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</si>
  <si>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</si>
  <si>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</si>
  <si>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</si>
  <si>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</si>
  <si>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</si>
  <si>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</si>
  <si>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</si>
  <si>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</si>
  <si>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</si>
  <si>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</si>
  <si>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</si>
  <si>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</si>
  <si>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</si>
  <si>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</si>
  <si>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</si>
  <si>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</si>
  <si>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</si>
  <si>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</si>
  <si>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</si>
  <si>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</si>
  <si>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</si>
  <si>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</si>
  <si>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</si>
  <si>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</si>
  <si>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</si>
  <si>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</si>
  <si>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</si>
  <si>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</si>
  <si>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</si>
  <si>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</si>
  <si>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</si>
  <si>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</si>
  <si>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</si>
  <si>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</si>
  <si>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</si>
  <si>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</si>
  <si>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</si>
  <si>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</si>
  <si>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</si>
  <si>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</si>
  <si>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</si>
  <si>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</si>
  <si>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</si>
  <si>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</si>
  <si>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</si>
  <si>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</si>
  <si>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</si>
  <si>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</si>
  <si>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</si>
  <si>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</si>
  <si>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ANALISIS</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</si>
  <si>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</si>
  <si>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</si>
  <si>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</si>
  <si>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</si>
  <si>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</si>
  <si>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</si>
  <si>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</si>
  <si>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</si>
  <si>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r>
      <t xml:space="preserve">Evaluar el Sistema de Control Interno -SCI, la gestión de los procesos y efectuar el seguimiento al cumplimiento de las actividades definidas en el </t>
    </r>
    <r>
      <rPr>
        <b/>
        <sz val="12"/>
        <color theme="1"/>
        <rFont val="Arial"/>
        <family val="2"/>
      </rPr>
      <t>Plan Anual de Auditorías</t>
    </r>
    <r>
      <rPr>
        <sz val="12"/>
        <color theme="1"/>
        <rFont val="Arial"/>
        <family val="2"/>
      </rPr>
      <t xml:space="preserve">, con énfasis en </t>
    </r>
    <r>
      <rPr>
        <b/>
        <sz val="12"/>
        <color theme="1"/>
        <rFont val="Arial"/>
        <family val="2"/>
      </rPr>
      <t>la gestión del riesgo,</t>
    </r>
    <r>
      <rPr>
        <sz val="12"/>
        <color theme="1"/>
        <rFont val="Arial"/>
        <family val="2"/>
      </rPr>
      <t xml:space="preserve"> la evaluación de los controles identificados en los mapas de riesgos y las herramientas definidas para control y evaluación; así mismo, promover el </t>
    </r>
    <r>
      <rPr>
        <b/>
        <sz val="12"/>
        <color theme="1"/>
        <rFont val="Arial"/>
        <family val="2"/>
      </rPr>
      <t xml:space="preserve">fomento del enfoque hacia la prevención y el autocontrol </t>
    </r>
    <r>
      <rPr>
        <sz val="12"/>
        <color theme="1"/>
        <rFont val="Arial"/>
        <family val="2"/>
      </rPr>
      <t xml:space="preserve">con el fin de aportar acciones de mejora para la gestión institucional. </t>
    </r>
  </si>
  <si>
    <t xml:space="preserve">Carpeta compartida OCI </t>
  </si>
  <si>
    <t>Situaciones externas</t>
  </si>
  <si>
    <t>PROCESO/ DEPENDENCIA</t>
  </si>
  <si>
    <t>CEM - CONTROL, EVALUACIÓN Y MEJORA DE LA GESTIÓN</t>
  </si>
  <si>
    <t>FORTALEZAS</t>
  </si>
  <si>
    <t>DEBILIDADES</t>
  </si>
  <si>
    <t>(maximizarlas)</t>
  </si>
  <si>
    <t>(minimizarlas)</t>
  </si>
  <si>
    <r>
      <t>·</t>
    </r>
    <r>
      <rPr>
        <sz val="7"/>
        <color theme="1"/>
        <rFont val="Times New Roman"/>
        <family val="1"/>
      </rPr>
      <t xml:space="preserve"> </t>
    </r>
    <r>
      <rPr>
        <sz val="10"/>
        <color theme="1"/>
        <rFont val="Century Gothic"/>
        <family val="2"/>
      </rPr>
      <t>Contar con un Equipo de Trabajo multidisciplinario conformado por auditores y evaluadores (Servidores Públicos y Contratistas) con la experticia profesional requerida.</t>
    </r>
  </si>
  <si>
    <r>
      <t>·</t>
    </r>
    <r>
      <rPr>
        <sz val="7"/>
        <color theme="1"/>
        <rFont val="Times New Roman"/>
        <family val="1"/>
      </rPr>
      <t xml:space="preserve"> </t>
    </r>
    <r>
      <rPr>
        <sz val="10"/>
        <color theme="1"/>
        <rFont val="Century Gothic"/>
        <family val="2"/>
      </rPr>
      <t>No tener un sistema de información propio para la gestión del proceso.</t>
    </r>
  </si>
  <si>
    <r>
      <t>·</t>
    </r>
    <r>
      <rPr>
        <sz val="7"/>
        <color theme="1"/>
        <rFont val="Times New Roman"/>
        <family val="1"/>
      </rPr>
      <t xml:space="preserve"> </t>
    </r>
    <r>
      <rPr>
        <sz val="10"/>
        <color theme="1"/>
        <rFont val="Century Gothic"/>
        <family val="2"/>
      </rPr>
      <t>Contar con el Comité CICCI (Comité Institucional de Coordinación de Control Interno) independiente para tratar temas del SCI – Sistema de Control Interno, siendo el canal de comunicación directo con la Alta Dirección.</t>
    </r>
  </si>
  <si>
    <r>
      <t>·</t>
    </r>
    <r>
      <rPr>
        <sz val="7"/>
        <color theme="1"/>
        <rFont val="Times New Roman"/>
        <family val="1"/>
      </rPr>
      <t xml:space="preserve"> </t>
    </r>
    <r>
      <rPr>
        <sz val="10"/>
        <color theme="1"/>
        <rFont val="Century Gothic"/>
        <family val="2"/>
      </rPr>
      <t>Inoportunidad en la retroalimentación con los procesos sobre las evaluaciones efectuadas.</t>
    </r>
  </si>
  <si>
    <r>
      <t>·</t>
    </r>
    <r>
      <rPr>
        <sz val="7"/>
        <color theme="1"/>
        <rFont val="Times New Roman"/>
        <family val="1"/>
      </rPr>
      <t xml:space="preserve"> </t>
    </r>
    <r>
      <rPr>
        <sz val="10"/>
        <color theme="1"/>
        <rFont val="Century Gothic"/>
        <family val="2"/>
      </rPr>
      <t>Contar con el respaldo de la Alta Dirección.</t>
    </r>
  </si>
  <si>
    <r>
      <t>·</t>
    </r>
    <r>
      <rPr>
        <sz val="7"/>
        <color theme="1"/>
        <rFont val="Times New Roman"/>
        <family val="1"/>
      </rPr>
      <t xml:space="preserve"> </t>
    </r>
    <r>
      <rPr>
        <sz val="10"/>
        <color theme="1"/>
        <rFont val="Century Gothic"/>
        <family val="2"/>
      </rPr>
      <t>Se presentan épocas en las cuales algunos profesionales tienen sobre carga porque se cruzan fechas de entrega.</t>
    </r>
  </si>
  <si>
    <r>
      <t>·</t>
    </r>
    <r>
      <rPr>
        <sz val="7"/>
        <color theme="1"/>
        <rFont val="Times New Roman"/>
        <family val="1"/>
      </rPr>
      <t xml:space="preserve"> </t>
    </r>
    <r>
      <rPr>
        <sz val="10"/>
        <color theme="1"/>
        <rFont val="Century Gothic"/>
        <family val="2"/>
      </rPr>
      <t>Fortalecimiento del conocimiento del Equipo de Trabajo a través de capacitaciones, sensibilizaciones y autocapacitaciones.</t>
    </r>
  </si>
  <si>
    <r>
      <t>·</t>
    </r>
    <r>
      <rPr>
        <sz val="7"/>
        <color theme="1"/>
        <rFont val="Times New Roman"/>
        <family val="1"/>
      </rPr>
      <t xml:space="preserve"> </t>
    </r>
    <r>
      <rPr>
        <sz val="10"/>
        <color theme="1"/>
        <rFont val="Century Gothic"/>
        <family val="2"/>
      </rPr>
      <t>Debilidad en la trazabilidad de los activos de información.</t>
    </r>
  </si>
  <si>
    <r>
      <t>·</t>
    </r>
    <r>
      <rPr>
        <sz val="7"/>
        <color theme="1"/>
        <rFont val="Times New Roman"/>
        <family val="1"/>
      </rPr>
      <t xml:space="preserve"> </t>
    </r>
    <r>
      <rPr>
        <sz val="10"/>
        <color theme="1"/>
        <rFont val="Century Gothic"/>
        <family val="2"/>
      </rPr>
      <t>Contar con un plan para realizar actividades sobre el Fomento Hacia la Prevención y del Autocontrol</t>
    </r>
  </si>
  <si>
    <r>
      <t>·</t>
    </r>
    <r>
      <rPr>
        <sz val="7"/>
        <color theme="1"/>
        <rFont val="Times New Roman"/>
        <family val="1"/>
      </rPr>
      <t xml:space="preserve"> </t>
    </r>
    <r>
      <rPr>
        <sz val="10"/>
        <color theme="1"/>
        <rFont val="Century Gothic"/>
        <family val="2"/>
      </rPr>
      <t>Inoportunidad en la entrega de informes. </t>
    </r>
  </si>
  <si>
    <r>
      <t>·</t>
    </r>
    <r>
      <rPr>
        <sz val="7"/>
        <color theme="1"/>
        <rFont val="Times New Roman"/>
        <family val="1"/>
      </rPr>
      <t xml:space="preserve"> </t>
    </r>
    <r>
      <rPr>
        <sz val="10"/>
        <color theme="1"/>
        <rFont val="Century Gothic"/>
        <family val="2"/>
      </rPr>
      <t>Contar con el instrumento para el Reporte de conductas, infracciones e irregularidades graves contra la administración pública, con efectos penales, disciplinarios y fiscales.</t>
    </r>
  </si>
  <si>
    <r>
      <t>·</t>
    </r>
    <r>
      <rPr>
        <sz val="7"/>
        <color theme="1"/>
        <rFont val="Times New Roman"/>
        <family val="1"/>
      </rPr>
      <t xml:space="preserve"> </t>
    </r>
    <r>
      <rPr>
        <sz val="10"/>
        <color theme="1"/>
        <rFont val="Century Gothic"/>
        <family val="2"/>
      </rPr>
      <t>Representar la Tercera Línea de Defensa de la Dimensión 7 “Control Interno” como parte de la implementación del MIPG (Modelo Integrado de Planeación y Gestión)</t>
    </r>
  </si>
  <si>
    <r>
      <t>·</t>
    </r>
    <r>
      <rPr>
        <sz val="7"/>
        <color theme="1"/>
        <rFont val="Times New Roman"/>
        <family val="1"/>
      </rPr>
      <t xml:space="preserve"> </t>
    </r>
    <r>
      <rPr>
        <sz val="10"/>
        <color theme="1"/>
        <rFont val="Century Gothic"/>
        <family val="2"/>
      </rPr>
      <t>Contar con información documentada mantenida actualizada de acuerdo a la normatividad vigente y conservada para su trazabilidad.</t>
    </r>
  </si>
  <si>
    <r>
      <t>·</t>
    </r>
    <r>
      <rPr>
        <sz val="7"/>
        <color theme="1"/>
        <rFont val="Times New Roman"/>
        <family val="1"/>
      </rPr>
      <t xml:space="preserve"> </t>
    </r>
    <r>
      <rPr>
        <sz val="10"/>
        <color theme="1"/>
        <rFont val="Century Gothic"/>
        <family val="2"/>
      </rPr>
      <t>Contar con instrumentos de medición de la gestión del proceso para la toma de decisiones.</t>
    </r>
  </si>
  <si>
    <r>
      <t>·</t>
    </r>
    <r>
      <rPr>
        <sz val="7"/>
        <color theme="1"/>
        <rFont val="Times New Roman"/>
        <family val="1"/>
      </rPr>
      <t xml:space="preserve"> </t>
    </r>
    <r>
      <rPr>
        <sz val="10"/>
        <color theme="1"/>
        <rFont val="Century Gothic"/>
        <family val="2"/>
      </rPr>
      <t>Conocimiento transversal de las actividades a  cargo del equipo.</t>
    </r>
  </si>
  <si>
    <t>FACTORES EXTERNOS</t>
  </si>
  <si>
    <t>OPORTUNIDADES</t>
  </si>
  <si>
    <t>AMENAZAS</t>
  </si>
  <si>
    <t>(aprovechar situación favorable)</t>
  </si>
  <si>
    <t>(neutralizar situación adversa)</t>
  </si>
  <si>
    <r>
      <t>·</t>
    </r>
    <r>
      <rPr>
        <sz val="7"/>
        <color theme="1"/>
        <rFont val="Times New Roman"/>
        <family val="1"/>
      </rPr>
      <t xml:space="preserve"> </t>
    </r>
    <r>
      <rPr>
        <sz val="10"/>
        <color theme="1"/>
        <rFont val="Century Gothic"/>
        <family val="2"/>
      </rPr>
      <t> Contar con normatividad (distrital y nacional) que respalda la labor de las oficinas de control interno (incluye MIPG).</t>
    </r>
  </si>
  <si>
    <r>
      <t>·</t>
    </r>
    <r>
      <rPr>
        <sz val="7"/>
        <color theme="1"/>
        <rFont val="Times New Roman"/>
        <family val="1"/>
      </rPr>
      <t xml:space="preserve"> </t>
    </r>
    <r>
      <rPr>
        <sz val="10"/>
        <color theme="1"/>
        <rFont val="Century Gothic"/>
        <family val="2"/>
      </rPr>
      <t>Insuficiente personal de planta designado en el proceso para cumplir las funciones de la dependencia.</t>
    </r>
  </si>
  <si>
    <r>
      <t>·</t>
    </r>
    <r>
      <rPr>
        <sz val="7"/>
        <color theme="1"/>
        <rFont val="Times New Roman"/>
        <family val="1"/>
      </rPr>
      <t xml:space="preserve"> </t>
    </r>
    <r>
      <rPr>
        <sz val="10"/>
        <color theme="1"/>
        <rFont val="Century Gothic"/>
        <family val="2"/>
      </rPr>
      <t xml:space="preserve"> Participar con la asistencia y representación de la dependencia ante los comités internos y externos de la entidad.</t>
    </r>
  </si>
  <si>
    <r>
      <t>·</t>
    </r>
    <r>
      <rPr>
        <sz val="7"/>
        <color theme="1"/>
        <rFont val="Times New Roman"/>
        <family val="1"/>
      </rPr>
      <t xml:space="preserve"> </t>
    </r>
    <r>
      <rPr>
        <sz val="10"/>
        <color theme="1"/>
        <rFont val="Century Gothic"/>
        <family val="2"/>
      </rPr>
      <t>Reducción de recursos presupuestales para la contratación de personal que desarrolle actividades del proceso.</t>
    </r>
  </si>
  <si>
    <r>
      <t>·</t>
    </r>
    <r>
      <rPr>
        <sz val="7"/>
        <color theme="1"/>
        <rFont val="Times New Roman"/>
        <family val="1"/>
      </rPr>
      <t xml:space="preserve"> </t>
    </r>
    <r>
      <rPr>
        <sz val="10"/>
        <color theme="1"/>
        <rFont val="Century Gothic"/>
        <family val="2"/>
      </rPr>
      <t>Aprovechar la oferta externa de capacitación, de manera oportuna y aplicada a las actividades del proceso.</t>
    </r>
  </si>
  <si>
    <r>
      <t>·</t>
    </r>
    <r>
      <rPr>
        <sz val="7"/>
        <color theme="1"/>
        <rFont val="Times New Roman"/>
        <family val="1"/>
      </rPr>
      <t xml:space="preserve"> </t>
    </r>
    <r>
      <rPr>
        <sz val="10"/>
        <color theme="1"/>
        <rFont val="Century Gothic"/>
        <family val="2"/>
      </rPr>
      <t>Inoportunidad e inexactitud de la información de entrada para el cumplimiento del proceso.</t>
    </r>
  </si>
  <si>
    <r>
      <t>·</t>
    </r>
    <r>
      <rPr>
        <sz val="7"/>
        <color theme="1"/>
        <rFont val="Times New Roman"/>
        <family val="1"/>
      </rPr>
      <t xml:space="preserve"> </t>
    </r>
    <r>
      <rPr>
        <sz val="10"/>
        <color theme="1"/>
        <rFont val="Century Gothic"/>
        <family val="2"/>
      </rPr>
      <t>Por la situación de aislamiento debido a la emergencia sanitaria se Implementó el trabajo en casa, teletrabajo extraordinario y continúo la prueba piloto de teletrabajo, fortaleciendo el uso de las herramientas tecnológicas, dando continuidad a la gestión del proceso.</t>
    </r>
  </si>
  <si>
    <r>
      <t>·</t>
    </r>
    <r>
      <rPr>
        <sz val="7"/>
        <color theme="1"/>
        <rFont val="Times New Roman"/>
        <family val="1"/>
      </rPr>
      <t xml:space="preserve"> </t>
    </r>
    <r>
      <rPr>
        <sz val="10"/>
        <color theme="1"/>
        <rFont val="Century Gothic"/>
        <family val="2"/>
      </rPr>
      <t>Dar prioridad a las actividades para atender a organismos de control y entes externos, sobre las demás actividades del proceso.</t>
    </r>
  </si>
  <si>
    <r>
      <t>·</t>
    </r>
    <r>
      <rPr>
        <sz val="7"/>
        <color theme="1"/>
        <rFont val="Times New Roman"/>
        <family val="1"/>
      </rPr>
      <t xml:space="preserve"> </t>
    </r>
    <r>
      <rPr>
        <sz val="10"/>
        <color theme="1"/>
        <rFont val="Century Gothic"/>
        <family val="2"/>
      </rPr>
      <t>Capacitación masiva para los integrantes del equipo por medio de las herramientas tecnológicas de temas transversales de la entidad.</t>
    </r>
  </si>
  <si>
    <r>
      <t>·</t>
    </r>
    <r>
      <rPr>
        <sz val="7"/>
        <color theme="1"/>
        <rFont val="Times New Roman"/>
        <family val="1"/>
      </rPr>
      <t xml:space="preserve"> </t>
    </r>
    <r>
      <rPr>
        <sz val="10"/>
        <color theme="1"/>
        <rFont val="Century Gothic"/>
        <family val="2"/>
      </rPr>
      <t>Debilidad en la comunicación entre líneas de defensa (enlaces de procesos, OAP) con OCI.</t>
    </r>
  </si>
  <si>
    <r>
      <t>·</t>
    </r>
    <r>
      <rPr>
        <sz val="7"/>
        <color theme="1"/>
        <rFont val="Times New Roman"/>
        <family val="1"/>
      </rPr>
      <t xml:space="preserve"> </t>
    </r>
    <r>
      <rPr>
        <sz val="10"/>
        <color theme="1"/>
        <rFont val="Century Gothic"/>
        <family val="2"/>
      </rPr>
      <t>Por la situación de aislamiento debido a la emergencia sanitaria se identificó dificultades para realizar pruebas de auditoría en línea en software y dificultad en el uso de las herramientas colaborativas.</t>
    </r>
  </si>
  <si>
    <r>
      <t>·</t>
    </r>
    <r>
      <rPr>
        <sz val="7"/>
        <color theme="1"/>
        <rFont val="Times New Roman"/>
        <family val="1"/>
      </rPr>
      <t xml:space="preserve"> </t>
    </r>
    <r>
      <rPr>
        <sz val="10"/>
        <color theme="1"/>
        <rFont val="Century Gothic"/>
        <family val="2"/>
      </rPr>
      <t>Incertidumbre por la ubicación de los puestos de trabajo de la Oficina de Control Interno.</t>
    </r>
  </si>
  <si>
    <r>
      <t>·</t>
    </r>
    <r>
      <rPr>
        <sz val="7"/>
        <color theme="1"/>
        <rFont val="Times New Roman"/>
        <family val="1"/>
      </rPr>
      <t xml:space="preserve"> </t>
    </r>
    <r>
      <rPr>
        <sz val="10"/>
        <color theme="1"/>
        <rFont val="Century Gothic"/>
        <family val="2"/>
      </rPr>
      <t>Pérdida de interacción personal con los procesos que solicitaban asesoría en temas de control interno.</t>
    </r>
  </si>
  <si>
    <t>Jefe OCI</t>
  </si>
  <si>
    <t>Comunicación Oficial</t>
  </si>
  <si>
    <t>mensual</t>
  </si>
  <si>
    <t>Equipo OCi</t>
  </si>
  <si>
    <t>Enlace OCI
Personal designado para medir resultado del indicadores</t>
  </si>
  <si>
    <t>trimestral</t>
  </si>
  <si>
    <t>Equipo OCI</t>
  </si>
  <si>
    <t>Representar la Tercera Línea de Defensa de la Dimensión 7 “Control Interno” como parte de la implementación del MIPG (Modelo Integrado de Planeación y Gestión)</t>
  </si>
  <si>
    <t xml:space="preserve">Se convierte en riesgo por la posible  insuficiencia de personal en la dependencia 
Se convierte en riesgo por posible incumplimiento de las actividades de acuerdo a cronogramas </t>
  </si>
  <si>
    <t xml:space="preserve">Se convierte en riesgo  por posible afectación de las actividades no contempladas y la no ejecución de actividades del  Plan de auditoria </t>
  </si>
  <si>
    <t>Puede convertirse en riesgo por la no disponiblidad de la información generada por los integrantes del proceso</t>
  </si>
  <si>
    <t>Demora en la revisión y verificación de los contenidos de los informes por parte de Jefe OCI y de los ajustes posteriores por parte el equipo de control interno.</t>
  </si>
  <si>
    <t>ANTERIOR:</t>
  </si>
  <si>
    <r>
      <t xml:space="preserve">El profesional  designado por Jefe de Control Interno, </t>
    </r>
    <r>
      <rPr>
        <b/>
        <sz val="12"/>
        <color theme="1"/>
        <rFont val="Arial"/>
        <family val="2"/>
      </rPr>
      <t>revisa trimestralmente,</t>
    </r>
    <r>
      <rPr>
        <sz val="12"/>
        <color theme="1"/>
        <rFont val="Arial"/>
        <family val="2"/>
      </rPr>
      <t xml:space="preserve"> el cumplimiento de las actividades programadas en las diferentes herrramientas de gestión del proceso CEM que deben reportarse internamente conforme a su frencuencia de entrega.
En caso de identificar actividades incumplidas se alertará por correo electrónico institucional a Jefe OCI con copia al colaborador del Equipo OCI involucrado, para tomar las medidas pertinentes en cuanto dar prioridad al entregable o si es posible reprogramar la actividad.
Como  evidencia las alertas generadas por correo electrónico institucional  informando a Jefe OCI y al colaborador del Equipo OCI.</t>
    </r>
  </si>
  <si>
    <t>Incumplimiento de los términos de ley y fechas establecidas en el cronograma de actividad programadas de entregables OCI</t>
  </si>
  <si>
    <t>Hacer seguimiento al cronograma de actividad programadas de entregables OCI</t>
  </si>
  <si>
    <t>Verficar los avances trimestrales del Equipo  OCI al cumplimiento de las actividades programadas de entregables OCI</t>
  </si>
  <si>
    <t>ENTREGABLES:
* Avance trimestral del Plan de Acción CEM
*Avance trimestral del PAA - Plan Anual de Auditorías 
* Avance trimestral de Indicadores de gestión CEM
* Avance trimestral del Monitoreo de Riesgos CEM
* Avance trimestral Plan de Adecuación y Sostenibilidad</t>
  </si>
  <si>
    <r>
      <rPr>
        <b/>
        <sz val="12"/>
        <rFont val="Arial"/>
        <family val="2"/>
      </rPr>
      <t>Posibilidad</t>
    </r>
    <r>
      <rPr>
        <sz val="12"/>
        <rFont val="Arial"/>
        <family val="2"/>
      </rPr>
      <t xml:space="preserve"> de demorar la entrega de los informes internos y externos que produce la OCI fuera de los términos de ley, </t>
    </r>
    <r>
      <rPr>
        <sz val="12"/>
        <color theme="6" tint="-0.499984740745262"/>
        <rFont val="Arial"/>
        <family val="2"/>
      </rPr>
      <t>afectando reputacionalmente la imagen de la dependencia y la entidad.</t>
    </r>
    <r>
      <rPr>
        <sz val="12"/>
        <rFont val="Arial"/>
        <family val="2"/>
      </rPr>
      <t xml:space="preserve"> 
Debido al </t>
    </r>
    <r>
      <rPr>
        <sz val="12"/>
        <color rgb="FFFF9900"/>
        <rFont val="Arial"/>
        <family val="2"/>
      </rPr>
      <t>Incumplimiento de los términos de ley y fechas establecidas en el ccronograma de actividad programadas de entregables OCI</t>
    </r>
    <r>
      <rPr>
        <sz val="12"/>
        <rFont val="Arial"/>
        <family val="2"/>
      </rPr>
      <t xml:space="preserve">, y por la </t>
    </r>
    <r>
      <rPr>
        <sz val="12"/>
        <color rgb="FF0070C0"/>
        <rFont val="Arial"/>
        <family val="2"/>
      </rPr>
      <t xml:space="preserve">demora en la revisión y verificación de los contenidos de los informes por parte de Jefe OCI y de los ajustes posteriores por parte el equipo de control interno.
</t>
    </r>
  </si>
  <si>
    <t>*Informes de ley externos e internos entregados oportunamente
*Acta de reunión OCI
*Chats de reuniones virtuales Teams.</t>
  </si>
  <si>
    <t xml:space="preserve">Insuficiencia de personal (servidores públicos y contratistas colaboradores) en la OCI, que apoye la ejecución las actividades del PAA-Plan Anual de Auditorías </t>
  </si>
  <si>
    <t>Ejecución de actividades no contempladas inicialmente en el Plan Anual de Auditorías aprobado por el CICCI, que afectan el cronograma y la oportunidad</t>
  </si>
  <si>
    <r>
      <rPr>
        <b/>
        <sz val="12"/>
        <rFont val="Arial"/>
        <family val="2"/>
      </rPr>
      <t xml:space="preserve">Posibilidad </t>
    </r>
    <r>
      <rPr>
        <sz val="12"/>
        <rFont val="Arial"/>
        <family val="2"/>
      </rPr>
      <t>de Incumplir la ejecución del PAA-Plan Anual de Auditorias de la vigencia,</t>
    </r>
    <r>
      <rPr>
        <sz val="12"/>
        <color theme="6" tint="-0.499984740745262"/>
        <rFont val="Arial"/>
        <family val="2"/>
      </rPr>
      <t xml:space="preserve"> afectando reputacionalmente la imagen de la dependencia y la entidad. </t>
    </r>
    <r>
      <rPr>
        <sz val="12"/>
        <rFont val="Arial"/>
        <family val="2"/>
      </rPr>
      <t xml:space="preserve">
Debido a la </t>
    </r>
    <r>
      <rPr>
        <sz val="12"/>
        <color rgb="FFFF9900"/>
        <rFont val="Arial"/>
        <family val="2"/>
      </rPr>
      <t xml:space="preserve">Insuficiencia de personal (servidores públicos y contratistas colaboradores) en la OCI, que apoye la ejecución las actividades del PAA-Plan Anual de Auditorías </t>
    </r>
    <r>
      <rPr>
        <sz val="12"/>
        <rFont val="Arial"/>
        <family val="2"/>
      </rPr>
      <t xml:space="preserve">y por la </t>
    </r>
    <r>
      <rPr>
        <sz val="12"/>
        <color rgb="FF0070C0"/>
        <rFont val="Arial"/>
        <family val="2"/>
      </rPr>
      <t xml:space="preserve">Ejecución de actividades no contempladas inicialmente en el Plan Anual de Auditorías aprobado por el CICCI, que afectan el cronograma y la oportunidad.
</t>
    </r>
  </si>
  <si>
    <r>
      <t xml:space="preserve">Jefe de Control interno en </t>
    </r>
    <r>
      <rPr>
        <b/>
        <sz val="12"/>
        <color theme="1"/>
        <rFont val="Arial"/>
        <family val="2"/>
      </rPr>
      <t xml:space="preserve">reunión trimestral </t>
    </r>
    <r>
      <rPr>
        <sz val="12"/>
        <color theme="1"/>
        <rFont val="Arial"/>
        <family val="2"/>
      </rPr>
      <t>con el equipo de trabajo OCI verifica si se  presentaron atrasos y se identifican dificultades para el cumplimiento de actividades programadas de entregables OCI, en el caso de ejecutar otras actividades no programadas. 
Si se presentan atrasos se priorizarán las actividades críticas que deben ejecutarse y se designarán o se redistribuyen conforme a la experticia del Equipo OCI para su cumplimiento.
Como evidencia se tiene el acta de reunión y/o correos electrónicos institucionales donde se remiten las actividades priorizadas para su ejecución.</t>
    </r>
  </si>
  <si>
    <r>
      <t xml:space="preserve">Jefe de Control Interno, </t>
    </r>
    <r>
      <rPr>
        <b/>
        <sz val="12"/>
        <rFont val="Arial"/>
        <family val="2"/>
      </rPr>
      <t>revisa trimestralmente</t>
    </r>
    <r>
      <rPr>
        <sz val="12"/>
        <color theme="1"/>
        <rFont val="Arial"/>
        <family val="2"/>
      </rPr>
      <t xml:space="preserve"> en reunión con los integrantes del Equipo OCI el cumplimiento del cronograma del PAA-Plan Anual de Auditorías de la vigencia.
En caso de identificar actividades que estén próximas a su vencimiento, se generarán compromisos para dar prioridad en su elaboración y aprobación.
Como evidencia se generara el acta de la reunión mensual  con los compromisos adquiridos para su cumplimiento.</t>
    </r>
  </si>
  <si>
    <r>
      <t>El Jefe de Control interno</t>
    </r>
    <r>
      <rPr>
        <b/>
        <sz val="12"/>
        <color theme="1"/>
        <rFont val="Arial"/>
        <family val="2"/>
      </rPr>
      <t xml:space="preserve"> valida y revisa trimestralmente</t>
    </r>
    <r>
      <rPr>
        <sz val="12"/>
        <color theme="1"/>
        <rFont val="Arial"/>
        <family val="2"/>
      </rPr>
      <t xml:space="preserve"> la redistribución y reprogramación en fechas de las nuevas actividades del PAA - Plan Anual de Auditorías en el Equipo OCI y presenta la propuesta de modificación ante el CICCI-Comité Institucional de Coordinación de Control Interno para su aprobación.  En caso de no aprobación por el CICCI de la actividades reprogramadas, se procede a priorizar su ejecución conforme a su importancia.
</t>
    </r>
    <r>
      <rPr>
        <b/>
        <sz val="12"/>
        <color theme="1"/>
        <rFont val="Arial"/>
        <family val="2"/>
      </rPr>
      <t>Como evidencia</t>
    </r>
    <r>
      <rPr>
        <sz val="12"/>
        <color theme="1"/>
        <rFont val="Arial"/>
        <family val="2"/>
      </rPr>
      <t xml:space="preserve"> se tienen el acta del comité CICCI.</t>
    </r>
  </si>
  <si>
    <t xml:space="preserve">Preparación de la propuesta de modificación al PAA-Plan Anual de Auditorías, conforme  a la revisión de actividades a redistribuir o prorizar, de ser necesario  </t>
  </si>
  <si>
    <t>Consolidar el estado de las actividades del  PAA - Plan Anual de Auditorías de acuerdo a lo reportado por el Equipo OCI.</t>
  </si>
  <si>
    <t>*Acta de la reunión mensual  con los compromisos de cumplimiento de actividades por el Equipo OCI.
Consolidado PAA
* Reporte del indicador CEM-IND-001 "Cumplimiento del PAA" a OAP cada trimestre</t>
  </si>
  <si>
    <t>*Acta del comité CICCI con la aprobación o no aprobación de la modificación al PAA-Plan Anual de Auditorías</t>
  </si>
  <si>
    <t>Formular un plan de contingencia (previamente elaborado y justificado por la Oficina de Control Interno) y solicitar autorización ante el Comité Institucional de Coordinación de  Control Interno para ajustar el PAA-Plan Anual de Auditorías, con el fin de que se aprueban los recursos para la contratación de personal de conformidad con las necesidades y expectativas de la dependencia</t>
  </si>
  <si>
    <t>Acta del CICCI- Comité Institucional de Coordinación de Control Interno</t>
  </si>
  <si>
    <t>No se aplica adecuadamente la Tabla de Retención Documental - TRD correspondiente a la dependencia de la información generada por la OCI.</t>
  </si>
  <si>
    <r>
      <t xml:space="preserve">El auxiliar administrativo OCI  </t>
    </r>
    <r>
      <rPr>
        <b/>
        <sz val="12"/>
        <color theme="1"/>
        <rFont val="Arial"/>
        <family val="2"/>
      </rPr>
      <t>mensualmente verifica,</t>
    </r>
    <r>
      <rPr>
        <sz val="12"/>
        <color theme="1"/>
        <rFont val="Arial"/>
        <family val="2"/>
      </rPr>
      <t xml:space="preserve"> según el reporte enviado por correo electrónico institucional por el integrante del Equipo OCI, la información cargada en la carpeta compartida OCI, que cumpla con la ubicación en la serie correspondiente de la TRD-Tabla de Retención Documental OCI. </t>
    </r>
    <r>
      <rPr>
        <b/>
        <sz val="12"/>
        <color theme="1"/>
        <rFont val="Arial"/>
        <family val="2"/>
      </rPr>
      <t xml:space="preserve">En caso </t>
    </r>
    <r>
      <rPr>
        <sz val="12"/>
        <color theme="1"/>
        <rFont val="Arial"/>
        <family val="2"/>
      </rPr>
      <t xml:space="preserve">de identificar diferencias del cargue de achivos en la carpeta compartida, el auxiliar solicitará completar lo faltante o reubicarlo conforme a la serie. 
</t>
    </r>
    <r>
      <rPr>
        <b/>
        <sz val="12"/>
        <color theme="1"/>
        <rFont val="Arial"/>
        <family val="2"/>
      </rPr>
      <t>Como evidencia</t>
    </r>
    <r>
      <rPr>
        <sz val="12"/>
        <color theme="1"/>
        <rFont val="Arial"/>
        <family val="2"/>
      </rPr>
      <t xml:space="preserve"> se tienen los correos electrónicos institucionales que se cursen entre el integrante del equipo de trabajo OCI y el auxiliar administrativo.</t>
    </r>
  </si>
  <si>
    <t>Cargar en la carpeta  compartida OCI de acuerdo a la serie de la TRD-OCI, los archivos definitivos de la información generadada por el Equipo OCI</t>
  </si>
  <si>
    <t>Correos electrónicos institucionales de los integrantes del Equipo OCI, con los archivos de la información cargada en la carpeta compartida OCI, aplicando la serie de la TRD-OCI correspondiente.</t>
  </si>
  <si>
    <r>
      <t>Solicitar al proceso GSIT-Gestión de Servicios e Infraestructura Tecnológica, en caso de pérdida de la información, la Recuperación a través de los Backups o copias de seguridad que se haya realizado, de conformidad con el procedimiento vigente de  "Generación de copias de respaldo" y en cumplimiento de la política: "</t>
    </r>
    <r>
      <rPr>
        <i/>
        <sz val="12"/>
        <rFont val="Arial"/>
        <family val="2"/>
      </rPr>
      <t>numeral 6.23: es responsabilidad del administrador de copias informar la disponibilidad de los respaldos, realizar el trámite para obtener los medios magnéticos, ejecutar el procedimiento de recuperación e informar los resultados</t>
    </r>
    <r>
      <rPr>
        <sz val="12"/>
        <rFont val="Arial"/>
        <family val="2"/>
      </rPr>
      <t>".</t>
    </r>
  </si>
  <si>
    <t>Auxiliar Administrativo OCI</t>
  </si>
  <si>
    <t>Mensual</t>
  </si>
  <si>
    <t>Trimestral</t>
  </si>
  <si>
    <r>
      <t xml:space="preserve">El Auxiliar Administrativo OCI </t>
    </r>
    <r>
      <rPr>
        <b/>
        <sz val="12"/>
        <color theme="1"/>
        <rFont val="Arial"/>
        <family val="2"/>
      </rPr>
      <t xml:space="preserve">trimestralmente </t>
    </r>
    <r>
      <rPr>
        <sz val="12"/>
        <color theme="1"/>
        <rFont val="Arial"/>
        <family val="2"/>
      </rPr>
      <t xml:space="preserve">solicita mediante correo electrónico institucional a la "Mesa de Ayuda UMV" (del proceso GSIT - Gestión de Servicios e Infraestructura Tecnológica), el "log" del backup o copia de seguridad, correspondienta a la carpeta compartida OCI que sirve como repositorio de la información definitiva generada por la dependencia. 
En caso de no recibir respuesta y/o identificar que no se realiza el backup solicitado, se enviará un correo electrónico institucional, con copia a la Secretaria General (responsable directiva del proceso GSIT) informando de este incumplimiento.
</t>
    </r>
    <r>
      <rPr>
        <b/>
        <sz val="12"/>
        <color theme="1"/>
        <rFont val="Arial"/>
        <family val="2"/>
      </rPr>
      <t>Como evidencia,</t>
    </r>
    <r>
      <rPr>
        <sz val="12"/>
        <color theme="1"/>
        <rFont val="Arial"/>
        <family val="2"/>
      </rPr>
      <t xml:space="preserve"> los correos electrónicos institucionales remitidos por el auxiliar Administrativo OCI al proceso GSIT - Gestión de Servicios e Infraestructura Tecnológica .</t>
    </r>
  </si>
  <si>
    <t>Priorizar los informes de Ley sobre los informes internos, y solicitar plazo al CICCI para la presentación</t>
  </si>
  <si>
    <r>
      <t xml:space="preserve">Posibilidad de perder o no disponer de manera inmediata y oportuna de la información generada por el Equipo OCI, </t>
    </r>
    <r>
      <rPr>
        <sz val="12"/>
        <color theme="6" tint="-0.499984740745262"/>
        <rFont val="Arial"/>
        <family val="2"/>
      </rPr>
      <t xml:space="preserve">afectando económica y reputacionalmente la imagen de la dependencia y la entidad. </t>
    </r>
    <r>
      <rPr>
        <sz val="12"/>
        <rFont val="Arial"/>
        <family val="2"/>
      </rPr>
      <t xml:space="preserve">
Debido a que </t>
    </r>
    <r>
      <rPr>
        <sz val="12"/>
        <color rgb="FFFF9900"/>
        <rFont val="Arial"/>
        <family val="2"/>
      </rPr>
      <t xml:space="preserve"> No se encuentran archivados de manera correcta en la carpeta compartida los informes definitivos de la dependencia, (como son; Informe Entidades de control y vigilancia, Informe definitivos,  Informes de evaluaciones internas - Informes Internos, entre otros) o se pierda la información </t>
    </r>
    <r>
      <rPr>
        <sz val="12"/>
        <rFont val="Arial"/>
        <family val="2"/>
      </rPr>
      <t xml:space="preserve">porque </t>
    </r>
    <r>
      <rPr>
        <sz val="12"/>
        <color rgb="FF0070C0"/>
        <rFont val="Arial"/>
        <family val="2"/>
      </rPr>
      <t>No se aplica adecuadamente la Tabla de Retención Documental - TRD correspondiente a la dependencia de la información generada por la OCI.</t>
    </r>
    <r>
      <rPr>
        <sz val="12"/>
        <rFont val="Arial"/>
        <family val="2"/>
      </rPr>
      <t xml:space="preserve">
</t>
    </r>
  </si>
  <si>
    <t>No se encuentran archivados de manera correcta en la carpeta compartida los informes definitivos de la dependencia, (Informe Entidades de control y vigilancia, 
Informe definitivo, 
Informes de evaluaciones internas - Informes Internos) o se pierda la información.</t>
  </si>
  <si>
    <t>Solicitar a la Mesa de Ayuda UMV trimestralmente, la generación del backup de la información OCI en la carpeta compartida OCI</t>
  </si>
  <si>
    <t>Copia de seguridad de la información OCI, que pueda restaurarse en caso de pérdida.</t>
  </si>
  <si>
    <t>Cambios normativos en cuanto a la auditoría interna, por normas internacionales y la gestión basadad en riesgos, pueden generar desconocimiento en su aplicación.</t>
  </si>
  <si>
    <t>Contar con un plan para realizar actividades sobre el Fomento Hacia la Prevención y del Autocontrol
Contar con el instrumento para el Reporte de conductas, infracciones e irregularidades graves contra la administración pública, con efectos penales, disciplinarios y fiscales.</t>
  </si>
  <si>
    <t>Conocimiento transversal de las actividades a  cargo del equipo.</t>
  </si>
  <si>
    <t>Por la falta de inducción y reinducción al momento del ingreso o reubicación de personal de planta (por Gestión del Talento Humano), y la falta de sensibilización a las nuevas contrataciones de prestación de servicios, se genera desconocimiento de la información de la OCI.</t>
  </si>
  <si>
    <t>Contar con un Equipo de Trabajo multidisciplinario conformado por Servidores Públicos y Contratistas profesionales y especializados, con la experticia profesional requerida.
Fortalecimiento del conocimiento del Equipo de Trabajo a través de capacitaciones, sensibilizaciones y autocapacitaciones.</t>
  </si>
  <si>
    <t>Se puede presentar fuga de conocimiento (por pérdida o desaprendizaje), por la rotación de personal de planta y/o terminación contractual, donde no se planeó la transferencia de conocimiento entre los colaboradores OCI.</t>
  </si>
  <si>
    <t>Las actas del Comité de Coordinación de Control Interno,  quedan en custodia de la OCI para su archivo y consulta, por ejercer la secretaría técnica de este comité, como Tercera Línea de Defensa MIPG.
 La información documentada (mantenida y registrada) se actualiza permanentemente y se encuentra bajo un repositorio en la carpeta compartida OCI.</t>
  </si>
  <si>
    <t>Aprovechar la oferta externa de capacitación, de manera oportuna y aplicada a las actividades del proceso.
Se implementó el trabajo en casa y teletrabajo suplementario, fortaleciendo el uso de las herramientas tecnológicas, dando continuidad a la gestión del proceso.
Sensibilizaciones para los integrantes del equipo OCI por medio de las herramientas tecnológicas de temas transversales de la entidad.</t>
  </si>
  <si>
    <t>Se identificaron dificultades para realizar pruebas de auditoría en línea  que requieren de evidencia presencial, y dificultad en el uso de las herramientas colaborativas.</t>
  </si>
  <si>
    <t>Contar con información documentada mantenida actualizada de acuerdo a la normatividad vigente y conservada para su trazabilidad.
Contar con instrumentos de medición de la gestión del proceso para la toma de decisiones.
Contar con normatividad (distrital y nacional) que respalda la labor de las oficinas de control interno (incluye MIPG).</t>
  </si>
  <si>
    <r>
      <t>En algunos casos, se cruza en fechas la elaboración de varios informes, afectando la oportunidad de entrega, generando demorasen la presentación de informes internos y externos de ley.(1)</t>
    </r>
    <r>
      <rPr>
        <b/>
        <sz val="12"/>
        <rFont val="Arial"/>
        <family val="2"/>
      </rPr>
      <t xml:space="preserve">
</t>
    </r>
    <r>
      <rPr>
        <sz val="12"/>
        <rFont val="Arial"/>
        <family val="2"/>
      </rPr>
      <t xml:space="preserve">
Insuficiencia de personal de planta para cumplir las funciones y actividades programadas de la dependencia (2).
Reducción de recursos presupuestales para la contratación de personal que desarrolle actividades del proceso (2).
Dar prioridad a las actividades para atender a organismos de control y entes externos, incumpliendo la entrega de otras actividades del proceso (1).</t>
    </r>
  </si>
  <si>
    <r>
      <t xml:space="preserve">Contar con el Comité CICCI (Comité Institucional de Coordinación de Control Interno) independiente para tratar temas del SCI – Sistema de Control Interno, siendo el canal de comunicación directo con la Alta Dirección.
Contar con el respaldo de la Alta Dirección.
</t>
    </r>
    <r>
      <rPr>
        <b/>
        <sz val="12"/>
        <rFont val="Arial"/>
        <family val="2"/>
      </rPr>
      <t xml:space="preserve">
</t>
    </r>
    <r>
      <rPr>
        <sz val="12"/>
        <rFont val="Arial"/>
        <family val="2"/>
      </rPr>
      <t>Participar con la asistencia y representación de la dependencia ante los comités internos y externos de la entidad</t>
    </r>
  </si>
  <si>
    <r>
      <t xml:space="preserve">Inoportunidad en la retroalimentación con los procesos sobre las evaluaciones efectuadas.
</t>
    </r>
    <r>
      <rPr>
        <b/>
        <sz val="12"/>
        <rFont val="Arial"/>
        <family val="2"/>
      </rPr>
      <t xml:space="preserve">
</t>
    </r>
    <r>
      <rPr>
        <sz val="12"/>
        <rFont val="Arial"/>
        <family val="2"/>
      </rPr>
      <t>Debilidad en la comunicación entre líneas de defensa: 1a. Línea: Enlaces de procesos, 2a: OAP y dependencias, con la OCI como 3a. Línea.
Pérdida de interacción personal con los procesos que solicitaban asesoría en temas de control interno.</t>
    </r>
  </si>
  <si>
    <t>OFICINA DE CONTROL INTERNO</t>
  </si>
  <si>
    <t>No tener un sistema de información propio para la gestión del proceso.
Debilidad en la trazabilidad de los activos de información.
Perder la información de la carpeta  compartida OCI  que contiene los archivos definitivos de la información generadada por el Equipo OCI y  archivada de acuerdo a la serie de la TRD-OCI  (3)</t>
  </si>
  <si>
    <t xml:space="preserve">Inoportunidad e inexactitud de la información de entrada para el cumplimiento de actividades programadas del proceso. (2)
No se realicen las copias de seguridad de la "infomación definitiva" generada por la OCI, por parte de la Mesa de Ayuda del proceso GSIT-Gestión de Servicios e Infraestructura Tecnológica, en caso de pérdida de la información, para su Recuperación de conformidad con el procedimiento vigente de  "Generación de copias de respaldo"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</si>
</sst>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164" formatCode="0.0%"/>
    <numFmt numFmtId="165" formatCode="_-&quot;$&quot;\ * #,##0_-;\-&quot;$&quot;\ * #,##0_-;_-&quot;$&quot;\ * &quot;-&quot;??_-;_-@_-"/>
    <numFmt numFmtId="166" formatCode="&quot;$&quot;\ #,##0.00"/>
    <numFmt numFmtId="169" formatCode="_-&quot;$&quot;\ * #,##0.00_-;\-&quot;$&quot;\ * #,##0.00_-;_-&quot;$&quot;\ * &quot;-&quot;??_-;_-@_-"/>
  </numFmts>
  <fonts count="96"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2"/>
      <color theme="1"/>
      <name val="Arial"/>
      <family val="2"/>
    </font>
    <font>
      <b/>
      <sz val="12"/>
      <color theme="1"/>
      <name val="Arial"/>
      <family val="2"/>
    </font>
    <font>
      <b/>
      <sz val="10"/>
      <color theme="1"/>
      <name val="Century Gothic"/>
      <family val="2"/>
    </font>
    <font>
      <sz val="10"/>
      <color theme="1"/>
      <name val="Symbol"/>
      <family val="1"/>
      <charset val="2"/>
    </font>
    <font>
      <sz val="7"/>
      <color theme="1"/>
      <name val="Times New Roman"/>
      <family val="1"/>
    </font>
    <font>
      <sz val="10"/>
      <color theme="1"/>
      <name val="Century Gothic"/>
      <family val="2"/>
    </font>
    <font>
      <sz val="9"/>
      <color indexed="81"/>
      <name val="Tahoma"/>
      <family val="2"/>
    </font>
    <font>
      <b/>
      <sz val="9"/>
      <color indexed="81"/>
      <name val="Tahoma"/>
      <family val="2"/>
    </font>
    <font>
      <sz val="10"/>
      <color indexed="81"/>
      <name val="Tahoma"/>
      <family val="2"/>
    </font>
    <font>
      <sz val="12"/>
      <color rgb="FFFF9900"/>
      <name val="Arial"/>
      <family val="2"/>
    </font>
    <font>
      <sz val="12"/>
      <color rgb="FF0070C0"/>
      <name val="Arial"/>
      <family val="2"/>
    </font>
    <font>
      <sz val="12"/>
      <color theme="6" tint="-0.499984740745262"/>
      <name val="Arial"/>
      <family val="2"/>
    </font>
    <font>
      <sz val="12"/>
      <color rgb="FF00B050"/>
      <name val="Arial"/>
      <family val="2"/>
    </font>
    <font>
      <i/>
      <sz val="12"/>
      <name val="Arial"/>
      <family val="2"/>
    </font>
    <font>
      <b/>
      <sz val="14"/>
      <color theme="1"/>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12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style="medium">
        <color theme="6" tint="-0.499984740745262"/>
      </top>
      <bottom style="hair">
        <color theme="6" tint="-0.499984740745262"/>
      </bottom>
      <diagonal/>
    </border>
    <border>
      <left/>
      <right/>
      <top style="medium">
        <color theme="6" tint="-0.499984740745262"/>
      </top>
      <bottom style="hair">
        <color theme="6" tint="-0.499984740745262"/>
      </bottom>
      <diagonal/>
    </border>
    <border>
      <left/>
      <right style="medium">
        <color theme="6" tint="-0.499984740745262"/>
      </right>
      <top style="medium">
        <color theme="6" tint="-0.499984740745262"/>
      </top>
      <bottom style="hair">
        <color theme="6" tint="-0.499984740745262"/>
      </bottom>
      <diagonal/>
    </border>
    <border>
      <left style="hair">
        <color theme="6" tint="-0.499984740745262"/>
      </left>
      <right/>
      <top style="hair">
        <color theme="6" tint="-0.499984740745262"/>
      </top>
      <bottom style="hair">
        <color theme="6" tint="-0.499984740745262"/>
      </bottom>
      <diagonal/>
    </border>
    <border>
      <left/>
      <right/>
      <top style="hair">
        <color theme="6" tint="-0.499984740745262"/>
      </top>
      <bottom style="hair">
        <color theme="6" tint="-0.499984740745262"/>
      </bottom>
      <diagonal/>
    </border>
    <border>
      <left/>
      <right style="medium">
        <color theme="6" tint="-0.499984740745262"/>
      </right>
      <top style="hair">
        <color theme="6" tint="-0.499984740745262"/>
      </top>
      <bottom style="hair">
        <color theme="6" tint="-0.499984740745262"/>
      </bottom>
      <diagonal/>
    </border>
    <border>
      <left style="hair">
        <color theme="6" tint="-0.499984740745262"/>
      </left>
      <right/>
      <top style="hair">
        <color theme="6" tint="-0.499984740745262"/>
      </top>
      <bottom/>
      <diagonal/>
    </border>
    <border>
      <left/>
      <right/>
      <top style="hair">
        <color theme="6" tint="-0.499984740745262"/>
      </top>
      <bottom/>
      <diagonal/>
    </border>
    <border>
      <left/>
      <right style="medium">
        <color theme="6" tint="-0.499984740745262"/>
      </right>
      <top style="hair">
        <color theme="6" tint="-0.499984740745262"/>
      </top>
      <bottom/>
      <diagonal/>
    </border>
  </borders>
  <cellStyleXfs count="8">
    <xf numFmtId="0" fontId="0" fillId="0" borderId="0"/>
    <xf numFmtId="9" fontId="12" fillId="0" borderId="0" applyFont="0" applyFill="0" applyBorder="0" applyAlignment="0" applyProtection="0"/>
    <xf numFmtId="0" fontId="44" fillId="0" borderId="0"/>
    <xf numFmtId="0" fontId="45" fillId="0" borderId="0"/>
    <xf numFmtId="0" fontId="4" fillId="0" borderId="0"/>
    <xf numFmtId="44" fontId="12" fillId="0" borderId="0" applyFont="0" applyFill="0" applyBorder="0" applyAlignment="0" applyProtection="0"/>
    <xf numFmtId="0" fontId="12" fillId="0" borderId="0"/>
    <xf numFmtId="169" fontId="12" fillId="0" borderId="0" applyFont="0" applyFill="0" applyBorder="0" applyAlignment="0" applyProtection="0"/>
  </cellStyleXfs>
  <cellXfs count="563">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5" fontId="28"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44" fontId="0" fillId="3" borderId="0" xfId="5" applyFont="1" applyFill="1" applyAlignment="1">
      <alignment horizontal="left" vertical="center"/>
    </xf>
    <xf numFmtId="44" fontId="56" fillId="3" borderId="0" xfId="5" applyFont="1" applyFill="1" applyAlignment="1">
      <alignment horizontal="left" vertical="center"/>
    </xf>
    <xf numFmtId="44" fontId="0" fillId="0" borderId="0" xfId="5" applyFont="1" applyAlignment="1">
      <alignment horizontal="left" vertical="center"/>
    </xf>
    <xf numFmtId="4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64" fillId="0" borderId="0" xfId="0" applyFont="1"/>
    <xf numFmtId="0" fontId="62" fillId="0" borderId="0" xfId="0" applyFont="1"/>
    <xf numFmtId="0" fontId="66" fillId="0" borderId="0" xfId="0" applyFont="1" applyAlignment="1">
      <alignment vertical="center" wrapText="1"/>
    </xf>
    <xf numFmtId="0" fontId="66" fillId="0" borderId="71"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22" xfId="0" applyFont="1" applyBorder="1" applyAlignment="1">
      <alignment vertical="center" wrapText="1"/>
    </xf>
    <xf numFmtId="0" fontId="66" fillId="0" borderId="27" xfId="0" applyFont="1" applyBorder="1" applyAlignment="1">
      <alignment vertical="center" wrapText="1"/>
    </xf>
    <xf numFmtId="0" fontId="71" fillId="0" borderId="75" xfId="0" applyFont="1" applyBorder="1" applyAlignment="1">
      <alignment horizontal="justify" vertical="center" wrapText="1"/>
    </xf>
    <xf numFmtId="0" fontId="71" fillId="0" borderId="77" xfId="0" applyFont="1" applyBorder="1" applyAlignment="1">
      <alignment horizontal="justify" vertical="center" wrapText="1"/>
    </xf>
    <xf numFmtId="0" fontId="70" fillId="16" borderId="75" xfId="0" applyFont="1" applyFill="1" applyBorder="1" applyAlignment="1">
      <alignment horizontal="center" vertical="center" wrapText="1"/>
    </xf>
    <xf numFmtId="0" fontId="70" fillId="16" borderId="77" xfId="0" applyFont="1" applyFill="1" applyBorder="1" applyAlignment="1">
      <alignment horizontal="center" vertical="center" wrapText="1"/>
    </xf>
    <xf numFmtId="0" fontId="70" fillId="16" borderId="79" xfId="0" applyFont="1" applyFill="1" applyBorder="1" applyAlignment="1">
      <alignment horizontal="center" vertical="center" wrapText="1"/>
    </xf>
    <xf numFmtId="0" fontId="68" fillId="16" borderId="29" xfId="0" applyFont="1" applyFill="1" applyBorder="1" applyAlignment="1">
      <alignment horizontal="center" vertical="center" wrapText="1"/>
    </xf>
    <xf numFmtId="0" fontId="68" fillId="16" borderId="30" xfId="0" applyFont="1" applyFill="1" applyBorder="1" applyAlignment="1">
      <alignment horizontal="center" vertical="center" wrapText="1"/>
    </xf>
    <xf numFmtId="0" fontId="70" fillId="17" borderId="67" xfId="0" applyFont="1" applyFill="1" applyBorder="1" applyAlignment="1">
      <alignment horizontal="center" vertical="center" wrapText="1"/>
    </xf>
    <xf numFmtId="0" fontId="70" fillId="17" borderId="36" xfId="0" applyFont="1" applyFill="1" applyBorder="1" applyAlignment="1">
      <alignment horizontal="center" vertical="center" wrapText="1"/>
    </xf>
    <xf numFmtId="0" fontId="71" fillId="0" borderId="10" xfId="0" applyFont="1" applyBorder="1" applyAlignment="1">
      <alignment horizontal="justify" vertical="center" wrapText="1"/>
    </xf>
    <xf numFmtId="0" fontId="72" fillId="21" borderId="83" xfId="0" applyFont="1" applyFill="1" applyBorder="1" applyAlignment="1">
      <alignment horizontal="left" vertical="center" wrapText="1" readingOrder="1"/>
    </xf>
    <xf numFmtId="0" fontId="72" fillId="22" borderId="83" xfId="0" applyFont="1" applyFill="1" applyBorder="1" applyAlignment="1">
      <alignment horizontal="left" vertical="center" wrapText="1" readingOrder="1"/>
    </xf>
    <xf numFmtId="0" fontId="68" fillId="0" borderId="22" xfId="0" applyFont="1" applyBorder="1" applyAlignment="1">
      <alignment horizontal="left" vertical="center" wrapText="1"/>
    </xf>
    <xf numFmtId="0" fontId="78" fillId="0" borderId="82" xfId="0" applyFont="1" applyBorder="1" applyAlignment="1">
      <alignment vertical="center" wrapText="1"/>
    </xf>
    <xf numFmtId="0" fontId="77" fillId="0" borderId="82" xfId="0" applyFont="1" applyBorder="1" applyAlignment="1">
      <alignment vertical="center"/>
    </xf>
    <xf numFmtId="0" fontId="77" fillId="0" borderId="82" xfId="0" applyFont="1" applyBorder="1" applyAlignment="1">
      <alignment vertical="center" wrapText="1"/>
    </xf>
    <xf numFmtId="0" fontId="77" fillId="24" borderId="0" xfId="0" applyFont="1" applyFill="1" applyAlignment="1">
      <alignment horizontal="center" vertical="center"/>
    </xf>
    <xf numFmtId="0" fontId="70" fillId="24" borderId="67" xfId="0" applyFont="1" applyFill="1" applyBorder="1" applyAlignment="1">
      <alignment horizontal="center" vertical="center" wrapText="1"/>
    </xf>
    <xf numFmtId="0" fontId="70" fillId="24" borderId="36" xfId="0" applyFont="1" applyFill="1" applyBorder="1" applyAlignment="1">
      <alignment horizontal="center" vertical="center" wrapText="1"/>
    </xf>
    <xf numFmtId="0" fontId="66" fillId="0" borderId="72" xfId="0" applyFont="1" applyBorder="1" applyAlignment="1">
      <alignment horizontal="center" vertical="center" wrapText="1"/>
    </xf>
    <xf numFmtId="0" fontId="66" fillId="0" borderId="73" xfId="0" applyFont="1" applyBorder="1" applyAlignment="1">
      <alignment horizontal="center" vertical="center" wrapText="1"/>
    </xf>
    <xf numFmtId="0" fontId="66" fillId="0" borderId="22" xfId="0" applyFont="1" applyBorder="1" applyAlignment="1">
      <alignment horizontal="center" vertical="center" wrapText="1"/>
    </xf>
    <xf numFmtId="0" fontId="66"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5" fillId="3" borderId="0" xfId="5" applyFont="1" applyFill="1" applyAlignment="1">
      <alignment vertical="top"/>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74" fillId="0" borderId="84" xfId="0" applyFont="1" applyFill="1" applyBorder="1" applyAlignment="1" applyProtection="1">
      <alignment horizontal="center" vertical="center" wrapText="1"/>
      <protection locked="0"/>
    </xf>
    <xf numFmtId="0" fontId="74" fillId="0" borderId="84" xfId="0" applyFont="1" applyFill="1" applyBorder="1" applyAlignment="1" applyProtection="1">
      <alignment horizontal="justify" vertical="center" wrapText="1"/>
      <protection locked="0"/>
    </xf>
    <xf numFmtId="0" fontId="74" fillId="0" borderId="84" xfId="0" applyFont="1" applyFill="1" applyBorder="1" applyAlignment="1" applyProtection="1">
      <alignment horizontal="justify" vertical="center"/>
      <protection locked="0"/>
    </xf>
    <xf numFmtId="0" fontId="74" fillId="0" borderId="84" xfId="0" applyFont="1" applyFill="1" applyBorder="1" applyAlignment="1" applyProtection="1">
      <alignment horizontal="center" vertical="center"/>
      <protection hidden="1"/>
    </xf>
    <xf numFmtId="0" fontId="74" fillId="0" borderId="84" xfId="0" applyFont="1" applyFill="1" applyBorder="1" applyAlignment="1" applyProtection="1">
      <alignment horizontal="center" vertical="center" textRotation="90"/>
      <protection locked="0"/>
    </xf>
    <xf numFmtId="9" fontId="74" fillId="0" borderId="84" xfId="0" applyNumberFormat="1" applyFont="1" applyFill="1" applyBorder="1" applyAlignment="1" applyProtection="1">
      <alignment horizontal="center" vertical="center"/>
      <protection hidden="1"/>
    </xf>
    <xf numFmtId="164" fontId="74" fillId="0" borderId="84" xfId="1" applyNumberFormat="1" applyFont="1" applyFill="1" applyBorder="1" applyAlignment="1">
      <alignment horizontal="center" vertical="center"/>
    </xf>
    <xf numFmtId="0" fontId="75" fillId="0" borderId="84" xfId="0" applyFont="1" applyFill="1" applyBorder="1" applyAlignment="1" applyProtection="1">
      <alignment horizontal="center" vertical="center" textRotation="90" wrapText="1"/>
      <protection hidden="1"/>
    </xf>
    <xf numFmtId="0" fontId="75" fillId="0" borderId="84" xfId="0" applyFont="1" applyFill="1" applyBorder="1" applyAlignment="1" applyProtection="1">
      <alignment horizontal="center" vertical="center" textRotation="90"/>
      <protection hidden="1"/>
    </xf>
    <xf numFmtId="0" fontId="74" fillId="0" borderId="84" xfId="0" applyFont="1" applyFill="1" applyBorder="1" applyAlignment="1" applyProtection="1">
      <alignment horizontal="center" vertical="center" textRotation="90" wrapText="1"/>
      <protection locked="0"/>
    </xf>
    <xf numFmtId="0" fontId="74" fillId="0" borderId="84" xfId="0" applyFont="1" applyFill="1" applyBorder="1" applyAlignment="1" applyProtection="1">
      <alignment horizontal="center" vertical="center"/>
      <protection locked="0"/>
    </xf>
    <xf numFmtId="14" fontId="74" fillId="0" borderId="84" xfId="0" applyNumberFormat="1" applyFont="1" applyFill="1" applyBorder="1" applyAlignment="1" applyProtection="1">
      <alignment horizontal="center" vertical="center"/>
      <protection locked="0"/>
    </xf>
    <xf numFmtId="0" fontId="74" fillId="0" borderId="0" xfId="0" applyFont="1" applyFill="1"/>
    <xf numFmtId="0" fontId="74" fillId="0" borderId="84" xfId="0" applyFont="1" applyFill="1" applyBorder="1" applyAlignment="1" applyProtection="1">
      <alignment horizontal="justify" vertical="top" wrapText="1"/>
      <protection locked="0"/>
    </xf>
    <xf numFmtId="0" fontId="73" fillId="0" borderId="0" xfId="0" applyFont="1" applyAlignment="1">
      <alignment vertical="center"/>
    </xf>
    <xf numFmtId="0" fontId="80" fillId="3" borderId="0" xfId="0" applyFont="1" applyFill="1"/>
    <xf numFmtId="0" fontId="80" fillId="0" borderId="0" xfId="0" applyFont="1"/>
    <xf numFmtId="0" fontId="73" fillId="0" borderId="87" xfId="0" applyFont="1" applyBorder="1" applyAlignment="1">
      <alignment vertical="center"/>
    </xf>
    <xf numFmtId="0" fontId="73" fillId="0" borderId="85" xfId="0" applyFont="1" applyBorder="1" applyAlignment="1">
      <alignment vertical="center"/>
    </xf>
    <xf numFmtId="0" fontId="74" fillId="3" borderId="0" xfId="0" applyFont="1" applyFill="1" applyAlignment="1">
      <alignment horizontal="center" vertical="center"/>
    </xf>
    <xf numFmtId="0" fontId="74" fillId="3" borderId="0" xfId="0" applyFont="1" applyFill="1" applyAlignment="1">
      <alignment horizontal="left" vertical="center"/>
    </xf>
    <xf numFmtId="0" fontId="74" fillId="3" borderId="0" xfId="0" applyFont="1" applyFill="1"/>
    <xf numFmtId="0" fontId="74" fillId="3" borderId="0" xfId="0" applyFont="1" applyFill="1" applyAlignment="1">
      <alignment horizontal="center"/>
    </xf>
    <xf numFmtId="0" fontId="74" fillId="3" borderId="0" xfId="0" applyFont="1" applyFill="1" applyAlignment="1">
      <alignment wrapText="1"/>
    </xf>
    <xf numFmtId="0" fontId="74" fillId="0" borderId="0" xfId="0" applyFont="1"/>
    <xf numFmtId="0" fontId="75" fillId="3" borderId="93" xfId="0" applyFont="1" applyFill="1" applyBorder="1"/>
    <xf numFmtId="0" fontId="75" fillId="3" borderId="104" xfId="0" applyFont="1" applyFill="1" applyBorder="1"/>
    <xf numFmtId="0" fontId="75" fillId="0" borderId="0" xfId="0" applyFont="1" applyAlignment="1">
      <alignment horizontal="left" vertical="center"/>
    </xf>
    <xf numFmtId="0" fontId="74" fillId="0" borderId="0" xfId="0" applyFont="1" applyAlignment="1" applyProtection="1">
      <alignment horizontal="left" vertical="center" wrapText="1"/>
      <protection locked="0"/>
    </xf>
    <xf numFmtId="0" fontId="75" fillId="0" borderId="0" xfId="0" applyFont="1"/>
    <xf numFmtId="0" fontId="74" fillId="0" borderId="0" xfId="0" applyFont="1" applyAlignment="1">
      <alignment horizontal="left" wrapText="1"/>
    </xf>
    <xf numFmtId="0" fontId="75" fillId="16" borderId="84" xfId="0" applyFont="1" applyFill="1" applyBorder="1" applyAlignment="1">
      <alignment horizontal="center" vertical="center" textRotation="90"/>
    </xf>
    <xf numFmtId="0" fontId="75" fillId="3" borderId="0" xfId="0" applyFont="1" applyFill="1" applyAlignment="1">
      <alignment horizontal="center" vertical="center"/>
    </xf>
    <xf numFmtId="0" fontId="75" fillId="0" borderId="0" xfId="0" applyFont="1" applyAlignment="1">
      <alignment horizontal="center" vertical="center"/>
    </xf>
    <xf numFmtId="0" fontId="75" fillId="2" borderId="0" xfId="0" applyFont="1" applyFill="1" applyAlignment="1">
      <alignment horizontal="center" vertical="center"/>
    </xf>
    <xf numFmtId="0" fontId="74" fillId="0" borderId="84" xfId="0" applyFont="1" applyFill="1" applyBorder="1" applyAlignment="1">
      <alignment horizontal="center" vertical="center"/>
    </xf>
    <xf numFmtId="0" fontId="74" fillId="0" borderId="0" xfId="0" applyFont="1" applyFill="1" applyAlignment="1">
      <alignment vertical="center"/>
    </xf>
    <xf numFmtId="0" fontId="74" fillId="0" borderId="3" xfId="0" applyFont="1" applyBorder="1" applyAlignment="1">
      <alignment horizontal="center" vertical="center"/>
    </xf>
    <xf numFmtId="0" fontId="74" fillId="0" borderId="0" xfId="0" applyFont="1" applyAlignment="1">
      <alignment wrapText="1"/>
    </xf>
    <xf numFmtId="0" fontId="74" fillId="0" borderId="0" xfId="0" applyFont="1" applyAlignment="1">
      <alignment horizontal="center" vertical="center"/>
    </xf>
    <xf numFmtId="0" fontId="74" fillId="0" borderId="0" xfId="0" applyFont="1" applyAlignment="1">
      <alignment horizontal="center"/>
    </xf>
    <xf numFmtId="166" fontId="30" fillId="0" borderId="64" xfId="0" applyNumberFormat="1" applyFont="1" applyBorder="1" applyAlignment="1">
      <alignment horizontal="center" vertical="center" wrapText="1" readingOrder="1"/>
    </xf>
    <xf numFmtId="0" fontId="81" fillId="0" borderId="84" xfId="0" applyFont="1" applyFill="1" applyBorder="1" applyAlignment="1" applyProtection="1">
      <alignment horizontal="justify" vertical="center" wrapText="1"/>
      <protection locked="0"/>
    </xf>
    <xf numFmtId="0" fontId="81" fillId="0" borderId="84" xfId="0" applyFont="1" applyFill="1" applyBorder="1" applyAlignment="1" applyProtection="1">
      <alignment horizontal="justify" vertical="top" wrapText="1"/>
      <protection locked="0"/>
    </xf>
    <xf numFmtId="0" fontId="74" fillId="26" borderId="84" xfId="0" applyFont="1" applyFill="1" applyBorder="1" applyAlignment="1" applyProtection="1">
      <alignment horizontal="center" vertical="center" textRotation="90"/>
      <protection locked="0"/>
    </xf>
    <xf numFmtId="0" fontId="83" fillId="17" borderId="67" xfId="0" applyFont="1" applyFill="1" applyBorder="1" applyAlignment="1">
      <alignment horizontal="center" vertical="center" wrapText="1"/>
    </xf>
    <xf numFmtId="0" fontId="83" fillId="27" borderId="8" xfId="0" applyFont="1" applyFill="1" applyBorder="1" applyAlignment="1">
      <alignment horizontal="center" vertical="center" wrapText="1"/>
    </xf>
    <xf numFmtId="0" fontId="83" fillId="27" borderId="10" xfId="0" applyFont="1" applyFill="1" applyBorder="1" applyAlignment="1">
      <alignment horizontal="center" vertical="center" wrapText="1"/>
    </xf>
    <xf numFmtId="0" fontId="84" fillId="0" borderId="8" xfId="0" applyFont="1" applyBorder="1" applyAlignment="1">
      <alignment horizontal="justify" vertical="center" wrapText="1"/>
    </xf>
    <xf numFmtId="0" fontId="84" fillId="2" borderId="8" xfId="0" applyFont="1" applyFill="1" applyBorder="1" applyAlignment="1">
      <alignment horizontal="justify" vertical="center" wrapText="1"/>
    </xf>
    <xf numFmtId="0" fontId="0" fillId="0" borderId="8" xfId="0" applyBorder="1" applyAlignment="1">
      <alignment vertical="top" wrapText="1"/>
    </xf>
    <xf numFmtId="0" fontId="84" fillId="0" borderId="10" xfId="0" applyFont="1" applyBorder="1" applyAlignment="1">
      <alignment horizontal="justify" vertical="center" wrapText="1"/>
    </xf>
    <xf numFmtId="0" fontId="0" fillId="0" borderId="10" xfId="0" applyBorder="1" applyAlignment="1">
      <alignment vertical="top" wrapText="1"/>
    </xf>
    <xf numFmtId="0" fontId="75" fillId="3" borderId="90" xfId="0" applyFont="1" applyFill="1" applyBorder="1" applyAlignment="1">
      <alignment vertical="center" wrapText="1"/>
    </xf>
    <xf numFmtId="0" fontId="74" fillId="26" borderId="84" xfId="0" applyFont="1" applyFill="1" applyBorder="1" applyAlignment="1" applyProtection="1">
      <alignment horizontal="center" vertical="center" wrapText="1"/>
      <protection locked="0"/>
    </xf>
    <xf numFmtId="0" fontId="74" fillId="26" borderId="84" xfId="0" applyFont="1" applyFill="1" applyBorder="1" applyAlignment="1" applyProtection="1">
      <alignment horizontal="center" vertical="center"/>
      <protection locked="0"/>
    </xf>
    <xf numFmtId="14" fontId="74" fillId="26" borderId="84" xfId="0" applyNumberFormat="1" applyFont="1" applyFill="1" applyBorder="1" applyAlignment="1" applyProtection="1">
      <alignment horizontal="center" vertical="center"/>
      <protection locked="0"/>
    </xf>
    <xf numFmtId="0" fontId="74" fillId="26" borderId="84" xfId="0" applyFont="1" applyFill="1" applyBorder="1" applyAlignment="1" applyProtection="1">
      <alignment horizontal="center" vertical="center" wrapText="1"/>
      <protection locked="0"/>
    </xf>
    <xf numFmtId="14" fontId="74" fillId="26" borderId="84" xfId="0" applyNumberFormat="1" applyFont="1" applyFill="1" applyBorder="1" applyAlignment="1" applyProtection="1">
      <alignment horizontal="center" vertical="center" wrapText="1"/>
      <protection locked="0"/>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47" fillId="20" borderId="37" xfId="2" applyFont="1" applyFill="1" applyBorder="1" applyAlignment="1">
      <alignment horizontal="center" vertical="center" wrapText="1"/>
    </xf>
    <xf numFmtId="0" fontId="47" fillId="20" borderId="38" xfId="2" applyFont="1" applyFill="1" applyBorder="1" applyAlignment="1">
      <alignment horizontal="center" vertical="center" wrapText="1"/>
    </xf>
    <xf numFmtId="0" fontId="47" fillId="20"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83" fillId="17" borderId="66" xfId="0" applyFont="1" applyFill="1" applyBorder="1" applyAlignment="1">
      <alignment horizontal="center" vertical="center" wrapText="1"/>
    </xf>
    <xf numFmtId="0" fontId="83" fillId="17" borderId="68" xfId="0" applyFont="1" applyFill="1" applyBorder="1" applyAlignment="1">
      <alignment horizontal="center" vertical="center" wrapText="1"/>
    </xf>
    <xf numFmtId="0" fontId="83" fillId="17" borderId="70"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0" fontId="83" fillId="0" borderId="24" xfId="0" applyFont="1" applyBorder="1" applyAlignment="1">
      <alignment horizontal="center" vertical="center" wrapText="1"/>
    </xf>
    <xf numFmtId="0" fontId="83" fillId="0" borderId="36" xfId="0" applyFont="1" applyBorder="1" applyAlignment="1">
      <alignment horizontal="center" vertical="center" wrapText="1"/>
    </xf>
    <xf numFmtId="0" fontId="79" fillId="19" borderId="22" xfId="0" applyFont="1" applyFill="1" applyBorder="1" applyAlignment="1">
      <alignment horizontal="center" vertical="center" wrapText="1"/>
    </xf>
    <xf numFmtId="0" fontId="0" fillId="0" borderId="22" xfId="0" applyBorder="1" applyAlignment="1">
      <alignment horizontal="center"/>
    </xf>
    <xf numFmtId="0" fontId="73" fillId="0" borderId="22" xfId="0" applyFont="1" applyBorder="1" applyAlignment="1">
      <alignment horizontal="center" vertical="center" wrapText="1"/>
    </xf>
    <xf numFmtId="0" fontId="68" fillId="0" borderId="22" xfId="0" applyFont="1" applyBorder="1" applyAlignment="1">
      <alignment horizontal="left" vertical="center" wrapText="1"/>
    </xf>
    <xf numFmtId="0" fontId="68" fillId="0" borderId="22" xfId="0" applyFont="1" applyBorder="1" applyAlignment="1">
      <alignment horizontal="left" vertical="center" wrapText="1" indent="1"/>
    </xf>
    <xf numFmtId="0" fontId="74" fillId="3" borderId="112" xfId="0" applyFont="1" applyFill="1" applyBorder="1" applyAlignment="1">
      <alignment horizontal="left" vertical="center" wrapText="1"/>
    </xf>
    <xf numFmtId="0" fontId="74" fillId="3" borderId="113" xfId="0" applyFont="1" applyFill="1" applyBorder="1" applyAlignment="1">
      <alignment horizontal="left" vertical="center" wrapText="1"/>
    </xf>
    <xf numFmtId="0" fontId="74" fillId="3" borderId="114" xfId="0" applyFont="1" applyFill="1" applyBorder="1" applyAlignment="1">
      <alignment horizontal="left" vertical="center" wrapText="1"/>
    </xf>
    <xf numFmtId="0" fontId="74" fillId="3" borderId="115" xfId="0" applyFont="1" applyFill="1" applyBorder="1" applyAlignment="1">
      <alignment horizontal="center" wrapText="1"/>
    </xf>
    <xf numFmtId="0" fontId="74" fillId="3" borderId="116" xfId="0" applyFont="1" applyFill="1" applyBorder="1" applyAlignment="1">
      <alignment horizontal="center" wrapText="1"/>
    </xf>
    <xf numFmtId="0" fontId="74" fillId="3" borderId="117" xfId="0" applyFont="1" applyFill="1" applyBorder="1" applyAlignment="1">
      <alignment horizontal="center" wrapText="1"/>
    </xf>
    <xf numFmtId="0" fontId="74" fillId="3" borderId="118" xfId="0" applyFont="1" applyFill="1" applyBorder="1" applyAlignment="1">
      <alignment horizontal="center" wrapText="1"/>
    </xf>
    <xf numFmtId="0" fontId="74" fillId="3" borderId="119" xfId="0" applyFont="1" applyFill="1" applyBorder="1" applyAlignment="1">
      <alignment horizontal="center" wrapText="1"/>
    </xf>
    <xf numFmtId="0" fontId="74" fillId="3" borderId="120" xfId="0" applyFont="1" applyFill="1" applyBorder="1" applyAlignment="1">
      <alignment horizontal="center" wrapText="1"/>
    </xf>
    <xf numFmtId="9" fontId="74" fillId="0" borderId="84" xfId="0" applyNumberFormat="1" applyFont="1" applyFill="1" applyBorder="1" applyAlignment="1" applyProtection="1">
      <alignment horizontal="center" vertical="center" wrapText="1"/>
      <protection hidden="1"/>
    </xf>
    <xf numFmtId="0" fontId="75" fillId="0" borderId="84" xfId="0" applyFont="1" applyFill="1" applyBorder="1" applyAlignment="1" applyProtection="1">
      <alignment horizontal="center" vertical="center"/>
      <protection hidden="1"/>
    </xf>
    <xf numFmtId="0" fontId="80" fillId="0" borderId="90" xfId="0" applyFont="1" applyBorder="1" applyAlignment="1">
      <alignment horizontal="center" vertical="center"/>
    </xf>
    <xf numFmtId="0" fontId="80" fillId="0" borderId="91" xfId="0" applyFont="1" applyBorder="1" applyAlignment="1">
      <alignment horizontal="center" vertical="center"/>
    </xf>
    <xf numFmtId="0" fontId="80" fillId="0" borderId="92" xfId="0" applyFont="1" applyBorder="1" applyAlignment="1">
      <alignment horizontal="center" vertical="center"/>
    </xf>
    <xf numFmtId="0" fontId="80" fillId="0" borderId="93" xfId="0" applyFont="1" applyBorder="1" applyAlignment="1">
      <alignment horizontal="center" vertical="center"/>
    </xf>
    <xf numFmtId="0" fontId="80" fillId="0" borderId="84" xfId="0" applyFont="1" applyBorder="1" applyAlignment="1">
      <alignment horizontal="center" vertical="center"/>
    </xf>
    <xf numFmtId="0" fontId="80" fillId="0" borderId="94" xfId="0" applyFont="1" applyBorder="1" applyAlignment="1">
      <alignment horizontal="center" vertical="center"/>
    </xf>
    <xf numFmtId="0" fontId="80" fillId="0" borderId="95" xfId="0" applyFont="1" applyBorder="1" applyAlignment="1">
      <alignment horizontal="center" vertical="center"/>
    </xf>
    <xf numFmtId="0" fontId="80" fillId="0" borderId="96" xfId="0" applyFont="1" applyBorder="1" applyAlignment="1">
      <alignment horizontal="center" vertical="center"/>
    </xf>
    <xf numFmtId="0" fontId="80" fillId="0" borderId="97" xfId="0" applyFont="1" applyBorder="1" applyAlignment="1">
      <alignment horizontal="center" vertical="center"/>
    </xf>
    <xf numFmtId="0" fontId="73" fillId="0" borderId="102" xfId="0" applyFont="1" applyBorder="1" applyAlignment="1">
      <alignment horizontal="center" vertical="center"/>
    </xf>
    <xf numFmtId="0" fontId="73" fillId="0" borderId="91" xfId="0" applyFont="1" applyBorder="1" applyAlignment="1">
      <alignment horizontal="center" vertical="center"/>
    </xf>
    <xf numFmtId="0" fontId="73" fillId="0" borderId="92" xfId="0" applyFont="1" applyBorder="1" applyAlignment="1">
      <alignment horizontal="center" vertical="center"/>
    </xf>
    <xf numFmtId="0" fontId="73" fillId="0" borderId="103" xfId="0" applyFont="1" applyBorder="1" applyAlignment="1">
      <alignment horizontal="center" vertical="center"/>
    </xf>
    <xf numFmtId="0" fontId="73" fillId="0" borderId="96" xfId="0" applyFont="1" applyBorder="1" applyAlignment="1">
      <alignment horizontal="center" vertical="center"/>
    </xf>
    <xf numFmtId="0" fontId="73" fillId="0" borderId="97" xfId="0" applyFont="1" applyBorder="1" applyAlignment="1">
      <alignment horizontal="center" vertical="center"/>
    </xf>
    <xf numFmtId="0" fontId="73" fillId="0" borderId="89" xfId="0" applyFont="1" applyBorder="1" applyAlignment="1">
      <alignment horizontal="left" vertical="center"/>
    </xf>
    <xf numFmtId="0" fontId="73" fillId="0" borderId="98" xfId="0" applyFont="1" applyBorder="1" applyAlignment="1">
      <alignment horizontal="left" vertical="center"/>
    </xf>
    <xf numFmtId="0" fontId="73" fillId="0" borderId="99" xfId="0" applyFont="1" applyBorder="1" applyAlignment="1">
      <alignment horizontal="left" vertical="center"/>
    </xf>
    <xf numFmtId="0" fontId="73" fillId="0" borderId="103" xfId="0" applyFont="1" applyBorder="1" applyAlignment="1">
      <alignment horizontal="left" vertical="center"/>
    </xf>
    <xf numFmtId="0" fontId="73" fillId="0" borderId="96" xfId="0" applyFont="1" applyBorder="1" applyAlignment="1">
      <alignment horizontal="left" vertical="center"/>
    </xf>
    <xf numFmtId="0" fontId="73" fillId="0" borderId="97" xfId="0" applyFont="1" applyBorder="1" applyAlignment="1">
      <alignment horizontal="left" vertical="center"/>
    </xf>
    <xf numFmtId="0" fontId="73" fillId="0" borderId="90" xfId="0" applyFont="1" applyBorder="1" applyAlignment="1">
      <alignment horizontal="center" vertical="center"/>
    </xf>
    <xf numFmtId="0" fontId="73" fillId="0" borderId="95" xfId="0" applyFont="1" applyBorder="1" applyAlignment="1">
      <alignment horizontal="center" vertical="center"/>
    </xf>
    <xf numFmtId="0" fontId="73" fillId="0" borderId="100" xfId="0" applyFont="1" applyBorder="1" applyAlignment="1">
      <alignment horizontal="left" vertical="center"/>
    </xf>
    <xf numFmtId="0" fontId="73" fillId="0" borderId="86" xfId="0" applyFont="1" applyBorder="1" applyAlignment="1">
      <alignment horizontal="left" vertical="center"/>
    </xf>
    <xf numFmtId="0" fontId="73" fillId="0" borderId="95" xfId="0" applyFont="1" applyBorder="1" applyAlignment="1">
      <alignment horizontal="left" vertical="center"/>
    </xf>
    <xf numFmtId="0" fontId="73" fillId="0" borderId="101" xfId="0" applyFont="1" applyBorder="1" applyAlignment="1">
      <alignment horizontal="left" vertical="center"/>
    </xf>
    <xf numFmtId="0" fontId="75" fillId="16" borderId="106" xfId="0" applyFont="1" applyFill="1" applyBorder="1" applyAlignment="1">
      <alignment horizontal="left" vertical="center"/>
    </xf>
    <xf numFmtId="0" fontId="75" fillId="16" borderId="107" xfId="0" applyFont="1" applyFill="1" applyBorder="1" applyAlignment="1">
      <alignment horizontal="left" vertical="center"/>
    </xf>
    <xf numFmtId="0" fontId="75" fillId="16" borderId="108" xfId="0" applyFont="1" applyFill="1" applyBorder="1" applyAlignment="1">
      <alignment horizontal="left" vertical="center"/>
    </xf>
    <xf numFmtId="0" fontId="75" fillId="16" borderId="109" xfId="0" applyFont="1" applyFill="1" applyBorder="1" applyAlignment="1">
      <alignment horizontal="left" vertical="center"/>
    </xf>
    <xf numFmtId="0" fontId="75" fillId="16" borderId="110" xfId="0" applyFont="1" applyFill="1" applyBorder="1" applyAlignment="1">
      <alignment horizontal="left" vertical="center"/>
    </xf>
    <xf numFmtId="0" fontId="75" fillId="16" borderId="111" xfId="0" applyFont="1" applyFill="1" applyBorder="1" applyAlignment="1">
      <alignment horizontal="left" vertical="center"/>
    </xf>
    <xf numFmtId="9" fontId="74" fillId="0" borderId="84" xfId="0" applyNumberFormat="1" applyFont="1" applyFill="1" applyBorder="1" applyAlignment="1" applyProtection="1">
      <alignment horizontal="center" vertical="center" wrapText="1"/>
      <protection locked="0"/>
    </xf>
    <xf numFmtId="0" fontId="75" fillId="0" borderId="84" xfId="0" applyFont="1" applyFill="1" applyBorder="1" applyAlignment="1" applyProtection="1">
      <alignment horizontal="center" vertical="center" wrapText="1"/>
      <protection hidden="1"/>
    </xf>
    <xf numFmtId="0" fontId="75" fillId="0" borderId="84" xfId="0" applyFont="1" applyFill="1" applyBorder="1" applyAlignment="1">
      <alignment horizontal="center" vertical="center"/>
    </xf>
    <xf numFmtId="0" fontId="74" fillId="0" borderId="84" xfId="0" applyFont="1" applyFill="1" applyBorder="1" applyAlignment="1" applyProtection="1">
      <alignment horizontal="center" vertical="center" wrapText="1"/>
      <protection locked="0"/>
    </xf>
    <xf numFmtId="0" fontId="74" fillId="26" borderId="84" xfId="0" applyFont="1" applyFill="1" applyBorder="1" applyAlignment="1" applyProtection="1">
      <alignment horizontal="center" vertical="center" wrapText="1"/>
      <protection locked="0"/>
    </xf>
    <xf numFmtId="0" fontId="74" fillId="0" borderId="84" xfId="0" applyFont="1" applyFill="1" applyBorder="1" applyAlignment="1" applyProtection="1">
      <alignment horizontal="center" vertical="center"/>
      <protection locked="0"/>
    </xf>
    <xf numFmtId="0" fontId="67" fillId="3" borderId="102" xfId="0" applyFont="1" applyFill="1" applyBorder="1" applyAlignment="1" applyProtection="1">
      <alignment horizontal="left" vertical="center"/>
      <protection locked="0"/>
    </xf>
    <xf numFmtId="0" fontId="67" fillId="3" borderId="91" xfId="0" applyFont="1" applyFill="1" applyBorder="1" applyAlignment="1" applyProtection="1">
      <alignment horizontal="left" vertical="center"/>
      <protection locked="0"/>
    </xf>
    <xf numFmtId="0" fontId="67" fillId="3" borderId="92" xfId="0" applyFont="1" applyFill="1" applyBorder="1" applyAlignment="1" applyProtection="1">
      <alignment horizontal="left" vertical="center"/>
      <protection locked="0"/>
    </xf>
    <xf numFmtId="0" fontId="75" fillId="16" borderId="86" xfId="0" applyFont="1" applyFill="1" applyBorder="1" applyAlignment="1">
      <alignment horizontal="center" vertical="center"/>
    </xf>
    <xf numFmtId="0" fontId="74" fillId="0" borderId="2" xfId="0" applyFont="1" applyBorder="1" applyAlignment="1">
      <alignment horizontal="left" vertical="center" wrapText="1"/>
    </xf>
    <xf numFmtId="0" fontId="74" fillId="0" borderId="21" xfId="0" applyFont="1" applyBorder="1" applyAlignment="1">
      <alignment horizontal="left" vertical="center" wrapText="1"/>
    </xf>
    <xf numFmtId="0" fontId="74" fillId="0" borderId="84" xfId="0" applyFont="1" applyFill="1" applyBorder="1" applyAlignment="1" applyProtection="1">
      <alignment horizontal="left" vertical="center" wrapText="1"/>
      <protection locked="0"/>
    </xf>
    <xf numFmtId="0" fontId="74" fillId="0" borderId="85" xfId="0" applyFont="1" applyFill="1" applyBorder="1" applyAlignment="1" applyProtection="1">
      <alignment horizontal="center" vertical="center" wrapText="1"/>
      <protection locked="0"/>
    </xf>
    <xf numFmtId="0" fontId="74" fillId="0" borderId="98" xfId="0" applyFont="1" applyFill="1" applyBorder="1" applyAlignment="1" applyProtection="1">
      <alignment horizontal="center" vertical="center" wrapText="1"/>
      <protection locked="0"/>
    </xf>
    <xf numFmtId="0" fontId="74" fillId="0" borderId="86" xfId="0" applyFont="1" applyFill="1" applyBorder="1" applyAlignment="1" applyProtection="1">
      <alignment horizontal="center" vertical="center" wrapText="1"/>
      <protection locked="0"/>
    </xf>
    <xf numFmtId="0" fontId="74" fillId="19" borderId="84" xfId="0" applyFont="1" applyFill="1" applyBorder="1" applyAlignment="1" applyProtection="1">
      <alignment horizontal="center" vertical="center" wrapText="1"/>
      <protection locked="0"/>
    </xf>
    <xf numFmtId="0" fontId="81" fillId="3" borderId="88" xfId="0" applyFont="1" applyFill="1" applyBorder="1" applyAlignment="1" applyProtection="1">
      <alignment horizontal="left" vertical="center" wrapText="1"/>
      <protection locked="0"/>
    </xf>
    <xf numFmtId="0" fontId="81" fillId="3" borderId="84" xfId="0" applyFont="1" applyFill="1" applyBorder="1" applyAlignment="1" applyProtection="1">
      <alignment horizontal="left" vertical="center" wrapText="1"/>
      <protection locked="0"/>
    </xf>
    <xf numFmtId="0" fontId="81" fillId="3" borderId="94" xfId="0" applyFont="1" applyFill="1" applyBorder="1" applyAlignment="1" applyProtection="1">
      <alignment horizontal="left" vertical="center" wrapText="1"/>
      <protection locked="0"/>
    </xf>
    <xf numFmtId="0" fontId="74" fillId="26" borderId="103" xfId="0" applyFont="1" applyFill="1" applyBorder="1" applyAlignment="1" applyProtection="1">
      <alignment horizontal="left" vertical="center" wrapText="1"/>
      <protection locked="0"/>
    </xf>
    <xf numFmtId="0" fontId="74" fillId="26" borderId="96" xfId="0" applyFont="1" applyFill="1" applyBorder="1" applyAlignment="1" applyProtection="1">
      <alignment horizontal="left" vertical="center" wrapText="1"/>
      <protection locked="0"/>
    </xf>
    <xf numFmtId="0" fontId="74" fillId="26" borderId="97" xfId="0" applyFont="1" applyFill="1" applyBorder="1" applyAlignment="1" applyProtection="1">
      <alignment horizontal="left" vertical="center" wrapText="1"/>
      <protection locked="0"/>
    </xf>
    <xf numFmtId="0" fontId="75" fillId="16" borderId="84" xfId="0" applyFont="1" applyFill="1" applyBorder="1" applyAlignment="1">
      <alignment horizontal="center" vertical="center" wrapText="1"/>
    </xf>
    <xf numFmtId="0" fontId="75" fillId="16" borderId="84" xfId="0" applyFont="1" applyFill="1" applyBorder="1" applyAlignment="1">
      <alignment horizontal="center" vertical="center" textRotation="90"/>
    </xf>
    <xf numFmtId="0" fontId="75" fillId="20" borderId="84" xfId="0" applyFont="1" applyFill="1" applyBorder="1" applyAlignment="1">
      <alignment horizontal="center" vertical="center" wrapText="1"/>
    </xf>
    <xf numFmtId="0" fontId="75" fillId="16" borderId="84" xfId="0" applyFont="1" applyFill="1" applyBorder="1" applyAlignment="1">
      <alignment horizontal="center" vertical="center"/>
    </xf>
    <xf numFmtId="0" fontId="75" fillId="16" borderId="84" xfId="0" applyFont="1" applyFill="1" applyBorder="1" applyAlignment="1">
      <alignment horizontal="center" vertical="center" textRotation="90" wrapText="1"/>
    </xf>
    <xf numFmtId="0" fontId="75" fillId="20" borderId="85" xfId="0" applyFont="1" applyFill="1" applyBorder="1" applyAlignment="1">
      <alignment horizontal="center" vertical="center" wrapText="1"/>
    </xf>
    <xf numFmtId="0" fontId="75" fillId="20" borderId="86" xfId="0" applyFont="1" applyFill="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7" xfId="0" applyFont="1" applyBorder="1" applyAlignment="1">
      <alignment horizontal="center" vertical="center" wrapText="1"/>
    </xf>
    <xf numFmtId="0" fontId="40" fillId="0" borderId="0" xfId="0" applyFont="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40" fillId="0" borderId="12"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69" fillId="19" borderId="34" xfId="0" applyFont="1" applyFill="1" applyBorder="1" applyAlignment="1">
      <alignment horizontal="center" vertical="center" wrapText="1"/>
    </xf>
    <xf numFmtId="0" fontId="69" fillId="19" borderId="35" xfId="0" applyFont="1" applyFill="1" applyBorder="1" applyAlignment="1">
      <alignment horizontal="center" vertical="center" wrapText="1"/>
    </xf>
    <xf numFmtId="0" fontId="66" fillId="0" borderId="0" xfId="0" applyFont="1" applyAlignment="1">
      <alignment horizontal="left" vertical="center" wrapText="1"/>
    </xf>
    <xf numFmtId="0" fontId="66" fillId="0" borderId="0" xfId="0" applyFont="1" applyAlignment="1">
      <alignment horizontal="center" vertical="center" wrapText="1"/>
    </xf>
    <xf numFmtId="0" fontId="66" fillId="0" borderId="22" xfId="0" applyFont="1" applyBorder="1" applyAlignment="1">
      <alignment horizontal="left" vertical="center" wrapText="1"/>
    </xf>
    <xf numFmtId="0" fontId="66" fillId="0" borderId="74" xfId="0" applyFont="1" applyBorder="1" applyAlignment="1">
      <alignment horizontal="left" vertical="center" wrapText="1"/>
    </xf>
    <xf numFmtId="0" fontId="69" fillId="19" borderId="33" xfId="0" applyFont="1" applyFill="1" applyBorder="1" applyAlignment="1">
      <alignment horizontal="center" vertical="center" wrapText="1"/>
    </xf>
    <xf numFmtId="0" fontId="67" fillId="16" borderId="24" xfId="0" applyFont="1" applyFill="1" applyBorder="1" applyAlignment="1">
      <alignment horizontal="center" vertical="center" wrapText="1"/>
    </xf>
    <xf numFmtId="0" fontId="67" fillId="16" borderId="25" xfId="0" applyFont="1" applyFill="1" applyBorder="1" applyAlignment="1">
      <alignment horizontal="center" vertical="center" wrapText="1"/>
    </xf>
    <xf numFmtId="0" fontId="67" fillId="16" borderId="36" xfId="0" applyFont="1" applyFill="1" applyBorder="1" applyAlignment="1">
      <alignment horizontal="center" vertical="center" wrapText="1"/>
    </xf>
    <xf numFmtId="0" fontId="68" fillId="16" borderId="71" xfId="0" applyFont="1" applyFill="1" applyBorder="1" applyAlignment="1">
      <alignment horizontal="center" vertical="center" wrapText="1"/>
    </xf>
    <xf numFmtId="0" fontId="68" fillId="16" borderId="28" xfId="0" applyFont="1" applyFill="1" applyBorder="1" applyAlignment="1">
      <alignment horizontal="center" vertical="center" wrapText="1"/>
    </xf>
    <xf numFmtId="0" fontId="68" fillId="16" borderId="72" xfId="0" applyFont="1" applyFill="1" applyBorder="1" applyAlignment="1">
      <alignment horizontal="center" vertical="center" wrapText="1"/>
    </xf>
    <xf numFmtId="0" fontId="68" fillId="16" borderId="29" xfId="0" applyFont="1" applyFill="1" applyBorder="1" applyAlignment="1">
      <alignment horizontal="center" vertical="center" wrapText="1"/>
    </xf>
    <xf numFmtId="0" fontId="68" fillId="16" borderId="73" xfId="0" applyFont="1" applyFill="1" applyBorder="1" applyAlignment="1">
      <alignment horizontal="center" vertical="center" wrapText="1"/>
    </xf>
    <xf numFmtId="0" fontId="66" fillId="0" borderId="72" xfId="0" applyFont="1" applyBorder="1" applyAlignment="1">
      <alignment horizontal="left" vertical="center" wrapText="1"/>
    </xf>
    <xf numFmtId="0" fontId="70" fillId="16" borderId="80" xfId="0" applyFont="1" applyFill="1" applyBorder="1" applyAlignment="1">
      <alignment horizontal="center" vertical="center" wrapText="1"/>
    </xf>
    <xf numFmtId="0" fontId="70" fillId="16" borderId="78" xfId="0" applyFont="1" applyFill="1" applyBorder="1" applyAlignment="1">
      <alignment horizontal="center" vertical="center" wrapText="1"/>
    </xf>
    <xf numFmtId="0" fontId="70" fillId="16" borderId="76" xfId="0" applyFont="1" applyFill="1" applyBorder="1" applyAlignment="1">
      <alignment horizontal="center" vertical="center" wrapText="1"/>
    </xf>
    <xf numFmtId="0" fontId="71" fillId="0" borderId="80" xfId="0" applyFont="1" applyBorder="1" applyAlignment="1">
      <alignment horizontal="justify" vertical="center" wrapText="1"/>
    </xf>
    <xf numFmtId="0" fontId="71" fillId="0" borderId="78" xfId="0" applyFont="1" applyBorder="1" applyAlignment="1">
      <alignment horizontal="justify" vertical="center" wrapText="1"/>
    </xf>
    <xf numFmtId="0" fontId="71" fillId="0" borderId="76" xfId="0" applyFont="1" applyBorder="1" applyAlignment="1">
      <alignment horizontal="justify" vertical="center" wrapText="1"/>
    </xf>
    <xf numFmtId="0" fontId="70" fillId="0" borderId="69" xfId="0" applyFont="1" applyBorder="1" applyAlignment="1">
      <alignment horizontal="center" vertical="center" wrapText="1"/>
    </xf>
    <xf numFmtId="0" fontId="70" fillId="0" borderId="68" xfId="0" applyFont="1" applyBorder="1" applyAlignment="1">
      <alignment horizontal="center" vertical="center" wrapText="1"/>
    </xf>
    <xf numFmtId="0" fontId="70" fillId="0" borderId="81" xfId="0" applyFont="1" applyBorder="1" applyAlignment="1">
      <alignment horizontal="center" vertical="center" wrapText="1"/>
    </xf>
    <xf numFmtId="0" fontId="70" fillId="0" borderId="66"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59" fillId="0" borderId="0" xfId="0" applyFont="1"/>
    <xf numFmtId="0" fontId="65" fillId="13" borderId="0" xfId="0" applyFont="1" applyFill="1" applyBorder="1" applyAlignment="1">
      <alignment horizontal="center" vertical="center" wrapText="1"/>
    </xf>
    <xf numFmtId="9" fontId="93" fillId="26" borderId="84" xfId="0" applyNumberFormat="1" applyFont="1" applyFill="1" applyBorder="1" applyAlignment="1" applyProtection="1">
      <alignment horizontal="center" vertical="center" wrapText="1"/>
      <protection locked="0"/>
    </xf>
    <xf numFmtId="0" fontId="74" fillId="26" borderId="84" xfId="0" applyFont="1" applyFill="1" applyBorder="1" applyAlignment="1" applyProtection="1">
      <alignment horizontal="left" vertical="center" wrapText="1"/>
      <protection locked="0"/>
    </xf>
    <xf numFmtId="0" fontId="74" fillId="26" borderId="84" xfId="0" applyFont="1" applyFill="1" applyBorder="1" applyAlignment="1" applyProtection="1">
      <alignment horizontal="left" vertical="top" wrapText="1"/>
      <protection locked="0"/>
    </xf>
    <xf numFmtId="0" fontId="90" fillId="26" borderId="84" xfId="0" applyFont="1" applyFill="1" applyBorder="1" applyAlignment="1" applyProtection="1">
      <alignment horizontal="center" vertical="center" wrapText="1"/>
      <protection locked="0"/>
    </xf>
    <xf numFmtId="0" fontId="91" fillId="0" borderId="84" xfId="0" applyFont="1" applyFill="1" applyBorder="1" applyAlignment="1" applyProtection="1">
      <alignment horizontal="center" vertical="center" wrapText="1"/>
      <protection locked="0"/>
    </xf>
    <xf numFmtId="0" fontId="92" fillId="0" borderId="84" xfId="0" applyFont="1" applyFill="1" applyBorder="1" applyAlignment="1" applyProtection="1">
      <alignment horizontal="center" vertical="center" wrapText="1"/>
      <protection locked="0"/>
    </xf>
    <xf numFmtId="0" fontId="81" fillId="0" borderId="8" xfId="0" applyFont="1" applyBorder="1"/>
    <xf numFmtId="0" fontId="75" fillId="23" borderId="24" xfId="0" applyFont="1" applyFill="1" applyBorder="1" applyAlignment="1">
      <alignment horizontal="center" vertical="center" wrapText="1"/>
    </xf>
    <xf numFmtId="0" fontId="75" fillId="23" borderId="25" xfId="0" applyFont="1" applyFill="1" applyBorder="1" applyAlignment="1">
      <alignment horizontal="center" vertical="center" wrapText="1"/>
    </xf>
    <xf numFmtId="0" fontId="75" fillId="23" borderId="36" xfId="0" applyFont="1" applyFill="1" applyBorder="1" applyAlignment="1">
      <alignment horizontal="center" vertical="center" wrapText="1"/>
    </xf>
    <xf numFmtId="15" fontId="82" fillId="6" borderId="66" xfId="0" applyNumberFormat="1" applyFont="1" applyFill="1" applyBorder="1" applyAlignment="1">
      <alignment horizontal="center" vertical="center"/>
    </xf>
    <xf numFmtId="0" fontId="81" fillId="0" borderId="0" xfId="0" applyFont="1"/>
    <xf numFmtId="0" fontId="75" fillId="23" borderId="12" xfId="0" applyFont="1" applyFill="1" applyBorder="1" applyAlignment="1">
      <alignment horizontal="center" vertical="center" textRotation="90"/>
    </xf>
    <xf numFmtId="0" fontId="82" fillId="25" borderId="67" xfId="0" applyFont="1" applyFill="1" applyBorder="1" applyAlignment="1">
      <alignment horizontal="center" vertical="center" wrapText="1"/>
    </xf>
    <xf numFmtId="0" fontId="75" fillId="25" borderId="6" xfId="0" applyFont="1" applyFill="1" applyBorder="1" applyAlignment="1">
      <alignment horizontal="center" vertical="center" wrapText="1"/>
    </xf>
    <xf numFmtId="0" fontId="82" fillId="25" borderId="66" xfId="0" applyFont="1" applyFill="1" applyBorder="1" applyAlignment="1">
      <alignment horizontal="center" vertical="center" wrapText="1"/>
    </xf>
    <xf numFmtId="0" fontId="75" fillId="23" borderId="0" xfId="0" applyFont="1" applyFill="1" applyBorder="1" applyAlignment="1">
      <alignment horizontal="center" vertical="center" textRotation="90"/>
    </xf>
    <xf numFmtId="0" fontId="82" fillId="17" borderId="5" xfId="0" applyFont="1" applyFill="1" applyBorder="1" applyAlignment="1">
      <alignment horizontal="center" vertical="center" textRotation="90" wrapText="1"/>
    </xf>
    <xf numFmtId="0" fontId="82" fillId="17" borderId="105" xfId="0" applyFont="1" applyFill="1" applyBorder="1" applyAlignment="1">
      <alignment horizontal="center" vertical="center" textRotation="90" wrapText="1"/>
    </xf>
    <xf numFmtId="0" fontId="82" fillId="17" borderId="12" xfId="0" applyFont="1" applyFill="1" applyBorder="1" applyAlignment="1">
      <alignment horizontal="center" vertical="center" textRotation="90" wrapText="1"/>
    </xf>
    <xf numFmtId="0" fontId="82" fillId="17" borderId="25" xfId="0" applyFont="1" applyFill="1" applyBorder="1" applyAlignment="1">
      <alignment horizontal="center" vertical="center" textRotation="90" wrapText="1"/>
    </xf>
    <xf numFmtId="0" fontId="82" fillId="18" borderId="12" xfId="0" applyFont="1" applyFill="1" applyBorder="1" applyAlignment="1">
      <alignment horizontal="center" vertical="center" textRotation="90" wrapText="1"/>
    </xf>
    <xf numFmtId="0" fontId="82" fillId="18" borderId="24" xfId="0" applyFont="1" applyFill="1" applyBorder="1" applyAlignment="1">
      <alignment horizontal="center" vertical="center" textRotation="90" wrapText="1"/>
    </xf>
    <xf numFmtId="0" fontId="82" fillId="17" borderId="24" xfId="0" applyFont="1" applyFill="1" applyBorder="1" applyAlignment="1">
      <alignment horizontal="center" vertical="center" textRotation="90" wrapText="1"/>
    </xf>
    <xf numFmtId="15" fontId="82" fillId="6" borderId="68" xfId="0" applyNumberFormat="1" applyFont="1" applyFill="1" applyBorder="1" applyAlignment="1">
      <alignment horizontal="center" vertical="center"/>
    </xf>
    <xf numFmtId="0" fontId="74" fillId="3" borderId="71" xfId="0" applyFont="1" applyFill="1" applyBorder="1" applyAlignment="1">
      <alignment horizontal="justify" vertical="center" wrapText="1"/>
    </xf>
    <xf numFmtId="0" fontId="74" fillId="3" borderId="72" xfId="0" applyFont="1" applyFill="1" applyBorder="1" applyAlignment="1">
      <alignment horizontal="justify" vertical="center" wrapText="1"/>
    </xf>
    <xf numFmtId="0" fontId="74" fillId="3" borderId="73" xfId="0" applyFont="1" applyFill="1" applyBorder="1" applyAlignment="1">
      <alignment horizontal="justify" vertical="center" wrapText="1"/>
    </xf>
    <xf numFmtId="0" fontId="74" fillId="3" borderId="26" xfId="0" applyFont="1" applyFill="1" applyBorder="1" applyAlignment="1">
      <alignment horizontal="left" vertical="center" wrapText="1"/>
    </xf>
    <xf numFmtId="0" fontId="74" fillId="3" borderId="22" xfId="0" applyFont="1" applyFill="1" applyBorder="1" applyAlignment="1">
      <alignment horizontal="left" vertical="center" wrapText="1"/>
    </xf>
    <xf numFmtId="0" fontId="74" fillId="3" borderId="27" xfId="0" applyFont="1" applyFill="1" applyBorder="1" applyAlignment="1">
      <alignment horizontal="justify" vertical="center" wrapText="1"/>
    </xf>
    <xf numFmtId="0" fontId="81" fillId="3" borderId="27" xfId="0" applyFont="1" applyFill="1" applyBorder="1" applyAlignment="1">
      <alignment horizontal="center" vertical="center"/>
    </xf>
    <xf numFmtId="0" fontId="81" fillId="3" borderId="27" xfId="0" applyFont="1" applyFill="1" applyBorder="1"/>
    <xf numFmtId="0" fontId="74" fillId="3" borderId="22" xfId="0" applyFont="1" applyFill="1" applyBorder="1" applyAlignment="1">
      <alignment horizontal="justify" vertical="center" wrapText="1"/>
    </xf>
    <xf numFmtId="0" fontId="81" fillId="3" borderId="27" xfId="0" applyFont="1" applyFill="1" applyBorder="1" applyAlignment="1">
      <alignment vertical="center"/>
    </xf>
    <xf numFmtId="0" fontId="74" fillId="3" borderId="28" xfId="0" applyFont="1" applyFill="1" applyBorder="1" applyAlignment="1">
      <alignment horizontal="left" vertical="center" wrapText="1"/>
    </xf>
    <xf numFmtId="0" fontId="74" fillId="3" borderId="29" xfId="0" applyFont="1" applyFill="1" applyBorder="1" applyAlignment="1">
      <alignment horizontal="left" vertical="center" wrapText="1"/>
    </xf>
    <xf numFmtId="0" fontId="81" fillId="3" borderId="30" xfId="0" applyFont="1" applyFill="1" applyBorder="1"/>
    <xf numFmtId="0" fontId="95" fillId="0" borderId="22" xfId="0" applyFont="1" applyBorder="1" applyAlignment="1">
      <alignment horizontal="center" vertical="center"/>
    </xf>
    <xf numFmtId="0" fontId="74" fillId="28" borderId="27" xfId="0" applyFont="1" applyFill="1" applyBorder="1" applyAlignment="1">
      <alignment horizontal="justify" vertical="center" wrapText="1"/>
    </xf>
  </cellXfs>
  <cellStyles count="8">
    <cellStyle name="Moneda" xfId="5" builtinId="4"/>
    <cellStyle name="Moneda 2" xfId="7"/>
    <cellStyle name="Normal" xfId="0" builtinId="0"/>
    <cellStyle name="Normal - Style1 2" xfId="2"/>
    <cellStyle name="Normal 2" xfId="4"/>
    <cellStyle name="Normal 2 2" xfId="3"/>
    <cellStyle name="Normal 3" xfId="6"/>
    <cellStyle name="Porcentaje" xfId="1" builtinId="5"/>
  </cellStyles>
  <dxfs count="239">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s>
  <tableStyles count="0" defaultTableStyle="TableStyleMedium2" defaultPivotStyle="PivotStyleLight16"/>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32</xdr:col>
      <xdr:colOff>279178</xdr:colOff>
      <xdr:row>18</xdr:row>
      <xdr:rowOff>30162</xdr:rowOff>
    </xdr:from>
    <xdr:to>
      <xdr:col>56</xdr:col>
      <xdr:colOff>754062</xdr:colOff>
      <xdr:row>31</xdr:row>
      <xdr:rowOff>249753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40569928" y="27874912"/>
          <a:ext cx="18762884" cy="42835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lia Norato Mora" refreshedDate="44522.492354513888"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238">
      <pivotArea dataOnly="0" labelOnly="1" outline="0" fieldPosition="0">
        <references count="1">
          <reference field="0" count="1">
            <x v="1"/>
          </reference>
        </references>
      </pivotArea>
    </format>
    <format dxfId="237">
      <pivotArea dataOnly="0" labelOnly="1" outline="0" fieldPosition="0">
        <references count="2">
          <reference field="0" count="1" selected="0">
            <x v="1"/>
          </reference>
          <reference field="1" count="5">
            <x v="1"/>
            <x v="2"/>
            <x v="3"/>
            <x v="4"/>
            <x v="5"/>
          </reference>
        </references>
      </pivotArea>
    </format>
    <format dxfId="236">
      <pivotArea dataOnly="0" labelOnly="1" outline="0" fieldPosition="0">
        <references count="2">
          <reference field="0" count="1" selected="0">
            <x v="1"/>
          </reference>
          <reference field="1" count="5">
            <x v="1"/>
            <x v="2"/>
            <x v="3"/>
            <x v="4"/>
            <x v="5"/>
          </reference>
        </references>
      </pivotArea>
    </format>
    <format dxfId="235">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10:C220" totalsRowShown="0" headerRowDxfId="234" dataDxfId="233">
  <autoFilter ref="B210:C220"/>
  <tableColumns count="2">
    <tableColumn id="1" name="Criterios" dataDxfId="232"/>
    <tableColumn id="2" name="Subcriterios" dataDxfId="23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6"/>
  <sheetViews>
    <sheetView zoomScale="110" zoomScaleNormal="110" workbookViewId="0">
      <selection activeCell="E306" sqref="E30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38" t="s">
        <v>0</v>
      </c>
      <c r="C2" s="239"/>
      <c r="D2" s="239"/>
      <c r="E2" s="239"/>
      <c r="F2" s="239"/>
      <c r="G2" s="239"/>
      <c r="H2" s="240"/>
    </row>
    <row r="3" spans="2:8" x14ac:dyDescent="0.25">
      <c r="B3" s="67"/>
      <c r="C3" s="68"/>
      <c r="D3" s="68"/>
      <c r="E3" s="68"/>
      <c r="F3" s="68"/>
      <c r="G3" s="68"/>
      <c r="H3" s="69"/>
    </row>
    <row r="4" spans="2:8" ht="63" customHeight="1" x14ac:dyDescent="0.25">
      <c r="B4" s="241" t="s">
        <v>1</v>
      </c>
      <c r="C4" s="242"/>
      <c r="D4" s="242"/>
      <c r="E4" s="242"/>
      <c r="F4" s="242"/>
      <c r="G4" s="242"/>
      <c r="H4" s="243"/>
    </row>
    <row r="5" spans="2:8" ht="63" customHeight="1" x14ac:dyDescent="0.25">
      <c r="B5" s="244"/>
      <c r="C5" s="245"/>
      <c r="D5" s="245"/>
      <c r="E5" s="245"/>
      <c r="F5" s="245"/>
      <c r="G5" s="245"/>
      <c r="H5" s="246"/>
    </row>
    <row r="6" spans="2:8" ht="16.5" x14ac:dyDescent="0.25">
      <c r="B6" s="247" t="s">
        <v>2</v>
      </c>
      <c r="C6" s="248"/>
      <c r="D6" s="248"/>
      <c r="E6" s="248"/>
      <c r="F6" s="248"/>
      <c r="G6" s="248"/>
      <c r="H6" s="249"/>
    </row>
    <row r="7" spans="2:8" ht="95.25" customHeight="1" x14ac:dyDescent="0.25">
      <c r="B7" s="257" t="s">
        <v>3</v>
      </c>
      <c r="C7" s="258"/>
      <c r="D7" s="258"/>
      <c r="E7" s="258"/>
      <c r="F7" s="258"/>
      <c r="G7" s="258"/>
      <c r="H7" s="259"/>
    </row>
    <row r="8" spans="2:8" ht="16.5" x14ac:dyDescent="0.25">
      <c r="B8" s="101"/>
      <c r="C8" s="102"/>
      <c r="D8" s="102"/>
      <c r="E8" s="102"/>
      <c r="F8" s="102"/>
      <c r="G8" s="102"/>
      <c r="H8" s="103"/>
    </row>
    <row r="9" spans="2:8" ht="16.5" customHeight="1" x14ac:dyDescent="0.25">
      <c r="B9" s="250" t="s">
        <v>4</v>
      </c>
      <c r="C9" s="251"/>
      <c r="D9" s="251"/>
      <c r="E9" s="251"/>
      <c r="F9" s="251"/>
      <c r="G9" s="251"/>
      <c r="H9" s="252"/>
    </row>
    <row r="10" spans="2:8" ht="44.25" customHeight="1" x14ac:dyDescent="0.25">
      <c r="B10" s="250"/>
      <c r="C10" s="251"/>
      <c r="D10" s="251"/>
      <c r="E10" s="251"/>
      <c r="F10" s="251"/>
      <c r="G10" s="251"/>
      <c r="H10" s="252"/>
    </row>
    <row r="11" spans="2:8" ht="15.75" thickBot="1" x14ac:dyDescent="0.3">
      <c r="B11" s="90"/>
      <c r="C11" s="93"/>
      <c r="D11" s="98"/>
      <c r="E11" s="99"/>
      <c r="F11" s="99"/>
      <c r="G11" s="100"/>
      <c r="H11" s="94"/>
    </row>
    <row r="12" spans="2:8" ht="15.75" thickTop="1" x14ac:dyDescent="0.25">
      <c r="B12" s="90"/>
      <c r="C12" s="253" t="s">
        <v>5</v>
      </c>
      <c r="D12" s="254"/>
      <c r="E12" s="255" t="s">
        <v>6</v>
      </c>
      <c r="F12" s="256"/>
      <c r="G12" s="93"/>
      <c r="H12" s="94"/>
    </row>
    <row r="13" spans="2:8" ht="35.25" customHeight="1" x14ac:dyDescent="0.25">
      <c r="B13" s="90"/>
      <c r="C13" s="225" t="s">
        <v>7</v>
      </c>
      <c r="D13" s="226"/>
      <c r="E13" s="227" t="s">
        <v>8</v>
      </c>
      <c r="F13" s="228"/>
      <c r="G13" s="93"/>
      <c r="H13" s="94"/>
    </row>
    <row r="14" spans="2:8" ht="17.25" customHeight="1" x14ac:dyDescent="0.25">
      <c r="B14" s="90"/>
      <c r="C14" s="225" t="s">
        <v>9</v>
      </c>
      <c r="D14" s="226"/>
      <c r="E14" s="227" t="s">
        <v>10</v>
      </c>
      <c r="F14" s="228"/>
      <c r="G14" s="93"/>
      <c r="H14" s="94"/>
    </row>
    <row r="15" spans="2:8" ht="19.5" customHeight="1" x14ac:dyDescent="0.25">
      <c r="B15" s="90"/>
      <c r="C15" s="225" t="s">
        <v>11</v>
      </c>
      <c r="D15" s="226"/>
      <c r="E15" s="227" t="s">
        <v>12</v>
      </c>
      <c r="F15" s="228"/>
      <c r="G15" s="93"/>
      <c r="H15" s="94"/>
    </row>
    <row r="16" spans="2:8" ht="69.75" customHeight="1" x14ac:dyDescent="0.25">
      <c r="B16" s="90"/>
      <c r="C16" s="225" t="s">
        <v>13</v>
      </c>
      <c r="D16" s="226"/>
      <c r="E16" s="227" t="s">
        <v>14</v>
      </c>
      <c r="F16" s="228"/>
      <c r="G16" s="93"/>
      <c r="H16" s="94"/>
    </row>
    <row r="17" spans="2:8" ht="34.5" customHeight="1" x14ac:dyDescent="0.25">
      <c r="B17" s="90"/>
      <c r="C17" s="229" t="s">
        <v>15</v>
      </c>
      <c r="D17" s="230"/>
      <c r="E17" s="221" t="s">
        <v>16</v>
      </c>
      <c r="F17" s="222"/>
      <c r="G17" s="93"/>
      <c r="H17" s="94"/>
    </row>
    <row r="18" spans="2:8" ht="27.75" customHeight="1" x14ac:dyDescent="0.25">
      <c r="B18" s="90"/>
      <c r="C18" s="229" t="s">
        <v>17</v>
      </c>
      <c r="D18" s="230"/>
      <c r="E18" s="221" t="s">
        <v>18</v>
      </c>
      <c r="F18" s="222"/>
      <c r="G18" s="93"/>
      <c r="H18" s="94"/>
    </row>
    <row r="19" spans="2:8" ht="28.5" customHeight="1" x14ac:dyDescent="0.25">
      <c r="B19" s="90"/>
      <c r="C19" s="229" t="s">
        <v>19</v>
      </c>
      <c r="D19" s="230"/>
      <c r="E19" s="221" t="s">
        <v>20</v>
      </c>
      <c r="F19" s="222"/>
      <c r="G19" s="93"/>
      <c r="H19" s="94"/>
    </row>
    <row r="20" spans="2:8" ht="72.75" customHeight="1" x14ac:dyDescent="0.25">
      <c r="B20" s="90"/>
      <c r="C20" s="229" t="s">
        <v>21</v>
      </c>
      <c r="D20" s="230"/>
      <c r="E20" s="221" t="s">
        <v>22</v>
      </c>
      <c r="F20" s="222"/>
      <c r="G20" s="93"/>
      <c r="H20" s="94"/>
    </row>
    <row r="21" spans="2:8" ht="64.5" customHeight="1" x14ac:dyDescent="0.25">
      <c r="B21" s="90"/>
      <c r="C21" s="229" t="s">
        <v>23</v>
      </c>
      <c r="D21" s="230"/>
      <c r="E21" s="221" t="s">
        <v>24</v>
      </c>
      <c r="F21" s="222"/>
      <c r="G21" s="93"/>
      <c r="H21" s="94"/>
    </row>
    <row r="22" spans="2:8" ht="71.25" customHeight="1" x14ac:dyDescent="0.25">
      <c r="B22" s="90"/>
      <c r="C22" s="229" t="s">
        <v>25</v>
      </c>
      <c r="D22" s="230"/>
      <c r="E22" s="221" t="s">
        <v>26</v>
      </c>
      <c r="F22" s="222"/>
      <c r="G22" s="93"/>
      <c r="H22" s="94"/>
    </row>
    <row r="23" spans="2:8" ht="55.5" customHeight="1" x14ac:dyDescent="0.25">
      <c r="B23" s="90"/>
      <c r="C23" s="223" t="s">
        <v>27</v>
      </c>
      <c r="D23" s="224"/>
      <c r="E23" s="221" t="s">
        <v>28</v>
      </c>
      <c r="F23" s="222"/>
      <c r="G23" s="93"/>
      <c r="H23" s="94"/>
    </row>
    <row r="24" spans="2:8" ht="42" customHeight="1" x14ac:dyDescent="0.25">
      <c r="B24" s="90"/>
      <c r="C24" s="223" t="s">
        <v>29</v>
      </c>
      <c r="D24" s="224"/>
      <c r="E24" s="221" t="s">
        <v>30</v>
      </c>
      <c r="F24" s="222"/>
      <c r="G24" s="93"/>
      <c r="H24" s="94"/>
    </row>
    <row r="25" spans="2:8" ht="59.25" customHeight="1" x14ac:dyDescent="0.25">
      <c r="B25" s="90"/>
      <c r="C25" s="223" t="s">
        <v>31</v>
      </c>
      <c r="D25" s="224"/>
      <c r="E25" s="221" t="s">
        <v>32</v>
      </c>
      <c r="F25" s="222"/>
      <c r="G25" s="93"/>
      <c r="H25" s="94"/>
    </row>
    <row r="26" spans="2:8" ht="23.25" customHeight="1" x14ac:dyDescent="0.25">
      <c r="B26" s="90"/>
      <c r="C26" s="223" t="s">
        <v>33</v>
      </c>
      <c r="D26" s="224"/>
      <c r="E26" s="221" t="s">
        <v>34</v>
      </c>
      <c r="F26" s="222"/>
      <c r="G26" s="93"/>
      <c r="H26" s="94"/>
    </row>
    <row r="27" spans="2:8" ht="30.75" customHeight="1" x14ac:dyDescent="0.25">
      <c r="B27" s="90"/>
      <c r="C27" s="223" t="s">
        <v>35</v>
      </c>
      <c r="D27" s="224"/>
      <c r="E27" s="221" t="s">
        <v>36</v>
      </c>
      <c r="F27" s="222"/>
      <c r="G27" s="93"/>
      <c r="H27" s="94"/>
    </row>
    <row r="28" spans="2:8" ht="35.25" customHeight="1" x14ac:dyDescent="0.25">
      <c r="B28" s="90"/>
      <c r="C28" s="223" t="s">
        <v>37</v>
      </c>
      <c r="D28" s="224"/>
      <c r="E28" s="221" t="s">
        <v>38</v>
      </c>
      <c r="F28" s="222"/>
      <c r="G28" s="93"/>
      <c r="H28" s="94"/>
    </row>
    <row r="29" spans="2:8" ht="33" customHeight="1" x14ac:dyDescent="0.25">
      <c r="B29" s="90"/>
      <c r="C29" s="223" t="s">
        <v>37</v>
      </c>
      <c r="D29" s="224"/>
      <c r="E29" s="221" t="s">
        <v>38</v>
      </c>
      <c r="F29" s="222"/>
      <c r="G29" s="93"/>
      <c r="H29" s="94"/>
    </row>
    <row r="30" spans="2:8" ht="30" customHeight="1" x14ac:dyDescent="0.25">
      <c r="B30" s="90"/>
      <c r="C30" s="223" t="s">
        <v>39</v>
      </c>
      <c r="D30" s="224"/>
      <c r="E30" s="221" t="s">
        <v>40</v>
      </c>
      <c r="F30" s="222"/>
      <c r="G30" s="93"/>
      <c r="H30" s="94"/>
    </row>
    <row r="31" spans="2:8" ht="35.25" customHeight="1" x14ac:dyDescent="0.25">
      <c r="B31" s="90"/>
      <c r="C31" s="223" t="s">
        <v>41</v>
      </c>
      <c r="D31" s="224"/>
      <c r="E31" s="221" t="s">
        <v>42</v>
      </c>
      <c r="F31" s="222"/>
      <c r="G31" s="93"/>
      <c r="H31" s="94"/>
    </row>
    <row r="32" spans="2:8" ht="31.5" customHeight="1" x14ac:dyDescent="0.25">
      <c r="B32" s="90"/>
      <c r="C32" s="223" t="s">
        <v>43</v>
      </c>
      <c r="D32" s="224"/>
      <c r="E32" s="221" t="s">
        <v>44</v>
      </c>
      <c r="F32" s="222"/>
      <c r="G32" s="93"/>
      <c r="H32" s="94"/>
    </row>
    <row r="33" spans="2:8" ht="35.25" customHeight="1" x14ac:dyDescent="0.25">
      <c r="B33" s="90"/>
      <c r="C33" s="223" t="s">
        <v>45</v>
      </c>
      <c r="D33" s="224"/>
      <c r="E33" s="221" t="s">
        <v>46</v>
      </c>
      <c r="F33" s="222"/>
      <c r="G33" s="93"/>
      <c r="H33" s="94"/>
    </row>
    <row r="34" spans="2:8" ht="59.25" customHeight="1" x14ac:dyDescent="0.25">
      <c r="B34" s="90"/>
      <c r="C34" s="223" t="s">
        <v>47</v>
      </c>
      <c r="D34" s="224"/>
      <c r="E34" s="221" t="s">
        <v>48</v>
      </c>
      <c r="F34" s="222"/>
      <c r="G34" s="93"/>
      <c r="H34" s="94"/>
    </row>
    <row r="35" spans="2:8" ht="29.25" customHeight="1" x14ac:dyDescent="0.25">
      <c r="B35" s="90"/>
      <c r="C35" s="223" t="s">
        <v>49</v>
      </c>
      <c r="D35" s="224"/>
      <c r="E35" s="221" t="s">
        <v>50</v>
      </c>
      <c r="F35" s="222"/>
      <c r="G35" s="93"/>
      <c r="H35" s="94"/>
    </row>
    <row r="36" spans="2:8" ht="82.5" customHeight="1" x14ac:dyDescent="0.25">
      <c r="B36" s="90"/>
      <c r="C36" s="223" t="s">
        <v>51</v>
      </c>
      <c r="D36" s="224"/>
      <c r="E36" s="221" t="s">
        <v>52</v>
      </c>
      <c r="F36" s="222"/>
      <c r="G36" s="93"/>
      <c r="H36" s="94"/>
    </row>
    <row r="37" spans="2:8" ht="46.5" customHeight="1" x14ac:dyDescent="0.25">
      <c r="B37" s="90"/>
      <c r="C37" s="223" t="s">
        <v>53</v>
      </c>
      <c r="D37" s="224"/>
      <c r="E37" s="221" t="s">
        <v>54</v>
      </c>
      <c r="F37" s="222"/>
      <c r="G37" s="93"/>
      <c r="H37" s="94"/>
    </row>
    <row r="38" spans="2:8" ht="6.75" customHeight="1" thickBot="1" x14ac:dyDescent="0.3">
      <c r="B38" s="90"/>
      <c r="C38" s="234"/>
      <c r="D38" s="235"/>
      <c r="E38" s="236"/>
      <c r="F38" s="237"/>
      <c r="G38" s="93"/>
      <c r="H38" s="94"/>
    </row>
    <row r="39" spans="2:8" ht="15.75" thickTop="1" x14ac:dyDescent="0.25">
      <c r="B39" s="90"/>
      <c r="C39" s="91"/>
      <c r="D39" s="91"/>
      <c r="E39" s="92"/>
      <c r="F39" s="92"/>
      <c r="G39" s="93"/>
      <c r="H39" s="94"/>
    </row>
    <row r="40" spans="2:8" ht="21" customHeight="1" x14ac:dyDescent="0.25">
      <c r="B40" s="231" t="s">
        <v>55</v>
      </c>
      <c r="C40" s="232"/>
      <c r="D40" s="232"/>
      <c r="E40" s="232"/>
      <c r="F40" s="232"/>
      <c r="G40" s="232"/>
      <c r="H40" s="233"/>
    </row>
    <row r="41" spans="2:8" ht="20.25" customHeight="1" x14ac:dyDescent="0.25">
      <c r="B41" s="231" t="s">
        <v>56</v>
      </c>
      <c r="C41" s="232"/>
      <c r="D41" s="232"/>
      <c r="E41" s="232"/>
      <c r="F41" s="232"/>
      <c r="G41" s="232"/>
      <c r="H41" s="233"/>
    </row>
    <row r="42" spans="2:8" ht="20.25" customHeight="1" x14ac:dyDescent="0.25">
      <c r="B42" s="231" t="s">
        <v>57</v>
      </c>
      <c r="C42" s="232"/>
      <c r="D42" s="232"/>
      <c r="E42" s="232"/>
      <c r="F42" s="232"/>
      <c r="G42" s="232"/>
      <c r="H42" s="233"/>
    </row>
    <row r="43" spans="2:8" ht="20.25" customHeight="1" x14ac:dyDescent="0.25">
      <c r="B43" s="231" t="s">
        <v>58</v>
      </c>
      <c r="C43" s="232"/>
      <c r="D43" s="232"/>
      <c r="E43" s="232"/>
      <c r="F43" s="232"/>
      <c r="G43" s="232"/>
      <c r="H43" s="233"/>
    </row>
    <row r="44" spans="2:8" x14ac:dyDescent="0.25">
      <c r="B44" s="231" t="s">
        <v>59</v>
      </c>
      <c r="C44" s="232"/>
      <c r="D44" s="232"/>
      <c r="E44" s="232"/>
      <c r="F44" s="232"/>
      <c r="G44" s="232"/>
      <c r="H44" s="233"/>
    </row>
    <row r="45" spans="2:8" ht="15.75" thickBot="1" x14ac:dyDescent="0.3">
      <c r="B45" s="95"/>
      <c r="C45" s="96"/>
      <c r="D45" s="96"/>
      <c r="E45" s="96"/>
      <c r="F45" s="96"/>
      <c r="G45" s="96"/>
      <c r="H45" s="97"/>
    </row>
    <row r="300" spans="3:3" ht="31.5" x14ac:dyDescent="0.25">
      <c r="C300" s="141" t="s">
        <v>60</v>
      </c>
    </row>
    <row r="301" spans="3:3" ht="47.25" x14ac:dyDescent="0.25">
      <c r="C301" s="141" t="s">
        <v>61</v>
      </c>
    </row>
    <row r="302" spans="3:3" ht="31.5" x14ac:dyDescent="0.25">
      <c r="C302" s="142" t="s">
        <v>62</v>
      </c>
    </row>
    <row r="303" spans="3:3" ht="31.5" x14ac:dyDescent="0.25">
      <c r="C303" s="141" t="s">
        <v>63</v>
      </c>
    </row>
    <row r="304" spans="3:3" ht="47.25" x14ac:dyDescent="0.25">
      <c r="C304" s="141" t="s">
        <v>380</v>
      </c>
    </row>
    <row r="305" spans="3:3" ht="31.5" x14ac:dyDescent="0.25">
      <c r="C305" s="141" t="s">
        <v>64</v>
      </c>
    </row>
    <row r="306" spans="3:3" ht="47.25" x14ac:dyDescent="0.25">
      <c r="C306" s="142" t="s">
        <v>65</v>
      </c>
    </row>
    <row r="307" spans="3:3" ht="31.5" x14ac:dyDescent="0.25">
      <c r="C307" s="141" t="s">
        <v>66</v>
      </c>
    </row>
    <row r="308" spans="3:3" ht="15.75" x14ac:dyDescent="0.25">
      <c r="C308" s="141" t="s">
        <v>67</v>
      </c>
    </row>
    <row r="309" spans="3:3" ht="15.75" x14ac:dyDescent="0.25">
      <c r="C309" s="141" t="s">
        <v>68</v>
      </c>
    </row>
    <row r="310" spans="3:3" ht="31.5" x14ac:dyDescent="0.25">
      <c r="C310" s="141" t="s">
        <v>69</v>
      </c>
    </row>
    <row r="311" spans="3:3" ht="31.5" x14ac:dyDescent="0.25">
      <c r="C311" s="141" t="s">
        <v>70</v>
      </c>
    </row>
    <row r="312" spans="3:3" ht="15.75" x14ac:dyDescent="0.25">
      <c r="C312" s="141" t="s">
        <v>71</v>
      </c>
    </row>
    <row r="313" spans="3:3" ht="15.75" x14ac:dyDescent="0.25">
      <c r="C313" s="141" t="s">
        <v>72</v>
      </c>
    </row>
    <row r="314" spans="3:3" ht="15.75" x14ac:dyDescent="0.25">
      <c r="C314" s="141" t="s">
        <v>73</v>
      </c>
    </row>
    <row r="315" spans="3:3" ht="31.5" x14ac:dyDescent="0.25">
      <c r="C315" s="141" t="s">
        <v>74</v>
      </c>
    </row>
    <row r="316" spans="3:3" ht="31.5" x14ac:dyDescent="0.25">
      <c r="C316" s="141" t="s">
        <v>75</v>
      </c>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47" t="s">
        <v>274</v>
      </c>
    </row>
    <row r="2" spans="3:6" ht="15.75" thickBot="1" x14ac:dyDescent="0.3">
      <c r="C2" s="144" t="s">
        <v>275</v>
      </c>
      <c r="E2" s="148" t="s">
        <v>276</v>
      </c>
      <c r="F2" s="149" t="s">
        <v>277</v>
      </c>
    </row>
    <row r="3" spans="3:6" ht="15.75" thickBot="1" x14ac:dyDescent="0.3">
      <c r="C3" s="145" t="s">
        <v>278</v>
      </c>
      <c r="E3" s="508" t="s">
        <v>279</v>
      </c>
      <c r="F3" s="140" t="s">
        <v>280</v>
      </c>
    </row>
    <row r="4" spans="3:6" ht="15.75" thickBot="1" x14ac:dyDescent="0.3">
      <c r="C4" s="145" t="s">
        <v>152</v>
      </c>
      <c r="E4" s="506"/>
      <c r="F4" s="140" t="s">
        <v>281</v>
      </c>
    </row>
    <row r="5" spans="3:6" ht="15.75" thickBot="1" x14ac:dyDescent="0.3">
      <c r="C5" s="145" t="s">
        <v>282</v>
      </c>
      <c r="E5" s="506"/>
      <c r="F5" s="140" t="s">
        <v>283</v>
      </c>
    </row>
    <row r="6" spans="3:6" ht="15.75" thickBot="1" x14ac:dyDescent="0.3">
      <c r="C6" s="145" t="s">
        <v>284</v>
      </c>
      <c r="E6" s="506"/>
      <c r="F6" s="140" t="s">
        <v>285</v>
      </c>
    </row>
    <row r="7" spans="3:6" ht="15.75" thickBot="1" x14ac:dyDescent="0.3">
      <c r="C7" s="146" t="s">
        <v>286</v>
      </c>
      <c r="E7" s="506"/>
      <c r="F7" s="140" t="s">
        <v>287</v>
      </c>
    </row>
    <row r="8" spans="3:6" ht="15.75" thickBot="1" x14ac:dyDescent="0.3">
      <c r="C8" s="145" t="s">
        <v>288</v>
      </c>
      <c r="E8" s="507"/>
      <c r="F8" s="140" t="s">
        <v>289</v>
      </c>
    </row>
    <row r="9" spans="3:6" ht="15.75" thickBot="1" x14ac:dyDescent="0.3">
      <c r="C9" s="145" t="s">
        <v>290</v>
      </c>
      <c r="E9" s="505" t="s">
        <v>291</v>
      </c>
      <c r="F9" s="140" t="s">
        <v>292</v>
      </c>
    </row>
    <row r="10" spans="3:6" ht="15.75" thickBot="1" x14ac:dyDescent="0.3">
      <c r="C10" s="145" t="s">
        <v>293</v>
      </c>
      <c r="E10" s="506"/>
      <c r="F10" s="140" t="s">
        <v>294</v>
      </c>
    </row>
    <row r="11" spans="3:6" ht="15.75" thickBot="1" x14ac:dyDescent="0.3">
      <c r="E11" s="506"/>
      <c r="F11" s="140" t="s">
        <v>295</v>
      </c>
    </row>
    <row r="12" spans="3:6" ht="15.75" thickBot="1" x14ac:dyDescent="0.3">
      <c r="E12" s="506"/>
      <c r="F12" s="140" t="s">
        <v>296</v>
      </c>
    </row>
    <row r="13" spans="3:6" ht="15.75" thickBot="1" x14ac:dyDescent="0.3">
      <c r="E13" s="507"/>
      <c r="F13" s="140" t="s">
        <v>297</v>
      </c>
    </row>
    <row r="14" spans="3:6" ht="24.75" thickBot="1" x14ac:dyDescent="0.3">
      <c r="E14" s="505" t="s">
        <v>298</v>
      </c>
      <c r="F14" s="140" t="s">
        <v>299</v>
      </c>
    </row>
    <row r="15" spans="3:6" ht="15.75" thickBot="1" x14ac:dyDescent="0.3">
      <c r="E15" s="506"/>
      <c r="F15" s="140" t="s">
        <v>300</v>
      </c>
    </row>
    <row r="16" spans="3:6" ht="15.75" thickBot="1" x14ac:dyDescent="0.3">
      <c r="E16" s="507"/>
      <c r="F16" s="140" t="s">
        <v>301</v>
      </c>
    </row>
    <row r="17" spans="5:6" ht="15.75" thickBot="1" x14ac:dyDescent="0.3">
      <c r="E17" s="505" t="s">
        <v>302</v>
      </c>
      <c r="F17" s="140" t="s">
        <v>303</v>
      </c>
    </row>
    <row r="18" spans="5:6" ht="15.75" thickBot="1" x14ac:dyDescent="0.3">
      <c r="E18" s="506"/>
      <c r="F18" s="140" t="s">
        <v>304</v>
      </c>
    </row>
    <row r="19" spans="5:6" ht="15.75" thickBot="1" x14ac:dyDescent="0.3">
      <c r="E19" s="507"/>
      <c r="F19" s="140" t="s">
        <v>305</v>
      </c>
    </row>
    <row r="20" spans="5:6" ht="24.75" thickBot="1" x14ac:dyDescent="0.3">
      <c r="E20" s="505" t="s">
        <v>306</v>
      </c>
      <c r="F20" s="140" t="s">
        <v>307</v>
      </c>
    </row>
    <row r="21" spans="5:6" ht="15.75" thickBot="1" x14ac:dyDescent="0.3">
      <c r="E21" s="506"/>
      <c r="F21" s="140" t="s">
        <v>308</v>
      </c>
    </row>
    <row r="22" spans="5:6" ht="15.75" thickBot="1" x14ac:dyDescent="0.3">
      <c r="E22" s="506"/>
      <c r="F22" s="140" t="s">
        <v>309</v>
      </c>
    </row>
    <row r="23" spans="5:6" ht="15.75" thickBot="1" x14ac:dyDescent="0.3">
      <c r="E23" s="506"/>
      <c r="F23" s="140" t="s">
        <v>310</v>
      </c>
    </row>
    <row r="24" spans="5:6" ht="15.75" thickBot="1" x14ac:dyDescent="0.3">
      <c r="E24" s="506"/>
      <c r="F24" s="140" t="s">
        <v>311</v>
      </c>
    </row>
    <row r="25" spans="5:6" ht="24.75" thickBot="1" x14ac:dyDescent="0.3">
      <c r="E25" s="506"/>
      <c r="F25" s="140" t="s">
        <v>312</v>
      </c>
    </row>
    <row r="26" spans="5:6" ht="15.75" thickBot="1" x14ac:dyDescent="0.3">
      <c r="E26" s="506"/>
      <c r="F26" s="140" t="s">
        <v>313</v>
      </c>
    </row>
    <row r="27" spans="5:6" ht="24.75" thickBot="1" x14ac:dyDescent="0.3">
      <c r="E27" s="506"/>
      <c r="F27" s="140" t="s">
        <v>314</v>
      </c>
    </row>
    <row r="28" spans="5:6" ht="15.75" thickBot="1" x14ac:dyDescent="0.3">
      <c r="E28" s="506"/>
      <c r="F28" s="140" t="s">
        <v>315</v>
      </c>
    </row>
    <row r="29" spans="5:6" ht="15.75" thickBot="1" x14ac:dyDescent="0.3">
      <c r="E29" s="506"/>
      <c r="F29" s="140" t="s">
        <v>316</v>
      </c>
    </row>
    <row r="30" spans="5:6" ht="15.75" thickBot="1" x14ac:dyDescent="0.3">
      <c r="E30" s="507"/>
      <c r="F30" s="140" t="s">
        <v>317</v>
      </c>
    </row>
    <row r="31" spans="5:6" ht="15.75" thickBot="1" x14ac:dyDescent="0.3">
      <c r="E31" s="505" t="s">
        <v>156</v>
      </c>
      <c r="F31" s="140" t="s">
        <v>318</v>
      </c>
    </row>
    <row r="32" spans="5:6" ht="15.75" thickBot="1" x14ac:dyDescent="0.3">
      <c r="E32" s="506"/>
      <c r="F32" s="140" t="s">
        <v>319</v>
      </c>
    </row>
    <row r="33" spans="5:6" ht="15.75" thickBot="1" x14ac:dyDescent="0.3">
      <c r="E33" s="506"/>
      <c r="F33" s="140" t="s">
        <v>320</v>
      </c>
    </row>
    <row r="34" spans="5:6" ht="15.75" thickBot="1" x14ac:dyDescent="0.3">
      <c r="E34" s="506"/>
      <c r="F34" s="140" t="s">
        <v>321</v>
      </c>
    </row>
    <row r="35" spans="5:6" ht="24.75" thickBot="1" x14ac:dyDescent="0.3">
      <c r="E35" s="507"/>
      <c r="F35" s="140" t="s">
        <v>322</v>
      </c>
    </row>
    <row r="36" spans="5:6" ht="15.75" thickBot="1" x14ac:dyDescent="0.3">
      <c r="E36" s="505" t="s">
        <v>153</v>
      </c>
      <c r="F36" s="140" t="s">
        <v>154</v>
      </c>
    </row>
    <row r="37" spans="5:6" ht="15.75" thickBot="1" x14ac:dyDescent="0.3">
      <c r="E37" s="506"/>
      <c r="F37" s="140" t="s">
        <v>323</v>
      </c>
    </row>
    <row r="38" spans="5:6" ht="15.75" thickBot="1" x14ac:dyDescent="0.3">
      <c r="E38" s="506"/>
      <c r="F38" s="140" t="s">
        <v>324</v>
      </c>
    </row>
    <row r="39" spans="5:6" ht="15.75" thickBot="1" x14ac:dyDescent="0.3">
      <c r="E39" s="506"/>
      <c r="F39" s="140" t="s">
        <v>325</v>
      </c>
    </row>
    <row r="40" spans="5:6" ht="15.75" thickBot="1" x14ac:dyDescent="0.3">
      <c r="E40" s="507"/>
      <c r="F40" s="140" t="s">
        <v>326</v>
      </c>
    </row>
    <row r="41" spans="5:6" ht="15.75" thickBot="1" x14ac:dyDescent="0.3">
      <c r="E41" s="505" t="s">
        <v>327</v>
      </c>
      <c r="F41" s="140" t="s">
        <v>328</v>
      </c>
    </row>
    <row r="42" spans="5:6" ht="15.75" thickBot="1" x14ac:dyDescent="0.3">
      <c r="E42" s="506"/>
      <c r="F42" s="140" t="s">
        <v>329</v>
      </c>
    </row>
    <row r="43" spans="5:6" ht="15.75" thickBot="1" x14ac:dyDescent="0.3">
      <c r="E43" s="506"/>
      <c r="F43" s="140" t="s">
        <v>330</v>
      </c>
    </row>
    <row r="44" spans="5:6" ht="15.75" thickBot="1" x14ac:dyDescent="0.3">
      <c r="E44" s="506"/>
      <c r="F44" s="140" t="s">
        <v>331</v>
      </c>
    </row>
    <row r="45" spans="5:6" ht="24.75" thickBot="1" x14ac:dyDescent="0.3">
      <c r="E45" s="507"/>
      <c r="F45" s="140" t="s">
        <v>332</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09" t="s">
        <v>333</v>
      </c>
      <c r="C1" s="510"/>
      <c r="D1" s="510"/>
      <c r="E1" s="510"/>
      <c r="F1" s="511"/>
    </row>
    <row r="2" spans="2:6" ht="16.5" thickBot="1" x14ac:dyDescent="0.3">
      <c r="B2" s="72"/>
      <c r="C2" s="72"/>
      <c r="D2" s="72"/>
      <c r="E2" s="72"/>
      <c r="F2" s="72"/>
    </row>
    <row r="3" spans="2:6" ht="16.5" thickBot="1" x14ac:dyDescent="0.25">
      <c r="B3" s="513" t="s">
        <v>334</v>
      </c>
      <c r="C3" s="514"/>
      <c r="D3" s="514"/>
      <c r="E3" s="84" t="s">
        <v>335</v>
      </c>
      <c r="F3" s="85" t="s">
        <v>336</v>
      </c>
    </row>
    <row r="4" spans="2:6" ht="31.5" x14ac:dyDescent="0.2">
      <c r="B4" s="515" t="s">
        <v>337</v>
      </c>
      <c r="C4" s="517" t="s">
        <v>130</v>
      </c>
      <c r="D4" s="73" t="s">
        <v>140</v>
      </c>
      <c r="E4" s="74" t="s">
        <v>338</v>
      </c>
      <c r="F4" s="75">
        <v>0.25</v>
      </c>
    </row>
    <row r="5" spans="2:6" ht="47.25" x14ac:dyDescent="0.2">
      <c r="B5" s="516"/>
      <c r="C5" s="518"/>
      <c r="D5" s="76" t="s">
        <v>142</v>
      </c>
      <c r="E5" s="77" t="s">
        <v>339</v>
      </c>
      <c r="F5" s="78">
        <v>0.15</v>
      </c>
    </row>
    <row r="6" spans="2:6" ht="47.25" x14ac:dyDescent="0.2">
      <c r="B6" s="516"/>
      <c r="C6" s="518"/>
      <c r="D6" s="76" t="s">
        <v>340</v>
      </c>
      <c r="E6" s="77" t="s">
        <v>341</v>
      </c>
      <c r="F6" s="78">
        <v>0.1</v>
      </c>
    </row>
    <row r="7" spans="2:6" ht="63" x14ac:dyDescent="0.2">
      <c r="B7" s="516"/>
      <c r="C7" s="518" t="s">
        <v>131</v>
      </c>
      <c r="D7" s="76" t="s">
        <v>342</v>
      </c>
      <c r="E7" s="77" t="s">
        <v>343</v>
      </c>
      <c r="F7" s="78">
        <v>0.25</v>
      </c>
    </row>
    <row r="8" spans="2:6" ht="31.5" x14ac:dyDescent="0.2">
      <c r="B8" s="516"/>
      <c r="C8" s="518"/>
      <c r="D8" s="76" t="s">
        <v>141</v>
      </c>
      <c r="E8" s="77" t="s">
        <v>344</v>
      </c>
      <c r="F8" s="78">
        <v>0.15</v>
      </c>
    </row>
    <row r="9" spans="2:6" ht="47.25" x14ac:dyDescent="0.2">
      <c r="B9" s="516" t="s">
        <v>345</v>
      </c>
      <c r="C9" s="518" t="s">
        <v>133</v>
      </c>
      <c r="D9" s="76" t="s">
        <v>144</v>
      </c>
      <c r="E9" s="77" t="s">
        <v>346</v>
      </c>
      <c r="F9" s="79" t="s">
        <v>347</v>
      </c>
    </row>
    <row r="10" spans="2:6" ht="63" x14ac:dyDescent="0.2">
      <c r="B10" s="516"/>
      <c r="C10" s="518"/>
      <c r="D10" s="76" t="s">
        <v>348</v>
      </c>
      <c r="E10" s="77" t="s">
        <v>349</v>
      </c>
      <c r="F10" s="79" t="s">
        <v>347</v>
      </c>
    </row>
    <row r="11" spans="2:6" ht="47.25" x14ac:dyDescent="0.2">
      <c r="B11" s="516"/>
      <c r="C11" s="518" t="s">
        <v>134</v>
      </c>
      <c r="D11" s="76" t="s">
        <v>145</v>
      </c>
      <c r="E11" s="77" t="s">
        <v>350</v>
      </c>
      <c r="F11" s="79" t="s">
        <v>347</v>
      </c>
    </row>
    <row r="12" spans="2:6" ht="47.25" x14ac:dyDescent="0.2">
      <c r="B12" s="516"/>
      <c r="C12" s="518"/>
      <c r="D12" s="76" t="s">
        <v>351</v>
      </c>
      <c r="E12" s="77" t="s">
        <v>352</v>
      </c>
      <c r="F12" s="79" t="s">
        <v>347</v>
      </c>
    </row>
    <row r="13" spans="2:6" ht="31.5" x14ac:dyDescent="0.2">
      <c r="B13" s="516"/>
      <c r="C13" s="518" t="s">
        <v>135</v>
      </c>
      <c r="D13" s="76" t="s">
        <v>146</v>
      </c>
      <c r="E13" s="77" t="s">
        <v>353</v>
      </c>
      <c r="F13" s="79" t="s">
        <v>347</v>
      </c>
    </row>
    <row r="14" spans="2:6" ht="32.25" thickBot="1" x14ac:dyDescent="0.25">
      <c r="B14" s="519"/>
      <c r="C14" s="520"/>
      <c r="D14" s="80" t="s">
        <v>354</v>
      </c>
      <c r="E14" s="81" t="s">
        <v>355</v>
      </c>
      <c r="F14" s="82" t="s">
        <v>347</v>
      </c>
    </row>
    <row r="15" spans="2:6" ht="49.5" customHeight="1" x14ac:dyDescent="0.2">
      <c r="B15" s="512" t="s">
        <v>356</v>
      </c>
      <c r="C15" s="512"/>
      <c r="D15" s="512"/>
      <c r="E15" s="512"/>
      <c r="F15" s="512"/>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357</v>
      </c>
      <c r="E2" t="s">
        <v>157</v>
      </c>
    </row>
    <row r="3" spans="2:5" x14ac:dyDescent="0.25">
      <c r="B3" t="s">
        <v>358</v>
      </c>
      <c r="E3" t="s">
        <v>147</v>
      </c>
    </row>
    <row r="4" spans="2:5" x14ac:dyDescent="0.25">
      <c r="B4" t="s">
        <v>359</v>
      </c>
      <c r="E4" t="s">
        <v>136</v>
      </c>
    </row>
    <row r="5" spans="2:5" x14ac:dyDescent="0.25">
      <c r="B5" t="s">
        <v>143</v>
      </c>
    </row>
    <row r="8" spans="2:5" x14ac:dyDescent="0.25">
      <c r="B8" t="s">
        <v>360</v>
      </c>
    </row>
    <row r="9" spans="2:5" x14ac:dyDescent="0.25">
      <c r="B9" t="s">
        <v>361</v>
      </c>
    </row>
    <row r="10" spans="2:5" x14ac:dyDescent="0.25">
      <c r="B10" t="s">
        <v>362</v>
      </c>
    </row>
    <row r="13" spans="2:5" x14ac:dyDescent="0.25">
      <c r="B13" t="s">
        <v>363</v>
      </c>
    </row>
    <row r="14" spans="2:5" x14ac:dyDescent="0.25">
      <c r="B14" t="s">
        <v>138</v>
      </c>
    </row>
    <row r="15" spans="2:5" x14ac:dyDescent="0.25">
      <c r="B15" t="s">
        <v>364</v>
      </c>
    </row>
    <row r="16" spans="2:5" x14ac:dyDescent="0.25">
      <c r="B16" t="s">
        <v>365</v>
      </c>
    </row>
    <row r="17" spans="2:7" x14ac:dyDescent="0.25">
      <c r="B17" t="s">
        <v>149</v>
      </c>
    </row>
    <row r="18" spans="2:7" x14ac:dyDescent="0.25">
      <c r="B18" t="s">
        <v>268</v>
      </c>
    </row>
    <row r="19" spans="2:7" x14ac:dyDescent="0.25">
      <c r="B19" t="s">
        <v>366</v>
      </c>
    </row>
    <row r="20" spans="2:7" x14ac:dyDescent="0.25">
      <c r="B20" t="s">
        <v>367</v>
      </c>
    </row>
    <row r="21" spans="2:7" x14ac:dyDescent="0.25">
      <c r="B21" t="s">
        <v>272</v>
      </c>
    </row>
    <row r="22" spans="2:7" x14ac:dyDescent="0.25">
      <c r="B22" t="s">
        <v>151</v>
      </c>
    </row>
    <row r="23" spans="2:7" x14ac:dyDescent="0.25">
      <c r="B23" t="s">
        <v>155</v>
      </c>
    </row>
    <row r="27" spans="2:7" ht="15.75" thickBot="1" x14ac:dyDescent="0.3"/>
    <row r="28" spans="2:7" ht="15.75" thickBot="1" x14ac:dyDescent="0.3">
      <c r="B28" t="s">
        <v>279</v>
      </c>
      <c r="F28" s="138" t="s">
        <v>276</v>
      </c>
      <c r="G28" s="139" t="s">
        <v>277</v>
      </c>
    </row>
    <row r="29" spans="2:7" ht="15.75" thickBot="1" x14ac:dyDescent="0.3">
      <c r="B29" t="s">
        <v>291</v>
      </c>
      <c r="F29" s="508" t="s">
        <v>279</v>
      </c>
      <c r="G29" s="140" t="s">
        <v>280</v>
      </c>
    </row>
    <row r="30" spans="2:7" ht="15.75" thickBot="1" x14ac:dyDescent="0.3">
      <c r="B30" t="s">
        <v>298</v>
      </c>
      <c r="F30" s="506"/>
      <c r="G30" s="140" t="s">
        <v>281</v>
      </c>
    </row>
    <row r="31" spans="2:7" ht="15.75" thickBot="1" x14ac:dyDescent="0.3">
      <c r="B31" t="s">
        <v>302</v>
      </c>
      <c r="F31" s="506"/>
      <c r="G31" s="140" t="s">
        <v>283</v>
      </c>
    </row>
    <row r="32" spans="2:7" ht="15.75" thickBot="1" x14ac:dyDescent="0.3">
      <c r="B32" t="s">
        <v>306</v>
      </c>
      <c r="F32" s="506"/>
      <c r="G32" s="140" t="s">
        <v>285</v>
      </c>
    </row>
    <row r="33" spans="2:7" ht="15.75" thickBot="1" x14ac:dyDescent="0.3">
      <c r="B33" t="s">
        <v>156</v>
      </c>
      <c r="F33" s="506"/>
      <c r="G33" s="140" t="s">
        <v>287</v>
      </c>
    </row>
    <row r="34" spans="2:7" ht="15.75" thickBot="1" x14ac:dyDescent="0.3">
      <c r="B34" t="s">
        <v>153</v>
      </c>
      <c r="F34" s="507"/>
      <c r="G34" s="140" t="s">
        <v>289</v>
      </c>
    </row>
    <row r="35" spans="2:7" ht="15.75" thickBot="1" x14ac:dyDescent="0.3">
      <c r="B35" t="s">
        <v>327</v>
      </c>
      <c r="F35" s="505" t="s">
        <v>291</v>
      </c>
      <c r="G35" s="140" t="s">
        <v>292</v>
      </c>
    </row>
    <row r="36" spans="2:7" ht="15.75" thickBot="1" x14ac:dyDescent="0.3">
      <c r="F36" s="506"/>
      <c r="G36" s="140" t="s">
        <v>294</v>
      </c>
    </row>
    <row r="37" spans="2:7" ht="15.75" thickBot="1" x14ac:dyDescent="0.3">
      <c r="F37" s="506"/>
      <c r="G37" s="140" t="s">
        <v>295</v>
      </c>
    </row>
    <row r="38" spans="2:7" ht="21.75" customHeight="1" thickBot="1" x14ac:dyDescent="0.3">
      <c r="F38" s="506"/>
      <c r="G38" s="140" t="s">
        <v>296</v>
      </c>
    </row>
    <row r="39" spans="2:7" ht="15.75" thickBot="1" x14ac:dyDescent="0.3">
      <c r="F39" s="507"/>
      <c r="G39" s="140" t="s">
        <v>297</v>
      </c>
    </row>
    <row r="40" spans="2:7" ht="45.75" customHeight="1" thickBot="1" x14ac:dyDescent="0.3">
      <c r="F40" s="505" t="s">
        <v>298</v>
      </c>
      <c r="G40" s="140" t="s">
        <v>299</v>
      </c>
    </row>
    <row r="41" spans="2:7" ht="15.75" thickBot="1" x14ac:dyDescent="0.3">
      <c r="F41" s="506"/>
      <c r="G41" s="140" t="s">
        <v>300</v>
      </c>
    </row>
    <row r="42" spans="2:7" ht="30" customHeight="1" thickBot="1" x14ac:dyDescent="0.3">
      <c r="F42" s="507"/>
      <c r="G42" s="140" t="s">
        <v>301</v>
      </c>
    </row>
    <row r="43" spans="2:7" ht="15.75" thickBot="1" x14ac:dyDescent="0.3">
      <c r="F43" s="505" t="s">
        <v>302</v>
      </c>
      <c r="G43" s="140" t="s">
        <v>303</v>
      </c>
    </row>
    <row r="44" spans="2:7" ht="15.75" thickBot="1" x14ac:dyDescent="0.3">
      <c r="F44" s="506"/>
      <c r="G44" s="140" t="s">
        <v>304</v>
      </c>
    </row>
    <row r="45" spans="2:7" ht="15.75" thickBot="1" x14ac:dyDescent="0.3">
      <c r="F45" s="507"/>
      <c r="G45" s="140" t="s">
        <v>305</v>
      </c>
    </row>
    <row r="46" spans="2:7" ht="24.75" thickBot="1" x14ac:dyDescent="0.3">
      <c r="F46" s="505" t="s">
        <v>306</v>
      </c>
      <c r="G46" s="140" t="s">
        <v>307</v>
      </c>
    </row>
    <row r="47" spans="2:7" ht="15.75" thickBot="1" x14ac:dyDescent="0.3">
      <c r="F47" s="506"/>
      <c r="G47" s="140" t="s">
        <v>308</v>
      </c>
    </row>
    <row r="48" spans="2:7" ht="15.75" thickBot="1" x14ac:dyDescent="0.3">
      <c r="F48" s="506"/>
      <c r="G48" s="140" t="s">
        <v>309</v>
      </c>
    </row>
    <row r="49" spans="6:7" ht="15.75" thickBot="1" x14ac:dyDescent="0.3">
      <c r="F49" s="506"/>
      <c r="G49" s="140" t="s">
        <v>310</v>
      </c>
    </row>
    <row r="50" spans="6:7" ht="15.75" thickBot="1" x14ac:dyDescent="0.3">
      <c r="F50" s="506"/>
      <c r="G50" s="140" t="s">
        <v>311</v>
      </c>
    </row>
    <row r="51" spans="6:7" ht="24.75" thickBot="1" x14ac:dyDescent="0.3">
      <c r="F51" s="506"/>
      <c r="G51" s="140" t="s">
        <v>312</v>
      </c>
    </row>
    <row r="52" spans="6:7" ht="15.75" thickBot="1" x14ac:dyDescent="0.3">
      <c r="F52" s="506"/>
      <c r="G52" s="140" t="s">
        <v>313</v>
      </c>
    </row>
    <row r="53" spans="6:7" ht="24.75" thickBot="1" x14ac:dyDescent="0.3">
      <c r="F53" s="506"/>
      <c r="G53" s="140" t="s">
        <v>314</v>
      </c>
    </row>
    <row r="54" spans="6:7" ht="15.75" thickBot="1" x14ac:dyDescent="0.3">
      <c r="F54" s="506"/>
      <c r="G54" s="140" t="s">
        <v>315</v>
      </c>
    </row>
    <row r="55" spans="6:7" ht="15.75" thickBot="1" x14ac:dyDescent="0.3">
      <c r="F55" s="506"/>
      <c r="G55" s="140" t="s">
        <v>316</v>
      </c>
    </row>
    <row r="56" spans="6:7" ht="15.75" thickBot="1" x14ac:dyDescent="0.3">
      <c r="F56" s="507"/>
      <c r="G56" s="140" t="s">
        <v>317</v>
      </c>
    </row>
    <row r="57" spans="6:7" ht="15.75" thickBot="1" x14ac:dyDescent="0.3">
      <c r="F57" s="505" t="s">
        <v>156</v>
      </c>
      <c r="G57" s="140" t="s">
        <v>318</v>
      </c>
    </row>
    <row r="58" spans="6:7" ht="15.75" thickBot="1" x14ac:dyDescent="0.3">
      <c r="F58" s="506"/>
      <c r="G58" s="140" t="s">
        <v>319</v>
      </c>
    </row>
    <row r="59" spans="6:7" ht="24.75" thickBot="1" x14ac:dyDescent="0.3">
      <c r="F59" s="506"/>
      <c r="G59" s="140" t="s">
        <v>320</v>
      </c>
    </row>
    <row r="60" spans="6:7" ht="15.75" thickBot="1" x14ac:dyDescent="0.3">
      <c r="F60" s="506"/>
      <c r="G60" s="140" t="s">
        <v>321</v>
      </c>
    </row>
    <row r="61" spans="6:7" ht="36.75" thickBot="1" x14ac:dyDescent="0.3">
      <c r="F61" s="507"/>
      <c r="G61" s="140" t="s">
        <v>322</v>
      </c>
    </row>
    <row r="62" spans="6:7" ht="15.75" thickBot="1" x14ac:dyDescent="0.3">
      <c r="F62" s="505" t="s">
        <v>153</v>
      </c>
      <c r="G62" s="140" t="s">
        <v>154</v>
      </c>
    </row>
    <row r="63" spans="6:7" ht="15.75" thickBot="1" x14ac:dyDescent="0.3">
      <c r="F63" s="506"/>
      <c r="G63" s="140" t="s">
        <v>323</v>
      </c>
    </row>
    <row r="64" spans="6:7" ht="15.75" thickBot="1" x14ac:dyDescent="0.3">
      <c r="F64" s="506"/>
      <c r="G64" s="140" t="s">
        <v>324</v>
      </c>
    </row>
    <row r="65" spans="6:7" ht="15.75" thickBot="1" x14ac:dyDescent="0.3">
      <c r="F65" s="506"/>
      <c r="G65" s="140" t="s">
        <v>325</v>
      </c>
    </row>
    <row r="66" spans="6:7" ht="15.75" thickBot="1" x14ac:dyDescent="0.3">
      <c r="F66" s="507"/>
      <c r="G66" s="140" t="s">
        <v>326</v>
      </c>
    </row>
    <row r="67" spans="6:7" ht="15.75" thickBot="1" x14ac:dyDescent="0.3">
      <c r="F67" s="505" t="s">
        <v>327</v>
      </c>
      <c r="G67" s="140" t="s">
        <v>328</v>
      </c>
    </row>
    <row r="68" spans="6:7" ht="15.75" thickBot="1" x14ac:dyDescent="0.3">
      <c r="F68" s="506"/>
      <c r="G68" s="140" t="s">
        <v>329</v>
      </c>
    </row>
    <row r="69" spans="6:7" ht="15.75" thickBot="1" x14ac:dyDescent="0.3">
      <c r="F69" s="506"/>
      <c r="G69" s="140" t="s">
        <v>330</v>
      </c>
    </row>
    <row r="70" spans="6:7" ht="15.75" thickBot="1" x14ac:dyDescent="0.3">
      <c r="F70" s="506"/>
      <c r="G70" s="140" t="s">
        <v>331</v>
      </c>
    </row>
    <row r="71" spans="6:7" ht="24.75" thickBot="1" x14ac:dyDescent="0.3">
      <c r="F71" s="507"/>
      <c r="G71" s="140" t="s">
        <v>332</v>
      </c>
    </row>
  </sheetData>
  <sortState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140</v>
      </c>
    </row>
    <row r="4" spans="1:1" x14ac:dyDescent="0.2">
      <c r="A4" s="2" t="s">
        <v>142</v>
      </c>
    </row>
    <row r="5" spans="1:1" x14ac:dyDescent="0.2">
      <c r="A5" s="2" t="s">
        <v>340</v>
      </c>
    </row>
    <row r="6" spans="1:1" x14ac:dyDescent="0.2">
      <c r="A6" s="2" t="s">
        <v>342</v>
      </c>
    </row>
    <row r="7" spans="1:1" x14ac:dyDescent="0.2">
      <c r="A7" s="2" t="s">
        <v>141</v>
      </c>
    </row>
    <row r="8" spans="1:1" x14ac:dyDescent="0.2">
      <c r="A8" s="2" t="s">
        <v>144</v>
      </c>
    </row>
    <row r="9" spans="1:1" x14ac:dyDescent="0.2">
      <c r="A9" s="2" t="s">
        <v>348</v>
      </c>
    </row>
    <row r="10" spans="1:1" x14ac:dyDescent="0.2">
      <c r="A10" s="2" t="s">
        <v>145</v>
      </c>
    </row>
    <row r="11" spans="1:1" x14ac:dyDescent="0.2">
      <c r="A11" s="2" t="s">
        <v>351</v>
      </c>
    </row>
    <row r="12" spans="1:1" x14ac:dyDescent="0.2">
      <c r="A12" s="2" t="s">
        <v>368</v>
      </c>
    </row>
    <row r="13" spans="1:1" x14ac:dyDescent="0.2">
      <c r="A13" s="2" t="s">
        <v>369</v>
      </c>
    </row>
    <row r="14" spans="1:1" x14ac:dyDescent="0.2">
      <c r="A14" s="2" t="s">
        <v>370</v>
      </c>
    </row>
    <row r="16" spans="1:1" x14ac:dyDescent="0.2">
      <c r="A16" s="2" t="s">
        <v>371</v>
      </c>
    </row>
    <row r="17" spans="1:1" x14ac:dyDescent="0.2">
      <c r="A17" s="2" t="s">
        <v>357</v>
      </c>
    </row>
    <row r="18" spans="1:1" x14ac:dyDescent="0.2">
      <c r="A18" s="2" t="s">
        <v>358</v>
      </c>
    </row>
    <row r="20" spans="1:1" x14ac:dyDescent="0.2">
      <c r="A20" s="2" t="s">
        <v>361</v>
      </c>
    </row>
    <row r="21" spans="1:1" x14ac:dyDescent="0.2">
      <c r="A21" s="2" t="s">
        <v>362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M44"/>
  <sheetViews>
    <sheetView tabSelected="1" topLeftCell="A11" zoomScale="60" zoomScaleNormal="60" zoomScaleSheetLayoutView="30" zoomScalePageLayoutView="60" workbookViewId="0">
      <selection activeCell="F12" sqref="F12"/>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93" style="125" customWidth="1"/>
    <col min="5" max="5" width="120.7109375" style="121" customWidth="1"/>
    <col min="6" max="6" width="46.140625" style="119" customWidth="1"/>
    <col min="7" max="16384" width="11.42578125" style="119"/>
  </cols>
  <sheetData>
    <row r="1" spans="1:13" ht="20.25" customHeight="1" x14ac:dyDescent="0.35"/>
    <row r="2" spans="1:13" ht="63.75" customHeight="1" x14ac:dyDescent="0.35">
      <c r="B2" s="268"/>
      <c r="C2" s="268"/>
      <c r="D2" s="269" t="s">
        <v>76</v>
      </c>
      <c r="E2" s="269"/>
      <c r="F2" s="269"/>
      <c r="G2" s="124"/>
      <c r="H2" s="124"/>
      <c r="I2" s="124"/>
      <c r="J2" s="124"/>
      <c r="K2" s="124"/>
      <c r="L2" s="124"/>
      <c r="M2" s="124"/>
    </row>
    <row r="3" spans="1:13" ht="30.75" customHeight="1" x14ac:dyDescent="0.35">
      <c r="B3" s="268"/>
      <c r="C3" s="268"/>
      <c r="D3" s="143" t="s">
        <v>77</v>
      </c>
      <c r="E3" s="271" t="s">
        <v>375</v>
      </c>
      <c r="F3" s="271"/>
      <c r="G3" s="124"/>
      <c r="H3" s="124"/>
      <c r="I3" s="124"/>
      <c r="J3" s="124"/>
      <c r="K3" s="124"/>
      <c r="L3" s="124"/>
    </row>
    <row r="4" spans="1:13" ht="30.75" customHeight="1" x14ac:dyDescent="0.35">
      <c r="B4" s="268"/>
      <c r="C4" s="268"/>
      <c r="D4" s="270" t="s">
        <v>376</v>
      </c>
      <c r="E4" s="270"/>
      <c r="F4" s="270"/>
      <c r="G4" s="124"/>
      <c r="H4" s="124"/>
      <c r="I4" s="124"/>
      <c r="J4" s="124"/>
      <c r="K4" s="124"/>
      <c r="L4" s="124"/>
    </row>
    <row r="5" spans="1:13" ht="10.5" customHeight="1" x14ac:dyDescent="0.35">
      <c r="B5" s="124"/>
      <c r="C5" s="124"/>
      <c r="D5" s="124"/>
      <c r="E5" s="124"/>
      <c r="F5" s="124"/>
      <c r="G5" s="124"/>
      <c r="H5" s="124"/>
      <c r="I5" s="124"/>
      <c r="J5" s="124"/>
      <c r="K5" s="124"/>
      <c r="L5" s="124"/>
    </row>
    <row r="6" spans="1:13" ht="24" customHeight="1" x14ac:dyDescent="0.35">
      <c r="B6" s="267" t="s">
        <v>78</v>
      </c>
      <c r="C6" s="267"/>
      <c r="D6" s="561" t="s">
        <v>74</v>
      </c>
      <c r="E6" s="561"/>
      <c r="F6" s="561"/>
      <c r="G6" s="124"/>
      <c r="H6" s="124"/>
      <c r="I6" s="124"/>
      <c r="J6" s="124"/>
      <c r="K6" s="124"/>
      <c r="L6" s="124"/>
    </row>
    <row r="7" spans="1:13" ht="24" customHeight="1" x14ac:dyDescent="0.35">
      <c r="B7" s="267" t="s">
        <v>79</v>
      </c>
      <c r="C7" s="267"/>
      <c r="D7" s="561" t="s">
        <v>482</v>
      </c>
      <c r="E7" s="561"/>
      <c r="F7" s="561"/>
      <c r="G7" s="124"/>
      <c r="H7" s="124"/>
      <c r="I7" s="124"/>
      <c r="J7" s="124"/>
      <c r="K7" s="124"/>
      <c r="L7" s="124"/>
    </row>
    <row r="8" spans="1:13" ht="10.5" customHeight="1" thickBot="1" x14ac:dyDescent="0.4">
      <c r="D8" s="122"/>
      <c r="E8" s="123"/>
      <c r="F8" s="124"/>
      <c r="G8" s="124"/>
      <c r="H8" s="124"/>
      <c r="I8" s="124"/>
      <c r="J8" s="124"/>
      <c r="K8" s="124"/>
      <c r="L8" s="124"/>
    </row>
    <row r="9" spans="1:13" s="534" customFormat="1" ht="16.5" thickBot="1" x14ac:dyDescent="0.25">
      <c r="A9" s="529"/>
      <c r="B9" s="530" t="s">
        <v>373</v>
      </c>
      <c r="C9" s="531"/>
      <c r="D9" s="531"/>
      <c r="E9" s="532"/>
      <c r="F9" s="533" t="s">
        <v>372</v>
      </c>
    </row>
    <row r="10" spans="1:13" s="534" customFormat="1" ht="16.5" thickBot="1" x14ac:dyDescent="0.25">
      <c r="A10" s="529"/>
      <c r="B10" s="535" t="s">
        <v>80</v>
      </c>
      <c r="C10" s="536" t="s">
        <v>81</v>
      </c>
      <c r="D10" s="537" t="s">
        <v>82</v>
      </c>
      <c r="E10" s="538" t="s">
        <v>83</v>
      </c>
      <c r="F10" s="547"/>
    </row>
    <row r="11" spans="1:13" s="534" customFormat="1" ht="207.75" customHeight="1" thickBot="1" x14ac:dyDescent="0.25">
      <c r="A11" s="529"/>
      <c r="B11" s="539"/>
      <c r="C11" s="546" t="s">
        <v>84</v>
      </c>
      <c r="D11" s="548" t="s">
        <v>470</v>
      </c>
      <c r="E11" s="549" t="s">
        <v>479</v>
      </c>
      <c r="F11" s="550" t="s">
        <v>431</v>
      </c>
    </row>
    <row r="12" spans="1:13" s="534" customFormat="1" ht="270" thickBot="1" x14ac:dyDescent="0.25">
      <c r="A12" s="529"/>
      <c r="B12" s="539"/>
      <c r="C12" s="540" t="s">
        <v>85</v>
      </c>
      <c r="D12" s="551" t="s">
        <v>480</v>
      </c>
      <c r="E12" s="552" t="s">
        <v>484</v>
      </c>
      <c r="F12" s="553" t="s">
        <v>432</v>
      </c>
    </row>
    <row r="13" spans="1:13" s="534" customFormat="1" ht="132" thickBot="1" x14ac:dyDescent="0.25">
      <c r="A13" s="529"/>
      <c r="B13" s="539"/>
      <c r="C13" s="541" t="s">
        <v>86</v>
      </c>
      <c r="D13" s="551" t="s">
        <v>471</v>
      </c>
      <c r="E13" s="552" t="s">
        <v>469</v>
      </c>
      <c r="F13" s="554"/>
    </row>
    <row r="14" spans="1:13" s="534" customFormat="1" ht="204" thickBot="1" x14ac:dyDescent="0.25">
      <c r="A14" s="529"/>
      <c r="B14" s="539"/>
      <c r="C14" s="542" t="s">
        <v>87</v>
      </c>
      <c r="D14" s="551" t="s">
        <v>478</v>
      </c>
      <c r="E14" s="552" t="s">
        <v>472</v>
      </c>
      <c r="F14" s="555"/>
    </row>
    <row r="15" spans="1:13" s="534" customFormat="1" ht="211.5" thickBot="1" x14ac:dyDescent="0.25">
      <c r="A15" s="529"/>
      <c r="B15" s="539"/>
      <c r="C15" s="543" t="s">
        <v>88</v>
      </c>
      <c r="D15" s="551" t="s">
        <v>473</v>
      </c>
      <c r="E15" s="556" t="s">
        <v>474</v>
      </c>
      <c r="F15" s="555"/>
    </row>
    <row r="16" spans="1:13" s="534" customFormat="1" ht="182.25" thickBot="1" x14ac:dyDescent="0.25">
      <c r="A16" s="529"/>
      <c r="B16" s="539"/>
      <c r="C16" s="542" t="s">
        <v>89</v>
      </c>
      <c r="D16" s="551" t="s">
        <v>430</v>
      </c>
      <c r="E16" s="556" t="s">
        <v>481</v>
      </c>
      <c r="F16" s="557"/>
    </row>
    <row r="17" spans="1:6" s="534" customFormat="1" ht="214.5" thickBot="1" x14ac:dyDescent="0.25">
      <c r="A17" s="529"/>
      <c r="B17" s="539"/>
      <c r="C17" s="544" t="s">
        <v>90</v>
      </c>
      <c r="D17" s="551" t="s">
        <v>475</v>
      </c>
      <c r="E17" s="552" t="s">
        <v>483</v>
      </c>
      <c r="F17" s="562" t="s">
        <v>433</v>
      </c>
    </row>
    <row r="18" spans="1:6" s="534" customFormat="1" ht="120.75" thickBot="1" x14ac:dyDescent="0.25">
      <c r="B18" s="539"/>
      <c r="C18" s="545" t="s">
        <v>374</v>
      </c>
      <c r="D18" s="558" t="s">
        <v>476</v>
      </c>
      <c r="E18" s="559" t="s">
        <v>477</v>
      </c>
      <c r="F18" s="560"/>
    </row>
    <row r="19" spans="1:6" x14ac:dyDescent="0.35">
      <c r="B19" s="158"/>
      <c r="C19" s="159"/>
      <c r="D19" s="160"/>
      <c r="E19" s="159"/>
    </row>
    <row r="20" spans="1:6" x14ac:dyDescent="0.25">
      <c r="B20" s="263"/>
      <c r="C20" s="263"/>
      <c r="D20" s="263"/>
      <c r="E20" s="263"/>
    </row>
    <row r="21" spans="1:6" ht="27.75" thickBot="1" x14ac:dyDescent="0.3">
      <c r="B21" s="264"/>
      <c r="C21" s="522" t="s">
        <v>435</v>
      </c>
      <c r="D21" s="161"/>
      <c r="E21" s="161"/>
    </row>
    <row r="22" spans="1:6" ht="18.75" thickBot="1" x14ac:dyDescent="0.3">
      <c r="B22" s="264"/>
      <c r="C22" s="207" t="s">
        <v>384</v>
      </c>
      <c r="D22" s="265" t="s">
        <v>385</v>
      </c>
      <c r="E22" s="266"/>
    </row>
    <row r="23" spans="1:6" ht="18" x14ac:dyDescent="0.25">
      <c r="B23" s="264"/>
      <c r="C23" s="260" t="s">
        <v>91</v>
      </c>
      <c r="D23" s="208" t="s">
        <v>386</v>
      </c>
      <c r="E23" s="208" t="s">
        <v>387</v>
      </c>
      <c r="F23" s="521"/>
    </row>
    <row r="24" spans="1:6" ht="18.75" thickBot="1" x14ac:dyDescent="0.3">
      <c r="B24" s="264"/>
      <c r="C24" s="261"/>
      <c r="D24" s="209" t="s">
        <v>388</v>
      </c>
      <c r="E24" s="209" t="s">
        <v>389</v>
      </c>
      <c r="F24" s="521"/>
    </row>
    <row r="25" spans="1:6" ht="27" x14ac:dyDescent="0.25">
      <c r="B25" s="264"/>
      <c r="C25" s="261"/>
      <c r="D25" s="210" t="s">
        <v>390</v>
      </c>
      <c r="E25" s="210" t="s">
        <v>391</v>
      </c>
      <c r="F25" s="521"/>
    </row>
    <row r="26" spans="1:6" ht="40.5" x14ac:dyDescent="0.25">
      <c r="B26" s="264"/>
      <c r="C26" s="261"/>
      <c r="D26" s="210" t="s">
        <v>392</v>
      </c>
      <c r="E26" s="210" t="s">
        <v>393</v>
      </c>
      <c r="F26" s="521"/>
    </row>
    <row r="27" spans="1:6" ht="18" x14ac:dyDescent="0.25">
      <c r="B27" s="264"/>
      <c r="C27" s="261"/>
      <c r="D27" s="210" t="s">
        <v>394</v>
      </c>
      <c r="E27" s="211" t="s">
        <v>395</v>
      </c>
      <c r="F27" s="521"/>
    </row>
    <row r="28" spans="1:6" ht="27" x14ac:dyDescent="0.25">
      <c r="B28" s="264"/>
      <c r="C28" s="261"/>
      <c r="D28" s="210" t="s">
        <v>396</v>
      </c>
      <c r="E28" s="210" t="s">
        <v>397</v>
      </c>
      <c r="F28" s="521"/>
    </row>
    <row r="29" spans="1:6" ht="18" x14ac:dyDescent="0.25">
      <c r="B29" s="264"/>
      <c r="C29" s="261"/>
      <c r="D29" s="210" t="s">
        <v>398</v>
      </c>
      <c r="E29" s="211" t="s">
        <v>399</v>
      </c>
    </row>
    <row r="30" spans="1:6" ht="27" x14ac:dyDescent="0.35">
      <c r="B30" s="158"/>
      <c r="C30" s="261"/>
      <c r="D30" s="210" t="s">
        <v>400</v>
      </c>
      <c r="E30" s="212"/>
    </row>
    <row r="31" spans="1:6" ht="27" x14ac:dyDescent="0.35">
      <c r="B31" s="158"/>
      <c r="C31" s="261"/>
      <c r="D31" s="210" t="s">
        <v>401</v>
      </c>
      <c r="E31" s="212"/>
    </row>
    <row r="32" spans="1:6" ht="27" x14ac:dyDescent="0.35">
      <c r="C32" s="261"/>
      <c r="D32" s="210" t="s">
        <v>402</v>
      </c>
      <c r="E32" s="212"/>
    </row>
    <row r="33" spans="3:5" ht="25.5" x14ac:dyDescent="0.35">
      <c r="C33" s="261"/>
      <c r="D33" s="210" t="s">
        <v>403</v>
      </c>
      <c r="E33" s="212"/>
    </row>
    <row r="34" spans="3:5" thickBot="1" x14ac:dyDescent="0.4">
      <c r="C34" s="262"/>
      <c r="D34" s="213" t="s">
        <v>404</v>
      </c>
      <c r="E34" s="214"/>
    </row>
    <row r="35" spans="3:5" ht="25.5" x14ac:dyDescent="0.35">
      <c r="C35" s="260" t="s">
        <v>405</v>
      </c>
      <c r="D35" s="208" t="s">
        <v>406</v>
      </c>
      <c r="E35" s="208" t="s">
        <v>407</v>
      </c>
    </row>
    <row r="36" spans="3:5" thickBot="1" x14ac:dyDescent="0.4">
      <c r="C36" s="261"/>
      <c r="D36" s="209" t="s">
        <v>408</v>
      </c>
      <c r="E36" s="209" t="s">
        <v>409</v>
      </c>
    </row>
    <row r="37" spans="3:5" ht="27" x14ac:dyDescent="0.35">
      <c r="C37" s="261"/>
      <c r="D37" s="210" t="s">
        <v>410</v>
      </c>
      <c r="E37" s="210" t="s">
        <v>411</v>
      </c>
    </row>
    <row r="38" spans="3:5" ht="27" x14ac:dyDescent="0.35">
      <c r="C38" s="261"/>
      <c r="D38" s="210" t="s">
        <v>412</v>
      </c>
      <c r="E38" s="210" t="s">
        <v>413</v>
      </c>
    </row>
    <row r="39" spans="3:5" ht="27" x14ac:dyDescent="0.35">
      <c r="C39" s="261"/>
      <c r="D39" s="210" t="s">
        <v>414</v>
      </c>
      <c r="E39" s="210" t="s">
        <v>415</v>
      </c>
    </row>
    <row r="40" spans="3:5" ht="40.5" x14ac:dyDescent="0.35">
      <c r="C40" s="261"/>
      <c r="D40" s="210" t="s">
        <v>416</v>
      </c>
      <c r="E40" s="210" t="s">
        <v>417</v>
      </c>
    </row>
    <row r="41" spans="3:5" ht="27" x14ac:dyDescent="0.35">
      <c r="C41" s="261"/>
      <c r="D41" s="210" t="s">
        <v>418</v>
      </c>
      <c r="E41" s="210" t="s">
        <v>419</v>
      </c>
    </row>
    <row r="42" spans="3:5" ht="27" x14ac:dyDescent="0.35">
      <c r="C42" s="261"/>
      <c r="D42" s="212"/>
      <c r="E42" s="210" t="s">
        <v>420</v>
      </c>
    </row>
    <row r="43" spans="3:5" ht="25.5" x14ac:dyDescent="0.35">
      <c r="C43" s="261"/>
      <c r="D43" s="212"/>
      <c r="E43" s="210" t="s">
        <v>421</v>
      </c>
    </row>
    <row r="44" spans="3:5" thickBot="1" x14ac:dyDescent="0.4">
      <c r="C44" s="262"/>
      <c r="D44" s="214"/>
      <c r="E44" s="213" t="s">
        <v>422</v>
      </c>
    </row>
  </sheetData>
  <mergeCells count="16">
    <mergeCell ref="B7:C7"/>
    <mergeCell ref="B2:C4"/>
    <mergeCell ref="B6:C6"/>
    <mergeCell ref="D2:F2"/>
    <mergeCell ref="D4:F4"/>
    <mergeCell ref="E3:F3"/>
    <mergeCell ref="D6:F6"/>
    <mergeCell ref="D7:F7"/>
    <mergeCell ref="C35:C44"/>
    <mergeCell ref="B20:E20"/>
    <mergeCell ref="B21:B29"/>
    <mergeCell ref="F9:F10"/>
    <mergeCell ref="B9:E9"/>
    <mergeCell ref="B10:B18"/>
    <mergeCell ref="D22:E22"/>
    <mergeCell ref="C23:C34"/>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JM63"/>
  <sheetViews>
    <sheetView topLeftCell="A11" zoomScale="55" zoomScaleNormal="55" zoomScaleSheetLayoutView="30" zoomScalePageLayoutView="60" workbookViewId="0">
      <pane xSplit="3" ySplit="2" topLeftCell="AA17" activePane="bottomRight" state="frozen"/>
      <selection activeCell="A11" sqref="A11"/>
      <selection pane="topRight" activeCell="D11" sqref="D11"/>
      <selection pane="bottomLeft" activeCell="A13" sqref="A13"/>
      <selection pane="bottomRight" activeCell="AJ17" sqref="AJ17"/>
    </sheetView>
  </sheetViews>
  <sheetFormatPr baseColWidth="10" defaultColWidth="11.42578125" defaultRowHeight="15" x14ac:dyDescent="0.2"/>
  <cols>
    <col min="1" max="1" width="6.5703125" style="201" customWidth="1"/>
    <col min="2" max="2" width="16" style="201" customWidth="1"/>
    <col min="3" max="3" width="27.5703125" style="201" customWidth="1"/>
    <col min="4" max="4" width="54.7109375" style="201" customWidth="1"/>
    <col min="5" max="5" width="70.85546875" style="186" customWidth="1"/>
    <col min="6" max="6" width="15.140625" style="186" customWidth="1"/>
    <col min="7" max="7" width="16.7109375" style="202" customWidth="1"/>
    <col min="8" max="11" width="13" style="202" customWidth="1"/>
    <col min="12" max="12" width="16.7109375" style="186" customWidth="1"/>
    <col min="13" max="13" width="20.42578125" style="186" customWidth="1"/>
    <col min="14" max="14" width="10" style="186" customWidth="1"/>
    <col min="15" max="15" width="35.85546875" style="186" customWidth="1"/>
    <col min="16" max="16" width="30.5703125" style="186" hidden="1" customWidth="1"/>
    <col min="17" max="17" width="17.5703125" style="186" customWidth="1"/>
    <col min="18" max="18" width="8.42578125" style="186" customWidth="1"/>
    <col min="19" max="19" width="16" style="186" customWidth="1"/>
    <col min="20" max="20" width="13.5703125" style="186" customWidth="1"/>
    <col min="21" max="21" width="85.85546875" style="186" customWidth="1"/>
    <col min="22" max="22" width="19" style="186" hidden="1" customWidth="1"/>
    <col min="23" max="23" width="6.85546875" style="186" customWidth="1"/>
    <col min="24" max="24" width="5" style="186" customWidth="1"/>
    <col min="25" max="25" width="5.5703125" style="186" hidden="1" customWidth="1"/>
    <col min="26" max="26" width="7.140625" style="186" customWidth="1"/>
    <col min="27" max="27" width="6.7109375" style="186" customWidth="1"/>
    <col min="28" max="28" width="7.5703125" style="186" customWidth="1"/>
    <col min="29" max="29" width="38.28515625" style="186" hidden="1" customWidth="1"/>
    <col min="30" max="34" width="10.85546875" style="186" customWidth="1"/>
    <col min="35" max="35" width="10.85546875" style="200" customWidth="1"/>
    <col min="36" max="36" width="23" style="186" customWidth="1"/>
    <col min="37" max="37" width="18.85546875" style="186" customWidth="1"/>
    <col min="38" max="38" width="38.5703125" style="186" customWidth="1"/>
    <col min="39" max="39" width="22.42578125" style="186" customWidth="1"/>
    <col min="40" max="40" width="27.85546875" style="186" customWidth="1"/>
    <col min="41" max="41" width="16.42578125" style="186" customWidth="1"/>
    <col min="42" max="42" width="26.140625" style="186" customWidth="1"/>
    <col min="43" max="16384" width="11.42578125" style="186"/>
  </cols>
  <sheetData>
    <row r="1" spans="1:273" s="178" customFormat="1" ht="24" customHeight="1" x14ac:dyDescent="0.3">
      <c r="A1" s="283"/>
      <c r="B1" s="284"/>
      <c r="C1" s="285"/>
      <c r="D1" s="292" t="s">
        <v>92</v>
      </c>
      <c r="E1" s="293"/>
      <c r="F1" s="293"/>
      <c r="G1" s="293"/>
      <c r="H1" s="293"/>
      <c r="I1" s="293"/>
      <c r="J1" s="293"/>
      <c r="K1" s="293"/>
      <c r="L1" s="293"/>
      <c r="M1" s="293"/>
      <c r="N1" s="293"/>
      <c r="O1" s="293"/>
      <c r="P1" s="293"/>
      <c r="Q1" s="293"/>
      <c r="R1" s="293"/>
      <c r="S1" s="294"/>
      <c r="T1" s="176"/>
      <c r="U1" s="304" t="s">
        <v>92</v>
      </c>
      <c r="V1" s="293"/>
      <c r="W1" s="293"/>
      <c r="X1" s="293"/>
      <c r="Y1" s="293"/>
      <c r="Z1" s="293"/>
      <c r="AA1" s="293"/>
      <c r="AB1" s="293"/>
      <c r="AC1" s="293"/>
      <c r="AD1" s="293"/>
      <c r="AE1" s="293"/>
      <c r="AF1" s="293"/>
      <c r="AG1" s="293"/>
      <c r="AH1" s="293"/>
      <c r="AI1" s="293"/>
      <c r="AJ1" s="293"/>
      <c r="AK1" s="293"/>
      <c r="AL1" s="293"/>
      <c r="AM1" s="293"/>
      <c r="AN1" s="293"/>
      <c r="AO1" s="293"/>
      <c r="AP1" s="294"/>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row>
    <row r="2" spans="1:273" s="178" customFormat="1" ht="24" customHeight="1" thickBot="1" x14ac:dyDescent="0.35">
      <c r="A2" s="286"/>
      <c r="B2" s="287"/>
      <c r="C2" s="288"/>
      <c r="D2" s="295"/>
      <c r="E2" s="296"/>
      <c r="F2" s="296"/>
      <c r="G2" s="296"/>
      <c r="H2" s="296"/>
      <c r="I2" s="296"/>
      <c r="J2" s="296"/>
      <c r="K2" s="296"/>
      <c r="L2" s="296"/>
      <c r="M2" s="296"/>
      <c r="N2" s="296"/>
      <c r="O2" s="296"/>
      <c r="P2" s="296"/>
      <c r="Q2" s="296"/>
      <c r="R2" s="296"/>
      <c r="S2" s="297"/>
      <c r="T2" s="176"/>
      <c r="U2" s="305"/>
      <c r="V2" s="296"/>
      <c r="W2" s="296"/>
      <c r="X2" s="296"/>
      <c r="Y2" s="296"/>
      <c r="Z2" s="296"/>
      <c r="AA2" s="296"/>
      <c r="AB2" s="296"/>
      <c r="AC2" s="296"/>
      <c r="AD2" s="296"/>
      <c r="AE2" s="296"/>
      <c r="AF2" s="296"/>
      <c r="AG2" s="296"/>
      <c r="AH2" s="296"/>
      <c r="AI2" s="296"/>
      <c r="AJ2" s="296"/>
      <c r="AK2" s="296"/>
      <c r="AL2" s="296"/>
      <c r="AM2" s="296"/>
      <c r="AN2" s="296"/>
      <c r="AO2" s="296"/>
      <c r="AP2" s="29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row>
    <row r="3" spans="1:273" s="178" customFormat="1" ht="24" customHeight="1" x14ac:dyDescent="0.3">
      <c r="A3" s="286"/>
      <c r="B3" s="287"/>
      <c r="C3" s="288"/>
      <c r="D3" s="298" t="s">
        <v>93</v>
      </c>
      <c r="E3" s="299"/>
      <c r="F3" s="299"/>
      <c r="G3" s="299"/>
      <c r="H3" s="299"/>
      <c r="I3" s="299"/>
      <c r="J3" s="299"/>
      <c r="K3" s="299"/>
      <c r="L3" s="299" t="s">
        <v>94</v>
      </c>
      <c r="M3" s="299"/>
      <c r="N3" s="299"/>
      <c r="O3" s="299"/>
      <c r="P3" s="299"/>
      <c r="Q3" s="299"/>
      <c r="R3" s="299"/>
      <c r="S3" s="300"/>
      <c r="T3" s="176"/>
      <c r="U3" s="306" t="s">
        <v>95</v>
      </c>
      <c r="V3" s="307"/>
      <c r="W3" s="307"/>
      <c r="X3" s="307"/>
      <c r="Y3" s="307"/>
      <c r="Z3" s="307"/>
      <c r="AA3" s="307"/>
      <c r="AB3" s="307"/>
      <c r="AC3" s="307"/>
      <c r="AD3" s="307"/>
      <c r="AE3" s="307"/>
      <c r="AF3" s="307"/>
      <c r="AG3" s="307"/>
      <c r="AH3" s="307"/>
      <c r="AI3" s="307"/>
      <c r="AJ3" s="307" t="s">
        <v>94</v>
      </c>
      <c r="AK3" s="307"/>
      <c r="AL3" s="307"/>
      <c r="AM3" s="307"/>
      <c r="AN3" s="307"/>
      <c r="AO3" s="307"/>
      <c r="AP3" s="309"/>
      <c r="AQ3" s="179"/>
      <c r="AR3" s="180"/>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row>
    <row r="4" spans="1:273" s="178" customFormat="1" ht="24" customHeight="1" thickBot="1" x14ac:dyDescent="0.35">
      <c r="A4" s="289"/>
      <c r="B4" s="290"/>
      <c r="C4" s="291"/>
      <c r="D4" s="301" t="s">
        <v>376</v>
      </c>
      <c r="E4" s="302"/>
      <c r="F4" s="302"/>
      <c r="G4" s="302"/>
      <c r="H4" s="302"/>
      <c r="I4" s="302"/>
      <c r="J4" s="302"/>
      <c r="K4" s="302"/>
      <c r="L4" s="302"/>
      <c r="M4" s="302"/>
      <c r="N4" s="302"/>
      <c r="O4" s="302"/>
      <c r="P4" s="302"/>
      <c r="Q4" s="302"/>
      <c r="R4" s="302"/>
      <c r="S4" s="303"/>
      <c r="T4" s="176"/>
      <c r="U4" s="308" t="s">
        <v>379</v>
      </c>
      <c r="V4" s="302"/>
      <c r="W4" s="302"/>
      <c r="X4" s="302"/>
      <c r="Y4" s="302"/>
      <c r="Z4" s="302"/>
      <c r="AA4" s="302"/>
      <c r="AB4" s="302"/>
      <c r="AC4" s="302"/>
      <c r="AD4" s="302"/>
      <c r="AE4" s="302"/>
      <c r="AF4" s="302"/>
      <c r="AG4" s="302"/>
      <c r="AH4" s="302"/>
      <c r="AI4" s="302"/>
      <c r="AJ4" s="302"/>
      <c r="AK4" s="302"/>
      <c r="AL4" s="302"/>
      <c r="AM4" s="302"/>
      <c r="AN4" s="302"/>
      <c r="AO4" s="302"/>
      <c r="AP4" s="303"/>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row>
    <row r="5" spans="1:273" ht="15.75" thickBot="1" x14ac:dyDescent="0.25">
      <c r="A5" s="181"/>
      <c r="B5" s="182"/>
      <c r="C5" s="181"/>
      <c r="D5" s="181"/>
      <c r="E5" s="183"/>
      <c r="F5" s="183"/>
      <c r="G5" s="184"/>
      <c r="H5" s="184"/>
      <c r="I5" s="184"/>
      <c r="J5" s="184"/>
      <c r="K5" s="184"/>
      <c r="L5" s="183"/>
      <c r="M5" s="183"/>
      <c r="N5" s="183"/>
      <c r="O5" s="183"/>
      <c r="P5" s="183"/>
      <c r="Q5" s="183"/>
      <c r="R5" s="183"/>
      <c r="S5" s="183"/>
      <c r="T5" s="183"/>
      <c r="U5" s="183"/>
      <c r="V5" s="183"/>
      <c r="W5" s="183"/>
      <c r="X5" s="183"/>
      <c r="Y5" s="183"/>
      <c r="Z5" s="183"/>
      <c r="AA5" s="183"/>
      <c r="AB5" s="183"/>
      <c r="AC5" s="183"/>
      <c r="AD5" s="183"/>
      <c r="AE5" s="183"/>
      <c r="AF5" s="183"/>
      <c r="AG5" s="183"/>
      <c r="AH5" s="183"/>
      <c r="AI5" s="185"/>
      <c r="AJ5" s="183"/>
      <c r="AK5" s="183"/>
      <c r="AL5" s="183"/>
      <c r="AM5" s="183"/>
      <c r="AN5" s="183"/>
      <c r="AO5" s="183"/>
      <c r="AP5" s="183"/>
      <c r="AQ5" s="183"/>
      <c r="AR5" s="183"/>
      <c r="AS5" s="183"/>
      <c r="AT5" s="183"/>
      <c r="AU5" s="183"/>
      <c r="AV5" s="183"/>
      <c r="AW5" s="183"/>
      <c r="AX5" s="183"/>
      <c r="AY5" s="183"/>
      <c r="AZ5" s="183"/>
      <c r="BA5" s="183"/>
      <c r="BB5" s="183"/>
      <c r="BC5" s="183"/>
      <c r="BD5" s="183"/>
      <c r="BE5" s="183"/>
      <c r="BF5" s="183"/>
      <c r="BG5" s="183"/>
      <c r="BH5" s="183"/>
      <c r="BI5" s="183"/>
      <c r="BJ5" s="183"/>
      <c r="BK5" s="183"/>
      <c r="BL5" s="183"/>
      <c r="BM5" s="183"/>
      <c r="BN5" s="183"/>
      <c r="BO5" s="183"/>
      <c r="BP5" s="183"/>
    </row>
    <row r="6" spans="1:273" ht="27.75" customHeight="1" x14ac:dyDescent="0.2">
      <c r="A6" s="310" t="s">
        <v>96</v>
      </c>
      <c r="B6" s="311"/>
      <c r="C6" s="322" t="s">
        <v>74</v>
      </c>
      <c r="D6" s="323"/>
      <c r="E6" s="323"/>
      <c r="F6" s="323"/>
      <c r="G6" s="323"/>
      <c r="H6" s="323"/>
      <c r="I6" s="323"/>
      <c r="J6" s="323"/>
      <c r="K6" s="323"/>
      <c r="L6" s="323"/>
      <c r="M6" s="323"/>
      <c r="N6" s="323"/>
      <c r="O6" s="323"/>
      <c r="P6" s="323"/>
      <c r="Q6" s="323"/>
      <c r="R6" s="323"/>
      <c r="S6" s="324"/>
      <c r="T6" s="215" t="s">
        <v>96</v>
      </c>
      <c r="U6" s="272" t="str">
        <f>C6</f>
        <v xml:space="preserve">16. Control, evaluación y mejora de la gestión  </v>
      </c>
      <c r="V6" s="273"/>
      <c r="W6" s="273"/>
      <c r="X6" s="273"/>
      <c r="Y6" s="273"/>
      <c r="Z6" s="273"/>
      <c r="AA6" s="273"/>
      <c r="AB6" s="273"/>
      <c r="AC6" s="273"/>
      <c r="AD6" s="273"/>
      <c r="AE6" s="273"/>
      <c r="AF6" s="273"/>
      <c r="AG6" s="273"/>
      <c r="AH6" s="273"/>
      <c r="AI6" s="273"/>
      <c r="AJ6" s="273"/>
      <c r="AK6" s="273"/>
      <c r="AL6" s="273"/>
      <c r="AM6" s="273"/>
      <c r="AN6" s="273"/>
      <c r="AO6" s="273"/>
      <c r="AP6" s="274"/>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row>
    <row r="7" spans="1:273" ht="36.75" customHeight="1" x14ac:dyDescent="0.25">
      <c r="A7" s="312" t="s">
        <v>97</v>
      </c>
      <c r="B7" s="313"/>
      <c r="C7" s="333" t="s">
        <v>381</v>
      </c>
      <c r="D7" s="334"/>
      <c r="E7" s="334"/>
      <c r="F7" s="334"/>
      <c r="G7" s="334"/>
      <c r="H7" s="334"/>
      <c r="I7" s="334"/>
      <c r="J7" s="334"/>
      <c r="K7" s="334"/>
      <c r="L7" s="334"/>
      <c r="M7" s="334"/>
      <c r="N7" s="334"/>
      <c r="O7" s="334"/>
      <c r="P7" s="334"/>
      <c r="Q7" s="334"/>
      <c r="R7" s="334"/>
      <c r="S7" s="335"/>
      <c r="T7" s="187" t="s">
        <v>97</v>
      </c>
      <c r="U7" s="275" t="str">
        <f>C7</f>
        <v xml:space="preserve">Evaluar el Sistema de Control Interno -SCI, la gestión de los procesos y efectuar el seguimiento al cumplimiento de las actividades definidas en el Plan Anual de Auditorías, con énfasis en la gestión del riesgo, la evaluación de los controles identificados en los mapas de riesgos y las herramientas definidas para control y evaluación; así mismo, promover el fomento del enfoque hacia la prevención y el autocontrol con el fin de aportar acciones de mejora para la gestión institucional. </v>
      </c>
      <c r="V7" s="276"/>
      <c r="W7" s="276"/>
      <c r="X7" s="276"/>
      <c r="Y7" s="276"/>
      <c r="Z7" s="276"/>
      <c r="AA7" s="276"/>
      <c r="AB7" s="276"/>
      <c r="AC7" s="276"/>
      <c r="AD7" s="276"/>
      <c r="AE7" s="276"/>
      <c r="AF7" s="276"/>
      <c r="AG7" s="276"/>
      <c r="AH7" s="276"/>
      <c r="AI7" s="276"/>
      <c r="AJ7" s="276"/>
      <c r="AK7" s="276"/>
      <c r="AL7" s="276"/>
      <c r="AM7" s="276"/>
      <c r="AN7" s="276"/>
      <c r="AO7" s="276"/>
      <c r="AP7" s="277"/>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row>
    <row r="8" spans="1:273" ht="30" customHeight="1" thickBot="1" x14ac:dyDescent="0.3">
      <c r="A8" s="314" t="s">
        <v>98</v>
      </c>
      <c r="B8" s="315"/>
      <c r="C8" s="336"/>
      <c r="D8" s="337"/>
      <c r="E8" s="337"/>
      <c r="F8" s="337"/>
      <c r="G8" s="337"/>
      <c r="H8" s="337"/>
      <c r="I8" s="337"/>
      <c r="J8" s="337"/>
      <c r="K8" s="337"/>
      <c r="L8" s="337"/>
      <c r="M8" s="337"/>
      <c r="N8" s="337"/>
      <c r="O8" s="337"/>
      <c r="P8" s="337"/>
      <c r="Q8" s="337"/>
      <c r="R8" s="337"/>
      <c r="S8" s="338"/>
      <c r="T8" s="188" t="s">
        <v>98</v>
      </c>
      <c r="U8" s="278">
        <f>C8</f>
        <v>0</v>
      </c>
      <c r="V8" s="279"/>
      <c r="W8" s="279"/>
      <c r="X8" s="279"/>
      <c r="Y8" s="279"/>
      <c r="Z8" s="279"/>
      <c r="AA8" s="279"/>
      <c r="AB8" s="279"/>
      <c r="AC8" s="279"/>
      <c r="AD8" s="279"/>
      <c r="AE8" s="279"/>
      <c r="AF8" s="279"/>
      <c r="AG8" s="279"/>
      <c r="AH8" s="279"/>
      <c r="AI8" s="279"/>
      <c r="AJ8" s="279"/>
      <c r="AK8" s="279"/>
      <c r="AL8" s="279"/>
      <c r="AM8" s="279"/>
      <c r="AN8" s="279"/>
      <c r="AO8" s="279"/>
      <c r="AP8" s="280"/>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row>
    <row r="9" spans="1:273" ht="12" customHeight="1" x14ac:dyDescent="0.25">
      <c r="A9" s="189"/>
      <c r="B9" s="189"/>
      <c r="C9" s="190"/>
      <c r="D9" s="190"/>
      <c r="E9" s="190"/>
      <c r="F9" s="190"/>
      <c r="G9" s="190"/>
      <c r="H9" s="190"/>
      <c r="I9" s="190"/>
      <c r="J9" s="190"/>
      <c r="K9" s="190"/>
      <c r="L9" s="190"/>
      <c r="M9" s="190"/>
      <c r="N9" s="190"/>
      <c r="O9" s="190"/>
      <c r="P9" s="190"/>
      <c r="Q9" s="190"/>
      <c r="R9" s="190"/>
      <c r="S9" s="190"/>
      <c r="T9" s="191"/>
      <c r="U9" s="191"/>
      <c r="V9" s="191"/>
      <c r="W9" s="192"/>
      <c r="X9" s="192"/>
      <c r="Y9" s="192"/>
      <c r="Z9" s="192"/>
      <c r="AA9" s="192"/>
      <c r="AB9" s="192"/>
      <c r="AC9" s="192"/>
      <c r="AD9" s="192"/>
      <c r="AE9" s="192"/>
      <c r="AF9" s="192"/>
      <c r="AG9" s="192"/>
      <c r="AH9" s="192"/>
      <c r="AI9" s="192"/>
      <c r="AJ9" s="192"/>
      <c r="AK9" s="192"/>
      <c r="AL9" s="192"/>
      <c r="AM9" s="192"/>
      <c r="AN9" s="192"/>
      <c r="AO9" s="192"/>
      <c r="AP9" s="192"/>
    </row>
    <row r="10" spans="1:273" ht="39" customHeight="1" x14ac:dyDescent="0.2">
      <c r="A10" s="325" t="s">
        <v>99</v>
      </c>
      <c r="B10" s="325"/>
      <c r="C10" s="325"/>
      <c r="D10" s="325"/>
      <c r="E10" s="325"/>
      <c r="F10" s="325"/>
      <c r="G10" s="325"/>
      <c r="H10" s="325"/>
      <c r="I10" s="325"/>
      <c r="J10" s="325"/>
      <c r="K10" s="325"/>
      <c r="L10" s="325"/>
      <c r="M10" s="325" t="s">
        <v>100</v>
      </c>
      <c r="N10" s="325"/>
      <c r="O10" s="325"/>
      <c r="P10" s="325"/>
      <c r="Q10" s="325"/>
      <c r="R10" s="325"/>
      <c r="S10" s="325"/>
      <c r="T10" s="325" t="s">
        <v>101</v>
      </c>
      <c r="U10" s="325"/>
      <c r="V10" s="325"/>
      <c r="W10" s="325"/>
      <c r="X10" s="325"/>
      <c r="Y10" s="325"/>
      <c r="Z10" s="325"/>
      <c r="AA10" s="325"/>
      <c r="AB10" s="325"/>
      <c r="AC10" s="325" t="s">
        <v>102</v>
      </c>
      <c r="AD10" s="325"/>
      <c r="AE10" s="325"/>
      <c r="AF10" s="325"/>
      <c r="AG10" s="325"/>
      <c r="AH10" s="325"/>
      <c r="AI10" s="325"/>
      <c r="AJ10" s="325" t="s">
        <v>103</v>
      </c>
      <c r="AK10" s="325"/>
      <c r="AL10" s="325"/>
      <c r="AM10" s="325"/>
      <c r="AN10" s="325" t="s">
        <v>104</v>
      </c>
      <c r="AO10" s="325"/>
      <c r="AP10" s="325"/>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row>
    <row r="11" spans="1:273" ht="26.25" customHeight="1" x14ac:dyDescent="0.2">
      <c r="A11" s="340" t="s">
        <v>105</v>
      </c>
      <c r="B11" s="342" t="s">
        <v>15</v>
      </c>
      <c r="C11" s="339" t="s">
        <v>17</v>
      </c>
      <c r="D11" s="339" t="s">
        <v>19</v>
      </c>
      <c r="E11" s="342" t="s">
        <v>21</v>
      </c>
      <c r="F11" s="339" t="s">
        <v>106</v>
      </c>
      <c r="G11" s="341" t="s">
        <v>23</v>
      </c>
      <c r="H11" s="344" t="s">
        <v>107</v>
      </c>
      <c r="I11" s="341" t="s">
        <v>108</v>
      </c>
      <c r="J11" s="341" t="s">
        <v>109</v>
      </c>
      <c r="K11" s="341" t="s">
        <v>110</v>
      </c>
      <c r="L11" s="339" t="s">
        <v>111</v>
      </c>
      <c r="M11" s="339" t="s">
        <v>112</v>
      </c>
      <c r="N11" s="342" t="s">
        <v>113</v>
      </c>
      <c r="O11" s="339" t="s">
        <v>114</v>
      </c>
      <c r="P11" s="339" t="s">
        <v>115</v>
      </c>
      <c r="Q11" s="339" t="s">
        <v>116</v>
      </c>
      <c r="R11" s="342" t="s">
        <v>113</v>
      </c>
      <c r="S11" s="339" t="s">
        <v>29</v>
      </c>
      <c r="T11" s="343" t="s">
        <v>117</v>
      </c>
      <c r="U11" s="339" t="s">
        <v>31</v>
      </c>
      <c r="V11" s="339" t="s">
        <v>33</v>
      </c>
      <c r="W11" s="339" t="s">
        <v>118</v>
      </c>
      <c r="X11" s="339"/>
      <c r="Y11" s="339"/>
      <c r="Z11" s="339"/>
      <c r="AA11" s="339"/>
      <c r="AB11" s="339"/>
      <c r="AC11" s="343" t="s">
        <v>119</v>
      </c>
      <c r="AD11" s="343" t="s">
        <v>120</v>
      </c>
      <c r="AE11" s="343" t="s">
        <v>113</v>
      </c>
      <c r="AF11" s="343" t="s">
        <v>121</v>
      </c>
      <c r="AG11" s="343" t="s">
        <v>113</v>
      </c>
      <c r="AH11" s="343" t="s">
        <v>122</v>
      </c>
      <c r="AI11" s="343" t="s">
        <v>49</v>
      </c>
      <c r="AJ11" s="339" t="s">
        <v>123</v>
      </c>
      <c r="AK11" s="339" t="s">
        <v>124</v>
      </c>
      <c r="AL11" s="339" t="s">
        <v>125</v>
      </c>
      <c r="AM11" s="339" t="s">
        <v>126</v>
      </c>
      <c r="AN11" s="339" t="s">
        <v>127</v>
      </c>
      <c r="AO11" s="339" t="s">
        <v>128</v>
      </c>
      <c r="AP11" s="339" t="s">
        <v>129</v>
      </c>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row>
    <row r="12" spans="1:273" s="196" customFormat="1" ht="3.75" customHeight="1" x14ac:dyDescent="0.25">
      <c r="A12" s="340"/>
      <c r="B12" s="342"/>
      <c r="C12" s="339"/>
      <c r="D12" s="339"/>
      <c r="E12" s="342"/>
      <c r="F12" s="339"/>
      <c r="G12" s="341"/>
      <c r="H12" s="345"/>
      <c r="I12" s="341"/>
      <c r="J12" s="341"/>
      <c r="K12" s="341"/>
      <c r="L12" s="339"/>
      <c r="M12" s="339"/>
      <c r="N12" s="342"/>
      <c r="O12" s="339"/>
      <c r="P12" s="339"/>
      <c r="Q12" s="342"/>
      <c r="R12" s="342"/>
      <c r="S12" s="339"/>
      <c r="T12" s="343"/>
      <c r="U12" s="339"/>
      <c r="V12" s="339"/>
      <c r="W12" s="193" t="s">
        <v>130</v>
      </c>
      <c r="X12" s="193" t="s">
        <v>131</v>
      </c>
      <c r="Y12" s="193" t="s">
        <v>132</v>
      </c>
      <c r="Z12" s="193" t="s">
        <v>133</v>
      </c>
      <c r="AA12" s="193" t="s">
        <v>134</v>
      </c>
      <c r="AB12" s="193" t="s">
        <v>135</v>
      </c>
      <c r="AC12" s="343"/>
      <c r="AD12" s="343"/>
      <c r="AE12" s="343"/>
      <c r="AF12" s="343"/>
      <c r="AG12" s="343"/>
      <c r="AH12" s="343"/>
      <c r="AI12" s="343"/>
      <c r="AJ12" s="339"/>
      <c r="AK12" s="339"/>
      <c r="AL12" s="339"/>
      <c r="AM12" s="339"/>
      <c r="AN12" s="339"/>
      <c r="AO12" s="339"/>
      <c r="AP12" s="339"/>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194"/>
      <c r="BO12" s="194"/>
      <c r="BP12" s="194"/>
      <c r="BQ12" s="195"/>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c r="CR12" s="195"/>
      <c r="CS12" s="195"/>
      <c r="CT12" s="195"/>
      <c r="CU12" s="195"/>
      <c r="CV12" s="195"/>
      <c r="CW12" s="195"/>
      <c r="CX12" s="195"/>
      <c r="CY12" s="195"/>
      <c r="CZ12" s="195"/>
      <c r="DA12" s="195"/>
      <c r="DB12" s="195"/>
      <c r="DC12" s="195"/>
      <c r="DD12" s="195"/>
      <c r="DE12" s="195"/>
      <c r="DF12" s="195"/>
      <c r="DG12" s="195"/>
      <c r="DH12" s="195"/>
      <c r="DI12" s="195"/>
      <c r="DJ12" s="195"/>
      <c r="DK12" s="195"/>
      <c r="DL12" s="195"/>
      <c r="DM12" s="195"/>
      <c r="DN12" s="195"/>
      <c r="DO12" s="195"/>
      <c r="DP12" s="195"/>
      <c r="DQ12" s="195"/>
      <c r="DR12" s="195"/>
      <c r="DS12" s="195"/>
      <c r="DT12" s="195"/>
      <c r="DU12" s="195"/>
      <c r="DV12" s="195"/>
      <c r="DW12" s="195"/>
      <c r="DX12" s="195"/>
      <c r="DY12" s="195"/>
      <c r="DZ12" s="195"/>
      <c r="EA12" s="195"/>
      <c r="EB12" s="195"/>
      <c r="EC12" s="195"/>
      <c r="ED12" s="195"/>
      <c r="EE12" s="195"/>
      <c r="EF12" s="195"/>
      <c r="EG12" s="195"/>
      <c r="EH12" s="195"/>
      <c r="EI12" s="195"/>
      <c r="EJ12" s="195"/>
      <c r="EK12" s="195"/>
      <c r="EL12" s="195"/>
      <c r="EM12" s="195"/>
      <c r="EN12" s="195"/>
      <c r="EO12" s="195"/>
      <c r="EP12" s="195"/>
      <c r="EQ12" s="195"/>
      <c r="ER12" s="195"/>
      <c r="ES12" s="195"/>
      <c r="ET12" s="195"/>
      <c r="EU12" s="195"/>
      <c r="EV12" s="195"/>
      <c r="EW12" s="195"/>
      <c r="EX12" s="195"/>
      <c r="EY12" s="195"/>
      <c r="EZ12" s="195"/>
      <c r="FA12" s="195"/>
      <c r="FB12" s="195"/>
      <c r="FC12" s="195"/>
      <c r="FD12" s="195"/>
      <c r="FE12" s="195"/>
      <c r="FF12" s="195"/>
      <c r="FG12" s="195"/>
      <c r="FH12" s="195"/>
      <c r="FI12" s="195"/>
      <c r="FJ12" s="195"/>
      <c r="FK12" s="195"/>
      <c r="FL12" s="195"/>
      <c r="FM12" s="195"/>
      <c r="FN12" s="195"/>
      <c r="FO12" s="195"/>
      <c r="FP12" s="195"/>
      <c r="FQ12" s="195"/>
      <c r="FR12" s="195"/>
      <c r="FS12" s="195"/>
      <c r="FT12" s="195"/>
      <c r="FU12" s="195"/>
      <c r="FV12" s="195"/>
      <c r="FW12" s="195"/>
      <c r="FX12" s="195"/>
      <c r="FY12" s="195"/>
      <c r="FZ12" s="195"/>
      <c r="GA12" s="195"/>
      <c r="GB12" s="195"/>
      <c r="GC12" s="195"/>
      <c r="GD12" s="195"/>
      <c r="GE12" s="195"/>
      <c r="GF12" s="195"/>
      <c r="GG12" s="195"/>
      <c r="GH12" s="195"/>
      <c r="GI12" s="195"/>
      <c r="GJ12" s="195"/>
      <c r="GK12" s="195"/>
      <c r="GL12" s="195"/>
      <c r="GM12" s="195"/>
      <c r="GN12" s="195"/>
      <c r="GO12" s="195"/>
      <c r="GP12" s="195"/>
      <c r="GQ12" s="195"/>
      <c r="GR12" s="195"/>
      <c r="GS12" s="195"/>
      <c r="GT12" s="195"/>
      <c r="GU12" s="195"/>
      <c r="GV12" s="195"/>
      <c r="GW12" s="195"/>
      <c r="GX12" s="195"/>
      <c r="GY12" s="195"/>
      <c r="GZ12" s="195"/>
      <c r="HA12" s="195"/>
      <c r="HB12" s="195"/>
      <c r="HC12" s="195"/>
      <c r="HD12" s="195"/>
      <c r="HE12" s="195"/>
      <c r="HF12" s="195"/>
      <c r="HG12" s="195"/>
      <c r="HH12" s="195"/>
      <c r="HI12" s="195"/>
      <c r="HJ12" s="195"/>
      <c r="HK12" s="195"/>
      <c r="HL12" s="195"/>
      <c r="HM12" s="195"/>
      <c r="HN12" s="195"/>
      <c r="HO12" s="195"/>
      <c r="HP12" s="195"/>
      <c r="HQ12" s="195"/>
      <c r="HR12" s="195"/>
      <c r="HS12" s="195"/>
      <c r="HT12" s="195"/>
      <c r="HU12" s="195"/>
      <c r="HV12" s="195"/>
      <c r="HW12" s="195"/>
      <c r="HX12" s="195"/>
      <c r="HY12" s="195"/>
      <c r="HZ12" s="195"/>
      <c r="IA12" s="195"/>
      <c r="IB12" s="195"/>
      <c r="IC12" s="195"/>
      <c r="ID12" s="195"/>
      <c r="IE12" s="195"/>
      <c r="IF12" s="195"/>
      <c r="IG12" s="195"/>
      <c r="IH12" s="195"/>
      <c r="II12" s="195"/>
      <c r="IJ12" s="195"/>
      <c r="IK12" s="195"/>
      <c r="IL12" s="195"/>
      <c r="IM12" s="195"/>
      <c r="IN12" s="195"/>
      <c r="IO12" s="195"/>
      <c r="IP12" s="195"/>
      <c r="IQ12" s="195"/>
      <c r="IR12" s="195"/>
      <c r="IS12" s="195"/>
      <c r="IT12" s="195"/>
      <c r="IU12" s="195"/>
      <c r="IV12" s="195"/>
      <c r="IW12" s="195"/>
      <c r="IX12" s="195"/>
      <c r="IY12" s="195"/>
      <c r="IZ12" s="195"/>
      <c r="JA12" s="195"/>
      <c r="JB12" s="195"/>
      <c r="JC12" s="195"/>
      <c r="JD12" s="195"/>
      <c r="JE12" s="195"/>
      <c r="JF12" s="195"/>
      <c r="JG12" s="195"/>
      <c r="JH12" s="195"/>
      <c r="JI12" s="195"/>
      <c r="JJ12" s="195"/>
      <c r="JK12" s="195"/>
      <c r="JL12" s="195"/>
      <c r="JM12" s="195"/>
    </row>
    <row r="13" spans="1:273" s="198" customFormat="1" ht="180.75" x14ac:dyDescent="0.25">
      <c r="A13" s="318">
        <v>1</v>
      </c>
      <c r="B13" s="528" t="s">
        <v>147</v>
      </c>
      <c r="C13" s="526" t="s">
        <v>437</v>
      </c>
      <c r="D13" s="527" t="s">
        <v>434</v>
      </c>
      <c r="E13" s="320" t="s">
        <v>441</v>
      </c>
      <c r="F13" s="319" t="s">
        <v>137</v>
      </c>
      <c r="G13" s="319" t="s">
        <v>138</v>
      </c>
      <c r="H13" s="332"/>
      <c r="I13" s="332"/>
      <c r="J13" s="332"/>
      <c r="K13" s="332"/>
      <c r="L13" s="321">
        <v>595</v>
      </c>
      <c r="M13" s="317" t="str">
        <f>IF(L13&lt;=0,"",IF(L13&lt;=2,"Muy Baja",IF(L13&lt;=24,"Baja",IF(L13&lt;=500,"Media",IF(L13&lt;=5000,"Alta","Muy Alta")))))</f>
        <v>Alta</v>
      </c>
      <c r="N13" s="281">
        <f>IF(M13="","",IF(M13="Muy Baja",0.2,IF(M13="Baja",0.4,IF(M13="Media",0.6,IF(M13="Alta",0.8,IF(M13="Muy Alta",1,))))))</f>
        <v>0.8</v>
      </c>
      <c r="O13" s="523" t="s">
        <v>215</v>
      </c>
      <c r="P13" s="281" t="str">
        <f>IF(NOT(ISERROR(MATCH(O13,'Tabla Impacto'!$B$222:$B$224,0))),'Tabla Impacto'!$F$224&amp;"Por favor no seleccionar los criterios de impacto(Afectación Económica o presupuestal y Pérdida Reputacional)",O13)</f>
        <v xml:space="preserve">     El riesgo afecta la imagen de la entidad internamente, de conocimiento general, nivel interno, de junta dircetiva y accionistas y/o de provedores</v>
      </c>
      <c r="Q13" s="317" t="str">
        <f>IF(OR(P13='Tabla Impacto'!$C$12,P13='Tabla Impacto'!$D$12),"Leve",IF(OR(P13='Tabla Impacto'!$C$13,P13='Tabla Impacto'!$D$13),"Menor",IF(OR(P13='Tabla Impacto'!$C$14,P13='Tabla Impacto'!$D$14),"Moderado",IF(OR(P13='Tabla Impacto'!$C$15,P13='Tabla Impacto'!$D$15),"Mayor",IF(OR(P13='Tabla Impacto'!$C$16,P13='Tabla Impacto'!$D$16),"Catastrófico","")))))</f>
        <v>Menor</v>
      </c>
      <c r="R13" s="281">
        <f>IF(Q13="","",IF(Q13="Leve",0.2,IF(Q13="Menor",0.4,IF(Q13="Moderado",0.6,IF(Q13="Mayor",0.8,IF(Q13="Catastrófico",1,))))))</f>
        <v>0.4</v>
      </c>
      <c r="S13" s="282"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197">
        <v>1</v>
      </c>
      <c r="U13" s="204" t="s">
        <v>446</v>
      </c>
      <c r="V13" s="165" t="str">
        <f t="shared" ref="V13:V14" si="0">IF(OR(W13="Preventivo",W13="Detectivo"),"Probabilidad",IF(W13="Correctivo","Impacto",""))</f>
        <v>Probabilidad</v>
      </c>
      <c r="W13" s="166" t="s">
        <v>142</v>
      </c>
      <c r="X13" s="166" t="s">
        <v>141</v>
      </c>
      <c r="Y13" s="167" t="str">
        <f>IF(AND(W13="Preventivo",X13="Automático"),"50%",IF(AND(W13="Preventivo",X13="Manual"),"40%",IF(AND(W13="Detectivo",X13="Automático"),"40%",IF(AND(W13="Detectivo",X13="Manual"),"30%",IF(AND(W13="Correctivo",X13="Automático"),"35%",IF(AND(W13="Correctivo",X13="Manual"),"25%",""))))))</f>
        <v>30%</v>
      </c>
      <c r="Z13" s="166" t="s">
        <v>144</v>
      </c>
      <c r="AA13" s="166" t="s">
        <v>145</v>
      </c>
      <c r="AB13" s="166" t="s">
        <v>146</v>
      </c>
      <c r="AC13" s="168">
        <f>IFERROR(IF(V13="Probabilidad",(N13-(+N13*Y13)),IF(V13="Impacto",N13,"")),"")</f>
        <v>0.56000000000000005</v>
      </c>
      <c r="AD13" s="169" t="str">
        <f>IFERROR(IF(AC13="","",IF(AC13&lt;=0.2,"Muy Baja",IF(AC13&lt;=0.4,"Baja",IF(AC13&lt;=0.6,"Media",IF(AC13&lt;=0.8,"Alta","Muy Alta"))))),"")</f>
        <v>Media</v>
      </c>
      <c r="AE13" s="167">
        <f>+AC13</f>
        <v>0.56000000000000005</v>
      </c>
      <c r="AF13" s="169" t="str">
        <f>IFERROR(IF(AG13="","",IF(AG13&lt;=0.2,"Leve",IF(AG13&lt;=0.4,"Menor",IF(AG13&lt;=0.6,"Moderado",IF(AG13&lt;=0.8,"Mayor","Catastrófico"))))),"")</f>
        <v>Menor</v>
      </c>
      <c r="AG13" s="167">
        <f>IFERROR(IF(V13="Impacto",(R13-(+R13*Y13)),IF(V13="Probabilidad",R13,"")),"")</f>
        <v>0.4</v>
      </c>
      <c r="AH13" s="170"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171" t="s">
        <v>143</v>
      </c>
      <c r="AJ13" s="216" t="s">
        <v>438</v>
      </c>
      <c r="AK13" s="217" t="s">
        <v>426</v>
      </c>
      <c r="AL13" s="524" t="s">
        <v>442</v>
      </c>
      <c r="AM13" s="220" t="s">
        <v>425</v>
      </c>
      <c r="AN13" s="320" t="s">
        <v>464</v>
      </c>
      <c r="AO13" s="320" t="s">
        <v>424</v>
      </c>
      <c r="AP13" s="320" t="s">
        <v>423</v>
      </c>
    </row>
    <row r="14" spans="1:273" s="174" customFormat="1" ht="227.25" customHeight="1" x14ac:dyDescent="0.2">
      <c r="A14" s="318"/>
      <c r="B14" s="528"/>
      <c r="C14" s="526"/>
      <c r="D14" s="319"/>
      <c r="E14" s="320"/>
      <c r="F14" s="319"/>
      <c r="G14" s="319"/>
      <c r="H14" s="332"/>
      <c r="I14" s="332"/>
      <c r="J14" s="332"/>
      <c r="K14" s="332"/>
      <c r="L14" s="321"/>
      <c r="M14" s="317"/>
      <c r="N14" s="281"/>
      <c r="O14" s="523"/>
      <c r="P14" s="281">
        <f ca="1">IF(NOT(ISERROR(MATCH(O14,_xlfn.ANCHORARRAY(E17),0))),#REF!&amp;"Por favor no seleccionar los criterios de impacto",O14)</f>
        <v>0</v>
      </c>
      <c r="Q14" s="317"/>
      <c r="R14" s="281"/>
      <c r="S14" s="282"/>
      <c r="T14" s="197">
        <v>2</v>
      </c>
      <c r="U14" s="204" t="s">
        <v>436</v>
      </c>
      <c r="V14" s="165" t="str">
        <f t="shared" si="0"/>
        <v>Probabilidad</v>
      </c>
      <c r="W14" s="166" t="s">
        <v>142</v>
      </c>
      <c r="X14" s="166" t="s">
        <v>141</v>
      </c>
      <c r="Y14" s="167" t="str">
        <f t="shared" ref="Y14" si="1">IF(AND(W14="Preventivo",X14="Automático"),"50%",IF(AND(W14="Preventivo",X14="Manual"),"40%",IF(AND(W14="Detectivo",X14="Automático"),"40%",IF(AND(W14="Detectivo",X14="Manual"),"30%",IF(AND(W14="Correctivo",X14="Automático"),"35%",IF(AND(W14="Correctivo",X14="Manual"),"25%",""))))))</f>
        <v>30%</v>
      </c>
      <c r="Z14" s="166" t="s">
        <v>144</v>
      </c>
      <c r="AA14" s="166" t="s">
        <v>351</v>
      </c>
      <c r="AB14" s="166" t="s">
        <v>146</v>
      </c>
      <c r="AC14" s="168">
        <f>IFERROR(IF(AND(V13="Probabilidad",V14="Probabilidad"),(AE13-(+AE13*Y14)),IF(V14="Probabilidad",(N13-(+N13*Y14)),IF(V14="Impacto",AE13,""))),"")</f>
        <v>0.39200000000000002</v>
      </c>
      <c r="AD14" s="169" t="str">
        <f t="shared" ref="AD14:AD60" si="2">IFERROR(IF(AC14="","",IF(AC14&lt;=0.2,"Muy Baja",IF(AC14&lt;=0.4,"Baja",IF(AC14&lt;=0.6,"Media",IF(AC14&lt;=0.8,"Alta","Muy Alta"))))),"")</f>
        <v>Baja</v>
      </c>
      <c r="AE14" s="167">
        <f t="shared" ref="AE14" si="3">+AC14</f>
        <v>0.39200000000000002</v>
      </c>
      <c r="AF14" s="169" t="str">
        <f t="shared" ref="AF14:AF60" si="4">IFERROR(IF(AG14="","",IF(AG14&lt;=0.2,"Leve",IF(AG14&lt;=0.4,"Menor",IF(AG14&lt;=0.6,"Moderado",IF(AG14&lt;=0.8,"Mayor","Catastrófico"))))),"")</f>
        <v>Menor</v>
      </c>
      <c r="AG14" s="167">
        <f>IFERROR(IF(AND(V13="Impacto",V14="Impacto"),(AG13-(+AG13*Y14)),IF(V14="Impacto",($R$13-(+$R$13*Y14)),IF(V14="Probabilidad",AG13,""))),"")</f>
        <v>0.4</v>
      </c>
      <c r="AH14" s="170" t="str">
        <f t="shared" ref="AH14"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171" t="s">
        <v>143</v>
      </c>
      <c r="AJ14" s="216" t="s">
        <v>439</v>
      </c>
      <c r="AK14" s="219" t="s">
        <v>427</v>
      </c>
      <c r="AL14" s="525" t="s">
        <v>440</v>
      </c>
      <c r="AM14" s="218" t="s">
        <v>428</v>
      </c>
      <c r="AN14" s="320"/>
      <c r="AO14" s="320"/>
      <c r="AP14" s="320"/>
    </row>
    <row r="15" spans="1:273" s="174" customFormat="1" ht="163.5" customHeight="1" x14ac:dyDescent="0.2">
      <c r="A15" s="318">
        <v>2</v>
      </c>
      <c r="B15" s="528" t="s">
        <v>147</v>
      </c>
      <c r="C15" s="526" t="s">
        <v>443</v>
      </c>
      <c r="D15" s="527" t="s">
        <v>444</v>
      </c>
      <c r="E15" s="320" t="s">
        <v>445</v>
      </c>
      <c r="F15" s="319" t="s">
        <v>137</v>
      </c>
      <c r="G15" s="319" t="s">
        <v>138</v>
      </c>
      <c r="H15" s="332"/>
      <c r="I15" s="332"/>
      <c r="J15" s="332"/>
      <c r="K15" s="332"/>
      <c r="L15" s="321">
        <v>120</v>
      </c>
      <c r="M15" s="317" t="str">
        <f>IF(L15&lt;=0,"",IF(L15&lt;=2,"Muy Baja",IF(L15&lt;=24,"Baja",IF(L15&lt;=500,"Media",IF(L15&lt;=5000,"Alta","Muy Alta")))))</f>
        <v>Media</v>
      </c>
      <c r="N15" s="281">
        <f>IF(M15="","",IF(M15="Muy Baja",0.2,IF(M15="Baja",0.4,IF(M15="Media",0.6,IF(M15="Alta",0.8,IF(M15="Muy Alta",1,))))))</f>
        <v>0.6</v>
      </c>
      <c r="O15" s="316" t="s">
        <v>139</v>
      </c>
      <c r="P15" s="281" t="str">
        <f>IF(NOT(ISERROR(MATCH(O15,'Tabla Impacto'!$B$222:$B$224,0))),'Tabla Impacto'!$F$224&amp;"Por favor no seleccionar los criterios de impacto(Afectación Económica o presupuestal y Pérdida Reputacional)",O15)</f>
        <v xml:space="preserve">     El riesgo afecta la imagen de la entidad con algunos usuarios de relevancia frente al logro de los objetivos</v>
      </c>
      <c r="Q15" s="317" t="str">
        <f>IF(OR(P15='Tabla Impacto'!$C$12,P15='Tabla Impacto'!$D$12),"Leve",IF(OR(P15='Tabla Impacto'!$C$13,P15='Tabla Impacto'!$D$13),"Menor",IF(OR(P15='Tabla Impacto'!$C$14,P15='Tabla Impacto'!$D$14),"Moderado",IF(OR(P15='Tabla Impacto'!$C$15,P15='Tabla Impacto'!$D$15),"Mayor",IF(OR(P15='Tabla Impacto'!$C$16,P15='Tabla Impacto'!$D$16),"Catastrófico","")))))</f>
        <v>Moderado</v>
      </c>
      <c r="R15" s="281">
        <f>IF(Q15="","",IF(Q15="Leve",0.2,IF(Q15="Menor",0.4,IF(Q15="Moderado",0.6,IF(Q15="Mayor",0.8,IF(Q15="Catastrófico",1,))))))</f>
        <v>0.6</v>
      </c>
      <c r="S15" s="282" t="str">
        <f>IF(OR(AND(M15="Muy Baja",Q15="Leve"),AND(M15="Muy Baja",Q15="Menor"),AND(M15="Baja",Q15="Leve")),"Bajo",IF(OR(AND(M15="Muy baja",Q15="Moderado"),AND(M15="Baja",Q15="Menor"),AND(M15="Baja",Q15="Moderado"),AND(M15="Media",Q15="Leve"),AND(M15="Media",Q15="Menor"),AND(M15="Media",Q15="Moderado"),AND(M15="Alta",Q15="Leve"),AND(M15="Alta",Q15="Menor")),"Moderado",IF(OR(AND(M15="Muy Baja",Q15="Mayor"),AND(M15="Baja",Q15="Mayor"),AND(M15="Media",Q15="Mayor"),AND(M15="Alta",Q15="Moderado"),AND(M15="Alta",Q15="Mayor"),AND(M15="Muy Alta",Q15="Leve"),AND(M15="Muy Alta",Q15="Menor"),AND(M15="Muy Alta",Q15="Moderado"),AND(M15="Muy Alta",Q15="Mayor")),"Alto",IF(OR(AND(M15="Muy Baja",Q15="Catastrófico"),AND(M15="Baja",Q15="Catastrófico"),AND(M15="Media",Q15="Catastrófico"),AND(M15="Alta",Q15="Catastrófico"),AND(M15="Muy Alta",Q15="Catastrófico")),"Extremo",""))))</f>
        <v>Moderado</v>
      </c>
      <c r="T15" s="197">
        <v>1</v>
      </c>
      <c r="U15" s="205" t="s">
        <v>447</v>
      </c>
      <c r="V15" s="165" t="str">
        <f>IF(OR(W15="Preventivo",W15="Detectivo"),"Probabilidad",IF(W15="Correctivo","Impacto",""))</f>
        <v>Probabilidad</v>
      </c>
      <c r="W15" s="166" t="s">
        <v>140</v>
      </c>
      <c r="X15" s="166" t="s">
        <v>141</v>
      </c>
      <c r="Y15" s="167" t="str">
        <f>IF(AND(W15="Preventivo",X15="Automático"),"50%",IF(AND(W15="Preventivo",X15="Manual"),"40%",IF(AND(W15="Detectivo",X15="Automático"),"40%",IF(AND(W15="Detectivo",X15="Manual"),"30%",IF(AND(W15="Correctivo",X15="Automático"),"35%",IF(AND(W15="Correctivo",X15="Manual"),"25%",""))))))</f>
        <v>40%</v>
      </c>
      <c r="Z15" s="206" t="s">
        <v>144</v>
      </c>
      <c r="AA15" s="166" t="s">
        <v>145</v>
      </c>
      <c r="AB15" s="166" t="s">
        <v>146</v>
      </c>
      <c r="AC15" s="168">
        <f>IFERROR(IF(V15="Probabilidad",(N15-(+N15*Y15)),IF(V15="Impacto",N15,"")),"")</f>
        <v>0.36</v>
      </c>
      <c r="AD15" s="169" t="str">
        <f>IFERROR(IF(AC15="","",IF(AC15&lt;=0.2,"Muy Baja",IF(AC15&lt;=0.4,"Baja",IF(AC15&lt;=0.6,"Media",IF(AC15&lt;=0.8,"Alta","Muy Alta"))))),"")</f>
        <v>Baja</v>
      </c>
      <c r="AE15" s="167">
        <f>+AC15</f>
        <v>0.36</v>
      </c>
      <c r="AF15" s="169" t="str">
        <f>IFERROR(IF(AG15="","",IF(AG15&lt;=0.2,"Leve",IF(AG15&lt;=0.4,"Menor",IF(AG15&lt;=0.6,"Moderado",IF(AG15&lt;=0.8,"Mayor","Catastrófico"))))),"")</f>
        <v>Moderado</v>
      </c>
      <c r="AG15" s="167">
        <f t="shared" ref="AG15" si="6">IFERROR(IF(V15="Impacto",(R15-(+R15*Y15)),IF(V15="Probabilidad",R15,"")),"")</f>
        <v>0.6</v>
      </c>
      <c r="AH15" s="170" t="str">
        <f>IFERROR(IF(OR(AND(AD15="Muy Baja",AF15="Leve"),AND(AD15="Muy Baja",AF15="Menor"),AND(AD15="Baja",AF15="Leve")),"Bajo",IF(OR(AND(AD15="Muy baja",AF15="Moderado"),AND(AD15="Baja",AF15="Menor"),AND(AD15="Baja",AF15="Moderado"),AND(AD15="Media",AF15="Leve"),AND(AD15="Media",AF15="Menor"),AND(AD15="Media",AF15="Moderado"),AND(AD15="Alta",AF15="Leve"),AND(AD15="Alta",AF15="Menor")),"Moderado",IF(OR(AND(AD15="Muy Baja",AF15="Mayor"),AND(AD15="Baja",AF15="Mayor"),AND(AD15="Media",AF15="Mayor"),AND(AD15="Alta",AF15="Moderado"),AND(AD15="Alta",AF15="Mayor"),AND(AD15="Muy Alta",AF15="Leve"),AND(AD15="Muy Alta",AF15="Menor"),AND(AD15="Muy Alta",AF15="Moderado"),AND(AD15="Muy Alta",AF15="Mayor")),"Alto",IF(OR(AND(AD15="Muy Baja",AF15="Catastrófico"),AND(AD15="Baja",AF15="Catastrófico"),AND(AD15="Media",AF15="Catastrófico"),AND(AD15="Alta",AF15="Catastrófico"),AND(AD15="Muy Alta",AF15="Catastrófico")),"Extremo","")))),"")</f>
        <v>Moderado</v>
      </c>
      <c r="AI15" s="171" t="s">
        <v>143</v>
      </c>
      <c r="AJ15" s="216" t="s">
        <v>450</v>
      </c>
      <c r="AK15" s="219" t="s">
        <v>423</v>
      </c>
      <c r="AL15" s="524" t="s">
        <v>451</v>
      </c>
      <c r="AM15" s="218" t="s">
        <v>428</v>
      </c>
      <c r="AN15" s="320" t="s">
        <v>453</v>
      </c>
      <c r="AO15" s="320" t="s">
        <v>454</v>
      </c>
      <c r="AP15" s="320" t="s">
        <v>423</v>
      </c>
    </row>
    <row r="16" spans="1:273" s="174" customFormat="1" ht="186" customHeight="1" x14ac:dyDescent="0.2">
      <c r="A16" s="318"/>
      <c r="B16" s="528"/>
      <c r="C16" s="526"/>
      <c r="D16" s="319"/>
      <c r="E16" s="320"/>
      <c r="F16" s="319"/>
      <c r="G16" s="319"/>
      <c r="H16" s="332"/>
      <c r="I16" s="332"/>
      <c r="J16" s="332"/>
      <c r="K16" s="332"/>
      <c r="L16" s="321"/>
      <c r="M16" s="317"/>
      <c r="N16" s="281"/>
      <c r="O16" s="316"/>
      <c r="P16" s="281">
        <f ca="1">IF(NOT(ISERROR(MATCH(O16,_xlfn.ANCHORARRAY(E19),0))),N21&amp;"Por favor no seleccionar los criterios de impacto",O16)</f>
        <v>0</v>
      </c>
      <c r="Q16" s="317"/>
      <c r="R16" s="281"/>
      <c r="S16" s="282"/>
      <c r="T16" s="197">
        <v>2</v>
      </c>
      <c r="U16" s="204" t="s">
        <v>448</v>
      </c>
      <c r="V16" s="165" t="str">
        <f>IF(OR(W16="Preventivo",W16="Detectivo"),"Probabilidad",IF(W16="Correctivo","Impacto",""))</f>
        <v>Probabilidad</v>
      </c>
      <c r="W16" s="166" t="s">
        <v>142</v>
      </c>
      <c r="X16" s="166" t="s">
        <v>141</v>
      </c>
      <c r="Y16" s="167" t="str">
        <f t="shared" ref="Y16" si="7">IF(AND(W16="Preventivo",X16="Automático"),"50%",IF(AND(W16="Preventivo",X16="Manual"),"40%",IF(AND(W16="Detectivo",X16="Automático"),"40%",IF(AND(W16="Detectivo",X16="Manual"),"30%",IF(AND(W16="Correctivo",X16="Automático"),"35%",IF(AND(W16="Correctivo",X16="Manual"),"25%",""))))))</f>
        <v>30%</v>
      </c>
      <c r="Z16" s="206" t="s">
        <v>144</v>
      </c>
      <c r="AA16" s="166" t="s">
        <v>145</v>
      </c>
      <c r="AB16" s="166" t="s">
        <v>146</v>
      </c>
      <c r="AC16" s="168">
        <f>IFERROR(IF(AND(V15="Probabilidad",V16="Probabilidad"),(AE15-(+AE15*Y16)),IF(V16="Probabilidad",(N15-(+N15*Y16)),IF(V16="Impacto",AE15,""))),"")</f>
        <v>0.252</v>
      </c>
      <c r="AD16" s="169" t="str">
        <f t="shared" si="2"/>
        <v>Baja</v>
      </c>
      <c r="AE16" s="167">
        <f t="shared" ref="AE16" si="8">+AC16</f>
        <v>0.252</v>
      </c>
      <c r="AF16" s="169" t="str">
        <f t="shared" si="4"/>
        <v>Moderado</v>
      </c>
      <c r="AG16" s="167">
        <f t="shared" ref="AG16" si="9">IFERROR(IF(AND(V15="Impacto",V16="Impacto"),(AG15-(+AG15*Y16)),IF(V16="Impacto",($R$13-(+$R$13*Y16)),IF(V16="Probabilidad",AG15,""))),"")</f>
        <v>0.6</v>
      </c>
      <c r="AH16" s="170" t="str">
        <f t="shared" ref="AH16" si="10">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Moderado</v>
      </c>
      <c r="AI16" s="171" t="s">
        <v>143</v>
      </c>
      <c r="AJ16" s="216" t="s">
        <v>449</v>
      </c>
      <c r="AK16" s="219" t="s">
        <v>423</v>
      </c>
      <c r="AL16" s="524" t="s">
        <v>452</v>
      </c>
      <c r="AM16" s="218" t="s">
        <v>428</v>
      </c>
      <c r="AN16" s="320"/>
      <c r="AO16" s="320"/>
      <c r="AP16" s="320"/>
    </row>
    <row r="17" spans="1:42" s="174" customFormat="1" ht="195" customHeight="1" x14ac:dyDescent="0.2">
      <c r="A17" s="318">
        <v>3</v>
      </c>
      <c r="B17" s="528" t="s">
        <v>136</v>
      </c>
      <c r="C17" s="526" t="s">
        <v>466</v>
      </c>
      <c r="D17" s="527" t="s">
        <v>455</v>
      </c>
      <c r="E17" s="320" t="s">
        <v>465</v>
      </c>
      <c r="F17" s="319" t="s">
        <v>150</v>
      </c>
      <c r="G17" s="319" t="s">
        <v>155</v>
      </c>
      <c r="H17" s="319" t="s">
        <v>152</v>
      </c>
      <c r="I17" s="319" t="s">
        <v>382</v>
      </c>
      <c r="J17" s="319" t="s">
        <v>306</v>
      </c>
      <c r="K17" s="319" t="s">
        <v>383</v>
      </c>
      <c r="L17" s="321">
        <v>120</v>
      </c>
      <c r="M17" s="317" t="str">
        <f>IF(L17&lt;=0,"",IF(L17&lt;=2,"Muy Baja",IF(L17&lt;=24,"Baja",IF(L17&lt;=500,"Media",IF(L17&lt;=5000,"Alta","Muy Alta")))))</f>
        <v>Media</v>
      </c>
      <c r="N17" s="281">
        <f>IF(M17="","",IF(M17="Muy Baja",0.2,IF(M17="Baja",0.4,IF(M17="Media",0.6,IF(M17="Alta",0.8,IF(M17="Muy Alta",1,))))))</f>
        <v>0.6</v>
      </c>
      <c r="O17" s="316" t="s">
        <v>139</v>
      </c>
      <c r="P17" s="281" t="str">
        <f>IF(NOT(ISERROR(MATCH(O17,'Tabla Impacto'!$B$222:$B$224,0))),'Tabla Impacto'!$F$224&amp;"Por favor no seleccionar los criterios de impacto(Afectación Económica o presupuestal y Pérdida Reputacional)",O17)</f>
        <v xml:space="preserve">     El riesgo afecta la imagen de la entidad con algunos usuarios de relevancia frente al logro de los objetivos</v>
      </c>
      <c r="Q17" s="317" t="str">
        <f>IF(OR(P17='Tabla Impacto'!$C$12,P17='Tabla Impacto'!$D$12),"Leve",IF(OR(P17='Tabla Impacto'!$C$13,P17='Tabla Impacto'!$D$13),"Menor",IF(OR(P17='Tabla Impacto'!$C$14,P17='Tabla Impacto'!$D$14),"Moderado",IF(OR(P17='Tabla Impacto'!$C$15,P17='Tabla Impacto'!$D$15),"Mayor",IF(OR(P17='Tabla Impacto'!$C$16,P17='Tabla Impacto'!$D$16),"Catastrófico","")))))</f>
        <v>Moderado</v>
      </c>
      <c r="R17" s="281">
        <f>IF(Q17="","",IF(Q17="Leve",0.2,IF(Q17="Menor",0.4,IF(Q17="Moderado",0.6,IF(Q17="Mayor",0.8,IF(Q17="Catastrófico",1,))))))</f>
        <v>0.6</v>
      </c>
      <c r="S17" s="282" t="str">
        <f>IF(OR(AND(M17="Muy Baja",Q17="Leve"),AND(M17="Muy Baja",Q17="Menor"),AND(M17="Baja",Q17="Leve")),"Bajo",IF(OR(AND(M17="Muy baja",Q17="Moderado"),AND(M17="Baja",Q17="Menor"),AND(M17="Baja",Q17="Moderado"),AND(M17="Media",Q17="Leve"),AND(M17="Media",Q17="Menor"),AND(M17="Media",Q17="Moderado"),AND(M17="Alta",Q17="Leve"),AND(M17="Alta",Q17="Menor")),"Moderado",IF(OR(AND(M17="Muy Baja",Q17="Mayor"),AND(M17="Baja",Q17="Mayor"),AND(M17="Media",Q17="Mayor"),AND(M17="Alta",Q17="Moderado"),AND(M17="Alta",Q17="Mayor"),AND(M17="Muy Alta",Q17="Leve"),AND(M17="Muy Alta",Q17="Menor"),AND(M17="Muy Alta",Q17="Moderado"),AND(M17="Muy Alta",Q17="Mayor")),"Alto",IF(OR(AND(M17="Muy Baja",Q17="Catastrófico"),AND(M17="Baja",Q17="Catastrófico"),AND(M17="Media",Q17="Catastrófico"),AND(M17="Alta",Q17="Catastrófico"),AND(M17="Muy Alta",Q17="Catastrófico")),"Extremo",""))))</f>
        <v>Moderado</v>
      </c>
      <c r="T17" s="197">
        <v>1</v>
      </c>
      <c r="U17" s="204" t="s">
        <v>456</v>
      </c>
      <c r="V17" s="165" t="str">
        <f>IF(OR(W17="Preventivo",W17="Detectivo"),"Probabilidad",IF(W17="Correctivo","Impacto",""))</f>
        <v>Probabilidad</v>
      </c>
      <c r="W17" s="166" t="s">
        <v>140</v>
      </c>
      <c r="X17" s="166" t="s">
        <v>141</v>
      </c>
      <c r="Y17" s="167" t="str">
        <f>IF(AND(W17="Preventivo",X17="Automático"),"50%",IF(AND(W17="Preventivo",X17="Manual"),"40%",IF(AND(W17="Detectivo",X17="Automático"),"40%",IF(AND(W17="Detectivo",X17="Manual"),"30%",IF(AND(W17="Correctivo",X17="Automático"),"35%",IF(AND(W17="Correctivo",X17="Manual"),"25%",""))))))</f>
        <v>40%</v>
      </c>
      <c r="Z17" s="206" t="s">
        <v>144</v>
      </c>
      <c r="AA17" s="166" t="s">
        <v>145</v>
      </c>
      <c r="AB17" s="166" t="s">
        <v>146</v>
      </c>
      <c r="AC17" s="168">
        <f>IFERROR(IF(V17="Probabilidad",(N17-(+N17*Y17)),IF(V17="Impacto",N17,"")),"")</f>
        <v>0.36</v>
      </c>
      <c r="AD17" s="169" t="str">
        <f>IFERROR(IF(AC17="","",IF(AC17&lt;=0.2,"Muy Baja",IF(AC17&lt;=0.4,"Baja",IF(AC17&lt;=0.6,"Media",IF(AC17&lt;=0.8,"Alta","Muy Alta"))))),"")</f>
        <v>Baja</v>
      </c>
      <c r="AE17" s="167">
        <f>+AC17</f>
        <v>0.36</v>
      </c>
      <c r="AF17" s="169" t="str">
        <f>IFERROR(IF(AG17="","",IF(AG17&lt;=0.2,"Leve",IF(AG17&lt;=0.4,"Menor",IF(AG17&lt;=0.6,"Moderado",IF(AG17&lt;=0.8,"Mayor","Catastrófico"))))),"")</f>
        <v>Moderado</v>
      </c>
      <c r="AG17" s="167">
        <f t="shared" ref="AG17" si="11">IFERROR(IF(V17="Impacto",(R17-(+R17*Y17)),IF(V17="Probabilidad",R17,"")),"")</f>
        <v>0.6</v>
      </c>
      <c r="AH17" s="170" t="str">
        <f>IFERROR(IF(OR(AND(AD17="Muy Baja",AF17="Leve"),AND(AD17="Muy Baja",AF17="Menor"),AND(AD17="Baja",AF17="Leve")),"Bajo",IF(OR(AND(AD17="Muy baja",AF17="Moderado"),AND(AD17="Baja",AF17="Menor"),AND(AD17="Baja",AF17="Moderado"),AND(AD17="Media",AF17="Leve"),AND(AD17="Media",AF17="Menor"),AND(AD17="Media",AF17="Moderado"),AND(AD17="Alta",AF17="Leve"),AND(AD17="Alta",AF17="Menor")),"Moderado",IF(OR(AND(AD17="Muy Baja",AF17="Mayor"),AND(AD17="Baja",AF17="Mayor"),AND(AD17="Media",AF17="Mayor"),AND(AD17="Alta",AF17="Moderado"),AND(AD17="Alta",AF17="Mayor"),AND(AD17="Muy Alta",AF17="Leve"),AND(AD17="Muy Alta",AF17="Menor"),AND(AD17="Muy Alta",AF17="Moderado"),AND(AD17="Muy Alta",AF17="Mayor")),"Alto",IF(OR(AND(AD17="Muy Baja",AF17="Catastrófico"),AND(AD17="Baja",AF17="Catastrófico"),AND(AD17="Media",AF17="Catastrófico"),AND(AD17="Alta",AF17="Catastrófico"),AND(AD17="Muy Alta",AF17="Catastrófico")),"Extremo","")))),"")</f>
        <v>Moderado</v>
      </c>
      <c r="AI17" s="171" t="s">
        <v>143</v>
      </c>
      <c r="AJ17" s="216" t="s">
        <v>457</v>
      </c>
      <c r="AK17" s="217" t="s">
        <v>429</v>
      </c>
      <c r="AL17" s="219" t="s">
        <v>458</v>
      </c>
      <c r="AM17" s="218" t="s">
        <v>461</v>
      </c>
      <c r="AN17" s="320" t="s">
        <v>459</v>
      </c>
      <c r="AO17" s="320" t="s">
        <v>424</v>
      </c>
      <c r="AP17" s="320" t="s">
        <v>423</v>
      </c>
    </row>
    <row r="18" spans="1:42" s="174" customFormat="1" ht="232.5" customHeight="1" x14ac:dyDescent="0.2">
      <c r="A18" s="318"/>
      <c r="B18" s="528"/>
      <c r="C18" s="526"/>
      <c r="D18" s="319"/>
      <c r="E18" s="320"/>
      <c r="F18" s="319"/>
      <c r="G18" s="319"/>
      <c r="H18" s="319"/>
      <c r="I18" s="319"/>
      <c r="J18" s="319"/>
      <c r="K18" s="319"/>
      <c r="L18" s="321"/>
      <c r="M18" s="317"/>
      <c r="N18" s="281"/>
      <c r="O18" s="316"/>
      <c r="P18" s="281">
        <f ca="1">IF(NOT(ISERROR(MATCH(O18,_xlfn.ANCHORARRAY(E25),0))),N27&amp;"Por favor no seleccionar los criterios de impacto",O18)</f>
        <v>0</v>
      </c>
      <c r="Q18" s="317"/>
      <c r="R18" s="281"/>
      <c r="S18" s="282"/>
      <c r="T18" s="197">
        <v>2</v>
      </c>
      <c r="U18" s="204" t="s">
        <v>463</v>
      </c>
      <c r="V18" s="165" t="str">
        <f>IF(OR(W18="Preventivo",W18="Detectivo"),"Probabilidad",IF(W18="Correctivo","Impacto",""))</f>
        <v>Probabilidad</v>
      </c>
      <c r="W18" s="166" t="s">
        <v>140</v>
      </c>
      <c r="X18" s="166" t="s">
        <v>141</v>
      </c>
      <c r="Y18" s="167" t="str">
        <f t="shared" ref="Y18" si="12">IF(AND(W18="Preventivo",X18="Automático"),"50%",IF(AND(W18="Preventivo",X18="Manual"),"40%",IF(AND(W18="Detectivo",X18="Automático"),"40%",IF(AND(W18="Detectivo",X18="Manual"),"30%",IF(AND(W18="Correctivo",X18="Automático"),"35%",IF(AND(W18="Correctivo",X18="Manual"),"25%",""))))))</f>
        <v>40%</v>
      </c>
      <c r="Z18" s="206" t="s">
        <v>144</v>
      </c>
      <c r="AA18" s="166" t="s">
        <v>145</v>
      </c>
      <c r="AB18" s="166" t="s">
        <v>146</v>
      </c>
      <c r="AC18" s="168">
        <f>IFERROR(IF(AND(V17="Probabilidad",V18="Probabilidad"),(AE17-(+AE17*Y18)),IF(V18="Probabilidad",(N17-(+N17*Y18)),IF(V18="Impacto",AE17,""))),"")</f>
        <v>0.216</v>
      </c>
      <c r="AD18" s="169" t="str">
        <f t="shared" si="2"/>
        <v>Baja</v>
      </c>
      <c r="AE18" s="167">
        <f t="shared" ref="AE18" si="13">+AC18</f>
        <v>0.216</v>
      </c>
      <c r="AF18" s="169" t="str">
        <f t="shared" si="4"/>
        <v>Moderado</v>
      </c>
      <c r="AG18" s="167">
        <f t="shared" ref="AG18" si="14">IFERROR(IF(AND(V17="Impacto",V18="Impacto"),(AG17-(+AG17*Y18)),IF(V18="Impacto",($R$13-(+$R$13*Y18)),IF(V18="Probabilidad",AG17,""))),"")</f>
        <v>0.6</v>
      </c>
      <c r="AH18" s="170" t="str">
        <f t="shared" ref="AH18" si="15">IFERROR(IF(OR(AND(AD18="Muy Baja",AF18="Leve"),AND(AD18="Muy Baja",AF18="Menor"),AND(AD18="Baja",AF18="Leve")),"Bajo",IF(OR(AND(AD18="Muy baja",AF18="Moderado"),AND(AD18="Baja",AF18="Menor"),AND(AD18="Baja",AF18="Moderado"),AND(AD18="Media",AF18="Leve"),AND(AD18="Media",AF18="Menor"),AND(AD18="Media",AF18="Moderado"),AND(AD18="Alta",AF18="Leve"),AND(AD18="Alta",AF18="Menor")),"Moderado",IF(OR(AND(AD18="Muy Baja",AF18="Mayor"),AND(AD18="Baja",AF18="Mayor"),AND(AD18="Media",AF18="Mayor"),AND(AD18="Alta",AF18="Moderado"),AND(AD18="Alta",AF18="Mayor"),AND(AD18="Muy Alta",AF18="Leve"),AND(AD18="Muy Alta",AF18="Menor"),AND(AD18="Muy Alta",AF18="Moderado"),AND(AD18="Muy Alta",AF18="Mayor")),"Alto",IF(OR(AND(AD18="Muy Baja",AF18="Catastrófico"),AND(AD18="Baja",AF18="Catastrófico"),AND(AD18="Media",AF18="Catastrófico"),AND(AD18="Alta",AF18="Catastrófico"),AND(AD18="Muy Alta",AF18="Catastrófico")),"Extremo","")))),"")</f>
        <v>Moderado</v>
      </c>
      <c r="AI18" s="171" t="s">
        <v>143</v>
      </c>
      <c r="AJ18" s="216" t="s">
        <v>467</v>
      </c>
      <c r="AK18" s="219" t="s">
        <v>460</v>
      </c>
      <c r="AL18" s="219" t="s">
        <v>468</v>
      </c>
      <c r="AM18" s="218" t="s">
        <v>462</v>
      </c>
      <c r="AN18" s="320"/>
      <c r="AO18" s="320"/>
      <c r="AP18" s="320"/>
    </row>
    <row r="19" spans="1:42" s="174" customFormat="1" ht="37.5" customHeight="1" x14ac:dyDescent="0.2">
      <c r="A19" s="318">
        <v>4</v>
      </c>
      <c r="B19" s="319"/>
      <c r="C19" s="319"/>
      <c r="D19" s="319"/>
      <c r="E19" s="319"/>
      <c r="F19" s="319"/>
      <c r="G19" s="319"/>
      <c r="H19" s="319"/>
      <c r="I19" s="319"/>
      <c r="J19" s="319"/>
      <c r="K19" s="319"/>
      <c r="L19" s="321"/>
      <c r="M19" s="317" t="str">
        <f>IF(L19&lt;=0,"",IF(L19&lt;=2,"Muy Baja",IF(L19&lt;=24,"Baja",IF(L19&lt;=500,"Media",IF(L19&lt;=5000,"Alta","Muy Alta")))))</f>
        <v/>
      </c>
      <c r="N19" s="281" t="str">
        <f>IF(M19="","",IF(M19="Muy Baja",0.2,IF(M19="Baja",0.4,IF(M19="Media",0.6,IF(M19="Alta",0.8,IF(M19="Muy Alta",1,))))))</f>
        <v/>
      </c>
      <c r="O19" s="316"/>
      <c r="P19" s="281">
        <f>IF(NOT(ISERROR(MATCH(O19,'Tabla Impacto'!$B$222:$B$224,0))),'Tabla Impacto'!$F$224&amp;"Por favor no seleccionar los criterios de impacto(Afectación Económica o presupuestal y Pérdida Reputacional)",O19)</f>
        <v>0</v>
      </c>
      <c r="Q19" s="317" t="str">
        <f>IF(OR(P19='Tabla Impacto'!$C$12,P19='Tabla Impacto'!$D$12),"Leve",IF(OR(P19='Tabla Impacto'!$C$13,P19='Tabla Impacto'!$D$13),"Menor",IF(OR(P19='Tabla Impacto'!$C$14,P19='Tabla Impacto'!$D$14),"Moderado",IF(OR(P19='Tabla Impacto'!$C$15,P19='Tabla Impacto'!$D$15),"Mayor",IF(OR(P19='Tabla Impacto'!$C$16,P19='Tabla Impacto'!$D$16),"Catastrófico","")))))</f>
        <v/>
      </c>
      <c r="R19" s="281" t="str">
        <f>IF(Q19="","",IF(Q19="Leve",0.2,IF(Q19="Menor",0.4,IF(Q19="Moderado",0.6,IF(Q19="Mayor",0.8,IF(Q19="Catastrófico",1,))))))</f>
        <v/>
      </c>
      <c r="S19" s="282"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
      </c>
      <c r="T19" s="197">
        <v>1</v>
      </c>
      <c r="U19" s="163"/>
      <c r="V19" s="165" t="str">
        <f>IF(OR(W19="Preventivo",W19="Detectivo"),"Probabilidad",IF(W19="Correctivo","Impacto",""))</f>
        <v/>
      </c>
      <c r="W19" s="166"/>
      <c r="X19" s="166"/>
      <c r="Y19" s="167" t="str">
        <f>IF(AND(W19="Preventivo",X19="Automático"),"50%",IF(AND(W19="Preventivo",X19="Manual"),"40%",IF(AND(W19="Detectivo",X19="Automático"),"40%",IF(AND(W19="Detectivo",X19="Manual"),"30%",IF(AND(W19="Correctivo",X19="Automático"),"35%",IF(AND(W19="Correctivo",X19="Manual"),"25%",""))))))</f>
        <v/>
      </c>
      <c r="Z19" s="166"/>
      <c r="AA19" s="166"/>
      <c r="AB19" s="166"/>
      <c r="AC19" s="168" t="str">
        <f>IFERROR(IF(V19="Probabilidad",(N19-(+N19*Y19)),IF(V19="Impacto",N19,"")),"")</f>
        <v/>
      </c>
      <c r="AD19" s="169" t="str">
        <f>IFERROR(IF(AC19="","",IF(AC19&lt;=0.2,"Muy Baja",IF(AC19&lt;=0.4,"Baja",IF(AC19&lt;=0.6,"Media",IF(AC19&lt;=0.8,"Alta","Muy Alta"))))),"")</f>
        <v/>
      </c>
      <c r="AE19" s="167" t="str">
        <f>+AC19</f>
        <v/>
      </c>
      <c r="AF19" s="169" t="str">
        <f>IFERROR(IF(AG19="","",IF(AG19&lt;=0.2,"Leve",IF(AG19&lt;=0.4,"Menor",IF(AG19&lt;=0.6,"Moderado",IF(AG19&lt;=0.8,"Mayor","Catastrófico"))))),"")</f>
        <v/>
      </c>
      <c r="AG19" s="167" t="str">
        <f t="shared" ref="AG19" si="16">IFERROR(IF(V19="Impacto",(R19-(+R19*Y19)),IF(V19="Probabilidad",R19,"")),"")</f>
        <v/>
      </c>
      <c r="AH19" s="170"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
      </c>
      <c r="AI19" s="171"/>
      <c r="AJ19" s="162"/>
      <c r="AK19" s="172"/>
      <c r="AL19" s="172"/>
      <c r="AM19" s="173"/>
      <c r="AN19" s="321"/>
      <c r="AO19" s="321"/>
      <c r="AP19" s="321"/>
    </row>
    <row r="20" spans="1:42" s="174" customFormat="1" ht="37.5" customHeight="1" x14ac:dyDescent="0.2">
      <c r="A20" s="318"/>
      <c r="B20" s="319"/>
      <c r="C20" s="319"/>
      <c r="D20" s="319"/>
      <c r="E20" s="319"/>
      <c r="F20" s="319"/>
      <c r="G20" s="319"/>
      <c r="H20" s="319"/>
      <c r="I20" s="319"/>
      <c r="J20" s="319"/>
      <c r="K20" s="319"/>
      <c r="L20" s="321"/>
      <c r="M20" s="317"/>
      <c r="N20" s="281"/>
      <c r="O20" s="316"/>
      <c r="P20" s="281">
        <f t="shared" ref="P20:P24" ca="1" si="17">IF(NOT(ISERROR(MATCH(O20,_xlfn.ANCHORARRAY(E31),0))),N33&amp;"Por favor no seleccionar los criterios de impacto",O20)</f>
        <v>0</v>
      </c>
      <c r="Q20" s="317"/>
      <c r="R20" s="281"/>
      <c r="S20" s="282"/>
      <c r="T20" s="197">
        <v>2</v>
      </c>
      <c r="U20" s="163"/>
      <c r="V20" s="165" t="str">
        <f>IF(OR(W20="Preventivo",W20="Detectivo"),"Probabilidad",IF(W20="Correctivo","Impacto",""))</f>
        <v/>
      </c>
      <c r="W20" s="166"/>
      <c r="X20" s="166"/>
      <c r="Y20" s="167" t="str">
        <f t="shared" ref="Y20:Y24" si="18">IF(AND(W20="Preventivo",X20="Automático"),"50%",IF(AND(W20="Preventivo",X20="Manual"),"40%",IF(AND(W20="Detectivo",X20="Automático"),"40%",IF(AND(W20="Detectivo",X20="Manual"),"30%",IF(AND(W20="Correctivo",X20="Automático"),"35%",IF(AND(W20="Correctivo",X20="Manual"),"25%",""))))))</f>
        <v/>
      </c>
      <c r="Z20" s="166"/>
      <c r="AA20" s="166"/>
      <c r="AB20" s="166"/>
      <c r="AC20" s="168" t="str">
        <f>IFERROR(IF(AND(V19="Probabilidad",V20="Probabilidad"),(AE19-(+AE19*Y20)),IF(V20="Probabilidad",(N19-(+N19*Y20)),IF(V20="Impacto",AE19,""))),"")</f>
        <v/>
      </c>
      <c r="AD20" s="169" t="str">
        <f t="shared" si="2"/>
        <v/>
      </c>
      <c r="AE20" s="167" t="str">
        <f t="shared" ref="AE20:AE24" si="19">+AC20</f>
        <v/>
      </c>
      <c r="AF20" s="169" t="str">
        <f t="shared" si="4"/>
        <v/>
      </c>
      <c r="AG20" s="167" t="str">
        <f t="shared" ref="AG20" si="20">IFERROR(IF(AND(V19="Impacto",V20="Impacto"),(AG19-(+AG19*Y20)),IF(V20="Impacto",($R$13-(+$R$13*Y20)),IF(V20="Probabilidad",AG19,""))),"")</f>
        <v/>
      </c>
      <c r="AH20" s="170" t="str">
        <f t="shared" ref="AH20:AH21" si="21">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
      </c>
      <c r="AI20" s="171"/>
      <c r="AJ20" s="162"/>
      <c r="AK20" s="172"/>
      <c r="AL20" s="172"/>
      <c r="AM20" s="173"/>
      <c r="AN20" s="321"/>
      <c r="AO20" s="321"/>
      <c r="AP20" s="321"/>
    </row>
    <row r="21" spans="1:42" s="174" customFormat="1" ht="37.5" customHeight="1" x14ac:dyDescent="0.2">
      <c r="A21" s="318"/>
      <c r="B21" s="319"/>
      <c r="C21" s="319"/>
      <c r="D21" s="319"/>
      <c r="E21" s="319"/>
      <c r="F21" s="319"/>
      <c r="G21" s="319"/>
      <c r="H21" s="319"/>
      <c r="I21" s="319"/>
      <c r="J21" s="319"/>
      <c r="K21" s="319"/>
      <c r="L21" s="321"/>
      <c r="M21" s="317"/>
      <c r="N21" s="281"/>
      <c r="O21" s="316"/>
      <c r="P21" s="281">
        <f t="shared" ca="1" si="17"/>
        <v>0</v>
      </c>
      <c r="Q21" s="317"/>
      <c r="R21" s="281"/>
      <c r="S21" s="282"/>
      <c r="T21" s="197">
        <v>3</v>
      </c>
      <c r="U21" s="164"/>
      <c r="V21" s="165" t="str">
        <f>IF(OR(W21="Preventivo",W21="Detectivo"),"Probabilidad",IF(W21="Correctivo","Impacto",""))</f>
        <v/>
      </c>
      <c r="W21" s="166"/>
      <c r="X21" s="166"/>
      <c r="Y21" s="167" t="str">
        <f t="shared" si="18"/>
        <v/>
      </c>
      <c r="Z21" s="166"/>
      <c r="AA21" s="166"/>
      <c r="AB21" s="166"/>
      <c r="AC21" s="168" t="str">
        <f>IFERROR(IF(AND(V20="Probabilidad",V21="Probabilidad"),(AE20-(+AE20*Y21)),IF(AND(V20="Impacto",V21="Probabilidad"),(AE19-(+AE19*Y21)),IF(V21="Impacto",AE20,""))),"")</f>
        <v/>
      </c>
      <c r="AD21" s="169" t="str">
        <f t="shared" si="2"/>
        <v/>
      </c>
      <c r="AE21" s="167" t="str">
        <f t="shared" si="19"/>
        <v/>
      </c>
      <c r="AF21" s="169" t="str">
        <f t="shared" si="4"/>
        <v/>
      </c>
      <c r="AG21" s="167" t="str">
        <f t="shared" ref="AG21" si="22">IFERROR(IF(AND(V20="Impacto",V21="Impacto"),(AG20-(+AG20*Y21)),IF(AND(V20="Probabilidad",V21="Impacto"),(AG19-(+AG19*Y21)),IF(V21="Probabilidad",AG20,""))),"")</f>
        <v/>
      </c>
      <c r="AH21" s="170" t="str">
        <f t="shared" si="21"/>
        <v/>
      </c>
      <c r="AI21" s="171"/>
      <c r="AJ21" s="162"/>
      <c r="AK21" s="172"/>
      <c r="AL21" s="172"/>
      <c r="AM21" s="173"/>
      <c r="AN21" s="321"/>
      <c r="AO21" s="321"/>
      <c r="AP21" s="321"/>
    </row>
    <row r="22" spans="1:42" s="174" customFormat="1" ht="37.5" customHeight="1" x14ac:dyDescent="0.2">
      <c r="A22" s="318"/>
      <c r="B22" s="319"/>
      <c r="C22" s="319"/>
      <c r="D22" s="319"/>
      <c r="E22" s="319"/>
      <c r="F22" s="319"/>
      <c r="G22" s="319"/>
      <c r="H22" s="319"/>
      <c r="I22" s="319"/>
      <c r="J22" s="319"/>
      <c r="K22" s="319"/>
      <c r="L22" s="321"/>
      <c r="M22" s="317"/>
      <c r="N22" s="281"/>
      <c r="O22" s="316"/>
      <c r="P22" s="281">
        <f t="shared" ca="1" si="17"/>
        <v>0</v>
      </c>
      <c r="Q22" s="317"/>
      <c r="R22" s="281"/>
      <c r="S22" s="282"/>
      <c r="T22" s="197">
        <v>4</v>
      </c>
      <c r="U22" s="163"/>
      <c r="V22" s="165" t="str">
        <f t="shared" ref="V22:V24" si="23">IF(OR(W22="Preventivo",W22="Detectivo"),"Probabilidad",IF(W22="Correctivo","Impacto",""))</f>
        <v/>
      </c>
      <c r="W22" s="166"/>
      <c r="X22" s="166"/>
      <c r="Y22" s="167" t="str">
        <f t="shared" si="18"/>
        <v/>
      </c>
      <c r="Z22" s="166"/>
      <c r="AA22" s="166"/>
      <c r="AB22" s="166"/>
      <c r="AC22" s="168" t="str">
        <f t="shared" ref="AC22:AC24" si="24">IFERROR(IF(AND(V21="Probabilidad",V22="Probabilidad"),(AE21-(+AE21*Y22)),IF(AND(V21="Impacto",V22="Probabilidad"),(AE20-(+AE20*Y22)),IF(V22="Impacto",AE21,""))),"")</f>
        <v/>
      </c>
      <c r="AD22" s="169" t="str">
        <f t="shared" si="2"/>
        <v/>
      </c>
      <c r="AE22" s="167" t="str">
        <f t="shared" si="19"/>
        <v/>
      </c>
      <c r="AF22" s="169" t="str">
        <f t="shared" si="4"/>
        <v/>
      </c>
      <c r="AG22" s="167" t="str">
        <f t="shared" ref="AG22:AG60" si="25">IFERROR(IF(AND(V21="Impacto",V22="Impacto"),(AG21-(+AG21*Y22)),IF(AND(V21="Probabilidad",V22="Impacto"),(AG20-(+AG20*Y22)),IF(V22="Probabilidad",AG21,""))),"")</f>
        <v/>
      </c>
      <c r="AH22" s="170"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171"/>
      <c r="AJ22" s="162"/>
      <c r="AK22" s="172"/>
      <c r="AL22" s="172"/>
      <c r="AM22" s="173"/>
      <c r="AN22" s="321"/>
      <c r="AO22" s="321"/>
      <c r="AP22" s="321"/>
    </row>
    <row r="23" spans="1:42" s="174" customFormat="1" ht="37.5" customHeight="1" x14ac:dyDescent="0.2">
      <c r="A23" s="318"/>
      <c r="B23" s="319"/>
      <c r="C23" s="319"/>
      <c r="D23" s="319"/>
      <c r="E23" s="319"/>
      <c r="F23" s="319"/>
      <c r="G23" s="319"/>
      <c r="H23" s="319"/>
      <c r="I23" s="319"/>
      <c r="J23" s="319"/>
      <c r="K23" s="319"/>
      <c r="L23" s="321"/>
      <c r="M23" s="317"/>
      <c r="N23" s="281"/>
      <c r="O23" s="316"/>
      <c r="P23" s="281">
        <f t="shared" ca="1" si="17"/>
        <v>0</v>
      </c>
      <c r="Q23" s="317"/>
      <c r="R23" s="281"/>
      <c r="S23" s="282"/>
      <c r="T23" s="197">
        <v>5</v>
      </c>
      <c r="U23" s="163"/>
      <c r="V23" s="165" t="str">
        <f t="shared" si="23"/>
        <v/>
      </c>
      <c r="W23" s="166"/>
      <c r="X23" s="166"/>
      <c r="Y23" s="167" t="str">
        <f t="shared" si="18"/>
        <v/>
      </c>
      <c r="Z23" s="166"/>
      <c r="AA23" s="166"/>
      <c r="AB23" s="166"/>
      <c r="AC23" s="168" t="str">
        <f t="shared" si="24"/>
        <v/>
      </c>
      <c r="AD23" s="169" t="str">
        <f>IFERROR(IF(AC23="","",IF(AC23&lt;=0.2,"Muy Baja",IF(AC23&lt;=0.4,"Baja",IF(AC23&lt;=0.6,"Media",IF(AC23&lt;=0.8,"Alta","Muy Alta"))))),"")</f>
        <v/>
      </c>
      <c r="AE23" s="167" t="str">
        <f t="shared" si="19"/>
        <v/>
      </c>
      <c r="AF23" s="169" t="str">
        <f t="shared" si="4"/>
        <v/>
      </c>
      <c r="AG23" s="167" t="str">
        <f t="shared" si="25"/>
        <v/>
      </c>
      <c r="AH23" s="170" t="str">
        <f t="shared" ref="AH23:AH24" si="26">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171"/>
      <c r="AJ23" s="162"/>
      <c r="AK23" s="172"/>
      <c r="AL23" s="172"/>
      <c r="AM23" s="173"/>
      <c r="AN23" s="321"/>
      <c r="AO23" s="321"/>
      <c r="AP23" s="321"/>
    </row>
    <row r="24" spans="1:42" s="174" customFormat="1" ht="37.5" customHeight="1" x14ac:dyDescent="0.2">
      <c r="A24" s="318"/>
      <c r="B24" s="319"/>
      <c r="C24" s="319"/>
      <c r="D24" s="319"/>
      <c r="E24" s="319"/>
      <c r="F24" s="319"/>
      <c r="G24" s="319"/>
      <c r="H24" s="319"/>
      <c r="I24" s="319"/>
      <c r="J24" s="319"/>
      <c r="K24" s="319"/>
      <c r="L24" s="321"/>
      <c r="M24" s="317"/>
      <c r="N24" s="281"/>
      <c r="O24" s="316"/>
      <c r="P24" s="281">
        <f t="shared" ca="1" si="17"/>
        <v>0</v>
      </c>
      <c r="Q24" s="317"/>
      <c r="R24" s="281"/>
      <c r="S24" s="282"/>
      <c r="T24" s="197">
        <v>6</v>
      </c>
      <c r="U24" s="163"/>
      <c r="V24" s="165" t="str">
        <f t="shared" si="23"/>
        <v/>
      </c>
      <c r="W24" s="166"/>
      <c r="X24" s="166"/>
      <c r="Y24" s="167" t="str">
        <f t="shared" si="18"/>
        <v/>
      </c>
      <c r="Z24" s="166"/>
      <c r="AA24" s="166"/>
      <c r="AB24" s="166"/>
      <c r="AC24" s="168" t="str">
        <f t="shared" si="24"/>
        <v/>
      </c>
      <c r="AD24" s="169" t="str">
        <f t="shared" si="2"/>
        <v/>
      </c>
      <c r="AE24" s="167" t="str">
        <f t="shared" si="19"/>
        <v/>
      </c>
      <c r="AF24" s="169" t="str">
        <f t="shared" si="4"/>
        <v/>
      </c>
      <c r="AG24" s="167" t="str">
        <f t="shared" si="25"/>
        <v/>
      </c>
      <c r="AH24" s="170" t="str">
        <f t="shared" si="26"/>
        <v/>
      </c>
      <c r="AI24" s="171"/>
      <c r="AJ24" s="162"/>
      <c r="AK24" s="172"/>
      <c r="AL24" s="172"/>
      <c r="AM24" s="173"/>
      <c r="AN24" s="321"/>
      <c r="AO24" s="321"/>
      <c r="AP24" s="321"/>
    </row>
    <row r="25" spans="1:42" s="174" customFormat="1" ht="37.5" customHeight="1" x14ac:dyDescent="0.2">
      <c r="A25" s="318">
        <v>5</v>
      </c>
      <c r="B25" s="319"/>
      <c r="C25" s="319"/>
      <c r="D25" s="319"/>
      <c r="E25" s="319"/>
      <c r="F25" s="319"/>
      <c r="G25" s="319"/>
      <c r="H25" s="319"/>
      <c r="I25" s="319"/>
      <c r="J25" s="319"/>
      <c r="K25" s="319"/>
      <c r="L25" s="321"/>
      <c r="M25" s="317" t="str">
        <f>IF(L25&lt;=0,"",IF(L25&lt;=2,"Muy Baja",IF(L25&lt;=24,"Baja",IF(L25&lt;=500,"Media",IF(L25&lt;=5000,"Alta","Muy Alta")))))</f>
        <v/>
      </c>
      <c r="N25" s="281" t="str">
        <f>IF(M25="","",IF(M25="Muy Baja",0.2,IF(M25="Baja",0.4,IF(M25="Media",0.6,IF(M25="Alta",0.8,IF(M25="Muy Alta",1,))))))</f>
        <v/>
      </c>
      <c r="O25" s="316"/>
      <c r="P25" s="281">
        <f>IF(NOT(ISERROR(MATCH(O25,'Tabla Impacto'!$B$222:$B$224,0))),'Tabla Impacto'!$F$224&amp;"Por favor no seleccionar los criterios de impacto(Afectación Económica o presupuestal y Pérdida Reputacional)",O25)</f>
        <v>0</v>
      </c>
      <c r="Q25" s="317" t="str">
        <f>IF(OR(P25='Tabla Impacto'!$C$12,P25='Tabla Impacto'!$D$12),"Leve",IF(OR(P25='Tabla Impacto'!$C$13,P25='Tabla Impacto'!$D$13),"Menor",IF(OR(P25='Tabla Impacto'!$C$14,P25='Tabla Impacto'!$D$14),"Moderado",IF(OR(P25='Tabla Impacto'!$C$15,P25='Tabla Impacto'!$D$15),"Mayor",IF(OR(P25='Tabla Impacto'!$C$16,P25='Tabla Impacto'!$D$16),"Catastrófico","")))))</f>
        <v/>
      </c>
      <c r="R25" s="281" t="str">
        <f>IF(Q25="","",IF(Q25="Leve",0.2,IF(Q25="Menor",0.4,IF(Q25="Moderado",0.6,IF(Q25="Mayor",0.8,IF(Q25="Catastrófico",1,))))))</f>
        <v/>
      </c>
      <c r="S25" s="282"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
      </c>
      <c r="T25" s="197">
        <v>1</v>
      </c>
      <c r="U25" s="163"/>
      <c r="V25" s="165" t="str">
        <f>IF(OR(W25="Preventivo",W25="Detectivo"),"Probabilidad",IF(W25="Correctivo","Impacto",""))</f>
        <v/>
      </c>
      <c r="W25" s="166"/>
      <c r="X25" s="166"/>
      <c r="Y25" s="167" t="str">
        <f>IF(AND(W25="Preventivo",X25="Automático"),"50%",IF(AND(W25="Preventivo",X25="Manual"),"40%",IF(AND(W25="Detectivo",X25="Automático"),"40%",IF(AND(W25="Detectivo",X25="Manual"),"30%",IF(AND(W25="Correctivo",X25="Automático"),"35%",IF(AND(W25="Correctivo",X25="Manual"),"25%",""))))))</f>
        <v/>
      </c>
      <c r="Z25" s="166"/>
      <c r="AA25" s="166"/>
      <c r="AB25" s="166"/>
      <c r="AC25" s="168" t="str">
        <f>IFERROR(IF(V25="Probabilidad",(N25-(+N25*Y25)),IF(V25="Impacto",N25,"")),"")</f>
        <v/>
      </c>
      <c r="AD25" s="169" t="str">
        <f>IFERROR(IF(AC25="","",IF(AC25&lt;=0.2,"Muy Baja",IF(AC25&lt;=0.4,"Baja",IF(AC25&lt;=0.6,"Media",IF(AC25&lt;=0.8,"Alta","Muy Alta"))))),"")</f>
        <v/>
      </c>
      <c r="AE25" s="167" t="str">
        <f>+AC25</f>
        <v/>
      </c>
      <c r="AF25" s="169" t="str">
        <f>IFERROR(IF(AG25="","",IF(AG25&lt;=0.2,"Leve",IF(AG25&lt;=0.4,"Menor",IF(AG25&lt;=0.6,"Moderado",IF(AG25&lt;=0.8,"Mayor","Catastrófico"))))),"")</f>
        <v/>
      </c>
      <c r="AG25" s="167" t="str">
        <f t="shared" ref="AG25" si="27">IFERROR(IF(V25="Impacto",(R25-(+R25*Y25)),IF(V25="Probabilidad",R25,"")),"")</f>
        <v/>
      </c>
      <c r="AH25" s="170"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
      </c>
      <c r="AI25" s="171"/>
      <c r="AJ25" s="162"/>
      <c r="AK25" s="172"/>
      <c r="AL25" s="172"/>
      <c r="AM25" s="173"/>
      <c r="AN25" s="321"/>
      <c r="AO25" s="321"/>
      <c r="AP25" s="321"/>
    </row>
    <row r="26" spans="1:42" s="174" customFormat="1" ht="37.5" customHeight="1" x14ac:dyDescent="0.2">
      <c r="A26" s="318"/>
      <c r="B26" s="319"/>
      <c r="C26" s="319"/>
      <c r="D26" s="319"/>
      <c r="E26" s="319"/>
      <c r="F26" s="319"/>
      <c r="G26" s="319"/>
      <c r="H26" s="319"/>
      <c r="I26" s="319"/>
      <c r="J26" s="319"/>
      <c r="K26" s="319"/>
      <c r="L26" s="321"/>
      <c r="M26" s="317"/>
      <c r="N26" s="281"/>
      <c r="O26" s="316"/>
      <c r="P26" s="281">
        <f t="shared" ref="P26:P30" ca="1" si="28">IF(NOT(ISERROR(MATCH(O26,_xlfn.ANCHORARRAY(E37),0))),N39&amp;"Por favor no seleccionar los criterios de impacto",O26)</f>
        <v>0</v>
      </c>
      <c r="Q26" s="317"/>
      <c r="R26" s="281"/>
      <c r="S26" s="282"/>
      <c r="T26" s="197">
        <v>2</v>
      </c>
      <c r="U26" s="163"/>
      <c r="V26" s="165" t="str">
        <f>IF(OR(W26="Preventivo",W26="Detectivo"),"Probabilidad",IF(W26="Correctivo","Impacto",""))</f>
        <v/>
      </c>
      <c r="W26" s="166"/>
      <c r="X26" s="166"/>
      <c r="Y26" s="167" t="str">
        <f t="shared" ref="Y26:Y30" si="29">IF(AND(W26="Preventivo",X26="Automático"),"50%",IF(AND(W26="Preventivo",X26="Manual"),"40%",IF(AND(W26="Detectivo",X26="Automático"),"40%",IF(AND(W26="Detectivo",X26="Manual"),"30%",IF(AND(W26="Correctivo",X26="Automático"),"35%",IF(AND(W26="Correctivo",X26="Manual"),"25%",""))))))</f>
        <v/>
      </c>
      <c r="Z26" s="166"/>
      <c r="AA26" s="166"/>
      <c r="AB26" s="166"/>
      <c r="AC26" s="168" t="str">
        <f>IFERROR(IF(AND(V25="Probabilidad",V26="Probabilidad"),(AE25-(+AE25*Y26)),IF(V26="Probabilidad",(N25-(+N25*Y26)),IF(V26="Impacto",AE25,""))),"")</f>
        <v/>
      </c>
      <c r="AD26" s="169" t="str">
        <f t="shared" si="2"/>
        <v/>
      </c>
      <c r="AE26" s="167" t="str">
        <f t="shared" ref="AE26:AE30" si="30">+AC26</f>
        <v/>
      </c>
      <c r="AF26" s="169" t="str">
        <f t="shared" si="4"/>
        <v/>
      </c>
      <c r="AG26" s="167" t="str">
        <f t="shared" ref="AG26" si="31">IFERROR(IF(AND(V25="Impacto",V26="Impacto"),(AG25-(+AG25*Y26)),IF(V26="Impacto",($R$13-(+$R$13*Y26)),IF(V26="Probabilidad",AG25,""))),"")</f>
        <v/>
      </c>
      <c r="AH26" s="170" t="str">
        <f t="shared" ref="AH26:AH27" si="32">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
      </c>
      <c r="AI26" s="171"/>
      <c r="AJ26" s="162"/>
      <c r="AK26" s="172"/>
      <c r="AL26" s="172"/>
      <c r="AM26" s="173"/>
      <c r="AN26" s="321"/>
      <c r="AO26" s="321"/>
      <c r="AP26" s="321"/>
    </row>
    <row r="27" spans="1:42" s="174" customFormat="1" ht="37.5" customHeight="1" x14ac:dyDescent="0.2">
      <c r="A27" s="318"/>
      <c r="B27" s="319"/>
      <c r="C27" s="319"/>
      <c r="D27" s="319"/>
      <c r="E27" s="319"/>
      <c r="F27" s="319"/>
      <c r="G27" s="319"/>
      <c r="H27" s="319"/>
      <c r="I27" s="319"/>
      <c r="J27" s="319"/>
      <c r="K27" s="319"/>
      <c r="L27" s="321"/>
      <c r="M27" s="317"/>
      <c r="N27" s="281"/>
      <c r="O27" s="316"/>
      <c r="P27" s="281">
        <f t="shared" ca="1" si="28"/>
        <v>0</v>
      </c>
      <c r="Q27" s="317"/>
      <c r="R27" s="281"/>
      <c r="S27" s="282"/>
      <c r="T27" s="197">
        <v>3</v>
      </c>
      <c r="U27" s="164"/>
      <c r="V27" s="165" t="str">
        <f>IF(OR(W27="Preventivo",W27="Detectivo"),"Probabilidad",IF(W27="Correctivo","Impacto",""))</f>
        <v/>
      </c>
      <c r="W27" s="166"/>
      <c r="X27" s="166"/>
      <c r="Y27" s="167" t="str">
        <f t="shared" si="29"/>
        <v/>
      </c>
      <c r="Z27" s="166"/>
      <c r="AA27" s="166"/>
      <c r="AB27" s="166"/>
      <c r="AC27" s="168" t="str">
        <f>IFERROR(IF(AND(V26="Probabilidad",V27="Probabilidad"),(AE26-(+AE26*Y27)),IF(AND(V26="Impacto",V27="Probabilidad"),(AE25-(+AE25*Y27)),IF(V27="Impacto",AE26,""))),"")</f>
        <v/>
      </c>
      <c r="AD27" s="169" t="str">
        <f t="shared" si="2"/>
        <v/>
      </c>
      <c r="AE27" s="167" t="str">
        <f t="shared" si="30"/>
        <v/>
      </c>
      <c r="AF27" s="169" t="str">
        <f t="shared" si="4"/>
        <v/>
      </c>
      <c r="AG27" s="167" t="str">
        <f t="shared" ref="AG27" si="33">IFERROR(IF(AND(V26="Impacto",V27="Impacto"),(AG26-(+AG26*Y27)),IF(AND(V26="Probabilidad",V27="Impacto"),(AG25-(+AG25*Y27)),IF(V27="Probabilidad",AG26,""))),"")</f>
        <v/>
      </c>
      <c r="AH27" s="170" t="str">
        <f t="shared" si="32"/>
        <v/>
      </c>
      <c r="AI27" s="171"/>
      <c r="AJ27" s="162"/>
      <c r="AK27" s="172"/>
      <c r="AL27" s="172"/>
      <c r="AM27" s="173"/>
      <c r="AN27" s="321"/>
      <c r="AO27" s="321"/>
      <c r="AP27" s="321"/>
    </row>
    <row r="28" spans="1:42" s="174" customFormat="1" ht="37.5" customHeight="1" x14ac:dyDescent="0.2">
      <c r="A28" s="318"/>
      <c r="B28" s="319"/>
      <c r="C28" s="319"/>
      <c r="D28" s="319"/>
      <c r="E28" s="319"/>
      <c r="F28" s="319"/>
      <c r="G28" s="319"/>
      <c r="H28" s="319"/>
      <c r="I28" s="319"/>
      <c r="J28" s="319"/>
      <c r="K28" s="319"/>
      <c r="L28" s="321"/>
      <c r="M28" s="317"/>
      <c r="N28" s="281"/>
      <c r="O28" s="316"/>
      <c r="P28" s="281">
        <f t="shared" ca="1" si="28"/>
        <v>0</v>
      </c>
      <c r="Q28" s="317"/>
      <c r="R28" s="281"/>
      <c r="S28" s="282"/>
      <c r="T28" s="197">
        <v>4</v>
      </c>
      <c r="U28" s="163"/>
      <c r="V28" s="165" t="str">
        <f t="shared" ref="V28:V30" si="34">IF(OR(W28="Preventivo",W28="Detectivo"),"Probabilidad",IF(W28="Correctivo","Impacto",""))</f>
        <v/>
      </c>
      <c r="W28" s="166"/>
      <c r="X28" s="166"/>
      <c r="Y28" s="167" t="str">
        <f t="shared" si="29"/>
        <v/>
      </c>
      <c r="Z28" s="166"/>
      <c r="AA28" s="166"/>
      <c r="AB28" s="166"/>
      <c r="AC28" s="168" t="str">
        <f t="shared" ref="AC28:AC30" si="35">IFERROR(IF(AND(V27="Probabilidad",V28="Probabilidad"),(AE27-(+AE27*Y28)),IF(AND(V27="Impacto",V28="Probabilidad"),(AE26-(+AE26*Y28)),IF(V28="Impacto",AE27,""))),"")</f>
        <v/>
      </c>
      <c r="AD28" s="169" t="str">
        <f t="shared" si="2"/>
        <v/>
      </c>
      <c r="AE28" s="167" t="str">
        <f t="shared" si="30"/>
        <v/>
      </c>
      <c r="AF28" s="169" t="str">
        <f t="shared" si="4"/>
        <v/>
      </c>
      <c r="AG28" s="167" t="str">
        <f t="shared" si="25"/>
        <v/>
      </c>
      <c r="AH28" s="170"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171"/>
      <c r="AJ28" s="162"/>
      <c r="AK28" s="172"/>
      <c r="AL28" s="172"/>
      <c r="AM28" s="173"/>
      <c r="AN28" s="321"/>
      <c r="AO28" s="321"/>
      <c r="AP28" s="321"/>
    </row>
    <row r="29" spans="1:42" s="174" customFormat="1" ht="37.5" customHeight="1" x14ac:dyDescent="0.2">
      <c r="A29" s="318"/>
      <c r="B29" s="319"/>
      <c r="C29" s="319"/>
      <c r="D29" s="319"/>
      <c r="E29" s="319"/>
      <c r="F29" s="319"/>
      <c r="G29" s="319"/>
      <c r="H29" s="319"/>
      <c r="I29" s="319"/>
      <c r="J29" s="319"/>
      <c r="K29" s="319"/>
      <c r="L29" s="321"/>
      <c r="M29" s="317"/>
      <c r="N29" s="281"/>
      <c r="O29" s="316"/>
      <c r="P29" s="281">
        <f t="shared" ca="1" si="28"/>
        <v>0</v>
      </c>
      <c r="Q29" s="317"/>
      <c r="R29" s="281"/>
      <c r="S29" s="282"/>
      <c r="T29" s="197">
        <v>5</v>
      </c>
      <c r="U29" s="163"/>
      <c r="V29" s="165" t="str">
        <f t="shared" si="34"/>
        <v/>
      </c>
      <c r="W29" s="166"/>
      <c r="X29" s="166"/>
      <c r="Y29" s="167" t="str">
        <f t="shared" si="29"/>
        <v/>
      </c>
      <c r="Z29" s="166"/>
      <c r="AA29" s="166"/>
      <c r="AB29" s="166"/>
      <c r="AC29" s="168" t="str">
        <f t="shared" si="35"/>
        <v/>
      </c>
      <c r="AD29" s="169" t="str">
        <f t="shared" si="2"/>
        <v/>
      </c>
      <c r="AE29" s="167" t="str">
        <f t="shared" si="30"/>
        <v/>
      </c>
      <c r="AF29" s="169" t="str">
        <f t="shared" si="4"/>
        <v/>
      </c>
      <c r="AG29" s="167" t="str">
        <f t="shared" si="25"/>
        <v/>
      </c>
      <c r="AH29" s="170" t="str">
        <f t="shared" ref="AH29:AH30" si="36">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171"/>
      <c r="AJ29" s="162"/>
      <c r="AK29" s="172"/>
      <c r="AL29" s="172"/>
      <c r="AM29" s="173"/>
      <c r="AN29" s="321"/>
      <c r="AO29" s="321"/>
      <c r="AP29" s="321"/>
    </row>
    <row r="30" spans="1:42" s="174" customFormat="1" ht="37.5" customHeight="1" x14ac:dyDescent="0.2">
      <c r="A30" s="318"/>
      <c r="B30" s="319"/>
      <c r="C30" s="319"/>
      <c r="D30" s="319"/>
      <c r="E30" s="319"/>
      <c r="F30" s="319"/>
      <c r="G30" s="319"/>
      <c r="H30" s="319"/>
      <c r="I30" s="319"/>
      <c r="J30" s="319"/>
      <c r="K30" s="319"/>
      <c r="L30" s="321"/>
      <c r="M30" s="317"/>
      <c r="N30" s="281"/>
      <c r="O30" s="316"/>
      <c r="P30" s="281">
        <f t="shared" ca="1" si="28"/>
        <v>0</v>
      </c>
      <c r="Q30" s="317"/>
      <c r="R30" s="281"/>
      <c r="S30" s="282"/>
      <c r="T30" s="197">
        <v>6</v>
      </c>
      <c r="U30" s="163"/>
      <c r="V30" s="165" t="str">
        <f t="shared" si="34"/>
        <v/>
      </c>
      <c r="W30" s="166"/>
      <c r="X30" s="166"/>
      <c r="Y30" s="167" t="str">
        <f t="shared" si="29"/>
        <v/>
      </c>
      <c r="Z30" s="166"/>
      <c r="AA30" s="166"/>
      <c r="AB30" s="166"/>
      <c r="AC30" s="168" t="str">
        <f t="shared" si="35"/>
        <v/>
      </c>
      <c r="AD30" s="169" t="str">
        <f t="shared" si="2"/>
        <v/>
      </c>
      <c r="AE30" s="167" t="str">
        <f t="shared" si="30"/>
        <v/>
      </c>
      <c r="AF30" s="169" t="str">
        <f t="shared" si="4"/>
        <v/>
      </c>
      <c r="AG30" s="167" t="str">
        <f t="shared" si="25"/>
        <v/>
      </c>
      <c r="AH30" s="170" t="str">
        <f t="shared" si="36"/>
        <v/>
      </c>
      <c r="AI30" s="171"/>
      <c r="AJ30" s="162"/>
      <c r="AK30" s="172"/>
      <c r="AL30" s="172"/>
      <c r="AM30" s="173"/>
      <c r="AN30" s="321"/>
      <c r="AO30" s="321"/>
      <c r="AP30" s="321"/>
    </row>
    <row r="31" spans="1:42" s="174" customFormat="1" ht="37.5" customHeight="1" x14ac:dyDescent="0.2">
      <c r="A31" s="318">
        <v>6</v>
      </c>
      <c r="B31" s="319"/>
      <c r="C31" s="319"/>
      <c r="D31" s="319"/>
      <c r="E31" s="329"/>
      <c r="F31" s="319"/>
      <c r="G31" s="319"/>
      <c r="H31" s="319"/>
      <c r="I31" s="319"/>
      <c r="J31" s="319"/>
      <c r="K31" s="319"/>
      <c r="L31" s="321"/>
      <c r="M31" s="317" t="str">
        <f>IF(L31&lt;=0,"",IF(L31&lt;=2,"Muy Baja",IF(L31&lt;=24,"Baja",IF(L31&lt;=500,"Media",IF(L31&lt;=5000,"Alta","Muy Alta")))))</f>
        <v/>
      </c>
      <c r="N31" s="281" t="str">
        <f>IF(M31="","",IF(M31="Muy Baja",0.2,IF(M31="Baja",0.4,IF(M31="Media",0.6,IF(M31="Alta",0.8,IF(M31="Muy Alta",1,))))))</f>
        <v/>
      </c>
      <c r="O31" s="316"/>
      <c r="P31" s="281">
        <f>IF(NOT(ISERROR(MATCH(O31,'Tabla Impacto'!$B$222:$B$224,0))),'Tabla Impacto'!$F$224&amp;"Por favor no seleccionar los criterios de impacto(Afectación Económica o presupuestal y Pérdida Reputacional)",O31)</f>
        <v>0</v>
      </c>
      <c r="Q31" s="317" t="str">
        <f>IF(OR(P31='Tabla Impacto'!$C$12,P31='Tabla Impacto'!$D$12),"Leve",IF(OR(P31='Tabla Impacto'!$C$13,P31='Tabla Impacto'!$D$13),"Menor",IF(OR(P31='Tabla Impacto'!$C$14,P31='Tabla Impacto'!$D$14),"Moderado",IF(OR(P31='Tabla Impacto'!$C$15,P31='Tabla Impacto'!$D$15),"Mayor",IF(OR(P31='Tabla Impacto'!$C$16,P31='Tabla Impacto'!$D$16),"Catastrófico","")))))</f>
        <v/>
      </c>
      <c r="R31" s="281" t="str">
        <f>IF(Q31="","",IF(Q31="Leve",0.2,IF(Q31="Menor",0.4,IF(Q31="Moderado",0.6,IF(Q31="Mayor",0.8,IF(Q31="Catastrófico",1,))))))</f>
        <v/>
      </c>
      <c r="S31" s="282"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197">
        <v>1</v>
      </c>
      <c r="U31" s="163"/>
      <c r="V31" s="165" t="str">
        <f>IF(OR(W31="Preventivo",W31="Detectivo"),"Probabilidad",IF(W31="Correctivo","Impacto",""))</f>
        <v/>
      </c>
      <c r="W31" s="166"/>
      <c r="X31" s="166"/>
      <c r="Y31" s="167" t="str">
        <f>IF(AND(W31="Preventivo",X31="Automático"),"50%",IF(AND(W31="Preventivo",X31="Manual"),"40%",IF(AND(W31="Detectivo",X31="Automático"),"40%",IF(AND(W31="Detectivo",X31="Manual"),"30%",IF(AND(W31="Correctivo",X31="Automático"),"35%",IF(AND(W31="Correctivo",X31="Manual"),"25%",""))))))</f>
        <v/>
      </c>
      <c r="Z31" s="166"/>
      <c r="AA31" s="166"/>
      <c r="AB31" s="166"/>
      <c r="AC31" s="168" t="str">
        <f>IFERROR(IF(V31="Probabilidad",(N31-(+N31*Y31)),IF(V31="Impacto",N31,"")),"")</f>
        <v/>
      </c>
      <c r="AD31" s="169" t="str">
        <f>IFERROR(IF(AC31="","",IF(AC31&lt;=0.2,"Muy Baja",IF(AC31&lt;=0.4,"Baja",IF(AC31&lt;=0.6,"Media",IF(AC31&lt;=0.8,"Alta","Muy Alta"))))),"")</f>
        <v/>
      </c>
      <c r="AE31" s="167" t="str">
        <f>+AC31</f>
        <v/>
      </c>
      <c r="AF31" s="169" t="str">
        <f>IFERROR(IF(AG31="","",IF(AG31&lt;=0.2,"Leve",IF(AG31&lt;=0.4,"Menor",IF(AG31&lt;=0.6,"Moderado",IF(AG31&lt;=0.8,"Mayor","Catastrófico"))))),"")</f>
        <v/>
      </c>
      <c r="AG31" s="167" t="str">
        <f t="shared" ref="AG31" si="37">IFERROR(IF(V31="Impacto",(R31-(+R31*Y31)),IF(V31="Probabilidad",R31,"")),"")</f>
        <v/>
      </c>
      <c r="AH31" s="170"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166"/>
      <c r="AJ31" s="162"/>
      <c r="AK31" s="172"/>
      <c r="AL31" s="172"/>
      <c r="AM31" s="173"/>
      <c r="AN31" s="321"/>
      <c r="AO31" s="321"/>
      <c r="AP31" s="321"/>
    </row>
    <row r="32" spans="1:42" s="174" customFormat="1" ht="37.5" customHeight="1" x14ac:dyDescent="0.2">
      <c r="A32" s="318"/>
      <c r="B32" s="319"/>
      <c r="C32" s="319"/>
      <c r="D32" s="319"/>
      <c r="E32" s="330"/>
      <c r="F32" s="319"/>
      <c r="G32" s="319"/>
      <c r="H32" s="319"/>
      <c r="I32" s="319"/>
      <c r="J32" s="319"/>
      <c r="K32" s="319"/>
      <c r="L32" s="321"/>
      <c r="M32" s="317"/>
      <c r="N32" s="281"/>
      <c r="O32" s="316"/>
      <c r="P32" s="281">
        <f t="shared" ref="P32:P36" ca="1" si="38">IF(NOT(ISERROR(MATCH(O32,_xlfn.ANCHORARRAY(E43),0))),N45&amp;"Por favor no seleccionar los criterios de impacto",O32)</f>
        <v>0</v>
      </c>
      <c r="Q32" s="317"/>
      <c r="R32" s="281"/>
      <c r="S32" s="282"/>
      <c r="T32" s="197">
        <v>2</v>
      </c>
      <c r="U32" s="163"/>
      <c r="V32" s="165" t="str">
        <f>IF(OR(W32="Preventivo",W32="Detectivo"),"Probabilidad",IF(W32="Correctivo","Impacto",""))</f>
        <v/>
      </c>
      <c r="W32" s="166"/>
      <c r="X32" s="166"/>
      <c r="Y32" s="167" t="str">
        <f t="shared" ref="Y32:Y36" si="39">IF(AND(W32="Preventivo",X32="Automático"),"50%",IF(AND(W32="Preventivo",X32="Manual"),"40%",IF(AND(W32="Detectivo",X32="Automático"),"40%",IF(AND(W32="Detectivo",X32="Manual"),"30%",IF(AND(W32="Correctivo",X32="Automático"),"35%",IF(AND(W32="Correctivo",X32="Manual"),"25%",""))))))</f>
        <v/>
      </c>
      <c r="Z32" s="166"/>
      <c r="AA32" s="166"/>
      <c r="AB32" s="166"/>
      <c r="AC32" s="168" t="str">
        <f>IFERROR(IF(AND(V31="Probabilidad",V32="Probabilidad"),(AE31-(+AE31*Y32)),IF(V32="Probabilidad",(N31-(+N31*Y32)),IF(V32="Impacto",AE31,""))),"")</f>
        <v/>
      </c>
      <c r="AD32" s="169" t="str">
        <f t="shared" si="2"/>
        <v/>
      </c>
      <c r="AE32" s="167" t="str">
        <f t="shared" ref="AE32:AE36" si="40">+AC32</f>
        <v/>
      </c>
      <c r="AF32" s="169" t="str">
        <f t="shared" si="4"/>
        <v/>
      </c>
      <c r="AG32" s="167" t="str">
        <f t="shared" ref="AG32" si="41">IFERROR(IF(AND(V31="Impacto",V32="Impacto"),(AG31-(+AG31*Y32)),IF(V32="Impacto",($R$13-(+$R$13*Y32)),IF(V32="Probabilidad",AG31,""))),"")</f>
        <v/>
      </c>
      <c r="AH32" s="170" t="str">
        <f t="shared" ref="AH32:AH33" si="42">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171"/>
      <c r="AJ32" s="162"/>
      <c r="AK32" s="172"/>
      <c r="AL32" s="172"/>
      <c r="AM32" s="173"/>
      <c r="AN32" s="321"/>
      <c r="AO32" s="321"/>
      <c r="AP32" s="321"/>
    </row>
    <row r="33" spans="1:42" s="174" customFormat="1" ht="37.5" customHeight="1" x14ac:dyDescent="0.2">
      <c r="A33" s="318"/>
      <c r="B33" s="319"/>
      <c r="C33" s="319"/>
      <c r="D33" s="319"/>
      <c r="E33" s="330"/>
      <c r="F33" s="319"/>
      <c r="G33" s="319"/>
      <c r="H33" s="319"/>
      <c r="I33" s="319"/>
      <c r="J33" s="319"/>
      <c r="K33" s="319"/>
      <c r="L33" s="321"/>
      <c r="M33" s="317"/>
      <c r="N33" s="281"/>
      <c r="O33" s="316"/>
      <c r="P33" s="281">
        <f t="shared" ca="1" si="38"/>
        <v>0</v>
      </c>
      <c r="Q33" s="317"/>
      <c r="R33" s="281"/>
      <c r="S33" s="282"/>
      <c r="T33" s="197">
        <v>3</v>
      </c>
      <c r="U33" s="164"/>
      <c r="V33" s="165" t="str">
        <f>IF(OR(W33="Preventivo",W33="Detectivo"),"Probabilidad",IF(W33="Correctivo","Impacto",""))</f>
        <v/>
      </c>
      <c r="W33" s="166"/>
      <c r="X33" s="166"/>
      <c r="Y33" s="167" t="str">
        <f t="shared" si="39"/>
        <v/>
      </c>
      <c r="Z33" s="166"/>
      <c r="AA33" s="166"/>
      <c r="AB33" s="166"/>
      <c r="AC33" s="168" t="str">
        <f>IFERROR(IF(AND(V32="Probabilidad",V33="Probabilidad"),(AE32-(+AE32*Y33)),IF(AND(V32="Impacto",V33="Probabilidad"),(AE31-(+AE31*Y33)),IF(V33="Impacto",AE32,""))),"")</f>
        <v/>
      </c>
      <c r="AD33" s="169" t="str">
        <f t="shared" si="2"/>
        <v/>
      </c>
      <c r="AE33" s="167" t="str">
        <f t="shared" si="40"/>
        <v/>
      </c>
      <c r="AF33" s="169" t="str">
        <f t="shared" si="4"/>
        <v/>
      </c>
      <c r="AG33" s="167" t="str">
        <f t="shared" ref="AG33" si="43">IFERROR(IF(AND(V32="Impacto",V33="Impacto"),(AG32-(+AG32*Y33)),IF(AND(V32="Probabilidad",V33="Impacto"),(AG31-(+AG31*Y33)),IF(V33="Probabilidad",AG32,""))),"")</f>
        <v/>
      </c>
      <c r="AH33" s="170" t="str">
        <f t="shared" si="42"/>
        <v/>
      </c>
      <c r="AI33" s="171"/>
      <c r="AJ33" s="162"/>
      <c r="AK33" s="172"/>
      <c r="AL33" s="172"/>
      <c r="AM33" s="173"/>
      <c r="AN33" s="321"/>
      <c r="AO33" s="321"/>
      <c r="AP33" s="321"/>
    </row>
    <row r="34" spans="1:42" s="174" customFormat="1" ht="37.5" customHeight="1" x14ac:dyDescent="0.2">
      <c r="A34" s="318"/>
      <c r="B34" s="319"/>
      <c r="C34" s="319"/>
      <c r="D34" s="319"/>
      <c r="E34" s="330"/>
      <c r="F34" s="319"/>
      <c r="G34" s="319"/>
      <c r="H34" s="319"/>
      <c r="I34" s="319"/>
      <c r="J34" s="319"/>
      <c r="K34" s="319"/>
      <c r="L34" s="321"/>
      <c r="M34" s="317"/>
      <c r="N34" s="281"/>
      <c r="O34" s="316"/>
      <c r="P34" s="281">
        <f t="shared" ca="1" si="38"/>
        <v>0</v>
      </c>
      <c r="Q34" s="317"/>
      <c r="R34" s="281"/>
      <c r="S34" s="282"/>
      <c r="T34" s="197">
        <v>4</v>
      </c>
      <c r="U34" s="163"/>
      <c r="V34" s="165" t="str">
        <f t="shared" ref="V34:V36" si="44">IF(OR(W34="Preventivo",W34="Detectivo"),"Probabilidad",IF(W34="Correctivo","Impacto",""))</f>
        <v/>
      </c>
      <c r="W34" s="166"/>
      <c r="X34" s="166"/>
      <c r="Y34" s="167" t="str">
        <f t="shared" si="39"/>
        <v/>
      </c>
      <c r="Z34" s="166"/>
      <c r="AA34" s="166"/>
      <c r="AB34" s="166"/>
      <c r="AC34" s="168" t="str">
        <f t="shared" ref="AC34:AC36" si="45">IFERROR(IF(AND(V33="Probabilidad",V34="Probabilidad"),(AE33-(+AE33*Y34)),IF(AND(V33="Impacto",V34="Probabilidad"),(AE32-(+AE32*Y34)),IF(V34="Impacto",AE33,""))),"")</f>
        <v/>
      </c>
      <c r="AD34" s="169" t="str">
        <f t="shared" si="2"/>
        <v/>
      </c>
      <c r="AE34" s="167" t="str">
        <f t="shared" si="40"/>
        <v/>
      </c>
      <c r="AF34" s="169" t="str">
        <f t="shared" si="4"/>
        <v/>
      </c>
      <c r="AG34" s="167" t="str">
        <f t="shared" si="25"/>
        <v/>
      </c>
      <c r="AH34" s="170"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171"/>
      <c r="AJ34" s="162"/>
      <c r="AK34" s="172"/>
      <c r="AL34" s="172"/>
      <c r="AM34" s="173"/>
      <c r="AN34" s="321"/>
      <c r="AO34" s="321"/>
      <c r="AP34" s="321"/>
    </row>
    <row r="35" spans="1:42" s="174" customFormat="1" ht="37.5" customHeight="1" x14ac:dyDescent="0.2">
      <c r="A35" s="318"/>
      <c r="B35" s="319"/>
      <c r="C35" s="319"/>
      <c r="D35" s="319"/>
      <c r="E35" s="330"/>
      <c r="F35" s="319"/>
      <c r="G35" s="319"/>
      <c r="H35" s="319"/>
      <c r="I35" s="319"/>
      <c r="J35" s="319"/>
      <c r="K35" s="319"/>
      <c r="L35" s="321"/>
      <c r="M35" s="317"/>
      <c r="N35" s="281"/>
      <c r="O35" s="316"/>
      <c r="P35" s="281">
        <f t="shared" ca="1" si="38"/>
        <v>0</v>
      </c>
      <c r="Q35" s="317"/>
      <c r="R35" s="281"/>
      <c r="S35" s="282"/>
      <c r="T35" s="197">
        <v>5</v>
      </c>
      <c r="U35" s="163"/>
      <c r="V35" s="165" t="str">
        <f t="shared" si="44"/>
        <v/>
      </c>
      <c r="W35" s="166"/>
      <c r="X35" s="166"/>
      <c r="Y35" s="167" t="str">
        <f t="shared" si="39"/>
        <v/>
      </c>
      <c r="Z35" s="166"/>
      <c r="AA35" s="166"/>
      <c r="AB35" s="166"/>
      <c r="AC35" s="168" t="str">
        <f t="shared" si="45"/>
        <v/>
      </c>
      <c r="AD35" s="169" t="str">
        <f t="shared" si="2"/>
        <v/>
      </c>
      <c r="AE35" s="167" t="str">
        <f t="shared" si="40"/>
        <v/>
      </c>
      <c r="AF35" s="169" t="str">
        <f t="shared" si="4"/>
        <v/>
      </c>
      <c r="AG35" s="167" t="str">
        <f t="shared" si="25"/>
        <v/>
      </c>
      <c r="AH35" s="170" t="str">
        <f t="shared" ref="AH35" si="46">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171"/>
      <c r="AJ35" s="162"/>
      <c r="AK35" s="172"/>
      <c r="AL35" s="172"/>
      <c r="AM35" s="173"/>
      <c r="AN35" s="321"/>
      <c r="AO35" s="321"/>
      <c r="AP35" s="321"/>
    </row>
    <row r="36" spans="1:42" s="174" customFormat="1" ht="37.5" customHeight="1" x14ac:dyDescent="0.2">
      <c r="A36" s="318"/>
      <c r="B36" s="319"/>
      <c r="C36" s="319"/>
      <c r="D36" s="319"/>
      <c r="E36" s="331"/>
      <c r="F36" s="319"/>
      <c r="G36" s="319"/>
      <c r="H36" s="319"/>
      <c r="I36" s="319"/>
      <c r="J36" s="319"/>
      <c r="K36" s="319"/>
      <c r="L36" s="321"/>
      <c r="M36" s="317"/>
      <c r="N36" s="281"/>
      <c r="O36" s="316"/>
      <c r="P36" s="281">
        <f t="shared" ca="1" si="38"/>
        <v>0</v>
      </c>
      <c r="Q36" s="317"/>
      <c r="R36" s="281"/>
      <c r="S36" s="282"/>
      <c r="T36" s="197">
        <v>6</v>
      </c>
      <c r="U36" s="163"/>
      <c r="V36" s="165" t="str">
        <f t="shared" si="44"/>
        <v/>
      </c>
      <c r="W36" s="166"/>
      <c r="X36" s="166"/>
      <c r="Y36" s="167" t="str">
        <f t="shared" si="39"/>
        <v/>
      </c>
      <c r="Z36" s="166"/>
      <c r="AA36" s="166"/>
      <c r="AB36" s="166"/>
      <c r="AC36" s="168" t="str">
        <f t="shared" si="45"/>
        <v/>
      </c>
      <c r="AD36" s="169" t="str">
        <f t="shared" si="2"/>
        <v/>
      </c>
      <c r="AE36" s="167" t="str">
        <f t="shared" si="40"/>
        <v/>
      </c>
      <c r="AF36" s="169" t="str">
        <f>IFERROR(IF(AG36="","",IF(AG36&lt;=0.2,"Leve",IF(AG36&lt;=0.4,"Menor",IF(AG36&lt;=0.6,"Moderado",IF(AG36&lt;=0.8,"Mayor","Catastrófico"))))),"")</f>
        <v/>
      </c>
      <c r="AG36" s="167" t="str">
        <f t="shared" si="25"/>
        <v/>
      </c>
      <c r="AH36" s="170" t="str">
        <f>IFERROR(IF(OR(AND(AD36="Muy Baja",AF36="Leve"),AND(AD36="Muy Baja",AF36="Menor"),AND(AD36="Baja",AF36="Leve")),"Bajo",IF(OR(AND(AD36="Muy baja",AF36="Moderado"),AND(AD36="Baja",AF36="Menor"),AND(AD36="Baja",AF36="Moderado"),AND(AD36="Media",AF36="Leve"),AND(AD36="Media",AF36="Menor"),AND(AD36="Media",AF36="Moderado"),AND(AD36="Alta",AF36="Leve"),AND(AD36="Alta",AF36="Menor")),"Moderado",IF(OR(AND(AD36="Muy Baja",AF36="Mayor"),AND(AD36="Baja",AF36="Mayor"),AND(AD36="Media",AF36="Mayor"),AND(AD36="Alta",AF36="Moderado"),AND(AD36="Alta",AF36="Mayor"),AND(AD36="Muy Alta",AF36="Leve"),AND(AD36="Muy Alta",AF36="Menor"),AND(AD36="Muy Alta",AF36="Moderado"),AND(AD36="Muy Alta",AF36="Mayor")),"Alto",IF(OR(AND(AD36="Muy Baja",AF36="Catastrófico"),AND(AD36="Baja",AF36="Catastrófico"),AND(AD36="Media",AF36="Catastrófico"),AND(AD36="Alta",AF36="Catastrófico"),AND(AD36="Muy Alta",AF36="Catastrófico")),"Extremo","")))),"")</f>
        <v/>
      </c>
      <c r="AI36" s="171"/>
      <c r="AJ36" s="162"/>
      <c r="AK36" s="172"/>
      <c r="AL36" s="172"/>
      <c r="AM36" s="173"/>
      <c r="AN36" s="321"/>
      <c r="AO36" s="321"/>
      <c r="AP36" s="321"/>
    </row>
    <row r="37" spans="1:42" s="174" customFormat="1" ht="37.5" customHeight="1" x14ac:dyDescent="0.2">
      <c r="A37" s="318">
        <v>7</v>
      </c>
      <c r="B37" s="319"/>
      <c r="C37" s="319"/>
      <c r="D37" s="328"/>
      <c r="E37" s="319"/>
      <c r="F37" s="319"/>
      <c r="G37" s="319"/>
      <c r="H37" s="319"/>
      <c r="I37" s="319"/>
      <c r="J37" s="319"/>
      <c r="K37" s="319"/>
      <c r="L37" s="321"/>
      <c r="M37" s="317" t="str">
        <f>IF(L37&lt;=0,"",IF(L37&lt;=2,"Muy Baja",IF(L37&lt;=24,"Baja",IF(L37&lt;=500,"Media",IF(L37&lt;=5000,"Alta","Muy Alta")))))</f>
        <v/>
      </c>
      <c r="N37" s="281" t="str">
        <f>IF(M37="","",IF(M37="Muy Baja",0.2,IF(M37="Baja",0.4,IF(M37="Media",0.6,IF(M37="Alta",0.8,IF(M37="Muy Alta",1,))))))</f>
        <v/>
      </c>
      <c r="O37" s="316"/>
      <c r="P37" s="281">
        <f>IF(NOT(ISERROR(MATCH(O37,'Tabla Impacto'!$B$222:$B$224,0))),'Tabla Impacto'!$F$224&amp;"Por favor no seleccionar los criterios de impacto(Afectación Económica o presupuestal y Pérdida Reputacional)",O37)</f>
        <v>0</v>
      </c>
      <c r="Q37" s="317" t="str">
        <f>IF(OR(P37='Tabla Impacto'!$C$12,P37='Tabla Impacto'!$D$12),"Leve",IF(OR(P37='Tabla Impacto'!$C$13,P37='Tabla Impacto'!$D$13),"Menor",IF(OR(P37='Tabla Impacto'!$C$14,P37='Tabla Impacto'!$D$14),"Moderado",IF(OR(P37='Tabla Impacto'!$C$15,P37='Tabla Impacto'!$D$15),"Mayor",IF(OR(P37='Tabla Impacto'!$C$16,P37='Tabla Impacto'!$D$16),"Catastrófico","")))))</f>
        <v/>
      </c>
      <c r="R37" s="281" t="str">
        <f>IF(Q37="","",IF(Q37="Leve",0.2,IF(Q37="Menor",0.4,IF(Q37="Moderado",0.6,IF(Q37="Mayor",0.8,IF(Q37="Catastrófico",1,))))))</f>
        <v/>
      </c>
      <c r="S37" s="282"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197">
        <v>1</v>
      </c>
      <c r="U37" s="175"/>
      <c r="V37" s="165" t="str">
        <f>IF(OR(W37="Preventivo",W37="Detectivo"),"Probabilidad",IF(W37="Correctivo","Impacto",""))</f>
        <v/>
      </c>
      <c r="W37" s="166"/>
      <c r="X37" s="166"/>
      <c r="Y37" s="167" t="str">
        <f>IF(AND(W37="Preventivo",X37="Automático"),"50%",IF(AND(W37="Preventivo",X37="Manual"),"40%",IF(AND(W37="Detectivo",X37="Automático"),"40%",IF(AND(W37="Detectivo",X37="Manual"),"30%",IF(AND(W37="Correctivo",X37="Automático"),"35%",IF(AND(W37="Correctivo",X37="Manual"),"25%",""))))))</f>
        <v/>
      </c>
      <c r="Z37" s="166"/>
      <c r="AA37" s="166"/>
      <c r="AB37" s="166"/>
      <c r="AC37" s="168" t="str">
        <f>IFERROR(IF(V37="Probabilidad",(N37-(+N37*Y37)),IF(V37="Impacto",N37,"")),"")</f>
        <v/>
      </c>
      <c r="AD37" s="169" t="str">
        <f>IFERROR(IF(AC37="","",IF(AC37&lt;=0.2,"Muy Baja",IF(AC37&lt;=0.4,"Baja",IF(AC37&lt;=0.6,"Media",IF(AC37&lt;=0.8,"Alta","Muy Alta"))))),"")</f>
        <v/>
      </c>
      <c r="AE37" s="167" t="str">
        <f>+AC37</f>
        <v/>
      </c>
      <c r="AF37" s="169" t="str">
        <f>IFERROR(IF(AG37="","",IF(AG37&lt;=0.2,"Leve",IF(AG37&lt;=0.4,"Menor",IF(AG37&lt;=0.6,"Moderado",IF(AG37&lt;=0.8,"Mayor","Catastrófico"))))),"")</f>
        <v/>
      </c>
      <c r="AG37" s="167" t="str">
        <f t="shared" ref="AG37" si="47">IFERROR(IF(V37="Impacto",(R37-(+R37*Y37)),IF(V37="Probabilidad",R37,"")),"")</f>
        <v/>
      </c>
      <c r="AH37" s="170"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171"/>
      <c r="AJ37" s="162"/>
      <c r="AK37" s="172"/>
      <c r="AL37" s="172"/>
      <c r="AM37" s="173"/>
      <c r="AN37" s="321"/>
      <c r="AO37" s="321"/>
      <c r="AP37" s="321"/>
    </row>
    <row r="38" spans="1:42" s="174" customFormat="1" ht="37.5" customHeight="1" x14ac:dyDescent="0.2">
      <c r="A38" s="318"/>
      <c r="B38" s="319"/>
      <c r="C38" s="319"/>
      <c r="D38" s="328"/>
      <c r="E38" s="319"/>
      <c r="F38" s="319"/>
      <c r="G38" s="319"/>
      <c r="H38" s="319"/>
      <c r="I38" s="319"/>
      <c r="J38" s="319"/>
      <c r="K38" s="319"/>
      <c r="L38" s="321"/>
      <c r="M38" s="317"/>
      <c r="N38" s="281"/>
      <c r="O38" s="316"/>
      <c r="P38" s="281">
        <f t="shared" ref="P38:P42" ca="1" si="48">IF(NOT(ISERROR(MATCH(O38,_xlfn.ANCHORARRAY(E49),0))),N51&amp;"Por favor no seleccionar los criterios de impacto",O38)</f>
        <v>0</v>
      </c>
      <c r="Q38" s="317"/>
      <c r="R38" s="281"/>
      <c r="S38" s="282"/>
      <c r="T38" s="197">
        <v>2</v>
      </c>
      <c r="U38" s="163"/>
      <c r="V38" s="165" t="str">
        <f>IF(OR(W38="Preventivo",W38="Detectivo"),"Probabilidad",IF(W38="Correctivo","Impacto",""))</f>
        <v/>
      </c>
      <c r="W38" s="166"/>
      <c r="X38" s="166"/>
      <c r="Y38" s="167" t="str">
        <f t="shared" ref="Y38:Y42" si="49">IF(AND(W38="Preventivo",X38="Automático"),"50%",IF(AND(W38="Preventivo",X38="Manual"),"40%",IF(AND(W38="Detectivo",X38="Automático"),"40%",IF(AND(W38="Detectivo",X38="Manual"),"30%",IF(AND(W38="Correctivo",X38="Automático"),"35%",IF(AND(W38="Correctivo",X38="Manual"),"25%",""))))))</f>
        <v/>
      </c>
      <c r="Z38" s="166"/>
      <c r="AA38" s="166"/>
      <c r="AB38" s="166"/>
      <c r="AC38" s="168" t="str">
        <f>IFERROR(IF(AND(V37="Probabilidad",V38="Probabilidad"),(AE37-(+AE37*Y38)),IF(V38="Probabilidad",(N37-(+N37*Y38)),IF(V38="Impacto",AE37,""))),"")</f>
        <v/>
      </c>
      <c r="AD38" s="169" t="str">
        <f t="shared" si="2"/>
        <v/>
      </c>
      <c r="AE38" s="167" t="str">
        <f t="shared" ref="AE38:AE42" si="50">+AC38</f>
        <v/>
      </c>
      <c r="AF38" s="169" t="str">
        <f t="shared" si="4"/>
        <v/>
      </c>
      <c r="AG38" s="167" t="str">
        <f t="shared" ref="AG38" si="51">IFERROR(IF(AND(V37="Impacto",V38="Impacto"),(AG37-(+AG37*Y38)),IF(V38="Impacto",($R$13-(+$R$13*Y38)),IF(V38="Probabilidad",AG37,""))),"")</f>
        <v/>
      </c>
      <c r="AH38" s="170" t="str">
        <f t="shared" ref="AH38:AH39" si="52">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171"/>
      <c r="AJ38" s="162"/>
      <c r="AK38" s="172"/>
      <c r="AL38" s="172"/>
      <c r="AM38" s="173"/>
      <c r="AN38" s="321"/>
      <c r="AO38" s="321"/>
      <c r="AP38" s="321"/>
    </row>
    <row r="39" spans="1:42" s="174" customFormat="1" ht="37.5" customHeight="1" x14ac:dyDescent="0.2">
      <c r="A39" s="318"/>
      <c r="B39" s="319"/>
      <c r="C39" s="319"/>
      <c r="D39" s="328"/>
      <c r="E39" s="319"/>
      <c r="F39" s="319"/>
      <c r="G39" s="319"/>
      <c r="H39" s="319"/>
      <c r="I39" s="319"/>
      <c r="J39" s="319"/>
      <c r="K39" s="319"/>
      <c r="L39" s="321"/>
      <c r="M39" s="317"/>
      <c r="N39" s="281"/>
      <c r="O39" s="316"/>
      <c r="P39" s="281">
        <f t="shared" ca="1" si="48"/>
        <v>0</v>
      </c>
      <c r="Q39" s="317"/>
      <c r="R39" s="281"/>
      <c r="S39" s="282"/>
      <c r="T39" s="197">
        <v>3</v>
      </c>
      <c r="U39" s="164"/>
      <c r="V39" s="165" t="str">
        <f>IF(OR(W39="Preventivo",W39="Detectivo"),"Probabilidad",IF(W39="Correctivo","Impacto",""))</f>
        <v/>
      </c>
      <c r="W39" s="166"/>
      <c r="X39" s="166"/>
      <c r="Y39" s="167" t="str">
        <f t="shared" si="49"/>
        <v/>
      </c>
      <c r="Z39" s="166"/>
      <c r="AA39" s="166"/>
      <c r="AB39" s="166"/>
      <c r="AC39" s="168" t="str">
        <f>IFERROR(IF(AND(V38="Probabilidad",V39="Probabilidad"),(AE38-(+AE38*Y39)),IF(AND(V38="Impacto",V39="Probabilidad"),(AE37-(+AE37*Y39)),IF(V39="Impacto",AE38,""))),"")</f>
        <v/>
      </c>
      <c r="AD39" s="169" t="str">
        <f t="shared" si="2"/>
        <v/>
      </c>
      <c r="AE39" s="167" t="str">
        <f t="shared" si="50"/>
        <v/>
      </c>
      <c r="AF39" s="169" t="str">
        <f t="shared" si="4"/>
        <v/>
      </c>
      <c r="AG39" s="167" t="str">
        <f t="shared" ref="AG39" si="53">IFERROR(IF(AND(V38="Impacto",V39="Impacto"),(AG38-(+AG38*Y39)),IF(AND(V38="Probabilidad",V39="Impacto"),(AG37-(+AG37*Y39)),IF(V39="Probabilidad",AG38,""))),"")</f>
        <v/>
      </c>
      <c r="AH39" s="170" t="str">
        <f t="shared" si="52"/>
        <v/>
      </c>
      <c r="AI39" s="171"/>
      <c r="AJ39" s="162"/>
      <c r="AK39" s="172"/>
      <c r="AL39" s="172"/>
      <c r="AM39" s="173"/>
      <c r="AN39" s="321"/>
      <c r="AO39" s="321"/>
      <c r="AP39" s="321"/>
    </row>
    <row r="40" spans="1:42" s="174" customFormat="1" ht="37.5" customHeight="1" x14ac:dyDescent="0.2">
      <c r="A40" s="318"/>
      <c r="B40" s="319"/>
      <c r="C40" s="319"/>
      <c r="D40" s="328"/>
      <c r="E40" s="319"/>
      <c r="F40" s="319"/>
      <c r="G40" s="319"/>
      <c r="H40" s="319"/>
      <c r="I40" s="319"/>
      <c r="J40" s="319"/>
      <c r="K40" s="319"/>
      <c r="L40" s="321"/>
      <c r="M40" s="317"/>
      <c r="N40" s="281"/>
      <c r="O40" s="316"/>
      <c r="P40" s="281">
        <f t="shared" ca="1" si="48"/>
        <v>0</v>
      </c>
      <c r="Q40" s="317"/>
      <c r="R40" s="281"/>
      <c r="S40" s="282"/>
      <c r="T40" s="197">
        <v>4</v>
      </c>
      <c r="U40" s="163"/>
      <c r="V40" s="165" t="str">
        <f t="shared" ref="V40:V42" si="54">IF(OR(W40="Preventivo",W40="Detectivo"),"Probabilidad",IF(W40="Correctivo","Impacto",""))</f>
        <v/>
      </c>
      <c r="W40" s="166"/>
      <c r="X40" s="166"/>
      <c r="Y40" s="167" t="str">
        <f t="shared" si="49"/>
        <v/>
      </c>
      <c r="Z40" s="166"/>
      <c r="AA40" s="166"/>
      <c r="AB40" s="166"/>
      <c r="AC40" s="168" t="str">
        <f t="shared" ref="AC40:AC42" si="55">IFERROR(IF(AND(V39="Probabilidad",V40="Probabilidad"),(AE39-(+AE39*Y40)),IF(AND(V39="Impacto",V40="Probabilidad"),(AE38-(+AE38*Y40)),IF(V40="Impacto",AE39,""))),"")</f>
        <v/>
      </c>
      <c r="AD40" s="169" t="str">
        <f t="shared" si="2"/>
        <v/>
      </c>
      <c r="AE40" s="167" t="str">
        <f t="shared" si="50"/>
        <v/>
      </c>
      <c r="AF40" s="169" t="str">
        <f t="shared" si="4"/>
        <v/>
      </c>
      <c r="AG40" s="167" t="str">
        <f t="shared" si="25"/>
        <v/>
      </c>
      <c r="AH40" s="170"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171"/>
      <c r="AJ40" s="162"/>
      <c r="AK40" s="172"/>
      <c r="AL40" s="172"/>
      <c r="AM40" s="173"/>
      <c r="AN40" s="321"/>
      <c r="AO40" s="321"/>
      <c r="AP40" s="321"/>
    </row>
    <row r="41" spans="1:42" s="174" customFormat="1" ht="37.5" customHeight="1" x14ac:dyDescent="0.2">
      <c r="A41" s="318"/>
      <c r="B41" s="319"/>
      <c r="C41" s="319"/>
      <c r="D41" s="328"/>
      <c r="E41" s="319"/>
      <c r="F41" s="319"/>
      <c r="G41" s="319"/>
      <c r="H41" s="319"/>
      <c r="I41" s="319"/>
      <c r="J41" s="319"/>
      <c r="K41" s="319"/>
      <c r="L41" s="321"/>
      <c r="M41" s="317"/>
      <c r="N41" s="281"/>
      <c r="O41" s="316"/>
      <c r="P41" s="281">
        <f t="shared" ca="1" si="48"/>
        <v>0</v>
      </c>
      <c r="Q41" s="317"/>
      <c r="R41" s="281"/>
      <c r="S41" s="282"/>
      <c r="T41" s="197">
        <v>5</v>
      </c>
      <c r="U41" s="163"/>
      <c r="V41" s="165" t="str">
        <f t="shared" si="54"/>
        <v/>
      </c>
      <c r="W41" s="166"/>
      <c r="X41" s="166"/>
      <c r="Y41" s="167" t="str">
        <f t="shared" si="49"/>
        <v/>
      </c>
      <c r="Z41" s="166"/>
      <c r="AA41" s="166"/>
      <c r="AB41" s="166"/>
      <c r="AC41" s="168" t="str">
        <f t="shared" si="55"/>
        <v/>
      </c>
      <c r="AD41" s="169" t="str">
        <f t="shared" si="2"/>
        <v/>
      </c>
      <c r="AE41" s="167" t="str">
        <f t="shared" si="50"/>
        <v/>
      </c>
      <c r="AF41" s="169" t="str">
        <f t="shared" si="4"/>
        <v/>
      </c>
      <c r="AG41" s="167" t="str">
        <f t="shared" si="25"/>
        <v/>
      </c>
      <c r="AH41" s="170" t="str">
        <f t="shared" ref="AH41:AH42" si="56">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171"/>
      <c r="AJ41" s="162"/>
      <c r="AK41" s="172"/>
      <c r="AL41" s="172"/>
      <c r="AM41" s="173"/>
      <c r="AN41" s="321"/>
      <c r="AO41" s="321"/>
      <c r="AP41" s="321"/>
    </row>
    <row r="42" spans="1:42" s="174" customFormat="1" ht="37.5" customHeight="1" x14ac:dyDescent="0.2">
      <c r="A42" s="318"/>
      <c r="B42" s="319"/>
      <c r="C42" s="319"/>
      <c r="D42" s="328"/>
      <c r="E42" s="319"/>
      <c r="F42" s="319"/>
      <c r="G42" s="319"/>
      <c r="H42" s="319"/>
      <c r="I42" s="319"/>
      <c r="J42" s="319"/>
      <c r="K42" s="319"/>
      <c r="L42" s="321"/>
      <c r="M42" s="317"/>
      <c r="N42" s="281"/>
      <c r="O42" s="316"/>
      <c r="P42" s="281">
        <f t="shared" ca="1" si="48"/>
        <v>0</v>
      </c>
      <c r="Q42" s="317"/>
      <c r="R42" s="281"/>
      <c r="S42" s="282"/>
      <c r="T42" s="197">
        <v>6</v>
      </c>
      <c r="U42" s="163"/>
      <c r="V42" s="165" t="str">
        <f t="shared" si="54"/>
        <v/>
      </c>
      <c r="W42" s="166"/>
      <c r="X42" s="166"/>
      <c r="Y42" s="167" t="str">
        <f t="shared" si="49"/>
        <v/>
      </c>
      <c r="Z42" s="166"/>
      <c r="AA42" s="166"/>
      <c r="AB42" s="166"/>
      <c r="AC42" s="168" t="str">
        <f t="shared" si="55"/>
        <v/>
      </c>
      <c r="AD42" s="169" t="str">
        <f t="shared" si="2"/>
        <v/>
      </c>
      <c r="AE42" s="167" t="str">
        <f t="shared" si="50"/>
        <v/>
      </c>
      <c r="AF42" s="169" t="str">
        <f t="shared" si="4"/>
        <v/>
      </c>
      <c r="AG42" s="167" t="str">
        <f t="shared" si="25"/>
        <v/>
      </c>
      <c r="AH42" s="170" t="str">
        <f t="shared" si="56"/>
        <v/>
      </c>
      <c r="AI42" s="171"/>
      <c r="AJ42" s="162"/>
      <c r="AK42" s="172"/>
      <c r="AL42" s="172"/>
      <c r="AM42" s="173"/>
      <c r="AN42" s="321"/>
      <c r="AO42" s="321"/>
      <c r="AP42" s="321"/>
    </row>
    <row r="43" spans="1:42" s="174" customFormat="1" ht="37.5" customHeight="1" x14ac:dyDescent="0.2">
      <c r="A43" s="318">
        <v>8</v>
      </c>
      <c r="B43" s="319"/>
      <c r="C43" s="319"/>
      <c r="D43" s="319"/>
      <c r="E43" s="319"/>
      <c r="F43" s="319"/>
      <c r="G43" s="319"/>
      <c r="H43" s="319"/>
      <c r="I43" s="319"/>
      <c r="J43" s="319"/>
      <c r="K43" s="319"/>
      <c r="L43" s="321"/>
      <c r="M43" s="317" t="str">
        <f>IF(L43&lt;=0,"",IF(L43&lt;=2,"Muy Baja",IF(L43&lt;=24,"Baja",IF(L43&lt;=500,"Media",IF(L43&lt;=5000,"Alta","Muy Alta")))))</f>
        <v/>
      </c>
      <c r="N43" s="281" t="str">
        <f>IF(M43="","",IF(M43="Muy Baja",0.2,IF(M43="Baja",0.4,IF(M43="Media",0.6,IF(M43="Alta",0.8,IF(M43="Muy Alta",1,))))))</f>
        <v/>
      </c>
      <c r="O43" s="316"/>
      <c r="P43" s="281">
        <f>IF(NOT(ISERROR(MATCH(O43,'Tabla Impacto'!$B$222:$B$224,0))),'Tabla Impacto'!$F$224&amp;"Por favor no seleccionar los criterios de impacto(Afectación Económica o presupuestal y Pérdida Reputacional)",O43)</f>
        <v>0</v>
      </c>
      <c r="Q43" s="317" t="str">
        <f>IF(OR(P43='Tabla Impacto'!$C$12,P43='Tabla Impacto'!$D$12),"Leve",IF(OR(P43='Tabla Impacto'!$C$13,P43='Tabla Impacto'!$D$13),"Menor",IF(OR(P43='Tabla Impacto'!$C$14,P43='Tabla Impacto'!$D$14),"Moderado",IF(OR(P43='Tabla Impacto'!$C$15,P43='Tabla Impacto'!$D$15),"Mayor",IF(OR(P43='Tabla Impacto'!$C$16,P43='Tabla Impacto'!$D$16),"Catastrófico","")))))</f>
        <v/>
      </c>
      <c r="R43" s="281" t="str">
        <f>IF(Q43="","",IF(Q43="Leve",0.2,IF(Q43="Menor",0.4,IF(Q43="Moderado",0.6,IF(Q43="Mayor",0.8,IF(Q43="Catastrófico",1,))))))</f>
        <v/>
      </c>
      <c r="S43" s="282"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197">
        <v>1</v>
      </c>
      <c r="U43" s="163"/>
      <c r="V43" s="165" t="str">
        <f>IF(OR(W43="Preventivo",W43="Detectivo"),"Probabilidad",IF(W43="Correctivo","Impacto",""))</f>
        <v/>
      </c>
      <c r="W43" s="166"/>
      <c r="X43" s="166"/>
      <c r="Y43" s="167" t="str">
        <f>IF(AND(W43="Preventivo",X43="Automático"),"50%",IF(AND(W43="Preventivo",X43="Manual"),"40%",IF(AND(W43="Detectivo",X43="Automático"),"40%",IF(AND(W43="Detectivo",X43="Manual"),"30%",IF(AND(W43="Correctivo",X43="Automático"),"35%",IF(AND(W43="Correctivo",X43="Manual"),"25%",""))))))</f>
        <v/>
      </c>
      <c r="Z43" s="166"/>
      <c r="AA43" s="166"/>
      <c r="AB43" s="166"/>
      <c r="AC43" s="168" t="str">
        <f>IFERROR(IF(V43="Probabilidad",(N43-(+N43*Y43)),IF(V43="Impacto",N43,"")),"")</f>
        <v/>
      </c>
      <c r="AD43" s="169" t="str">
        <f>IFERROR(IF(AC43="","",IF(AC43&lt;=0.2,"Muy Baja",IF(AC43&lt;=0.4,"Baja",IF(AC43&lt;=0.6,"Media",IF(AC43&lt;=0.8,"Alta","Muy Alta"))))),"")</f>
        <v/>
      </c>
      <c r="AE43" s="167" t="str">
        <f>+AC43</f>
        <v/>
      </c>
      <c r="AF43" s="169" t="str">
        <f>IFERROR(IF(AG43="","",IF(AG43&lt;=0.2,"Leve",IF(AG43&lt;=0.4,"Menor",IF(AG43&lt;=0.6,"Moderado",IF(AG43&lt;=0.8,"Mayor","Catastrófico"))))),"")</f>
        <v/>
      </c>
      <c r="AG43" s="167" t="str">
        <f t="shared" ref="AG43" si="57">IFERROR(IF(V43="Impacto",(R43-(+R43*Y43)),IF(V43="Probabilidad",R43,"")),"")</f>
        <v/>
      </c>
      <c r="AH43" s="170"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171"/>
      <c r="AJ43" s="162"/>
      <c r="AK43" s="172"/>
      <c r="AL43" s="172"/>
      <c r="AM43" s="173"/>
      <c r="AN43" s="321"/>
      <c r="AO43" s="321"/>
      <c r="AP43" s="321"/>
    </row>
    <row r="44" spans="1:42" s="174" customFormat="1" ht="37.5" customHeight="1" x14ac:dyDescent="0.2">
      <c r="A44" s="318"/>
      <c r="B44" s="319"/>
      <c r="C44" s="319"/>
      <c r="D44" s="319"/>
      <c r="E44" s="319"/>
      <c r="F44" s="319"/>
      <c r="G44" s="319"/>
      <c r="H44" s="319"/>
      <c r="I44" s="319"/>
      <c r="J44" s="319"/>
      <c r="K44" s="319"/>
      <c r="L44" s="321"/>
      <c r="M44" s="317"/>
      <c r="N44" s="281"/>
      <c r="O44" s="316"/>
      <c r="P44" s="281">
        <f ca="1">IF(NOT(ISERROR(MATCH(O44,_xlfn.ANCHORARRAY(E55),0))),N57&amp;"Por favor no seleccionar los criterios de impacto",O44)</f>
        <v>0</v>
      </c>
      <c r="Q44" s="317"/>
      <c r="R44" s="281"/>
      <c r="S44" s="282"/>
      <c r="T44" s="197">
        <v>2</v>
      </c>
      <c r="U44" s="163"/>
      <c r="V44" s="165" t="str">
        <f>IF(OR(W44="Preventivo",W44="Detectivo"),"Probabilidad",IF(W44="Correctivo","Impacto",""))</f>
        <v/>
      </c>
      <c r="W44" s="166"/>
      <c r="X44" s="166"/>
      <c r="Y44" s="167" t="str">
        <f t="shared" ref="Y44:Y48" si="58">IF(AND(W44="Preventivo",X44="Automático"),"50%",IF(AND(W44="Preventivo",X44="Manual"),"40%",IF(AND(W44="Detectivo",X44="Automático"),"40%",IF(AND(W44="Detectivo",X44="Manual"),"30%",IF(AND(W44="Correctivo",X44="Automático"),"35%",IF(AND(W44="Correctivo",X44="Manual"),"25%",""))))))</f>
        <v/>
      </c>
      <c r="Z44" s="166"/>
      <c r="AA44" s="166"/>
      <c r="AB44" s="166"/>
      <c r="AC44" s="168" t="str">
        <f>IFERROR(IF(AND(V43="Probabilidad",V44="Probabilidad"),(AE43-(+AE43*Y44)),IF(V44="Probabilidad",(N43-(+N43*Y44)),IF(V44="Impacto",AE43,""))),"")</f>
        <v/>
      </c>
      <c r="AD44" s="169" t="str">
        <f t="shared" si="2"/>
        <v/>
      </c>
      <c r="AE44" s="167" t="str">
        <f t="shared" ref="AE44:AE48" si="59">+AC44</f>
        <v/>
      </c>
      <c r="AF44" s="169" t="str">
        <f t="shared" si="4"/>
        <v/>
      </c>
      <c r="AG44" s="167" t="str">
        <f t="shared" ref="AG44" si="60">IFERROR(IF(AND(V43="Impacto",V44="Impacto"),(AG43-(+AG43*Y44)),IF(V44="Impacto",($R$13-(+$R$13*Y44)),IF(V44="Probabilidad",AG43,""))),"")</f>
        <v/>
      </c>
      <c r="AH44" s="170" t="str">
        <f t="shared" ref="AH44:AH45" si="61">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171"/>
      <c r="AJ44" s="162"/>
      <c r="AK44" s="172"/>
      <c r="AL44" s="172"/>
      <c r="AM44" s="173"/>
      <c r="AN44" s="321"/>
      <c r="AO44" s="321"/>
      <c r="AP44" s="321"/>
    </row>
    <row r="45" spans="1:42" s="174" customFormat="1" ht="37.5" customHeight="1" x14ac:dyDescent="0.2">
      <c r="A45" s="318"/>
      <c r="B45" s="319"/>
      <c r="C45" s="319"/>
      <c r="D45" s="319"/>
      <c r="E45" s="319"/>
      <c r="F45" s="319"/>
      <c r="G45" s="319"/>
      <c r="H45" s="319"/>
      <c r="I45" s="319"/>
      <c r="J45" s="319"/>
      <c r="K45" s="319"/>
      <c r="L45" s="321"/>
      <c r="M45" s="317"/>
      <c r="N45" s="281"/>
      <c r="O45" s="316"/>
      <c r="P45" s="281">
        <f ca="1">IF(NOT(ISERROR(MATCH(O45,_xlfn.ANCHORARRAY(E56),0))),N58&amp;"Por favor no seleccionar los criterios de impacto",O45)</f>
        <v>0</v>
      </c>
      <c r="Q45" s="317"/>
      <c r="R45" s="281"/>
      <c r="S45" s="282"/>
      <c r="T45" s="197">
        <v>3</v>
      </c>
      <c r="U45" s="164"/>
      <c r="V45" s="165" t="str">
        <f>IF(OR(W45="Preventivo",W45="Detectivo"),"Probabilidad",IF(W45="Correctivo","Impacto",""))</f>
        <v/>
      </c>
      <c r="W45" s="166"/>
      <c r="X45" s="166"/>
      <c r="Y45" s="167" t="str">
        <f t="shared" si="58"/>
        <v/>
      </c>
      <c r="Z45" s="166"/>
      <c r="AA45" s="166"/>
      <c r="AB45" s="166"/>
      <c r="AC45" s="168" t="str">
        <f>IFERROR(IF(AND(V44="Probabilidad",V45="Probabilidad"),(AE44-(+AE44*Y45)),IF(AND(V44="Impacto",V45="Probabilidad"),(AE43-(+AE43*Y45)),IF(V45="Impacto",AE44,""))),"")</f>
        <v/>
      </c>
      <c r="AD45" s="169" t="str">
        <f t="shared" si="2"/>
        <v/>
      </c>
      <c r="AE45" s="167" t="str">
        <f t="shared" si="59"/>
        <v/>
      </c>
      <c r="AF45" s="169" t="str">
        <f t="shared" si="4"/>
        <v/>
      </c>
      <c r="AG45" s="167" t="str">
        <f t="shared" ref="AG45" si="62">IFERROR(IF(AND(V44="Impacto",V45="Impacto"),(AG44-(+AG44*Y45)),IF(AND(V44="Probabilidad",V45="Impacto"),(AG43-(+AG43*Y45)),IF(V45="Probabilidad",AG44,""))),"")</f>
        <v/>
      </c>
      <c r="AH45" s="170" t="str">
        <f t="shared" si="61"/>
        <v/>
      </c>
      <c r="AI45" s="171"/>
      <c r="AJ45" s="162"/>
      <c r="AK45" s="172"/>
      <c r="AL45" s="172"/>
      <c r="AM45" s="173"/>
      <c r="AN45" s="321"/>
      <c r="AO45" s="321"/>
      <c r="AP45" s="321"/>
    </row>
    <row r="46" spans="1:42" s="174" customFormat="1" ht="37.5" customHeight="1" x14ac:dyDescent="0.2">
      <c r="A46" s="318"/>
      <c r="B46" s="319"/>
      <c r="C46" s="319"/>
      <c r="D46" s="319"/>
      <c r="E46" s="319"/>
      <c r="F46" s="319"/>
      <c r="G46" s="319"/>
      <c r="H46" s="319"/>
      <c r="I46" s="319"/>
      <c r="J46" s="319"/>
      <c r="K46" s="319"/>
      <c r="L46" s="321"/>
      <c r="M46" s="317"/>
      <c r="N46" s="281"/>
      <c r="O46" s="316"/>
      <c r="P46" s="281">
        <f ca="1">IF(NOT(ISERROR(MATCH(O46,_xlfn.ANCHORARRAY(E57),0))),N59&amp;"Por favor no seleccionar los criterios de impacto",O46)</f>
        <v>0</v>
      </c>
      <c r="Q46" s="317"/>
      <c r="R46" s="281"/>
      <c r="S46" s="282"/>
      <c r="T46" s="197">
        <v>4</v>
      </c>
      <c r="U46" s="163"/>
      <c r="V46" s="165" t="str">
        <f t="shared" ref="V46:V48" si="63">IF(OR(W46="Preventivo",W46="Detectivo"),"Probabilidad",IF(W46="Correctivo","Impacto",""))</f>
        <v/>
      </c>
      <c r="W46" s="166"/>
      <c r="X46" s="166"/>
      <c r="Y46" s="167" t="str">
        <f t="shared" si="58"/>
        <v/>
      </c>
      <c r="Z46" s="166"/>
      <c r="AA46" s="166"/>
      <c r="AB46" s="166"/>
      <c r="AC46" s="168" t="str">
        <f t="shared" ref="AC46:AC48" si="64">IFERROR(IF(AND(V45="Probabilidad",V46="Probabilidad"),(AE45-(+AE45*Y46)),IF(AND(V45="Impacto",V46="Probabilidad"),(AE44-(+AE44*Y46)),IF(V46="Impacto",AE45,""))),"")</f>
        <v/>
      </c>
      <c r="AD46" s="169" t="str">
        <f t="shared" si="2"/>
        <v/>
      </c>
      <c r="AE46" s="167" t="str">
        <f t="shared" si="59"/>
        <v/>
      </c>
      <c r="AF46" s="169" t="str">
        <f t="shared" si="4"/>
        <v/>
      </c>
      <c r="AG46" s="167" t="str">
        <f t="shared" si="25"/>
        <v/>
      </c>
      <c r="AH46" s="170"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171"/>
      <c r="AJ46" s="162"/>
      <c r="AK46" s="172"/>
      <c r="AL46" s="172"/>
      <c r="AM46" s="173"/>
      <c r="AN46" s="321"/>
      <c r="AO46" s="321"/>
      <c r="AP46" s="321"/>
    </row>
    <row r="47" spans="1:42" s="174" customFormat="1" ht="37.5" customHeight="1" x14ac:dyDescent="0.2">
      <c r="A47" s="318"/>
      <c r="B47" s="319"/>
      <c r="C47" s="319"/>
      <c r="D47" s="319"/>
      <c r="E47" s="319"/>
      <c r="F47" s="319"/>
      <c r="G47" s="319"/>
      <c r="H47" s="319"/>
      <c r="I47" s="319"/>
      <c r="J47" s="319"/>
      <c r="K47" s="319"/>
      <c r="L47" s="321"/>
      <c r="M47" s="317"/>
      <c r="N47" s="281"/>
      <c r="O47" s="316"/>
      <c r="P47" s="281">
        <f ca="1">IF(NOT(ISERROR(MATCH(O47,_xlfn.ANCHORARRAY(E58),0))),N60&amp;"Por favor no seleccionar los criterios de impacto",O47)</f>
        <v>0</v>
      </c>
      <c r="Q47" s="317"/>
      <c r="R47" s="281"/>
      <c r="S47" s="282"/>
      <c r="T47" s="197">
        <v>5</v>
      </c>
      <c r="U47" s="163"/>
      <c r="V47" s="165" t="str">
        <f t="shared" si="63"/>
        <v/>
      </c>
      <c r="W47" s="166"/>
      <c r="X47" s="166"/>
      <c r="Y47" s="167" t="str">
        <f t="shared" si="58"/>
        <v/>
      </c>
      <c r="Z47" s="166"/>
      <c r="AA47" s="166"/>
      <c r="AB47" s="166"/>
      <c r="AC47" s="168" t="str">
        <f t="shared" si="64"/>
        <v/>
      </c>
      <c r="AD47" s="169" t="str">
        <f t="shared" si="2"/>
        <v/>
      </c>
      <c r="AE47" s="167" t="str">
        <f t="shared" si="59"/>
        <v/>
      </c>
      <c r="AF47" s="169" t="str">
        <f t="shared" si="4"/>
        <v/>
      </c>
      <c r="AG47" s="167" t="str">
        <f t="shared" si="25"/>
        <v/>
      </c>
      <c r="AH47" s="170" t="str">
        <f t="shared" ref="AH47:AH48" si="65">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171"/>
      <c r="AJ47" s="162"/>
      <c r="AK47" s="172"/>
      <c r="AL47" s="172"/>
      <c r="AM47" s="173"/>
      <c r="AN47" s="321"/>
      <c r="AO47" s="321"/>
      <c r="AP47" s="321"/>
    </row>
    <row r="48" spans="1:42" s="174" customFormat="1" ht="37.5" customHeight="1" x14ac:dyDescent="0.2">
      <c r="A48" s="318"/>
      <c r="B48" s="319"/>
      <c r="C48" s="319"/>
      <c r="D48" s="319"/>
      <c r="E48" s="319"/>
      <c r="F48" s="319"/>
      <c r="G48" s="319"/>
      <c r="H48" s="319"/>
      <c r="I48" s="319"/>
      <c r="J48" s="319"/>
      <c r="K48" s="319"/>
      <c r="L48" s="321"/>
      <c r="M48" s="317"/>
      <c r="N48" s="281"/>
      <c r="O48" s="316"/>
      <c r="P48" s="281">
        <f ca="1">IF(NOT(ISERROR(MATCH(O48,_xlfn.ANCHORARRAY(E59),0))),N61&amp;"Por favor no seleccionar los criterios de impacto",O48)</f>
        <v>0</v>
      </c>
      <c r="Q48" s="317"/>
      <c r="R48" s="281"/>
      <c r="S48" s="282"/>
      <c r="T48" s="197">
        <v>6</v>
      </c>
      <c r="U48" s="163"/>
      <c r="V48" s="165" t="str">
        <f t="shared" si="63"/>
        <v/>
      </c>
      <c r="W48" s="166"/>
      <c r="X48" s="166"/>
      <c r="Y48" s="167" t="str">
        <f t="shared" si="58"/>
        <v/>
      </c>
      <c r="Z48" s="166"/>
      <c r="AA48" s="166"/>
      <c r="AB48" s="166"/>
      <c r="AC48" s="168" t="str">
        <f t="shared" si="64"/>
        <v/>
      </c>
      <c r="AD48" s="169" t="str">
        <f t="shared" si="2"/>
        <v/>
      </c>
      <c r="AE48" s="167" t="str">
        <f t="shared" si="59"/>
        <v/>
      </c>
      <c r="AF48" s="169" t="str">
        <f t="shared" si="4"/>
        <v/>
      </c>
      <c r="AG48" s="167" t="str">
        <f t="shared" si="25"/>
        <v/>
      </c>
      <c r="AH48" s="170" t="str">
        <f t="shared" si="65"/>
        <v/>
      </c>
      <c r="AI48" s="171"/>
      <c r="AJ48" s="162"/>
      <c r="AK48" s="172"/>
      <c r="AL48" s="172"/>
      <c r="AM48" s="173"/>
      <c r="AN48" s="321"/>
      <c r="AO48" s="321"/>
      <c r="AP48" s="321"/>
    </row>
    <row r="49" spans="1:42" s="174" customFormat="1" ht="37.5" customHeight="1" x14ac:dyDescent="0.2">
      <c r="A49" s="318">
        <v>9</v>
      </c>
      <c r="B49" s="319"/>
      <c r="C49" s="319"/>
      <c r="D49" s="319"/>
      <c r="E49" s="319"/>
      <c r="F49" s="319"/>
      <c r="G49" s="319"/>
      <c r="H49" s="319"/>
      <c r="I49" s="319"/>
      <c r="J49" s="319"/>
      <c r="K49" s="319"/>
      <c r="L49" s="321"/>
      <c r="M49" s="317" t="str">
        <f>IF(L49&lt;=0,"",IF(L49&lt;=2,"Muy Baja",IF(L49&lt;=24,"Baja",IF(L49&lt;=500,"Media",IF(L49&lt;=5000,"Alta","Muy Alta")))))</f>
        <v/>
      </c>
      <c r="N49" s="281" t="str">
        <f>IF(M49="","",IF(M49="Muy Baja",0.2,IF(M49="Baja",0.4,IF(M49="Media",0.6,IF(M49="Alta",0.8,IF(M49="Muy Alta",1,))))))</f>
        <v/>
      </c>
      <c r="O49" s="316"/>
      <c r="P49" s="281">
        <f>IF(NOT(ISERROR(MATCH(O49,'Tabla Impacto'!$B$222:$B$224,0))),'Tabla Impacto'!$F$224&amp;"Por favor no seleccionar los criterios de impacto(Afectación Económica o presupuestal y Pérdida Reputacional)",O49)</f>
        <v>0</v>
      </c>
      <c r="Q49" s="317" t="str">
        <f>IF(OR(P49='Tabla Impacto'!$C$12,P49='Tabla Impacto'!$D$12),"Leve",IF(OR(P49='Tabla Impacto'!$C$13,P49='Tabla Impacto'!$D$13),"Menor",IF(OR(P49='Tabla Impacto'!$C$14,P49='Tabla Impacto'!$D$14),"Moderado",IF(OR(P49='Tabla Impacto'!$C$15,P49='Tabla Impacto'!$D$15),"Mayor",IF(OR(P49='Tabla Impacto'!$C$16,P49='Tabla Impacto'!$D$16),"Catastrófico","")))))</f>
        <v/>
      </c>
      <c r="R49" s="281" t="str">
        <f>IF(Q49="","",IF(Q49="Leve",0.2,IF(Q49="Menor",0.4,IF(Q49="Moderado",0.6,IF(Q49="Mayor",0.8,IF(Q49="Catastrófico",1,))))))</f>
        <v/>
      </c>
      <c r="S49" s="282"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197">
        <v>1</v>
      </c>
      <c r="U49" s="163"/>
      <c r="V49" s="165" t="str">
        <f>IF(OR(W49="Preventivo",W49="Detectivo"),"Probabilidad",IF(W49="Correctivo","Impacto",""))</f>
        <v/>
      </c>
      <c r="W49" s="166"/>
      <c r="X49" s="166"/>
      <c r="Y49" s="167" t="str">
        <f>IF(AND(W49="Preventivo",X49="Automático"),"50%",IF(AND(W49="Preventivo",X49="Manual"),"40%",IF(AND(W49="Detectivo",X49="Automático"),"40%",IF(AND(W49="Detectivo",X49="Manual"),"30%",IF(AND(W49="Correctivo",X49="Automático"),"35%",IF(AND(W49="Correctivo",X49="Manual"),"25%",""))))))</f>
        <v/>
      </c>
      <c r="Z49" s="166"/>
      <c r="AA49" s="166"/>
      <c r="AB49" s="166"/>
      <c r="AC49" s="168" t="str">
        <f>IFERROR(IF(V49="Probabilidad",(N49-(+N49*Y49)),IF(V49="Impacto",N49,"")),"")</f>
        <v/>
      </c>
      <c r="AD49" s="169" t="str">
        <f>IFERROR(IF(AC49="","",IF(AC49&lt;=0.2,"Muy Baja",IF(AC49&lt;=0.4,"Baja",IF(AC49&lt;=0.6,"Media",IF(AC49&lt;=0.8,"Alta","Muy Alta"))))),"")</f>
        <v/>
      </c>
      <c r="AE49" s="167" t="str">
        <f>+AC49</f>
        <v/>
      </c>
      <c r="AF49" s="169" t="str">
        <f>IFERROR(IF(AG49="","",IF(AG49&lt;=0.2,"Leve",IF(AG49&lt;=0.4,"Menor",IF(AG49&lt;=0.6,"Moderado",IF(AG49&lt;=0.8,"Mayor","Catastrófico"))))),"")</f>
        <v/>
      </c>
      <c r="AG49" s="167" t="str">
        <f t="shared" ref="AG49" si="66">IFERROR(IF(V49="Impacto",(R49-(+R49*Y49)),IF(V49="Probabilidad",R49,"")),"")</f>
        <v/>
      </c>
      <c r="AH49" s="170"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171"/>
      <c r="AJ49" s="162"/>
      <c r="AK49" s="172"/>
      <c r="AL49" s="172"/>
      <c r="AM49" s="173"/>
      <c r="AN49" s="321"/>
      <c r="AO49" s="321"/>
      <c r="AP49" s="321"/>
    </row>
    <row r="50" spans="1:42" s="174" customFormat="1" ht="37.5" customHeight="1" x14ac:dyDescent="0.2">
      <c r="A50" s="318"/>
      <c r="B50" s="319"/>
      <c r="C50" s="319"/>
      <c r="D50" s="319"/>
      <c r="E50" s="319"/>
      <c r="F50" s="319"/>
      <c r="G50" s="319"/>
      <c r="H50" s="319"/>
      <c r="I50" s="319"/>
      <c r="J50" s="319"/>
      <c r="K50" s="319"/>
      <c r="L50" s="321"/>
      <c r="M50" s="317"/>
      <c r="N50" s="281"/>
      <c r="O50" s="316"/>
      <c r="P50" s="281">
        <f ca="1">IF(NOT(ISERROR(MATCH(O50,_xlfn.ANCHORARRAY(E61),0))),N63&amp;"Por favor no seleccionar los criterios de impacto",O50)</f>
        <v>0</v>
      </c>
      <c r="Q50" s="317"/>
      <c r="R50" s="281"/>
      <c r="S50" s="282"/>
      <c r="T50" s="197">
        <v>2</v>
      </c>
      <c r="U50" s="163"/>
      <c r="V50" s="165" t="str">
        <f>IF(OR(W50="Preventivo",W50="Detectivo"),"Probabilidad",IF(W50="Correctivo","Impacto",""))</f>
        <v/>
      </c>
      <c r="W50" s="166"/>
      <c r="X50" s="166"/>
      <c r="Y50" s="167" t="str">
        <f t="shared" ref="Y50:Y54" si="67">IF(AND(W50="Preventivo",X50="Automático"),"50%",IF(AND(W50="Preventivo",X50="Manual"),"40%",IF(AND(W50="Detectivo",X50="Automático"),"40%",IF(AND(W50="Detectivo",X50="Manual"),"30%",IF(AND(W50="Correctivo",X50="Automático"),"35%",IF(AND(W50="Correctivo",X50="Manual"),"25%",""))))))</f>
        <v/>
      </c>
      <c r="Z50" s="166"/>
      <c r="AA50" s="166"/>
      <c r="AB50" s="166"/>
      <c r="AC50" s="168" t="str">
        <f>IFERROR(IF(AND(V49="Probabilidad",V50="Probabilidad"),(AE49-(+AE49*Y50)),IF(V50="Probabilidad",(N49-(+N49*Y50)),IF(V50="Impacto",AE49,""))),"")</f>
        <v/>
      </c>
      <c r="AD50" s="169" t="str">
        <f t="shared" si="2"/>
        <v/>
      </c>
      <c r="AE50" s="167" t="str">
        <f t="shared" ref="AE50:AE54" si="68">+AC50</f>
        <v/>
      </c>
      <c r="AF50" s="169" t="str">
        <f t="shared" si="4"/>
        <v/>
      </c>
      <c r="AG50" s="167" t="str">
        <f t="shared" ref="AG50" si="69">IFERROR(IF(AND(V49="Impacto",V50="Impacto"),(AG49-(+AG49*Y50)),IF(V50="Impacto",($R$13-(+$R$13*Y50)),IF(V50="Probabilidad",AG49,""))),"")</f>
        <v/>
      </c>
      <c r="AH50" s="170" t="str">
        <f t="shared" ref="AH50:AH51" si="70">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171"/>
      <c r="AJ50" s="162"/>
      <c r="AK50" s="172"/>
      <c r="AL50" s="172"/>
      <c r="AM50" s="173"/>
      <c r="AN50" s="321"/>
      <c r="AO50" s="321"/>
      <c r="AP50" s="321"/>
    </row>
    <row r="51" spans="1:42" s="174" customFormat="1" ht="37.5" customHeight="1" x14ac:dyDescent="0.2">
      <c r="A51" s="318"/>
      <c r="B51" s="319"/>
      <c r="C51" s="319"/>
      <c r="D51" s="319"/>
      <c r="E51" s="319"/>
      <c r="F51" s="319"/>
      <c r="G51" s="319"/>
      <c r="H51" s="319"/>
      <c r="I51" s="319"/>
      <c r="J51" s="319"/>
      <c r="K51" s="319"/>
      <c r="L51" s="321"/>
      <c r="M51" s="317"/>
      <c r="N51" s="281"/>
      <c r="O51" s="316"/>
      <c r="P51" s="281">
        <f ca="1">IF(NOT(ISERROR(MATCH(O51,_xlfn.ANCHORARRAY(E62),0))),N64&amp;"Por favor no seleccionar los criterios de impacto",O51)</f>
        <v>0</v>
      </c>
      <c r="Q51" s="317"/>
      <c r="R51" s="281"/>
      <c r="S51" s="282"/>
      <c r="T51" s="197">
        <v>3</v>
      </c>
      <c r="U51" s="163"/>
      <c r="V51" s="165" t="str">
        <f>IF(OR(W51="Preventivo",W51="Detectivo"),"Probabilidad",IF(W51="Correctivo","Impacto",""))</f>
        <v/>
      </c>
      <c r="W51" s="166"/>
      <c r="X51" s="166"/>
      <c r="Y51" s="167" t="str">
        <f t="shared" si="67"/>
        <v/>
      </c>
      <c r="Z51" s="166"/>
      <c r="AA51" s="166"/>
      <c r="AB51" s="166"/>
      <c r="AC51" s="168" t="str">
        <f>IFERROR(IF(AND(V50="Probabilidad",V51="Probabilidad"),(AE50-(+AE50*Y51)),IF(AND(V50="Impacto",V51="Probabilidad"),(AE49-(+AE49*Y51)),IF(V51="Impacto",AE50,""))),"")</f>
        <v/>
      </c>
      <c r="AD51" s="169" t="str">
        <f t="shared" si="2"/>
        <v/>
      </c>
      <c r="AE51" s="167" t="str">
        <f t="shared" si="68"/>
        <v/>
      </c>
      <c r="AF51" s="169" t="str">
        <f t="shared" si="4"/>
        <v/>
      </c>
      <c r="AG51" s="167" t="str">
        <f t="shared" ref="AG51" si="71">IFERROR(IF(AND(V50="Impacto",V51="Impacto"),(AG50-(+AG50*Y51)),IF(AND(V50="Probabilidad",V51="Impacto"),(AG49-(+AG49*Y51)),IF(V51="Probabilidad",AG50,""))),"")</f>
        <v/>
      </c>
      <c r="AH51" s="170" t="str">
        <f t="shared" si="70"/>
        <v/>
      </c>
      <c r="AI51" s="171"/>
      <c r="AJ51" s="162"/>
      <c r="AK51" s="172"/>
      <c r="AL51" s="172"/>
      <c r="AM51" s="173"/>
      <c r="AN51" s="321"/>
      <c r="AO51" s="321"/>
      <c r="AP51" s="321"/>
    </row>
    <row r="52" spans="1:42" s="174" customFormat="1" ht="37.5" customHeight="1" x14ac:dyDescent="0.2">
      <c r="A52" s="318"/>
      <c r="B52" s="319"/>
      <c r="C52" s="319"/>
      <c r="D52" s="319"/>
      <c r="E52" s="319"/>
      <c r="F52" s="319"/>
      <c r="G52" s="319"/>
      <c r="H52" s="319"/>
      <c r="I52" s="319"/>
      <c r="J52" s="319"/>
      <c r="K52" s="319"/>
      <c r="L52" s="321"/>
      <c r="M52" s="317"/>
      <c r="N52" s="281"/>
      <c r="O52" s="316"/>
      <c r="P52" s="281">
        <f ca="1">IF(NOT(ISERROR(MATCH(O52,_xlfn.ANCHORARRAY(E63),0))),N65&amp;"Por favor no seleccionar los criterios de impacto",O52)</f>
        <v>0</v>
      </c>
      <c r="Q52" s="317"/>
      <c r="R52" s="281"/>
      <c r="S52" s="282"/>
      <c r="T52" s="197">
        <v>4</v>
      </c>
      <c r="U52" s="163"/>
      <c r="V52" s="165" t="str">
        <f t="shared" ref="V52:V54" si="72">IF(OR(W52="Preventivo",W52="Detectivo"),"Probabilidad",IF(W52="Correctivo","Impacto",""))</f>
        <v/>
      </c>
      <c r="W52" s="166"/>
      <c r="X52" s="166"/>
      <c r="Y52" s="167" t="str">
        <f t="shared" si="67"/>
        <v/>
      </c>
      <c r="Z52" s="166"/>
      <c r="AA52" s="166"/>
      <c r="AB52" s="166"/>
      <c r="AC52" s="168" t="str">
        <f t="shared" ref="AC52:AC54" si="73">IFERROR(IF(AND(V51="Probabilidad",V52="Probabilidad"),(AE51-(+AE51*Y52)),IF(AND(V51="Impacto",V52="Probabilidad"),(AE50-(+AE50*Y52)),IF(V52="Impacto",AE51,""))),"")</f>
        <v/>
      </c>
      <c r="AD52" s="169" t="str">
        <f t="shared" si="2"/>
        <v/>
      </c>
      <c r="AE52" s="167" t="str">
        <f t="shared" si="68"/>
        <v/>
      </c>
      <c r="AF52" s="169" t="str">
        <f t="shared" si="4"/>
        <v/>
      </c>
      <c r="AG52" s="167" t="str">
        <f t="shared" si="25"/>
        <v/>
      </c>
      <c r="AH52" s="170"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171"/>
      <c r="AJ52" s="162"/>
      <c r="AK52" s="172"/>
      <c r="AL52" s="172"/>
      <c r="AM52" s="173"/>
      <c r="AN52" s="321"/>
      <c r="AO52" s="321"/>
      <c r="AP52" s="321"/>
    </row>
    <row r="53" spans="1:42" s="174" customFormat="1" ht="37.5" customHeight="1" x14ac:dyDescent="0.2">
      <c r="A53" s="318"/>
      <c r="B53" s="319"/>
      <c r="C53" s="319"/>
      <c r="D53" s="319"/>
      <c r="E53" s="319"/>
      <c r="F53" s="319"/>
      <c r="G53" s="319"/>
      <c r="H53" s="319"/>
      <c r="I53" s="319"/>
      <c r="J53" s="319"/>
      <c r="K53" s="319"/>
      <c r="L53" s="321"/>
      <c r="M53" s="317"/>
      <c r="N53" s="281"/>
      <c r="O53" s="316"/>
      <c r="P53" s="281">
        <f ca="1">IF(NOT(ISERROR(MATCH(O53,_xlfn.ANCHORARRAY(E64),0))),N66&amp;"Por favor no seleccionar los criterios de impacto",O53)</f>
        <v>0</v>
      </c>
      <c r="Q53" s="317"/>
      <c r="R53" s="281"/>
      <c r="S53" s="282"/>
      <c r="T53" s="197">
        <v>5</v>
      </c>
      <c r="U53" s="163"/>
      <c r="V53" s="165" t="str">
        <f t="shared" si="72"/>
        <v/>
      </c>
      <c r="W53" s="166"/>
      <c r="X53" s="166"/>
      <c r="Y53" s="167" t="str">
        <f t="shared" si="67"/>
        <v/>
      </c>
      <c r="Z53" s="166"/>
      <c r="AA53" s="166"/>
      <c r="AB53" s="166"/>
      <c r="AC53" s="168" t="str">
        <f t="shared" si="73"/>
        <v/>
      </c>
      <c r="AD53" s="169" t="str">
        <f t="shared" si="2"/>
        <v/>
      </c>
      <c r="AE53" s="167" t="str">
        <f t="shared" si="68"/>
        <v/>
      </c>
      <c r="AF53" s="169" t="str">
        <f t="shared" si="4"/>
        <v/>
      </c>
      <c r="AG53" s="167" t="str">
        <f t="shared" si="25"/>
        <v/>
      </c>
      <c r="AH53" s="170" t="str">
        <f t="shared" ref="AH53:AH54" si="74">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171"/>
      <c r="AJ53" s="162"/>
      <c r="AK53" s="172"/>
      <c r="AL53" s="172"/>
      <c r="AM53" s="173"/>
      <c r="AN53" s="321"/>
      <c r="AO53" s="321"/>
      <c r="AP53" s="321"/>
    </row>
    <row r="54" spans="1:42" s="174" customFormat="1" ht="37.5" customHeight="1" x14ac:dyDescent="0.2">
      <c r="A54" s="318"/>
      <c r="B54" s="319"/>
      <c r="C54" s="319"/>
      <c r="D54" s="319"/>
      <c r="E54" s="319"/>
      <c r="F54" s="319"/>
      <c r="G54" s="319"/>
      <c r="H54" s="319"/>
      <c r="I54" s="319"/>
      <c r="J54" s="319"/>
      <c r="K54" s="319"/>
      <c r="L54" s="321"/>
      <c r="M54" s="317"/>
      <c r="N54" s="281"/>
      <c r="O54" s="316"/>
      <c r="P54" s="281">
        <f ca="1">IF(NOT(ISERROR(MATCH(O54,_xlfn.ANCHORARRAY(E65),0))),N67&amp;"Por favor no seleccionar los criterios de impacto",O54)</f>
        <v>0</v>
      </c>
      <c r="Q54" s="317"/>
      <c r="R54" s="281"/>
      <c r="S54" s="282"/>
      <c r="T54" s="197">
        <v>6</v>
      </c>
      <c r="U54" s="163"/>
      <c r="V54" s="165" t="str">
        <f t="shared" si="72"/>
        <v/>
      </c>
      <c r="W54" s="166"/>
      <c r="X54" s="166"/>
      <c r="Y54" s="167" t="str">
        <f t="shared" si="67"/>
        <v/>
      </c>
      <c r="Z54" s="166"/>
      <c r="AA54" s="166"/>
      <c r="AB54" s="166"/>
      <c r="AC54" s="168" t="str">
        <f t="shared" si="73"/>
        <v/>
      </c>
      <c r="AD54" s="169" t="str">
        <f t="shared" si="2"/>
        <v/>
      </c>
      <c r="AE54" s="167" t="str">
        <f t="shared" si="68"/>
        <v/>
      </c>
      <c r="AF54" s="169" t="str">
        <f t="shared" si="4"/>
        <v/>
      </c>
      <c r="AG54" s="167" t="str">
        <f t="shared" si="25"/>
        <v/>
      </c>
      <c r="AH54" s="170" t="str">
        <f t="shared" si="74"/>
        <v/>
      </c>
      <c r="AI54" s="171"/>
      <c r="AJ54" s="162"/>
      <c r="AK54" s="172"/>
      <c r="AL54" s="172"/>
      <c r="AM54" s="173"/>
      <c r="AN54" s="321"/>
      <c r="AO54" s="321"/>
      <c r="AP54" s="321"/>
    </row>
    <row r="55" spans="1:42" s="174" customFormat="1" ht="37.5" customHeight="1" x14ac:dyDescent="0.2">
      <c r="A55" s="318">
        <v>10</v>
      </c>
      <c r="B55" s="319"/>
      <c r="C55" s="319"/>
      <c r="D55" s="319"/>
      <c r="E55" s="319"/>
      <c r="F55" s="319"/>
      <c r="G55" s="319"/>
      <c r="H55" s="319"/>
      <c r="I55" s="319"/>
      <c r="J55" s="319"/>
      <c r="K55" s="319"/>
      <c r="L55" s="321"/>
      <c r="M55" s="317" t="str">
        <f>IF(L55&lt;=0,"",IF(L55&lt;=2,"Muy Baja",IF(L55&lt;=24,"Baja",IF(L55&lt;=500,"Media",IF(L55&lt;=5000,"Alta","Muy Alta")))))</f>
        <v/>
      </c>
      <c r="N55" s="281" t="str">
        <f>IF(M55="","",IF(M55="Muy Baja",0.2,IF(M55="Baja",0.4,IF(M55="Media",0.6,IF(M55="Alta",0.8,IF(M55="Muy Alta",1,))))))</f>
        <v/>
      </c>
      <c r="O55" s="316"/>
      <c r="P55" s="281">
        <f>IF(NOT(ISERROR(MATCH(O55,'Tabla Impacto'!$B$222:$B$224,0))),'Tabla Impacto'!$F$224&amp;"Por favor no seleccionar los criterios de impacto(Afectación Económica o presupuestal y Pérdida Reputacional)",O55)</f>
        <v>0</v>
      </c>
      <c r="Q55" s="317" t="str">
        <f>IF(OR(P55='Tabla Impacto'!$C$12,P55='Tabla Impacto'!$D$12),"Leve",IF(OR(P55='Tabla Impacto'!$C$13,P55='Tabla Impacto'!$D$13),"Menor",IF(OR(P55='Tabla Impacto'!$C$14,P55='Tabla Impacto'!$D$14),"Moderado",IF(OR(P55='Tabla Impacto'!$C$15,P55='Tabla Impacto'!$D$15),"Mayor",IF(OR(P55='Tabla Impacto'!$C$16,P55='Tabla Impacto'!$D$16),"Catastrófico","")))))</f>
        <v/>
      </c>
      <c r="R55" s="281" t="str">
        <f>IF(Q55="","",IF(Q55="Leve",0.2,IF(Q55="Menor",0.4,IF(Q55="Moderado",0.6,IF(Q55="Mayor",0.8,IF(Q55="Catastrófico",1,))))))</f>
        <v/>
      </c>
      <c r="S55" s="282"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197">
        <v>1</v>
      </c>
      <c r="U55" s="163"/>
      <c r="V55" s="165" t="str">
        <f>IF(OR(W55="Preventivo",W55="Detectivo"),"Probabilidad",IF(W55="Correctivo","Impacto",""))</f>
        <v/>
      </c>
      <c r="W55" s="166"/>
      <c r="X55" s="166"/>
      <c r="Y55" s="167" t="str">
        <f>IF(AND(W55="Preventivo",X55="Automático"),"50%",IF(AND(W55="Preventivo",X55="Manual"),"40%",IF(AND(W55="Detectivo",X55="Automático"),"40%",IF(AND(W55="Detectivo",X55="Manual"),"30%",IF(AND(W55="Correctivo",X55="Automático"),"35%",IF(AND(W55="Correctivo",X55="Manual"),"25%",""))))))</f>
        <v/>
      </c>
      <c r="Z55" s="166"/>
      <c r="AA55" s="166"/>
      <c r="AB55" s="166"/>
      <c r="AC55" s="168" t="str">
        <f>IFERROR(IF(V55="Probabilidad",(N55-(+N55*Y55)),IF(V55="Impacto",N55,"")),"")</f>
        <v/>
      </c>
      <c r="AD55" s="169" t="str">
        <f>IFERROR(IF(AC55="","",IF(AC55&lt;=0.2,"Muy Baja",IF(AC55&lt;=0.4,"Baja",IF(AC55&lt;=0.6,"Media",IF(AC55&lt;=0.8,"Alta","Muy Alta"))))),"")</f>
        <v/>
      </c>
      <c r="AE55" s="167" t="str">
        <f>+AC55</f>
        <v/>
      </c>
      <c r="AF55" s="169" t="str">
        <f>IFERROR(IF(AG55="","",IF(AG55&lt;=0.2,"Leve",IF(AG55&lt;=0.4,"Menor",IF(AG55&lt;=0.6,"Moderado",IF(AG55&lt;=0.8,"Mayor","Catastrófico"))))),"")</f>
        <v/>
      </c>
      <c r="AG55" s="167" t="str">
        <f t="shared" ref="AG55" si="75">IFERROR(IF(V55="Impacto",(R55-(+R55*Y55)),IF(V55="Probabilidad",R55,"")),"")</f>
        <v/>
      </c>
      <c r="AH55" s="170"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171"/>
      <c r="AJ55" s="162"/>
      <c r="AK55" s="172"/>
      <c r="AL55" s="172"/>
      <c r="AM55" s="173"/>
      <c r="AN55" s="321"/>
      <c r="AO55" s="321"/>
      <c r="AP55" s="321"/>
    </row>
    <row r="56" spans="1:42" s="174" customFormat="1" ht="37.5" customHeight="1" x14ac:dyDescent="0.2">
      <c r="A56" s="318"/>
      <c r="B56" s="319"/>
      <c r="C56" s="319"/>
      <c r="D56" s="319"/>
      <c r="E56" s="319"/>
      <c r="F56" s="319"/>
      <c r="G56" s="319"/>
      <c r="H56" s="319"/>
      <c r="I56" s="319"/>
      <c r="J56" s="319"/>
      <c r="K56" s="319"/>
      <c r="L56" s="321"/>
      <c r="M56" s="317"/>
      <c r="N56" s="281"/>
      <c r="O56" s="316"/>
      <c r="P56" s="281">
        <f ca="1">IF(NOT(ISERROR(MATCH(O56,_xlfn.ANCHORARRAY(E67),0))),N69&amp;"Por favor no seleccionar los criterios de impacto",O56)</f>
        <v>0</v>
      </c>
      <c r="Q56" s="317"/>
      <c r="R56" s="281"/>
      <c r="S56" s="282"/>
      <c r="T56" s="197">
        <v>2</v>
      </c>
      <c r="U56" s="163"/>
      <c r="V56" s="165" t="str">
        <f>IF(OR(W56="Preventivo",W56="Detectivo"),"Probabilidad",IF(W56="Correctivo","Impacto",""))</f>
        <v/>
      </c>
      <c r="W56" s="166"/>
      <c r="X56" s="166"/>
      <c r="Y56" s="167" t="str">
        <f t="shared" ref="Y56:Y60" si="76">IF(AND(W56="Preventivo",X56="Automático"),"50%",IF(AND(W56="Preventivo",X56="Manual"),"40%",IF(AND(W56="Detectivo",X56="Automático"),"40%",IF(AND(W56="Detectivo",X56="Manual"),"30%",IF(AND(W56="Correctivo",X56="Automático"),"35%",IF(AND(W56="Correctivo",X56="Manual"),"25%",""))))))</f>
        <v/>
      </c>
      <c r="Z56" s="166"/>
      <c r="AA56" s="166"/>
      <c r="AB56" s="166"/>
      <c r="AC56" s="168" t="str">
        <f>IFERROR(IF(AND(V55="Probabilidad",V56="Probabilidad"),(AE55-(+AE55*Y56)),IF(V56="Probabilidad",(N55-(+N55*Y56)),IF(V56="Impacto",AE55,""))),"")</f>
        <v/>
      </c>
      <c r="AD56" s="169" t="str">
        <f t="shared" si="2"/>
        <v/>
      </c>
      <c r="AE56" s="167" t="str">
        <f t="shared" ref="AE56:AE60" si="77">+AC56</f>
        <v/>
      </c>
      <c r="AF56" s="169" t="str">
        <f t="shared" si="4"/>
        <v/>
      </c>
      <c r="AG56" s="167" t="str">
        <f t="shared" ref="AG56" si="78">IFERROR(IF(AND(V55="Impacto",V56="Impacto"),(AG55-(+AG55*Y56)),IF(V56="Impacto",($R$13-(+$R$13*Y56)),IF(V56="Probabilidad",AG55,""))),"")</f>
        <v/>
      </c>
      <c r="AH56" s="170" t="str">
        <f t="shared" ref="AH56:AH57" si="79">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171"/>
      <c r="AJ56" s="162"/>
      <c r="AK56" s="172"/>
      <c r="AL56" s="172"/>
      <c r="AM56" s="173"/>
      <c r="AN56" s="321"/>
      <c r="AO56" s="321"/>
      <c r="AP56" s="321"/>
    </row>
    <row r="57" spans="1:42" s="174" customFormat="1" ht="37.5" customHeight="1" x14ac:dyDescent="0.2">
      <c r="A57" s="318"/>
      <c r="B57" s="319"/>
      <c r="C57" s="319"/>
      <c r="D57" s="319"/>
      <c r="E57" s="319"/>
      <c r="F57" s="319"/>
      <c r="G57" s="319"/>
      <c r="H57" s="319"/>
      <c r="I57" s="319"/>
      <c r="J57" s="319"/>
      <c r="K57" s="319"/>
      <c r="L57" s="321"/>
      <c r="M57" s="317"/>
      <c r="N57" s="281"/>
      <c r="O57" s="316"/>
      <c r="P57" s="281">
        <f ca="1">IF(NOT(ISERROR(MATCH(O57,_xlfn.ANCHORARRAY(E68),0))),N70&amp;"Por favor no seleccionar los criterios de impacto",O57)</f>
        <v>0</v>
      </c>
      <c r="Q57" s="317"/>
      <c r="R57" s="281"/>
      <c r="S57" s="282"/>
      <c r="T57" s="197">
        <v>3</v>
      </c>
      <c r="U57" s="163"/>
      <c r="V57" s="165" t="str">
        <f>IF(OR(W57="Preventivo",W57="Detectivo"),"Probabilidad",IF(W57="Correctivo","Impacto",""))</f>
        <v/>
      </c>
      <c r="W57" s="166"/>
      <c r="X57" s="166"/>
      <c r="Y57" s="167" t="str">
        <f t="shared" si="76"/>
        <v/>
      </c>
      <c r="Z57" s="166"/>
      <c r="AA57" s="166"/>
      <c r="AB57" s="166"/>
      <c r="AC57" s="168" t="str">
        <f>IFERROR(IF(AND(V56="Probabilidad",V57="Probabilidad"),(AE56-(+AE56*Y57)),IF(AND(V56="Impacto",V57="Probabilidad"),(AE55-(+AE55*Y57)),IF(V57="Impacto",AE56,""))),"")</f>
        <v/>
      </c>
      <c r="AD57" s="169" t="str">
        <f t="shared" si="2"/>
        <v/>
      </c>
      <c r="AE57" s="167" t="str">
        <f t="shared" si="77"/>
        <v/>
      </c>
      <c r="AF57" s="169" t="str">
        <f t="shared" si="4"/>
        <v/>
      </c>
      <c r="AG57" s="167" t="str">
        <f t="shared" ref="AG57" si="80">IFERROR(IF(AND(V56="Impacto",V57="Impacto"),(AG56-(+AG56*Y57)),IF(AND(V56="Probabilidad",V57="Impacto"),(AG55-(+AG55*Y57)),IF(V57="Probabilidad",AG56,""))),"")</f>
        <v/>
      </c>
      <c r="AH57" s="170" t="str">
        <f t="shared" si="79"/>
        <v/>
      </c>
      <c r="AI57" s="171"/>
      <c r="AJ57" s="162"/>
      <c r="AK57" s="172"/>
      <c r="AL57" s="172"/>
      <c r="AM57" s="173"/>
      <c r="AN57" s="321"/>
      <c r="AO57" s="321"/>
      <c r="AP57" s="321"/>
    </row>
    <row r="58" spans="1:42" s="174" customFormat="1" ht="37.5" customHeight="1" x14ac:dyDescent="0.2">
      <c r="A58" s="318"/>
      <c r="B58" s="319"/>
      <c r="C58" s="319"/>
      <c r="D58" s="319"/>
      <c r="E58" s="319"/>
      <c r="F58" s="319"/>
      <c r="G58" s="319"/>
      <c r="H58" s="319"/>
      <c r="I58" s="319"/>
      <c r="J58" s="319"/>
      <c r="K58" s="319"/>
      <c r="L58" s="321"/>
      <c r="M58" s="317"/>
      <c r="N58" s="281"/>
      <c r="O58" s="316"/>
      <c r="P58" s="281">
        <f ca="1">IF(NOT(ISERROR(MATCH(O58,_xlfn.ANCHORARRAY(E69),0))),N71&amp;"Por favor no seleccionar los criterios de impacto",O58)</f>
        <v>0</v>
      </c>
      <c r="Q58" s="317"/>
      <c r="R58" s="281"/>
      <c r="S58" s="282"/>
      <c r="T58" s="197">
        <v>4</v>
      </c>
      <c r="U58" s="163"/>
      <c r="V58" s="165" t="str">
        <f t="shared" ref="V58:V60" si="81">IF(OR(W58="Preventivo",W58="Detectivo"),"Probabilidad",IF(W58="Correctivo","Impacto",""))</f>
        <v/>
      </c>
      <c r="W58" s="166"/>
      <c r="X58" s="166"/>
      <c r="Y58" s="167" t="str">
        <f t="shared" si="76"/>
        <v/>
      </c>
      <c r="Z58" s="166"/>
      <c r="AA58" s="166"/>
      <c r="AB58" s="166"/>
      <c r="AC58" s="168" t="str">
        <f t="shared" ref="AC58:AC60" si="82">IFERROR(IF(AND(V57="Probabilidad",V58="Probabilidad"),(AE57-(+AE57*Y58)),IF(AND(V57="Impacto",V58="Probabilidad"),(AE56-(+AE56*Y58)),IF(V58="Impacto",AE57,""))),"")</f>
        <v/>
      </c>
      <c r="AD58" s="169" t="str">
        <f t="shared" si="2"/>
        <v/>
      </c>
      <c r="AE58" s="167" t="str">
        <f t="shared" si="77"/>
        <v/>
      </c>
      <c r="AF58" s="169" t="str">
        <f t="shared" si="4"/>
        <v/>
      </c>
      <c r="AG58" s="167" t="str">
        <f t="shared" si="25"/>
        <v/>
      </c>
      <c r="AH58" s="170"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171"/>
      <c r="AJ58" s="162"/>
      <c r="AK58" s="172"/>
      <c r="AL58" s="172"/>
      <c r="AM58" s="173"/>
      <c r="AN58" s="321"/>
      <c r="AO58" s="321"/>
      <c r="AP58" s="321"/>
    </row>
    <row r="59" spans="1:42" s="174" customFormat="1" ht="37.5" customHeight="1" x14ac:dyDescent="0.2">
      <c r="A59" s="318"/>
      <c r="B59" s="319"/>
      <c r="C59" s="319"/>
      <c r="D59" s="319"/>
      <c r="E59" s="319"/>
      <c r="F59" s="319"/>
      <c r="G59" s="319"/>
      <c r="H59" s="319"/>
      <c r="I59" s="319"/>
      <c r="J59" s="319"/>
      <c r="K59" s="319"/>
      <c r="L59" s="321"/>
      <c r="M59" s="317"/>
      <c r="N59" s="281"/>
      <c r="O59" s="316"/>
      <c r="P59" s="281">
        <f ca="1">IF(NOT(ISERROR(MATCH(O59,_xlfn.ANCHORARRAY(E70),0))),N72&amp;"Por favor no seleccionar los criterios de impacto",O59)</f>
        <v>0</v>
      </c>
      <c r="Q59" s="317"/>
      <c r="R59" s="281"/>
      <c r="S59" s="282"/>
      <c r="T59" s="197">
        <v>5</v>
      </c>
      <c r="U59" s="163"/>
      <c r="V59" s="165" t="str">
        <f t="shared" si="81"/>
        <v/>
      </c>
      <c r="W59" s="166"/>
      <c r="X59" s="166"/>
      <c r="Y59" s="167" t="str">
        <f t="shared" si="76"/>
        <v/>
      </c>
      <c r="Z59" s="166"/>
      <c r="AA59" s="166"/>
      <c r="AB59" s="166"/>
      <c r="AC59" s="168" t="str">
        <f t="shared" si="82"/>
        <v/>
      </c>
      <c r="AD59" s="169" t="str">
        <f t="shared" si="2"/>
        <v/>
      </c>
      <c r="AE59" s="167" t="str">
        <f t="shared" si="77"/>
        <v/>
      </c>
      <c r="AF59" s="169" t="str">
        <f t="shared" si="4"/>
        <v/>
      </c>
      <c r="AG59" s="167" t="str">
        <f t="shared" si="25"/>
        <v/>
      </c>
      <c r="AH59" s="170" t="str">
        <f t="shared" ref="AH59:AH60" si="83">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171"/>
      <c r="AJ59" s="162"/>
      <c r="AK59" s="172"/>
      <c r="AL59" s="172"/>
      <c r="AM59" s="173"/>
      <c r="AN59" s="321"/>
      <c r="AO59" s="321"/>
      <c r="AP59" s="321"/>
    </row>
    <row r="60" spans="1:42" s="174" customFormat="1" ht="37.5" customHeight="1" x14ac:dyDescent="0.2">
      <c r="A60" s="318"/>
      <c r="B60" s="319"/>
      <c r="C60" s="319"/>
      <c r="D60" s="319"/>
      <c r="E60" s="319"/>
      <c r="F60" s="319"/>
      <c r="G60" s="319"/>
      <c r="H60" s="319"/>
      <c r="I60" s="319"/>
      <c r="J60" s="319"/>
      <c r="K60" s="319"/>
      <c r="L60" s="321"/>
      <c r="M60" s="317"/>
      <c r="N60" s="281"/>
      <c r="O60" s="316"/>
      <c r="P60" s="281">
        <f ca="1">IF(NOT(ISERROR(MATCH(O60,_xlfn.ANCHORARRAY(E71),0))),N73&amp;"Por favor no seleccionar los criterios de impacto",O60)</f>
        <v>0</v>
      </c>
      <c r="Q60" s="317"/>
      <c r="R60" s="281"/>
      <c r="S60" s="282"/>
      <c r="T60" s="197">
        <v>6</v>
      </c>
      <c r="U60" s="163"/>
      <c r="V60" s="165" t="str">
        <f t="shared" si="81"/>
        <v/>
      </c>
      <c r="W60" s="166"/>
      <c r="X60" s="166"/>
      <c r="Y60" s="167" t="str">
        <f t="shared" si="76"/>
        <v/>
      </c>
      <c r="Z60" s="166"/>
      <c r="AA60" s="166"/>
      <c r="AB60" s="166"/>
      <c r="AC60" s="168" t="str">
        <f t="shared" si="82"/>
        <v/>
      </c>
      <c r="AD60" s="169" t="str">
        <f t="shared" si="2"/>
        <v/>
      </c>
      <c r="AE60" s="167" t="str">
        <f t="shared" si="77"/>
        <v/>
      </c>
      <c r="AF60" s="169" t="str">
        <f t="shared" si="4"/>
        <v/>
      </c>
      <c r="AG60" s="167" t="str">
        <f t="shared" si="25"/>
        <v/>
      </c>
      <c r="AH60" s="170" t="str">
        <f t="shared" si="83"/>
        <v/>
      </c>
      <c r="AI60" s="171"/>
      <c r="AJ60" s="162"/>
      <c r="AK60" s="172"/>
      <c r="AL60" s="172"/>
      <c r="AM60" s="173"/>
      <c r="AN60" s="321"/>
      <c r="AO60" s="321"/>
      <c r="AP60" s="321"/>
    </row>
    <row r="61" spans="1:42" ht="49.5" customHeight="1" x14ac:dyDescent="0.2">
      <c r="A61" s="199"/>
      <c r="B61" s="326" t="s">
        <v>377</v>
      </c>
      <c r="C61" s="327"/>
      <c r="D61" s="327"/>
      <c r="E61" s="327"/>
      <c r="F61" s="327"/>
      <c r="G61" s="327"/>
      <c r="H61" s="327"/>
      <c r="I61" s="327"/>
      <c r="J61" s="327"/>
      <c r="K61" s="327"/>
      <c r="L61" s="327"/>
      <c r="M61" s="327"/>
      <c r="N61" s="327"/>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row>
    <row r="63" spans="1:42" ht="15.75" x14ac:dyDescent="0.2">
      <c r="A63" s="186"/>
      <c r="B63" s="189" t="s">
        <v>158</v>
      </c>
      <c r="C63" s="186"/>
      <c r="D63" s="186"/>
      <c r="G63" s="186"/>
      <c r="H63" s="186"/>
      <c r="I63" s="186"/>
      <c r="J63" s="186"/>
      <c r="K63" s="186"/>
    </row>
  </sheetData>
  <dataConsolidate/>
  <mergeCells count="282">
    <mergeCell ref="H55:H60"/>
    <mergeCell ref="H49:H54"/>
    <mergeCell ref="H43:H48"/>
    <mergeCell ref="H37:H42"/>
    <mergeCell ref="H31:H36"/>
    <mergeCell ref="H25:H30"/>
    <mergeCell ref="H11:H12"/>
    <mergeCell ref="AN49:AN54"/>
    <mergeCell ref="AO49:AO54"/>
    <mergeCell ref="N11:N12"/>
    <mergeCell ref="Q11:Q12"/>
    <mergeCell ref="R11:R12"/>
    <mergeCell ref="AJ11:AJ12"/>
    <mergeCell ref="AM11:AM12"/>
    <mergeCell ref="AK11:AK12"/>
    <mergeCell ref="O19:O24"/>
    <mergeCell ref="P19:P24"/>
    <mergeCell ref="Q19:Q24"/>
    <mergeCell ref="R19:R24"/>
    <mergeCell ref="S19:S24"/>
    <mergeCell ref="P15:P16"/>
    <mergeCell ref="Q15:Q16"/>
    <mergeCell ref="R15:R16"/>
    <mergeCell ref="S15:S16"/>
    <mergeCell ref="AP49:AP54"/>
    <mergeCell ref="AN55:AN60"/>
    <mergeCell ref="AO55:AO60"/>
    <mergeCell ref="AP55:AP60"/>
    <mergeCell ref="K13:K14"/>
    <mergeCell ref="I13:I14"/>
    <mergeCell ref="J13:J14"/>
    <mergeCell ref="I15:I16"/>
    <mergeCell ref="J15:J16"/>
    <mergeCell ref="K15:K16"/>
    <mergeCell ref="I17:I18"/>
    <mergeCell ref="J17:J18"/>
    <mergeCell ref="K17:K18"/>
    <mergeCell ref="I19:I24"/>
    <mergeCell ref="J19:J24"/>
    <mergeCell ref="K19:K24"/>
    <mergeCell ref="I25:I30"/>
    <mergeCell ref="J25:J30"/>
    <mergeCell ref="K25:K30"/>
    <mergeCell ref="I31:I36"/>
    <mergeCell ref="J31:J36"/>
    <mergeCell ref="K31:K36"/>
    <mergeCell ref="AN31:AN36"/>
    <mergeCell ref="AO31:AO36"/>
    <mergeCell ref="AN15:AN16"/>
    <mergeCell ref="AO15:AO16"/>
    <mergeCell ref="AP15:AP16"/>
    <mergeCell ref="AP31:AP36"/>
    <mergeCell ref="AN37:AN42"/>
    <mergeCell ref="AO37:AO42"/>
    <mergeCell ref="AP37:AP42"/>
    <mergeCell ref="AN43:AN48"/>
    <mergeCell ref="AO43:AO48"/>
    <mergeCell ref="AP43:AP48"/>
    <mergeCell ref="AN17:AN18"/>
    <mergeCell ref="AO17:AO18"/>
    <mergeCell ref="AP17:AP18"/>
    <mergeCell ref="AN19:AN24"/>
    <mergeCell ref="AO19:AO24"/>
    <mergeCell ref="AP19:AP24"/>
    <mergeCell ref="AN25:AN30"/>
    <mergeCell ref="AO25:AO30"/>
    <mergeCell ref="AP25:AP30"/>
    <mergeCell ref="AN10:AP10"/>
    <mergeCell ref="AN11:AN12"/>
    <mergeCell ref="AO11:AO12"/>
    <mergeCell ref="AP11:AP12"/>
    <mergeCell ref="AN13:AN14"/>
    <mergeCell ref="AO13:AO14"/>
    <mergeCell ref="AP13:AP14"/>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B11:B12"/>
    <mergeCell ref="F13:F14"/>
    <mergeCell ref="S13:S14"/>
    <mergeCell ref="N13:N14"/>
    <mergeCell ref="O13:O14"/>
    <mergeCell ref="P13:P14"/>
    <mergeCell ref="Q13:Q14"/>
    <mergeCell ref="R13:R14"/>
    <mergeCell ref="H13:H14"/>
    <mergeCell ref="L11:L12"/>
    <mergeCell ref="M11:M12"/>
    <mergeCell ref="S11:S12"/>
    <mergeCell ref="O11:O12"/>
    <mergeCell ref="P11:P12"/>
    <mergeCell ref="O15:O16"/>
    <mergeCell ref="A15:A16"/>
    <mergeCell ref="B15:B16"/>
    <mergeCell ref="C15:C16"/>
    <mergeCell ref="D15:D16"/>
    <mergeCell ref="E15:E16"/>
    <mergeCell ref="H15:H16"/>
    <mergeCell ref="F15:F16"/>
    <mergeCell ref="C7:S7"/>
    <mergeCell ref="C8:S8"/>
    <mergeCell ref="F11:F12"/>
    <mergeCell ref="G13:G14"/>
    <mergeCell ref="L13:L14"/>
    <mergeCell ref="M13:M14"/>
    <mergeCell ref="A13:A14"/>
    <mergeCell ref="B13:B14"/>
    <mergeCell ref="C13:C14"/>
    <mergeCell ref="D13:D14"/>
    <mergeCell ref="E13:E14"/>
    <mergeCell ref="A11:A12"/>
    <mergeCell ref="G11:G12"/>
    <mergeCell ref="E11:E12"/>
    <mergeCell ref="D11:D12"/>
    <mergeCell ref="C11:C12"/>
    <mergeCell ref="E17:E18"/>
    <mergeCell ref="G17:G18"/>
    <mergeCell ref="L17:L18"/>
    <mergeCell ref="M17:M18"/>
    <mergeCell ref="N17:N18"/>
    <mergeCell ref="H17:H18"/>
    <mergeCell ref="F17:F18"/>
    <mergeCell ref="G15:G16"/>
    <mergeCell ref="L15:L16"/>
    <mergeCell ref="M15:M16"/>
    <mergeCell ref="N15:N16"/>
    <mergeCell ref="A19:A24"/>
    <mergeCell ref="B19:B24"/>
    <mergeCell ref="C19:C24"/>
    <mergeCell ref="D19:D24"/>
    <mergeCell ref="E19:E24"/>
    <mergeCell ref="G19:G24"/>
    <mergeCell ref="L19:L24"/>
    <mergeCell ref="M19:M24"/>
    <mergeCell ref="N19:N24"/>
    <mergeCell ref="H19:H24"/>
    <mergeCell ref="F19:F24"/>
    <mergeCell ref="C43:C48"/>
    <mergeCell ref="D43:D48"/>
    <mergeCell ref="E43:E48"/>
    <mergeCell ref="A37:A42"/>
    <mergeCell ref="B37:B42"/>
    <mergeCell ref="C37:C42"/>
    <mergeCell ref="D37:D42"/>
    <mergeCell ref="E37:E42"/>
    <mergeCell ref="A25:A30"/>
    <mergeCell ref="B25:B30"/>
    <mergeCell ref="C25:C30"/>
    <mergeCell ref="A31:A36"/>
    <mergeCell ref="B31:B36"/>
    <mergeCell ref="C31:C36"/>
    <mergeCell ref="D31:D36"/>
    <mergeCell ref="E31:E36"/>
    <mergeCell ref="D25:D30"/>
    <mergeCell ref="E25:E30"/>
    <mergeCell ref="I55:I60"/>
    <mergeCell ref="J55:J60"/>
    <mergeCell ref="K55:K60"/>
    <mergeCell ref="F55:F60"/>
    <mergeCell ref="R37:R42"/>
    <mergeCell ref="S37:S42"/>
    <mergeCell ref="G43:G48"/>
    <mergeCell ref="L43:L48"/>
    <mergeCell ref="M43:M48"/>
    <mergeCell ref="N43:N48"/>
    <mergeCell ref="O43:O48"/>
    <mergeCell ref="G37:G42"/>
    <mergeCell ref="L37:L42"/>
    <mergeCell ref="M37:M42"/>
    <mergeCell ref="N37:N42"/>
    <mergeCell ref="P43:P48"/>
    <mergeCell ref="Q43:Q48"/>
    <mergeCell ref="R43:R48"/>
    <mergeCell ref="S43:S48"/>
    <mergeCell ref="I37:I42"/>
    <mergeCell ref="J37:J42"/>
    <mergeCell ref="K37:K42"/>
    <mergeCell ref="I43:I48"/>
    <mergeCell ref="J43:J48"/>
    <mergeCell ref="B61:AM61"/>
    <mergeCell ref="R49:R54"/>
    <mergeCell ref="S49:S54"/>
    <mergeCell ref="A55:A60"/>
    <mergeCell ref="B55:B60"/>
    <mergeCell ref="C55:C60"/>
    <mergeCell ref="D55:D60"/>
    <mergeCell ref="E55:E60"/>
    <mergeCell ref="G55:G60"/>
    <mergeCell ref="L55:L60"/>
    <mergeCell ref="M55:M60"/>
    <mergeCell ref="N55:N60"/>
    <mergeCell ref="O55:O60"/>
    <mergeCell ref="P55:P60"/>
    <mergeCell ref="Q55:Q60"/>
    <mergeCell ref="R55:R60"/>
    <mergeCell ref="S55:S60"/>
    <mergeCell ref="O49:O54"/>
    <mergeCell ref="P49:P54"/>
    <mergeCell ref="Q49:Q54"/>
    <mergeCell ref="A49:A54"/>
    <mergeCell ref="B49:B54"/>
    <mergeCell ref="C49:C54"/>
    <mergeCell ref="D49:D54"/>
    <mergeCell ref="F49:F54"/>
    <mergeCell ref="C6:S6"/>
    <mergeCell ref="A10:L10"/>
    <mergeCell ref="M10:S10"/>
    <mergeCell ref="T10:AB10"/>
    <mergeCell ref="AC10:AI10"/>
    <mergeCell ref="AJ10:AM10"/>
    <mergeCell ref="E49:E54"/>
    <mergeCell ref="G49:G54"/>
    <mergeCell ref="L49:L54"/>
    <mergeCell ref="M49:M54"/>
    <mergeCell ref="N49:N54"/>
    <mergeCell ref="I49:I54"/>
    <mergeCell ref="J49:J54"/>
    <mergeCell ref="K49:K54"/>
    <mergeCell ref="N25:N30"/>
    <mergeCell ref="O25:O30"/>
    <mergeCell ref="L31:L36"/>
    <mergeCell ref="M31:M36"/>
    <mergeCell ref="N31:N36"/>
    <mergeCell ref="P25:P30"/>
    <mergeCell ref="Q25:Q30"/>
    <mergeCell ref="A43:A48"/>
    <mergeCell ref="B43:B48"/>
    <mergeCell ref="F37:F42"/>
    <mergeCell ref="F43:F48"/>
    <mergeCell ref="K43:K48"/>
    <mergeCell ref="R25:R30"/>
    <mergeCell ref="S25:S30"/>
    <mergeCell ref="R31:R36"/>
    <mergeCell ref="S31:S36"/>
    <mergeCell ref="O37:O42"/>
    <mergeCell ref="P37:P42"/>
    <mergeCell ref="Q37:Q42"/>
    <mergeCell ref="O31:O36"/>
    <mergeCell ref="P31:P36"/>
    <mergeCell ref="Q31:Q36"/>
    <mergeCell ref="L25:L30"/>
    <mergeCell ref="M25:M30"/>
    <mergeCell ref="G31:G36"/>
    <mergeCell ref="G25:G30"/>
    <mergeCell ref="F25:F30"/>
    <mergeCell ref="F31:F36"/>
    <mergeCell ref="U6:AP6"/>
    <mergeCell ref="U7:AP7"/>
    <mergeCell ref="U8:AP8"/>
    <mergeCell ref="R17:R18"/>
    <mergeCell ref="S17:S18"/>
    <mergeCell ref="A1:C4"/>
    <mergeCell ref="D1:S2"/>
    <mergeCell ref="D3:K3"/>
    <mergeCell ref="L3:S3"/>
    <mergeCell ref="D4:S4"/>
    <mergeCell ref="U1:AP2"/>
    <mergeCell ref="U3:AI3"/>
    <mergeCell ref="U4:AP4"/>
    <mergeCell ref="AJ3:AP3"/>
    <mergeCell ref="A6:B6"/>
    <mergeCell ref="A7:B7"/>
    <mergeCell ref="A8:B8"/>
    <mergeCell ref="O17:O18"/>
    <mergeCell ref="P17:P18"/>
    <mergeCell ref="Q17:Q18"/>
    <mergeCell ref="A17:A18"/>
    <mergeCell ref="B17:B18"/>
    <mergeCell ref="C17:C18"/>
    <mergeCell ref="D17:D18"/>
  </mergeCells>
  <conditionalFormatting sqref="M13 M15">
    <cfRule type="cellIs" dxfId="230" priority="324" operator="equal">
      <formula>"Muy Alta"</formula>
    </cfRule>
    <cfRule type="cellIs" dxfId="229" priority="325" operator="equal">
      <formula>"Alta"</formula>
    </cfRule>
    <cfRule type="cellIs" dxfId="228" priority="326" operator="equal">
      <formula>"Media"</formula>
    </cfRule>
    <cfRule type="cellIs" dxfId="227" priority="327" operator="equal">
      <formula>"Baja"</formula>
    </cfRule>
    <cfRule type="cellIs" dxfId="226" priority="328" operator="equal">
      <formula>"Muy Baja"</formula>
    </cfRule>
  </conditionalFormatting>
  <conditionalFormatting sqref="Q13 Q15 Q17 Q19 Q25 Q31 Q37 Q43 Q49 Q55">
    <cfRule type="cellIs" dxfId="225" priority="319" operator="equal">
      <formula>"Catastrófico"</formula>
    </cfRule>
    <cfRule type="cellIs" dxfId="224" priority="320" operator="equal">
      <formula>"Mayor"</formula>
    </cfRule>
    <cfRule type="cellIs" dxfId="223" priority="321" operator="equal">
      <formula>"Moderado"</formula>
    </cfRule>
    <cfRule type="cellIs" dxfId="222" priority="322" operator="equal">
      <formula>"Menor"</formula>
    </cfRule>
    <cfRule type="cellIs" dxfId="221" priority="323" operator="equal">
      <formula>"Leve"</formula>
    </cfRule>
  </conditionalFormatting>
  <conditionalFormatting sqref="S13">
    <cfRule type="cellIs" dxfId="220" priority="315" operator="equal">
      <formula>"Extremo"</formula>
    </cfRule>
    <cfRule type="cellIs" dxfId="219" priority="316" operator="equal">
      <formula>"Alto"</formula>
    </cfRule>
    <cfRule type="cellIs" dxfId="218" priority="317" operator="equal">
      <formula>"Moderado"</formula>
    </cfRule>
    <cfRule type="cellIs" dxfId="217" priority="318" operator="equal">
      <formula>"Bajo"</formula>
    </cfRule>
  </conditionalFormatting>
  <conditionalFormatting sqref="AD13:AD14">
    <cfRule type="cellIs" dxfId="216" priority="310" operator="equal">
      <formula>"Muy Alta"</formula>
    </cfRule>
    <cfRule type="cellIs" dxfId="215" priority="311" operator="equal">
      <formula>"Alta"</formula>
    </cfRule>
    <cfRule type="cellIs" dxfId="214" priority="312" operator="equal">
      <formula>"Media"</formula>
    </cfRule>
    <cfRule type="cellIs" dxfId="213" priority="313" operator="equal">
      <formula>"Baja"</formula>
    </cfRule>
    <cfRule type="cellIs" dxfId="212" priority="314" operator="equal">
      <formula>"Muy Baja"</formula>
    </cfRule>
  </conditionalFormatting>
  <conditionalFormatting sqref="AF13:AF14">
    <cfRule type="cellIs" dxfId="211" priority="305" operator="equal">
      <formula>"Catastrófico"</formula>
    </cfRule>
    <cfRule type="cellIs" dxfId="210" priority="306" operator="equal">
      <formula>"Mayor"</formula>
    </cfRule>
    <cfRule type="cellIs" dxfId="209" priority="307" operator="equal">
      <formula>"Moderado"</formula>
    </cfRule>
    <cfRule type="cellIs" dxfId="208" priority="308" operator="equal">
      <formula>"Menor"</formula>
    </cfRule>
    <cfRule type="cellIs" dxfId="207" priority="309" operator="equal">
      <formula>"Leve"</formula>
    </cfRule>
  </conditionalFormatting>
  <conditionalFormatting sqref="AH13:AH14">
    <cfRule type="cellIs" dxfId="206" priority="301" operator="equal">
      <formula>"Extremo"</formula>
    </cfRule>
    <cfRule type="cellIs" dxfId="205" priority="302" operator="equal">
      <formula>"Alto"</formula>
    </cfRule>
    <cfRule type="cellIs" dxfId="204" priority="303" operator="equal">
      <formula>"Moderado"</formula>
    </cfRule>
    <cfRule type="cellIs" dxfId="203" priority="304" operator="equal">
      <formula>"Bajo"</formula>
    </cfRule>
  </conditionalFormatting>
  <conditionalFormatting sqref="M49">
    <cfRule type="cellIs" dxfId="202" priority="58" operator="equal">
      <formula>"Muy Alta"</formula>
    </cfRule>
    <cfRule type="cellIs" dxfId="201" priority="59" operator="equal">
      <formula>"Alta"</formula>
    </cfRule>
    <cfRule type="cellIs" dxfId="200" priority="60" operator="equal">
      <formula>"Media"</formula>
    </cfRule>
    <cfRule type="cellIs" dxfId="199" priority="61" operator="equal">
      <formula>"Baja"</formula>
    </cfRule>
    <cfRule type="cellIs" dxfId="198" priority="62" operator="equal">
      <formula>"Muy Baja"</formula>
    </cfRule>
  </conditionalFormatting>
  <conditionalFormatting sqref="S15">
    <cfRule type="cellIs" dxfId="197" priority="245" operator="equal">
      <formula>"Extremo"</formula>
    </cfRule>
    <cfRule type="cellIs" dxfId="196" priority="246" operator="equal">
      <formula>"Alto"</formula>
    </cfRule>
    <cfRule type="cellIs" dxfId="195" priority="247" operator="equal">
      <formula>"Moderado"</formula>
    </cfRule>
    <cfRule type="cellIs" dxfId="194" priority="248" operator="equal">
      <formula>"Bajo"</formula>
    </cfRule>
  </conditionalFormatting>
  <conditionalFormatting sqref="AD15:AD16">
    <cfRule type="cellIs" dxfId="193" priority="240" operator="equal">
      <formula>"Muy Alta"</formula>
    </cfRule>
    <cfRule type="cellIs" dxfId="192" priority="241" operator="equal">
      <formula>"Alta"</formula>
    </cfRule>
    <cfRule type="cellIs" dxfId="191" priority="242" operator="equal">
      <formula>"Media"</formula>
    </cfRule>
    <cfRule type="cellIs" dxfId="190" priority="243" operator="equal">
      <formula>"Baja"</formula>
    </cfRule>
    <cfRule type="cellIs" dxfId="189" priority="244" operator="equal">
      <formula>"Muy Baja"</formula>
    </cfRule>
  </conditionalFormatting>
  <conditionalFormatting sqref="AF15:AF16">
    <cfRule type="cellIs" dxfId="188" priority="235" operator="equal">
      <formula>"Catastrófico"</formula>
    </cfRule>
    <cfRule type="cellIs" dxfId="187" priority="236" operator="equal">
      <formula>"Mayor"</formula>
    </cfRule>
    <cfRule type="cellIs" dxfId="186" priority="237" operator="equal">
      <formula>"Moderado"</formula>
    </cfRule>
    <cfRule type="cellIs" dxfId="185" priority="238" operator="equal">
      <formula>"Menor"</formula>
    </cfRule>
    <cfRule type="cellIs" dxfId="184" priority="239" operator="equal">
      <formula>"Leve"</formula>
    </cfRule>
  </conditionalFormatting>
  <conditionalFormatting sqref="AH15:AH16">
    <cfRule type="cellIs" dxfId="183" priority="231" operator="equal">
      <formula>"Extremo"</formula>
    </cfRule>
    <cfRule type="cellIs" dxfId="182" priority="232" operator="equal">
      <formula>"Alto"</formula>
    </cfRule>
    <cfRule type="cellIs" dxfId="181" priority="233" operator="equal">
      <formula>"Moderado"</formula>
    </cfRule>
    <cfRule type="cellIs" dxfId="180" priority="234" operator="equal">
      <formula>"Bajo"</formula>
    </cfRule>
  </conditionalFormatting>
  <conditionalFormatting sqref="M17">
    <cfRule type="cellIs" dxfId="179" priority="226" operator="equal">
      <formula>"Muy Alta"</formula>
    </cfRule>
    <cfRule type="cellIs" dxfId="178" priority="227" operator="equal">
      <formula>"Alta"</formula>
    </cfRule>
    <cfRule type="cellIs" dxfId="177" priority="228" operator="equal">
      <formula>"Media"</formula>
    </cfRule>
    <cfRule type="cellIs" dxfId="176" priority="229" operator="equal">
      <formula>"Baja"</formula>
    </cfRule>
    <cfRule type="cellIs" dxfId="175" priority="230" operator="equal">
      <formula>"Muy Baja"</formula>
    </cfRule>
  </conditionalFormatting>
  <conditionalFormatting sqref="S17">
    <cfRule type="cellIs" dxfId="174" priority="217" operator="equal">
      <formula>"Extremo"</formula>
    </cfRule>
    <cfRule type="cellIs" dxfId="173" priority="218" operator="equal">
      <formula>"Alto"</formula>
    </cfRule>
    <cfRule type="cellIs" dxfId="172" priority="219" operator="equal">
      <formula>"Moderado"</formula>
    </cfRule>
    <cfRule type="cellIs" dxfId="171" priority="220" operator="equal">
      <formula>"Bajo"</formula>
    </cfRule>
  </conditionalFormatting>
  <conditionalFormatting sqref="AD17:AD18">
    <cfRule type="cellIs" dxfId="170" priority="212" operator="equal">
      <formula>"Muy Alta"</formula>
    </cfRule>
    <cfRule type="cellIs" dxfId="169" priority="213" operator="equal">
      <formula>"Alta"</formula>
    </cfRule>
    <cfRule type="cellIs" dxfId="168" priority="214" operator="equal">
      <formula>"Media"</formula>
    </cfRule>
    <cfRule type="cellIs" dxfId="167" priority="215" operator="equal">
      <formula>"Baja"</formula>
    </cfRule>
    <cfRule type="cellIs" dxfId="166" priority="216" operator="equal">
      <formula>"Muy Baja"</formula>
    </cfRule>
  </conditionalFormatting>
  <conditionalFormatting sqref="AF17:AF18">
    <cfRule type="cellIs" dxfId="165" priority="207" operator="equal">
      <formula>"Catastrófico"</formula>
    </cfRule>
    <cfRule type="cellIs" dxfId="164" priority="208" operator="equal">
      <formula>"Mayor"</formula>
    </cfRule>
    <cfRule type="cellIs" dxfId="163" priority="209" operator="equal">
      <formula>"Moderado"</formula>
    </cfRule>
    <cfRule type="cellIs" dxfId="162" priority="210" operator="equal">
      <formula>"Menor"</formula>
    </cfRule>
    <cfRule type="cellIs" dxfId="161" priority="211" operator="equal">
      <formula>"Leve"</formula>
    </cfRule>
  </conditionalFormatting>
  <conditionalFormatting sqref="AH17:AH18">
    <cfRule type="cellIs" dxfId="160" priority="203" operator="equal">
      <formula>"Extremo"</formula>
    </cfRule>
    <cfRule type="cellIs" dxfId="159" priority="204" operator="equal">
      <formula>"Alto"</formula>
    </cfRule>
    <cfRule type="cellIs" dxfId="158" priority="205" operator="equal">
      <formula>"Moderado"</formula>
    </cfRule>
    <cfRule type="cellIs" dxfId="157" priority="206" operator="equal">
      <formula>"Bajo"</formula>
    </cfRule>
  </conditionalFormatting>
  <conditionalFormatting sqref="M19">
    <cfRule type="cellIs" dxfId="156" priority="198" operator="equal">
      <formula>"Muy Alta"</formula>
    </cfRule>
    <cfRule type="cellIs" dxfId="155" priority="199" operator="equal">
      <formula>"Alta"</formula>
    </cfRule>
    <cfRule type="cellIs" dxfId="154" priority="200" operator="equal">
      <formula>"Media"</formula>
    </cfRule>
    <cfRule type="cellIs" dxfId="153" priority="201" operator="equal">
      <formula>"Baja"</formula>
    </cfRule>
    <cfRule type="cellIs" dxfId="152" priority="202" operator="equal">
      <formula>"Muy Baja"</formula>
    </cfRule>
  </conditionalFormatting>
  <conditionalFormatting sqref="S19">
    <cfRule type="cellIs" dxfId="151" priority="189" operator="equal">
      <formula>"Extremo"</formula>
    </cfRule>
    <cfRule type="cellIs" dxfId="150" priority="190" operator="equal">
      <formula>"Alto"</formula>
    </cfRule>
    <cfRule type="cellIs" dxfId="149" priority="191" operator="equal">
      <formula>"Moderado"</formula>
    </cfRule>
    <cfRule type="cellIs" dxfId="148" priority="192" operator="equal">
      <formula>"Bajo"</formula>
    </cfRule>
  </conditionalFormatting>
  <conditionalFormatting sqref="AD19:AD24">
    <cfRule type="cellIs" dxfId="147" priority="184" operator="equal">
      <formula>"Muy Alta"</formula>
    </cfRule>
    <cfRule type="cellIs" dxfId="146" priority="185" operator="equal">
      <formula>"Alta"</formula>
    </cfRule>
    <cfRule type="cellIs" dxfId="145" priority="186" operator="equal">
      <formula>"Media"</formula>
    </cfRule>
    <cfRule type="cellIs" dxfId="144" priority="187" operator="equal">
      <formula>"Baja"</formula>
    </cfRule>
    <cfRule type="cellIs" dxfId="143" priority="188" operator="equal">
      <formula>"Muy Baja"</formula>
    </cfRule>
  </conditionalFormatting>
  <conditionalFormatting sqref="AF19:AF24">
    <cfRule type="cellIs" dxfId="142" priority="179" operator="equal">
      <formula>"Catastrófico"</formula>
    </cfRule>
    <cfRule type="cellIs" dxfId="141" priority="180" operator="equal">
      <formula>"Mayor"</formula>
    </cfRule>
    <cfRule type="cellIs" dxfId="140" priority="181" operator="equal">
      <formula>"Moderado"</formula>
    </cfRule>
    <cfRule type="cellIs" dxfId="139" priority="182" operator="equal">
      <formula>"Menor"</formula>
    </cfRule>
    <cfRule type="cellIs" dxfId="138" priority="183" operator="equal">
      <formula>"Leve"</formula>
    </cfRule>
  </conditionalFormatting>
  <conditionalFormatting sqref="AH19:AH24">
    <cfRule type="cellIs" dxfId="137" priority="175" operator="equal">
      <formula>"Extremo"</formula>
    </cfRule>
    <cfRule type="cellIs" dxfId="136" priority="176" operator="equal">
      <formula>"Alto"</formula>
    </cfRule>
    <cfRule type="cellIs" dxfId="135" priority="177" operator="equal">
      <formula>"Moderado"</formula>
    </cfRule>
    <cfRule type="cellIs" dxfId="134" priority="178" operator="equal">
      <formula>"Bajo"</formula>
    </cfRule>
  </conditionalFormatting>
  <conditionalFormatting sqref="M25">
    <cfRule type="cellIs" dxfId="133" priority="170" operator="equal">
      <formula>"Muy Alta"</formula>
    </cfRule>
    <cfRule type="cellIs" dxfId="132" priority="171" operator="equal">
      <formula>"Alta"</formula>
    </cfRule>
    <cfRule type="cellIs" dxfId="131" priority="172" operator="equal">
      <formula>"Media"</formula>
    </cfRule>
    <cfRule type="cellIs" dxfId="130" priority="173" operator="equal">
      <formula>"Baja"</formula>
    </cfRule>
    <cfRule type="cellIs" dxfId="129" priority="174" operator="equal">
      <formula>"Muy Baja"</formula>
    </cfRule>
  </conditionalFormatting>
  <conditionalFormatting sqref="S25">
    <cfRule type="cellIs" dxfId="128" priority="161" operator="equal">
      <formula>"Extremo"</formula>
    </cfRule>
    <cfRule type="cellIs" dxfId="127" priority="162" operator="equal">
      <formula>"Alto"</formula>
    </cfRule>
    <cfRule type="cellIs" dxfId="126" priority="163" operator="equal">
      <formula>"Moderado"</formula>
    </cfRule>
    <cfRule type="cellIs" dxfId="125" priority="164" operator="equal">
      <formula>"Bajo"</formula>
    </cfRule>
  </conditionalFormatting>
  <conditionalFormatting sqref="AD25:AD30">
    <cfRule type="cellIs" dxfId="124" priority="156" operator="equal">
      <formula>"Muy Alta"</formula>
    </cfRule>
    <cfRule type="cellIs" dxfId="123" priority="157" operator="equal">
      <formula>"Alta"</formula>
    </cfRule>
    <cfRule type="cellIs" dxfId="122" priority="158" operator="equal">
      <formula>"Media"</formula>
    </cfRule>
    <cfRule type="cellIs" dxfId="121" priority="159" operator="equal">
      <formula>"Baja"</formula>
    </cfRule>
    <cfRule type="cellIs" dxfId="120" priority="160" operator="equal">
      <formula>"Muy Baja"</formula>
    </cfRule>
  </conditionalFormatting>
  <conditionalFormatting sqref="AF25:AF30">
    <cfRule type="cellIs" dxfId="119" priority="151" operator="equal">
      <formula>"Catastrófico"</formula>
    </cfRule>
    <cfRule type="cellIs" dxfId="118" priority="152" operator="equal">
      <formula>"Mayor"</formula>
    </cfRule>
    <cfRule type="cellIs" dxfId="117" priority="153" operator="equal">
      <formula>"Moderado"</formula>
    </cfRule>
    <cfRule type="cellIs" dxfId="116" priority="154" operator="equal">
      <formula>"Menor"</formula>
    </cfRule>
    <cfRule type="cellIs" dxfId="115" priority="155" operator="equal">
      <formula>"Leve"</formula>
    </cfRule>
  </conditionalFormatting>
  <conditionalFormatting sqref="AH25:AH30">
    <cfRule type="cellIs" dxfId="114" priority="147" operator="equal">
      <formula>"Extremo"</formula>
    </cfRule>
    <cfRule type="cellIs" dxfId="113" priority="148" operator="equal">
      <formula>"Alto"</formula>
    </cfRule>
    <cfRule type="cellIs" dxfId="112" priority="149" operator="equal">
      <formula>"Moderado"</formula>
    </cfRule>
    <cfRule type="cellIs" dxfId="111" priority="150" operator="equal">
      <formula>"Bajo"</formula>
    </cfRule>
  </conditionalFormatting>
  <conditionalFormatting sqref="M31">
    <cfRule type="cellIs" dxfId="110" priority="142" operator="equal">
      <formula>"Muy Alta"</formula>
    </cfRule>
    <cfRule type="cellIs" dxfId="109" priority="143" operator="equal">
      <formula>"Alta"</formula>
    </cfRule>
    <cfRule type="cellIs" dxfId="108" priority="144" operator="equal">
      <formula>"Media"</formula>
    </cfRule>
    <cfRule type="cellIs" dxfId="107" priority="145" operator="equal">
      <formula>"Baja"</formula>
    </cfRule>
    <cfRule type="cellIs" dxfId="106" priority="146" operator="equal">
      <formula>"Muy Baja"</formula>
    </cfRule>
  </conditionalFormatting>
  <conditionalFormatting sqref="S31">
    <cfRule type="cellIs" dxfId="105" priority="133" operator="equal">
      <formula>"Extremo"</formula>
    </cfRule>
    <cfRule type="cellIs" dxfId="104" priority="134" operator="equal">
      <formula>"Alto"</formula>
    </cfRule>
    <cfRule type="cellIs" dxfId="103" priority="135" operator="equal">
      <formula>"Moderado"</formula>
    </cfRule>
    <cfRule type="cellIs" dxfId="102" priority="136" operator="equal">
      <formula>"Bajo"</formula>
    </cfRule>
  </conditionalFormatting>
  <conditionalFormatting sqref="AD31:AD36">
    <cfRule type="cellIs" dxfId="101" priority="128" operator="equal">
      <formula>"Muy Alta"</formula>
    </cfRule>
    <cfRule type="cellIs" dxfId="100" priority="129" operator="equal">
      <formula>"Alta"</formula>
    </cfRule>
    <cfRule type="cellIs" dxfId="99" priority="130" operator="equal">
      <formula>"Media"</formula>
    </cfRule>
    <cfRule type="cellIs" dxfId="98" priority="131" operator="equal">
      <formula>"Baja"</formula>
    </cfRule>
    <cfRule type="cellIs" dxfId="97" priority="132" operator="equal">
      <formula>"Muy Baja"</formula>
    </cfRule>
  </conditionalFormatting>
  <conditionalFormatting sqref="AF31:AF36">
    <cfRule type="cellIs" dxfId="96" priority="123" operator="equal">
      <formula>"Catastrófico"</formula>
    </cfRule>
    <cfRule type="cellIs" dxfId="95" priority="124" operator="equal">
      <formula>"Mayor"</formula>
    </cfRule>
    <cfRule type="cellIs" dxfId="94" priority="125" operator="equal">
      <formula>"Moderado"</formula>
    </cfRule>
    <cfRule type="cellIs" dxfId="93" priority="126" operator="equal">
      <formula>"Menor"</formula>
    </cfRule>
    <cfRule type="cellIs" dxfId="92" priority="127" operator="equal">
      <formula>"Leve"</formula>
    </cfRule>
  </conditionalFormatting>
  <conditionalFormatting sqref="AH31:AH36">
    <cfRule type="cellIs" dxfId="91" priority="119" operator="equal">
      <formula>"Extremo"</formula>
    </cfRule>
    <cfRule type="cellIs" dxfId="90" priority="120" operator="equal">
      <formula>"Alto"</formula>
    </cfRule>
    <cfRule type="cellIs" dxfId="89" priority="121" operator="equal">
      <formula>"Moderado"</formula>
    </cfRule>
    <cfRule type="cellIs" dxfId="88" priority="122" operator="equal">
      <formula>"Bajo"</formula>
    </cfRule>
  </conditionalFormatting>
  <conditionalFormatting sqref="M37">
    <cfRule type="cellIs" dxfId="87" priority="114" operator="equal">
      <formula>"Muy Alta"</formula>
    </cfRule>
    <cfRule type="cellIs" dxfId="86" priority="115" operator="equal">
      <formula>"Alta"</formula>
    </cfRule>
    <cfRule type="cellIs" dxfId="85" priority="116" operator="equal">
      <formula>"Media"</formula>
    </cfRule>
    <cfRule type="cellIs" dxfId="84" priority="117" operator="equal">
      <formula>"Baja"</formula>
    </cfRule>
    <cfRule type="cellIs" dxfId="83" priority="118" operator="equal">
      <formula>"Muy Baja"</formula>
    </cfRule>
  </conditionalFormatting>
  <conditionalFormatting sqref="S37">
    <cfRule type="cellIs" dxfId="82" priority="105" operator="equal">
      <formula>"Extremo"</formula>
    </cfRule>
    <cfRule type="cellIs" dxfId="81" priority="106" operator="equal">
      <formula>"Alto"</formula>
    </cfRule>
    <cfRule type="cellIs" dxfId="80" priority="107" operator="equal">
      <formula>"Moderado"</formula>
    </cfRule>
    <cfRule type="cellIs" dxfId="79" priority="108" operator="equal">
      <formula>"Bajo"</formula>
    </cfRule>
  </conditionalFormatting>
  <conditionalFormatting sqref="AD37:AD42">
    <cfRule type="cellIs" dxfId="78" priority="100" operator="equal">
      <formula>"Muy Alta"</formula>
    </cfRule>
    <cfRule type="cellIs" dxfId="77" priority="101" operator="equal">
      <formula>"Alta"</formula>
    </cfRule>
    <cfRule type="cellIs" dxfId="76" priority="102" operator="equal">
      <formula>"Media"</formula>
    </cfRule>
    <cfRule type="cellIs" dxfId="75" priority="103" operator="equal">
      <formula>"Baja"</formula>
    </cfRule>
    <cfRule type="cellIs" dxfId="74" priority="104" operator="equal">
      <formula>"Muy Baja"</formula>
    </cfRule>
  </conditionalFormatting>
  <conditionalFormatting sqref="AF37:AF42">
    <cfRule type="cellIs" dxfId="73" priority="95" operator="equal">
      <formula>"Catastrófico"</formula>
    </cfRule>
    <cfRule type="cellIs" dxfId="72" priority="96" operator="equal">
      <formula>"Mayor"</formula>
    </cfRule>
    <cfRule type="cellIs" dxfId="71" priority="97" operator="equal">
      <formula>"Moderado"</formula>
    </cfRule>
    <cfRule type="cellIs" dxfId="70" priority="98" operator="equal">
      <formula>"Menor"</formula>
    </cfRule>
    <cfRule type="cellIs" dxfId="69" priority="99" operator="equal">
      <formula>"Leve"</formula>
    </cfRule>
  </conditionalFormatting>
  <conditionalFormatting sqref="AH37:AH42">
    <cfRule type="cellIs" dxfId="68" priority="91" operator="equal">
      <formula>"Extremo"</formula>
    </cfRule>
    <cfRule type="cellIs" dxfId="67" priority="92" operator="equal">
      <formula>"Alto"</formula>
    </cfRule>
    <cfRule type="cellIs" dxfId="66" priority="93" operator="equal">
      <formula>"Moderado"</formula>
    </cfRule>
    <cfRule type="cellIs" dxfId="65" priority="94" operator="equal">
      <formula>"Bajo"</formula>
    </cfRule>
  </conditionalFormatting>
  <conditionalFormatting sqref="S43">
    <cfRule type="cellIs" dxfId="64" priority="77" operator="equal">
      <formula>"Extremo"</formula>
    </cfRule>
    <cfRule type="cellIs" dxfId="63" priority="78" operator="equal">
      <formula>"Alto"</formula>
    </cfRule>
    <cfRule type="cellIs" dxfId="62" priority="79" operator="equal">
      <formula>"Moderado"</formula>
    </cfRule>
    <cfRule type="cellIs" dxfId="61" priority="80" operator="equal">
      <formula>"Bajo"</formula>
    </cfRule>
  </conditionalFormatting>
  <conditionalFormatting sqref="AD43:AD48">
    <cfRule type="cellIs" dxfId="60" priority="72" operator="equal">
      <formula>"Muy Alta"</formula>
    </cfRule>
    <cfRule type="cellIs" dxfId="59" priority="73" operator="equal">
      <formula>"Alta"</formula>
    </cfRule>
    <cfRule type="cellIs" dxfId="58" priority="74" operator="equal">
      <formula>"Media"</formula>
    </cfRule>
    <cfRule type="cellIs" dxfId="57" priority="75" operator="equal">
      <formula>"Baja"</formula>
    </cfRule>
    <cfRule type="cellIs" dxfId="56" priority="76" operator="equal">
      <formula>"Muy Baja"</formula>
    </cfRule>
  </conditionalFormatting>
  <conditionalFormatting sqref="AF43:AF48">
    <cfRule type="cellIs" dxfId="55" priority="67" operator="equal">
      <formula>"Catastrófico"</formula>
    </cfRule>
    <cfRule type="cellIs" dxfId="54" priority="68" operator="equal">
      <formula>"Mayor"</formula>
    </cfRule>
    <cfRule type="cellIs" dxfId="53" priority="69" operator="equal">
      <formula>"Moderado"</formula>
    </cfRule>
    <cfRule type="cellIs" dxfId="52" priority="70" operator="equal">
      <formula>"Menor"</formula>
    </cfRule>
    <cfRule type="cellIs" dxfId="51" priority="71" operator="equal">
      <formula>"Leve"</formula>
    </cfRule>
  </conditionalFormatting>
  <conditionalFormatting sqref="AH43:AH48">
    <cfRule type="cellIs" dxfId="50" priority="63" operator="equal">
      <formula>"Extremo"</formula>
    </cfRule>
    <cfRule type="cellIs" dxfId="49" priority="64" operator="equal">
      <formula>"Alto"</formula>
    </cfRule>
    <cfRule type="cellIs" dxfId="48" priority="65" operator="equal">
      <formula>"Moderado"</formula>
    </cfRule>
    <cfRule type="cellIs" dxfId="47" priority="66" operator="equal">
      <formula>"Bajo"</formula>
    </cfRule>
  </conditionalFormatting>
  <conditionalFormatting sqref="S49">
    <cfRule type="cellIs" dxfId="46" priority="49" operator="equal">
      <formula>"Extremo"</formula>
    </cfRule>
    <cfRule type="cellIs" dxfId="45" priority="50" operator="equal">
      <formula>"Alto"</formula>
    </cfRule>
    <cfRule type="cellIs" dxfId="44" priority="51" operator="equal">
      <formula>"Moderado"</formula>
    </cfRule>
    <cfRule type="cellIs" dxfId="43" priority="52" operator="equal">
      <formula>"Bajo"</formula>
    </cfRule>
  </conditionalFormatting>
  <conditionalFormatting sqref="AD49:AD54">
    <cfRule type="cellIs" dxfId="42" priority="44" operator="equal">
      <formula>"Muy Alta"</formula>
    </cfRule>
    <cfRule type="cellIs" dxfId="41" priority="45" operator="equal">
      <formula>"Alta"</formula>
    </cfRule>
    <cfRule type="cellIs" dxfId="40" priority="46" operator="equal">
      <formula>"Media"</formula>
    </cfRule>
    <cfRule type="cellIs" dxfId="39" priority="47" operator="equal">
      <formula>"Baja"</formula>
    </cfRule>
    <cfRule type="cellIs" dxfId="38" priority="48" operator="equal">
      <formula>"Muy Baja"</formula>
    </cfRule>
  </conditionalFormatting>
  <conditionalFormatting sqref="AF49:AF54">
    <cfRule type="cellIs" dxfId="37" priority="39" operator="equal">
      <formula>"Catastrófico"</formula>
    </cfRule>
    <cfRule type="cellIs" dxfId="36" priority="40" operator="equal">
      <formula>"Mayor"</formula>
    </cfRule>
    <cfRule type="cellIs" dxfId="35" priority="41" operator="equal">
      <formula>"Moderado"</formula>
    </cfRule>
    <cfRule type="cellIs" dxfId="34" priority="42" operator="equal">
      <formula>"Menor"</formula>
    </cfRule>
    <cfRule type="cellIs" dxfId="33" priority="43" operator="equal">
      <formula>"Leve"</formula>
    </cfRule>
  </conditionalFormatting>
  <conditionalFormatting sqref="AH49:AH54">
    <cfRule type="cellIs" dxfId="32" priority="35" operator="equal">
      <formula>"Extremo"</formula>
    </cfRule>
    <cfRule type="cellIs" dxfId="31" priority="36" operator="equal">
      <formula>"Alto"</formula>
    </cfRule>
    <cfRule type="cellIs" dxfId="30" priority="37" operator="equal">
      <formula>"Moderado"</formula>
    </cfRule>
    <cfRule type="cellIs" dxfId="29" priority="38" operator="equal">
      <formula>"Bajo"</formula>
    </cfRule>
  </conditionalFormatting>
  <conditionalFormatting sqref="M55">
    <cfRule type="cellIs" dxfId="28" priority="30" operator="equal">
      <formula>"Muy Alta"</formula>
    </cfRule>
    <cfRule type="cellIs" dxfId="27" priority="31" operator="equal">
      <formula>"Alta"</formula>
    </cfRule>
    <cfRule type="cellIs" dxfId="26" priority="32" operator="equal">
      <formula>"Media"</formula>
    </cfRule>
    <cfRule type="cellIs" dxfId="25" priority="33" operator="equal">
      <formula>"Baja"</formula>
    </cfRule>
    <cfRule type="cellIs" dxfId="24" priority="34" operator="equal">
      <formula>"Muy Baja"</formula>
    </cfRule>
  </conditionalFormatting>
  <conditionalFormatting sqref="S55">
    <cfRule type="cellIs" dxfId="23" priority="21" operator="equal">
      <formula>"Extremo"</formula>
    </cfRule>
    <cfRule type="cellIs" dxfId="22" priority="22" operator="equal">
      <formula>"Alto"</formula>
    </cfRule>
    <cfRule type="cellIs" dxfId="21" priority="23" operator="equal">
      <formula>"Moderado"</formula>
    </cfRule>
    <cfRule type="cellIs" dxfId="20" priority="24" operator="equal">
      <formula>"Bajo"</formula>
    </cfRule>
  </conditionalFormatting>
  <conditionalFormatting sqref="AD55:AD60">
    <cfRule type="cellIs" dxfId="19" priority="16" operator="equal">
      <formula>"Muy Alta"</formula>
    </cfRule>
    <cfRule type="cellIs" dxfId="18" priority="17" operator="equal">
      <formula>"Alta"</formula>
    </cfRule>
    <cfRule type="cellIs" dxfId="17" priority="18" operator="equal">
      <formula>"Media"</formula>
    </cfRule>
    <cfRule type="cellIs" dxfId="16" priority="19" operator="equal">
      <formula>"Baja"</formula>
    </cfRule>
    <cfRule type="cellIs" dxfId="15" priority="20" operator="equal">
      <formula>"Muy Baja"</formula>
    </cfRule>
  </conditionalFormatting>
  <conditionalFormatting sqref="AF55:AF60">
    <cfRule type="cellIs" dxfId="14" priority="11" operator="equal">
      <formula>"Catastrófico"</formula>
    </cfRule>
    <cfRule type="cellIs" dxfId="13" priority="12" operator="equal">
      <formula>"Mayor"</formula>
    </cfRule>
    <cfRule type="cellIs" dxfId="12" priority="13" operator="equal">
      <formula>"Moderado"</formula>
    </cfRule>
    <cfRule type="cellIs" dxfId="11" priority="14" operator="equal">
      <formula>"Menor"</formula>
    </cfRule>
    <cfRule type="cellIs" dxfId="10" priority="15" operator="equal">
      <formula>"Leve"</formula>
    </cfRule>
  </conditionalFormatting>
  <conditionalFormatting sqref="AH55:AH60">
    <cfRule type="cellIs" dxfId="9" priority="7" operator="equal">
      <formula>"Extremo"</formula>
    </cfRule>
    <cfRule type="cellIs" dxfId="8" priority="8" operator="equal">
      <formula>"Alto"</formula>
    </cfRule>
    <cfRule type="cellIs" dxfId="7" priority="9" operator="equal">
      <formula>"Moderado"</formula>
    </cfRule>
    <cfRule type="cellIs" dxfId="6" priority="10" operator="equal">
      <formula>"Bajo"</formula>
    </cfRule>
  </conditionalFormatting>
  <conditionalFormatting sqref="P13:P60">
    <cfRule type="containsText" dxfId="5" priority="6" operator="containsText" text="❌">
      <formula>NOT(ISERROR(SEARCH("❌",P13)))</formula>
    </cfRule>
  </conditionalFormatting>
  <conditionalFormatting sqref="M43">
    <cfRule type="cellIs" dxfId="4" priority="1" operator="equal">
      <formula>"Muy Alta"</formula>
    </cfRule>
    <cfRule type="cellIs" dxfId="3" priority="2" operator="equal">
      <formula>"Alta"</formula>
    </cfRule>
    <cfRule type="cellIs" dxfId="2" priority="3" operator="equal">
      <formula>"Media"</formula>
    </cfRule>
    <cfRule type="cellIs" dxfId="1" priority="4" operator="equal">
      <formula>"Baja"</formula>
    </cfRule>
    <cfRule type="cellIs" dxfId="0" priority="5" operator="equal">
      <formula>"Muy Baja"</formula>
    </cfRule>
  </conditionalFormatting>
  <dataValidations count="1">
    <dataValidation type="list" allowBlank="1" showInputMessage="1" showErrorMessage="1" sqref="J55 J49 J43">
      <formula1>$B$19:$B$26</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16" max="40" man="1"/>
    <brk id="18" max="37" man="1"/>
  </rowBreaks>
  <colBreaks count="1" manualBreakCount="1">
    <brk id="19" max="73" man="1"/>
  </colBreaks>
  <drawing r:id="rId2"/>
  <legacyDrawing r:id="rId3"/>
  <extLst>
    <ext xmlns:x14="http://schemas.microsoft.com/office/spreadsheetml/2009/9/main" uri="{CCE6A557-97BC-4b89-ADB6-D9C93CAAB3DF}">
      <x14:dataValidations xmlns:xm="http://schemas.microsoft.com/office/excel/2006/main" count="17">
        <x14:dataValidation type="list" allowBlank="1" showInputMessage="1" showErrorMessage="1">
          <x14:formula1>
            <xm:f>'Opciones Tratamiento'!$B$28:$B$35</xm:f>
          </x14:formula1>
          <xm:sqref>J13 J19 J15 J17 J25 J37 J31</xm:sqref>
        </x14:dataValidation>
        <x14:dataValidation type="custom" allowBlank="1" showInputMessage="1" showErrorMessage="1" error="Recuerde que las acciones se generan bajo la medida de mitigar el riesgo">
          <x14:formula1>
            <xm:f>IF(OR(#REF!='Opciones Tratamiento'!$B$2,#REF!='Opciones Tratamiento'!$B$3,#REF!='Opciones Tratamiento'!$B$4),ISBLANK(#REF!),ISTEXT(#REF!))</xm:f>
          </x14:formula1>
          <xm:sqref>AN19:AP19 AN55:AP55 AN49:AP49 AN43:AP43 AN37:AP37 AN31:AP31 AN25:AP25</xm:sqref>
        </x14:dataValidation>
        <x14:dataValidation type="list" allowBlank="1" showInputMessage="1" showErrorMessage="1">
          <x14:formula1>
            <xm:f>Intructivo!$C$300:$C$316</xm:f>
          </x14:formula1>
          <xm:sqref>C6:S6</xm:sqref>
        </x14:dataValidation>
        <x14:dataValidation type="list" allowBlank="1" showInputMessage="1" showErrorMessage="1">
          <x14:formula1>
            <xm:f>'Tabla Valoración controles'!$D$4:$D$6</xm:f>
          </x14:formula1>
          <xm:sqref>W13:W60</xm:sqref>
        </x14:dataValidation>
        <x14:dataValidation type="list" allowBlank="1" showInputMessage="1" showErrorMessage="1">
          <x14:formula1>
            <xm:f>'Tabla Valoración controles'!$D$7:$D$8</xm:f>
          </x14:formula1>
          <xm:sqref>X13:X60</xm:sqref>
        </x14:dataValidation>
        <x14:dataValidation type="list" allowBlank="1" showInputMessage="1" showErrorMessage="1">
          <x14:formula1>
            <xm:f>'Tabla Valoración controles'!$D$9:$D$10</xm:f>
          </x14:formula1>
          <xm:sqref>Z13:Z60</xm:sqref>
        </x14:dataValidation>
        <x14:dataValidation type="list" allowBlank="1" showInputMessage="1" showErrorMessage="1">
          <x14:formula1>
            <xm:f>'Tabla Valoración controles'!$D$11:$D$12</xm:f>
          </x14:formula1>
          <xm:sqref>AA13:AA60</xm:sqref>
        </x14:dataValidation>
        <x14:dataValidation type="list" allowBlank="1" showInputMessage="1" showErrorMessage="1">
          <x14:formula1>
            <xm:f>'Tabla Valoración controles'!$D$13:$D$14</xm:f>
          </x14:formula1>
          <xm:sqref>AB13:AB60</xm:sqref>
        </x14:dataValidation>
        <x14:dataValidation type="list" allowBlank="1" showInputMessage="1" showErrorMessage="1">
          <x14:formula1>
            <xm:f>'Opciones Tratamiento'!$E$2:$E$4</xm:f>
          </x14:formula1>
          <xm:sqref>B13:B60</xm:sqref>
        </x14:dataValidation>
        <x14:dataValidation type="list" allowBlank="1" showInputMessage="1" showErrorMessage="1">
          <x14:formula1>
            <xm:f>'Opciones Tratamiento'!$B$2:$B$5</xm:f>
          </x14:formula1>
          <xm:sqref>AI13:AI60</xm:sqref>
        </x14:dataValidation>
        <x14:dataValidation type="list" allowBlank="1" showInputMessage="1" showErrorMessage="1">
          <x14:formula1>
            <xm:f>'Tabla Impacto'!$F$211:$F$222</xm:f>
          </x14:formula1>
          <xm:sqref>O13:O60</xm:sqref>
        </x14:dataValidation>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AJ13:AJ60</xm:sqref>
        </x14:dataValidation>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AK13:AL60</xm:sqref>
        </x14:dataValidation>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AM13:AM60</xm:sqref>
        </x14:dataValidation>
        <x14:dataValidation type="list" allowBlank="1" showInputMessage="1" showErrorMessage="1">
          <x14:formula1>
            <xm:f>'Opciones Tratamiento'!$B$13:$B$23</xm:f>
          </x14:formula1>
          <xm:sqref>G13:G60</xm:sqref>
        </x14:dataValidation>
        <x14:dataValidation type="list" allowBlank="1" showInputMessage="1" showErrorMessage="1">
          <x14:formula1>
            <xm:f>'Tipo de riesgos'!$AX$3:$AX$5</xm:f>
          </x14:formula1>
          <xm:sqref>F13:F60</xm:sqref>
        </x14:dataValidation>
        <x14:dataValidation type="list" allowBlank="1" showInputMessage="1" showErrorMessage="1">
          <x14:formula1>
            <xm:f>Amenazas!$C$2:$C$10</xm:f>
          </x14:formula1>
          <xm:sqref>H13:H60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BB42" sqref="BB42"/>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31" t="s">
        <v>159</v>
      </c>
      <c r="C2" s="431"/>
      <c r="D2" s="431"/>
      <c r="E2" s="431"/>
      <c r="F2" s="431"/>
      <c r="G2" s="431"/>
      <c r="H2" s="431"/>
      <c r="I2" s="431"/>
      <c r="J2" s="399" t="s">
        <v>15</v>
      </c>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31"/>
      <c r="C3" s="431"/>
      <c r="D3" s="431"/>
      <c r="E3" s="431"/>
      <c r="F3" s="431"/>
      <c r="G3" s="431"/>
      <c r="H3" s="431"/>
      <c r="I3" s="431"/>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31"/>
      <c r="C4" s="431"/>
      <c r="D4" s="431"/>
      <c r="E4" s="431"/>
      <c r="F4" s="431"/>
      <c r="G4" s="431"/>
      <c r="H4" s="431"/>
      <c r="I4" s="431"/>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346" t="s">
        <v>160</v>
      </c>
      <c r="C6" s="346"/>
      <c r="D6" s="347"/>
      <c r="E6" s="384" t="s">
        <v>161</v>
      </c>
      <c r="F6" s="385"/>
      <c r="G6" s="385"/>
      <c r="H6" s="385"/>
      <c r="I6" s="386"/>
      <c r="J6" s="395" t="str">
        <f>IF(AND('Mapa riesgos'!$M$13="Muy Alta",'Mapa riesgos'!$Q$13="Leve"),CONCATENATE("R",'Mapa riesgos'!$A$13),"")</f>
        <v/>
      </c>
      <c r="K6" s="396"/>
      <c r="L6" s="396" t="str">
        <f>IF(AND('Mapa riesgos'!$M$15="Muy Alta",'Mapa riesgos'!$Q$15="Leve"),CONCATENATE("R",'Mapa riesgos'!$A$15),"")</f>
        <v/>
      </c>
      <c r="M6" s="396"/>
      <c r="N6" s="396" t="str">
        <f>IF(AND('Mapa riesgos'!$M$17="Muy Alta",'Mapa riesgos'!$Q$17="Leve"),CONCATENATE("R",'Mapa riesgos'!$A$17),"")</f>
        <v/>
      </c>
      <c r="O6" s="398"/>
      <c r="P6" s="395" t="str">
        <f>IF(AND('Mapa riesgos'!$M$13="Muy Alta",'Mapa riesgos'!$Q$13="Menor"),CONCATENATE("R",'Mapa riesgos'!$A$13),"")</f>
        <v/>
      </c>
      <c r="Q6" s="396"/>
      <c r="R6" s="396" t="str">
        <f>IF(AND('Mapa riesgos'!$M$15="Muy Alta",'Mapa riesgos'!$Q$15="Menor"),CONCATENATE("R",'Mapa riesgos'!$A$15),"")</f>
        <v/>
      </c>
      <c r="S6" s="396"/>
      <c r="T6" s="396" t="str">
        <f>IF(AND('Mapa riesgos'!$M$17="Muy Alta",'Mapa riesgos'!$Q$17="Menor"),CONCATENATE("R",'Mapa riesgos'!$A$17),"")</f>
        <v/>
      </c>
      <c r="U6" s="398"/>
      <c r="V6" s="395" t="str">
        <f>IF(AND('Mapa riesgos'!$M$13="Muy Alta",'Mapa riesgos'!$Q$13="Moderado"),CONCATENATE("R",'Mapa riesgos'!$A$13),"")</f>
        <v/>
      </c>
      <c r="W6" s="396"/>
      <c r="X6" s="396" t="str">
        <f>IF(AND('Mapa riesgos'!$M$15="Muy Alta",'Mapa riesgos'!$Q$15="Moderado"),CONCATENATE("R",'Mapa riesgos'!$A$15),"")</f>
        <v/>
      </c>
      <c r="Y6" s="396"/>
      <c r="Z6" s="396" t="str">
        <f>IF(AND('Mapa riesgos'!$M$17="Muy Alta",'Mapa riesgos'!$Q$17="Moderado"),CONCATENATE("R",'Mapa riesgos'!$A$17),"")</f>
        <v/>
      </c>
      <c r="AA6" s="398"/>
      <c r="AB6" s="395" t="str">
        <f>IF(AND('Mapa riesgos'!$M$13="Muy Alta",'Mapa riesgos'!$Q$13="Mayor"),CONCATENATE("R",'Mapa riesgos'!$A$13),"")</f>
        <v/>
      </c>
      <c r="AC6" s="396"/>
      <c r="AD6" s="396" t="str">
        <f>IF(AND('Mapa riesgos'!$M$15="Muy Alta",'Mapa riesgos'!$Q$15="Mayor"),CONCATENATE("R",'Mapa riesgos'!$A$15),"")</f>
        <v/>
      </c>
      <c r="AE6" s="396"/>
      <c r="AF6" s="396" t="str">
        <f>IF(AND('Mapa riesgos'!$M$17="Muy Alta",'Mapa riesgos'!$Q$17="Mayor"),CONCATENATE("R",'Mapa riesgos'!$A$17),"")</f>
        <v/>
      </c>
      <c r="AG6" s="398"/>
      <c r="AH6" s="410" t="str">
        <f>IF(AND('Mapa riesgos'!$M$13="Muy Alta",'Mapa riesgos'!$Q$13="Catastrófico"),CONCATENATE("R",'Mapa riesgos'!$A$13),"")</f>
        <v/>
      </c>
      <c r="AI6" s="411"/>
      <c r="AJ6" s="411" t="str">
        <f>IF(AND('Mapa riesgos'!$M$15="Muy Alta",'Mapa riesgos'!$Q$15="Catastrófico"),CONCATENATE("R",'Mapa riesgos'!$A$15),"")</f>
        <v/>
      </c>
      <c r="AK6" s="411"/>
      <c r="AL6" s="411" t="str">
        <f>IF(AND('Mapa riesgos'!$M$17="Muy Alta",'Mapa riesgos'!$Q$17="Catastrófico"),CONCATENATE("R",'Mapa riesgos'!$A$17),"")</f>
        <v/>
      </c>
      <c r="AM6" s="412"/>
      <c r="AO6" s="348" t="s">
        <v>162</v>
      </c>
      <c r="AP6" s="349"/>
      <c r="AQ6" s="349"/>
      <c r="AR6" s="349"/>
      <c r="AS6" s="349"/>
      <c r="AT6" s="35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346"/>
      <c r="C7" s="346"/>
      <c r="D7" s="347"/>
      <c r="E7" s="387"/>
      <c r="F7" s="388"/>
      <c r="G7" s="388"/>
      <c r="H7" s="388"/>
      <c r="I7" s="389"/>
      <c r="J7" s="397"/>
      <c r="K7" s="393"/>
      <c r="L7" s="393"/>
      <c r="M7" s="393"/>
      <c r="N7" s="393"/>
      <c r="O7" s="394"/>
      <c r="P7" s="397"/>
      <c r="Q7" s="393"/>
      <c r="R7" s="393"/>
      <c r="S7" s="393"/>
      <c r="T7" s="393"/>
      <c r="U7" s="394"/>
      <c r="V7" s="397"/>
      <c r="W7" s="393"/>
      <c r="X7" s="393"/>
      <c r="Y7" s="393"/>
      <c r="Z7" s="393"/>
      <c r="AA7" s="394"/>
      <c r="AB7" s="397"/>
      <c r="AC7" s="393"/>
      <c r="AD7" s="393"/>
      <c r="AE7" s="393"/>
      <c r="AF7" s="393"/>
      <c r="AG7" s="394"/>
      <c r="AH7" s="404"/>
      <c r="AI7" s="405"/>
      <c r="AJ7" s="405"/>
      <c r="AK7" s="405"/>
      <c r="AL7" s="405"/>
      <c r="AM7" s="406"/>
      <c r="AN7" s="66"/>
      <c r="AO7" s="351"/>
      <c r="AP7" s="352"/>
      <c r="AQ7" s="352"/>
      <c r="AR7" s="352"/>
      <c r="AS7" s="352"/>
      <c r="AT7" s="35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346"/>
      <c r="C8" s="346"/>
      <c r="D8" s="347"/>
      <c r="E8" s="387"/>
      <c r="F8" s="388"/>
      <c r="G8" s="388"/>
      <c r="H8" s="388"/>
      <c r="I8" s="389"/>
      <c r="J8" s="397" t="str">
        <f>IF(AND('Mapa riesgos'!$M$19="Muy Alta",'Mapa riesgos'!$Q$19="Leve"),CONCATENATE("R",'Mapa riesgos'!$A$19),"")</f>
        <v/>
      </c>
      <c r="K8" s="393"/>
      <c r="L8" s="393" t="str">
        <f>IF(AND('Mapa riesgos'!$M$25="Muy Alta",'Mapa riesgos'!$Q$25="Leve"),CONCATENATE("R",'Mapa riesgos'!$A$25),"")</f>
        <v/>
      </c>
      <c r="M8" s="393"/>
      <c r="N8" s="393" t="str">
        <f>IF(AND('Mapa riesgos'!$M$31="Muy Alta",'Mapa riesgos'!$Q$31="Leve"),CONCATENATE("R",'Mapa riesgos'!$A$31),"")</f>
        <v/>
      </c>
      <c r="O8" s="394"/>
      <c r="P8" s="397" t="str">
        <f>IF(AND('Mapa riesgos'!$M$19="Muy Alta",'Mapa riesgos'!$Q$19="Menor"),CONCATENATE("R",'Mapa riesgos'!$A$19),"")</f>
        <v/>
      </c>
      <c r="Q8" s="393"/>
      <c r="R8" s="393" t="str">
        <f>IF(AND('Mapa riesgos'!$M$25="Muy Alta",'Mapa riesgos'!$Q$25="Menor"),CONCATENATE("R",'Mapa riesgos'!$A$25),"")</f>
        <v/>
      </c>
      <c r="S8" s="393"/>
      <c r="T8" s="393" t="str">
        <f>IF(AND('Mapa riesgos'!$M$31="Muy Alta",'Mapa riesgos'!$Q$31="Menor"),CONCATENATE("R",'Mapa riesgos'!$A$31),"")</f>
        <v/>
      </c>
      <c r="U8" s="394"/>
      <c r="V8" s="397" t="str">
        <f>IF(AND('Mapa riesgos'!$M$19="Muy Alta",'Mapa riesgos'!$Q$19="Moderado"),CONCATENATE("R",'Mapa riesgos'!$A$19),"")</f>
        <v/>
      </c>
      <c r="W8" s="393"/>
      <c r="X8" s="393" t="str">
        <f>IF(AND('Mapa riesgos'!$M$25="Muy Alta",'Mapa riesgos'!$Q$25="Moderado"),CONCATENATE("R",'Mapa riesgos'!$A$25),"")</f>
        <v/>
      </c>
      <c r="Y8" s="393"/>
      <c r="Z8" s="393" t="str">
        <f>IF(AND('Mapa riesgos'!$M$31="Muy Alta",'Mapa riesgos'!$Q$31="Moderado"),CONCATENATE("R",'Mapa riesgos'!$A$31),"")</f>
        <v/>
      </c>
      <c r="AA8" s="394"/>
      <c r="AB8" s="397" t="str">
        <f>IF(AND('Mapa riesgos'!$M$19="Muy Alta",'Mapa riesgos'!$Q$19="Mayor"),CONCATENATE("R",'Mapa riesgos'!$A$19),"")</f>
        <v/>
      </c>
      <c r="AC8" s="393"/>
      <c r="AD8" s="393" t="str">
        <f>IF(AND('Mapa riesgos'!$M$25="Muy Alta",'Mapa riesgos'!$Q$25="Mayor"),CONCATENATE("R",'Mapa riesgos'!$A$25),"")</f>
        <v/>
      </c>
      <c r="AE8" s="393"/>
      <c r="AF8" s="393" t="str">
        <f>IF(AND('Mapa riesgos'!$M$31="Muy Alta",'Mapa riesgos'!$Q$31="Mayor"),CONCATENATE("R",'Mapa riesgos'!$A$31),"")</f>
        <v/>
      </c>
      <c r="AG8" s="394"/>
      <c r="AH8" s="404" t="str">
        <f>IF(AND('Mapa riesgos'!$M$19="Muy Alta",'Mapa riesgos'!$Q$19="Catastrófico"),CONCATENATE("R",'Mapa riesgos'!$A$19),"")</f>
        <v/>
      </c>
      <c r="AI8" s="405"/>
      <c r="AJ8" s="405" t="str">
        <f>IF(AND('Mapa riesgos'!$M$25="Muy Alta",'Mapa riesgos'!$Q$25="Catastrófico"),CONCATENATE("R",'Mapa riesgos'!$A$25),"")</f>
        <v/>
      </c>
      <c r="AK8" s="405"/>
      <c r="AL8" s="405" t="str">
        <f>IF(AND('Mapa riesgos'!$M$31="Muy Alta",'Mapa riesgos'!$Q$31="Catastrófico"),CONCATENATE("R",'Mapa riesgos'!$A$31),"")</f>
        <v/>
      </c>
      <c r="AM8" s="406"/>
      <c r="AN8" s="66"/>
      <c r="AO8" s="351"/>
      <c r="AP8" s="352"/>
      <c r="AQ8" s="352"/>
      <c r="AR8" s="352"/>
      <c r="AS8" s="352"/>
      <c r="AT8" s="35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346"/>
      <c r="C9" s="346"/>
      <c r="D9" s="347"/>
      <c r="E9" s="387"/>
      <c r="F9" s="388"/>
      <c r="G9" s="388"/>
      <c r="H9" s="388"/>
      <c r="I9" s="389"/>
      <c r="J9" s="397"/>
      <c r="K9" s="393"/>
      <c r="L9" s="393"/>
      <c r="M9" s="393"/>
      <c r="N9" s="393"/>
      <c r="O9" s="394"/>
      <c r="P9" s="397"/>
      <c r="Q9" s="393"/>
      <c r="R9" s="393"/>
      <c r="S9" s="393"/>
      <c r="T9" s="393"/>
      <c r="U9" s="394"/>
      <c r="V9" s="397"/>
      <c r="W9" s="393"/>
      <c r="X9" s="393"/>
      <c r="Y9" s="393"/>
      <c r="Z9" s="393"/>
      <c r="AA9" s="394"/>
      <c r="AB9" s="397"/>
      <c r="AC9" s="393"/>
      <c r="AD9" s="393"/>
      <c r="AE9" s="393"/>
      <c r="AF9" s="393"/>
      <c r="AG9" s="394"/>
      <c r="AH9" s="404"/>
      <c r="AI9" s="405"/>
      <c r="AJ9" s="405"/>
      <c r="AK9" s="405"/>
      <c r="AL9" s="405"/>
      <c r="AM9" s="406"/>
      <c r="AN9" s="66"/>
      <c r="AO9" s="351"/>
      <c r="AP9" s="352"/>
      <c r="AQ9" s="352"/>
      <c r="AR9" s="352"/>
      <c r="AS9" s="352"/>
      <c r="AT9" s="35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346"/>
      <c r="C10" s="346"/>
      <c r="D10" s="347"/>
      <c r="E10" s="387"/>
      <c r="F10" s="388"/>
      <c r="G10" s="388"/>
      <c r="H10" s="388"/>
      <c r="I10" s="389"/>
      <c r="J10" s="397" t="str">
        <f>IF(AND('Mapa riesgos'!$M$37="Muy Alta",'Mapa riesgos'!$Q$37="Leve"),CONCATENATE("R",'Mapa riesgos'!$A$37),"")</f>
        <v/>
      </c>
      <c r="K10" s="393"/>
      <c r="L10" s="393" t="str">
        <f>IF(AND('Mapa riesgos'!$M$43="Muy Alta",'Mapa riesgos'!$Q$43="Leve"),CONCATENATE("R",'Mapa riesgos'!$A$43),"")</f>
        <v/>
      </c>
      <c r="M10" s="393"/>
      <c r="N10" s="393" t="str">
        <f>IF(AND('Mapa riesgos'!$M$49="Muy Alta",'Mapa riesgos'!$Q$49="Leve"),CONCATENATE("R",'Mapa riesgos'!$A$49),"")</f>
        <v/>
      </c>
      <c r="O10" s="394"/>
      <c r="P10" s="397" t="str">
        <f>IF(AND('Mapa riesgos'!$M$37="Muy Alta",'Mapa riesgos'!$Q$37="Menor"),CONCATENATE("R",'Mapa riesgos'!$A$37),"")</f>
        <v/>
      </c>
      <c r="Q10" s="393"/>
      <c r="R10" s="393" t="str">
        <f>IF(AND('Mapa riesgos'!$M$43="Muy Alta",'Mapa riesgos'!$Q$43="Menor"),CONCATENATE("R",'Mapa riesgos'!$A$43),"")</f>
        <v/>
      </c>
      <c r="S10" s="393"/>
      <c r="T10" s="393" t="str">
        <f>IF(AND('Mapa riesgos'!$M$49="Muy Alta",'Mapa riesgos'!$Q$49="Menor"),CONCATENATE("R",'Mapa riesgos'!$A$49),"")</f>
        <v/>
      </c>
      <c r="U10" s="394"/>
      <c r="V10" s="397" t="str">
        <f>IF(AND('Mapa riesgos'!$M$37="Muy Alta",'Mapa riesgos'!$Q$37="Moderado"),CONCATENATE("R",'Mapa riesgos'!$A$37),"")</f>
        <v/>
      </c>
      <c r="W10" s="393"/>
      <c r="X10" s="393" t="str">
        <f>IF(AND('Mapa riesgos'!$M$43="Muy Alta",'Mapa riesgos'!$Q$43="Moderado"),CONCATENATE("R",'Mapa riesgos'!$A$43),"")</f>
        <v/>
      </c>
      <c r="Y10" s="393"/>
      <c r="Z10" s="393" t="str">
        <f>IF(AND('Mapa riesgos'!$M$49="Muy Alta",'Mapa riesgos'!$Q$49="Moderado"),CONCATENATE("R",'Mapa riesgos'!$A$49),"")</f>
        <v/>
      </c>
      <c r="AA10" s="394"/>
      <c r="AB10" s="397" t="str">
        <f>IF(AND('Mapa riesgos'!$M$37="Muy Alta",'Mapa riesgos'!$Q$37="Mayor"),CONCATENATE("R",'Mapa riesgos'!$A$37),"")</f>
        <v/>
      </c>
      <c r="AC10" s="393"/>
      <c r="AD10" s="393" t="str">
        <f>IF(AND('Mapa riesgos'!$M$43="Muy Alta",'Mapa riesgos'!$Q$43="Mayor"),CONCATENATE("R",'Mapa riesgos'!$A$43),"")</f>
        <v/>
      </c>
      <c r="AE10" s="393"/>
      <c r="AF10" s="393" t="str">
        <f>IF(AND('Mapa riesgos'!$M$49="Muy Alta",'Mapa riesgos'!$Q$49="Mayor"),CONCATENATE("R",'Mapa riesgos'!$A$49),"")</f>
        <v/>
      </c>
      <c r="AG10" s="394"/>
      <c r="AH10" s="404" t="str">
        <f>IF(AND('Mapa riesgos'!$M$37="Muy Alta",'Mapa riesgos'!$Q$37="Catastrófico"),CONCATENATE("R",'Mapa riesgos'!$A$37),"")</f>
        <v/>
      </c>
      <c r="AI10" s="405"/>
      <c r="AJ10" s="405" t="str">
        <f>IF(AND('Mapa riesgos'!$M$43="Muy Alta",'Mapa riesgos'!$Q$43="Catastrófico"),CONCATENATE("R",'Mapa riesgos'!$A$43),"")</f>
        <v/>
      </c>
      <c r="AK10" s="405"/>
      <c r="AL10" s="405" t="str">
        <f>IF(AND('Mapa riesgos'!$M$49="Muy Alta",'Mapa riesgos'!$Q$49="Catastrófico"),CONCATENATE("R",'Mapa riesgos'!$A$49),"")</f>
        <v/>
      </c>
      <c r="AM10" s="406"/>
      <c r="AN10" s="66"/>
      <c r="AO10" s="351"/>
      <c r="AP10" s="352"/>
      <c r="AQ10" s="352"/>
      <c r="AR10" s="352"/>
      <c r="AS10" s="352"/>
      <c r="AT10" s="35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346"/>
      <c r="C11" s="346"/>
      <c r="D11" s="347"/>
      <c r="E11" s="387"/>
      <c r="F11" s="388"/>
      <c r="G11" s="388"/>
      <c r="H11" s="388"/>
      <c r="I11" s="389"/>
      <c r="J11" s="397"/>
      <c r="K11" s="393"/>
      <c r="L11" s="393"/>
      <c r="M11" s="393"/>
      <c r="N11" s="393"/>
      <c r="O11" s="394"/>
      <c r="P11" s="397"/>
      <c r="Q11" s="393"/>
      <c r="R11" s="393"/>
      <c r="S11" s="393"/>
      <c r="T11" s="393"/>
      <c r="U11" s="394"/>
      <c r="V11" s="397"/>
      <c r="W11" s="393"/>
      <c r="X11" s="393"/>
      <c r="Y11" s="393"/>
      <c r="Z11" s="393"/>
      <c r="AA11" s="394"/>
      <c r="AB11" s="397"/>
      <c r="AC11" s="393"/>
      <c r="AD11" s="393"/>
      <c r="AE11" s="393"/>
      <c r="AF11" s="393"/>
      <c r="AG11" s="394"/>
      <c r="AH11" s="404"/>
      <c r="AI11" s="405"/>
      <c r="AJ11" s="405"/>
      <c r="AK11" s="405"/>
      <c r="AL11" s="405"/>
      <c r="AM11" s="406"/>
      <c r="AN11" s="66"/>
      <c r="AO11" s="351"/>
      <c r="AP11" s="352"/>
      <c r="AQ11" s="352"/>
      <c r="AR11" s="352"/>
      <c r="AS11" s="352"/>
      <c r="AT11" s="35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346"/>
      <c r="C12" s="346"/>
      <c r="D12" s="347"/>
      <c r="E12" s="387"/>
      <c r="F12" s="388"/>
      <c r="G12" s="388"/>
      <c r="H12" s="388"/>
      <c r="I12" s="389"/>
      <c r="J12" s="397" t="str">
        <f>IF(AND('Mapa riesgos'!$M$55="Muy Alta",'Mapa riesgos'!$Q$55="Leve"),CONCATENATE("R",'Mapa riesgos'!$A$55),"")</f>
        <v/>
      </c>
      <c r="K12" s="393"/>
      <c r="L12" s="393" t="str">
        <f>IF(AND('Mapa riesgos'!$M$61="Muy Alta",'Mapa riesgos'!$Q$61="Leve"),CONCATENATE("R",'Mapa riesgos'!$A$61),"")</f>
        <v/>
      </c>
      <c r="M12" s="393"/>
      <c r="N12" s="393" t="str">
        <f>IF(AND('Mapa riesgos'!$M$67="Muy Alta",'Mapa riesgos'!$Q$67="Leve"),CONCATENATE("R",'Mapa riesgos'!$A$67),"")</f>
        <v/>
      </c>
      <c r="O12" s="394"/>
      <c r="P12" s="397" t="str">
        <f>IF(AND('Mapa riesgos'!$M$55="Muy Alta",'Mapa riesgos'!$Q$55="Menor"),CONCATENATE("R",'Mapa riesgos'!$A$55),"")</f>
        <v/>
      </c>
      <c r="Q12" s="393"/>
      <c r="R12" s="393" t="str">
        <f>IF(AND('Mapa riesgos'!$M$61="Muy Alta",'Mapa riesgos'!$Q$61="Menor"),CONCATENATE("R",'Mapa riesgos'!$A$61),"")</f>
        <v/>
      </c>
      <c r="S12" s="393"/>
      <c r="T12" s="393" t="str">
        <f>IF(AND('Mapa riesgos'!$M$67="Muy Alta",'Mapa riesgos'!$Q$67="Menor"),CONCATENATE("R",'Mapa riesgos'!$A$67),"")</f>
        <v/>
      </c>
      <c r="U12" s="394"/>
      <c r="V12" s="397" t="str">
        <f>IF(AND('Mapa riesgos'!$M$55="Muy Alta",'Mapa riesgos'!$Q$55="Moderado"),CONCATENATE("R",'Mapa riesgos'!$A$55),"")</f>
        <v/>
      </c>
      <c r="W12" s="393"/>
      <c r="X12" s="393" t="str">
        <f>IF(AND('Mapa riesgos'!$M$61="Muy Alta",'Mapa riesgos'!$Q$61="Moderado"),CONCATENATE("R",'Mapa riesgos'!$A$61),"")</f>
        <v/>
      </c>
      <c r="Y12" s="393"/>
      <c r="Z12" s="393" t="str">
        <f>IF(AND('Mapa riesgos'!$M$67="Muy Alta",'Mapa riesgos'!$Q$67="Moderado"),CONCATENATE("R",'Mapa riesgos'!$A$67),"")</f>
        <v/>
      </c>
      <c r="AA12" s="394"/>
      <c r="AB12" s="397" t="str">
        <f>IF(AND('Mapa riesgos'!$M$55="Muy Alta",'Mapa riesgos'!$Q$55="Mayor"),CONCATENATE("R",'Mapa riesgos'!$A$55),"")</f>
        <v/>
      </c>
      <c r="AC12" s="393"/>
      <c r="AD12" s="393" t="str">
        <f>IF(AND('Mapa riesgos'!$M$61="Muy Alta",'Mapa riesgos'!$Q$61="Mayor"),CONCATENATE("R",'Mapa riesgos'!$A$61),"")</f>
        <v/>
      </c>
      <c r="AE12" s="393"/>
      <c r="AF12" s="393" t="str">
        <f>IF(AND('Mapa riesgos'!$M$67="Muy Alta",'Mapa riesgos'!$Q$67="Mayor"),CONCATENATE("R",'Mapa riesgos'!$A$67),"")</f>
        <v/>
      </c>
      <c r="AG12" s="394"/>
      <c r="AH12" s="404" t="str">
        <f>IF(AND('Mapa riesgos'!$M$55="Muy Alta",'Mapa riesgos'!$Q$55="Catastrófico"),CONCATENATE("R",'Mapa riesgos'!$A$55),"")</f>
        <v/>
      </c>
      <c r="AI12" s="405"/>
      <c r="AJ12" s="405" t="str">
        <f>IF(AND('Mapa riesgos'!$M$61="Muy Alta",'Mapa riesgos'!$Q$61="Catastrófico"),CONCATENATE("R",'Mapa riesgos'!$A$61),"")</f>
        <v/>
      </c>
      <c r="AK12" s="405"/>
      <c r="AL12" s="405" t="str">
        <f>IF(AND('Mapa riesgos'!$M$67="Muy Alta",'Mapa riesgos'!$Q$67="Catastrófico"),CONCATENATE("R",'Mapa riesgos'!$A$67),"")</f>
        <v/>
      </c>
      <c r="AM12" s="406"/>
      <c r="AN12" s="66"/>
      <c r="AO12" s="351"/>
      <c r="AP12" s="352"/>
      <c r="AQ12" s="352"/>
      <c r="AR12" s="352"/>
      <c r="AS12" s="352"/>
      <c r="AT12" s="35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346"/>
      <c r="C13" s="346"/>
      <c r="D13" s="347"/>
      <c r="E13" s="390"/>
      <c r="F13" s="391"/>
      <c r="G13" s="391"/>
      <c r="H13" s="391"/>
      <c r="I13" s="392"/>
      <c r="J13" s="397"/>
      <c r="K13" s="393"/>
      <c r="L13" s="393"/>
      <c r="M13" s="393"/>
      <c r="N13" s="393"/>
      <c r="O13" s="394"/>
      <c r="P13" s="397"/>
      <c r="Q13" s="393"/>
      <c r="R13" s="393"/>
      <c r="S13" s="393"/>
      <c r="T13" s="393"/>
      <c r="U13" s="394"/>
      <c r="V13" s="397"/>
      <c r="W13" s="393"/>
      <c r="X13" s="393"/>
      <c r="Y13" s="393"/>
      <c r="Z13" s="393"/>
      <c r="AA13" s="394"/>
      <c r="AB13" s="397"/>
      <c r="AC13" s="393"/>
      <c r="AD13" s="393"/>
      <c r="AE13" s="393"/>
      <c r="AF13" s="393"/>
      <c r="AG13" s="394"/>
      <c r="AH13" s="407"/>
      <c r="AI13" s="408"/>
      <c r="AJ13" s="408"/>
      <c r="AK13" s="408"/>
      <c r="AL13" s="408"/>
      <c r="AM13" s="409"/>
      <c r="AN13" s="66"/>
      <c r="AO13" s="354"/>
      <c r="AP13" s="355"/>
      <c r="AQ13" s="355"/>
      <c r="AR13" s="355"/>
      <c r="AS13" s="355"/>
      <c r="AT13" s="35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346"/>
      <c r="C14" s="346"/>
      <c r="D14" s="347"/>
      <c r="E14" s="384" t="s">
        <v>163</v>
      </c>
      <c r="F14" s="385"/>
      <c r="G14" s="385"/>
      <c r="H14" s="385"/>
      <c r="I14" s="385"/>
      <c r="J14" s="419" t="str">
        <f>IF(AND('Mapa riesgos'!$M$13="Alta",'Mapa riesgos'!$Q$13="Leve"),CONCATENATE("R",'Mapa riesgos'!$A$13),"")</f>
        <v/>
      </c>
      <c r="K14" s="420"/>
      <c r="L14" s="420" t="str">
        <f>IF(AND('Mapa riesgos'!$M$15="Alta",'Mapa riesgos'!$Q$15="Leve"),CONCATENATE("R",'Mapa riesgos'!$A$15),"")</f>
        <v/>
      </c>
      <c r="M14" s="420"/>
      <c r="N14" s="420" t="str">
        <f>IF(AND('Mapa riesgos'!$M$17="Alta",'Mapa riesgos'!$Q$17="Leve"),CONCATENATE("R",'Mapa riesgos'!$A$17),"")</f>
        <v/>
      </c>
      <c r="O14" s="421"/>
      <c r="P14" s="419" t="str">
        <f>IF(AND('Mapa riesgos'!$M$13="Alta",'Mapa riesgos'!$Q$13="Menor"),CONCATENATE("R",'Mapa riesgos'!$A$13),"")</f>
        <v>R1</v>
      </c>
      <c r="Q14" s="420"/>
      <c r="R14" s="420" t="str">
        <f>IF(AND('Mapa riesgos'!$M$15="Alta",'Mapa riesgos'!$Q$15="Menor"),CONCATENATE("R",'Mapa riesgos'!$A$15),"")</f>
        <v/>
      </c>
      <c r="S14" s="420"/>
      <c r="T14" s="420" t="str">
        <f>IF(AND('Mapa riesgos'!$M$17="Alta",'Mapa riesgos'!$Q$17="Menor"),CONCATENATE("R",'Mapa riesgos'!$A$17),"")</f>
        <v/>
      </c>
      <c r="U14" s="421"/>
      <c r="V14" s="395" t="str">
        <f>IF(AND('Mapa riesgos'!$M$13="Alta",'Mapa riesgos'!$Q$13="Moderado"),CONCATENATE("R",'Mapa riesgos'!$A$13),"")</f>
        <v/>
      </c>
      <c r="W14" s="396"/>
      <c r="X14" s="396" t="str">
        <f>IF(AND('Mapa riesgos'!$M$15="Alta",'Mapa riesgos'!$Q$15="Moderado"),CONCATENATE("R",'Mapa riesgos'!$A$15),"")</f>
        <v/>
      </c>
      <c r="Y14" s="396"/>
      <c r="Z14" s="396" t="str">
        <f>IF(AND('Mapa riesgos'!$M$17="Alta",'Mapa riesgos'!$Q$17="Moderado"),CONCATENATE("R",'Mapa riesgos'!$A$17),"")</f>
        <v/>
      </c>
      <c r="AA14" s="398"/>
      <c r="AB14" s="395" t="str">
        <f>IF(AND('Mapa riesgos'!$M$13="Alta",'Mapa riesgos'!$Q$13="Mayor"),CONCATENATE("R",'Mapa riesgos'!$A$13),"")</f>
        <v/>
      </c>
      <c r="AC14" s="396"/>
      <c r="AD14" s="396" t="str">
        <f>IF(AND('Mapa riesgos'!$M$15="Alta",'Mapa riesgos'!$Q$15="Mayor"),CONCATENATE("R",'Mapa riesgos'!$A$15),"")</f>
        <v/>
      </c>
      <c r="AE14" s="396"/>
      <c r="AF14" s="396" t="str">
        <f>IF(AND('Mapa riesgos'!$M$17="Alta",'Mapa riesgos'!$Q$17="Mayor"),CONCATENATE("R",'Mapa riesgos'!$A$17),"")</f>
        <v/>
      </c>
      <c r="AG14" s="398"/>
      <c r="AH14" s="410" t="str">
        <f>IF(AND('Mapa riesgos'!$M$13="Alta",'Mapa riesgos'!$Q$13="Catastrófico"),CONCATENATE("R",'Mapa riesgos'!$A$13),"")</f>
        <v/>
      </c>
      <c r="AI14" s="411"/>
      <c r="AJ14" s="411" t="str">
        <f>IF(AND('Mapa riesgos'!$M$15="Alta",'Mapa riesgos'!$Q$15="Catastrófico"),CONCATENATE("R",'Mapa riesgos'!$A$15),"")</f>
        <v/>
      </c>
      <c r="AK14" s="411"/>
      <c r="AL14" s="411" t="str">
        <f>IF(AND('Mapa riesgos'!$M$17="Alta",'Mapa riesgos'!$Q$17="Catastrófico"),CONCATENATE("R",'Mapa riesgos'!$A$17),"")</f>
        <v/>
      </c>
      <c r="AM14" s="412"/>
      <c r="AN14" s="66"/>
      <c r="AO14" s="357" t="s">
        <v>164</v>
      </c>
      <c r="AP14" s="358"/>
      <c r="AQ14" s="358"/>
      <c r="AR14" s="358"/>
      <c r="AS14" s="358"/>
      <c r="AT14" s="35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346"/>
      <c r="C15" s="346"/>
      <c r="D15" s="347"/>
      <c r="E15" s="387"/>
      <c r="F15" s="388"/>
      <c r="G15" s="388"/>
      <c r="H15" s="388"/>
      <c r="I15" s="388"/>
      <c r="J15" s="413"/>
      <c r="K15" s="414"/>
      <c r="L15" s="414"/>
      <c r="M15" s="414"/>
      <c r="N15" s="414"/>
      <c r="O15" s="415"/>
      <c r="P15" s="413"/>
      <c r="Q15" s="414"/>
      <c r="R15" s="414"/>
      <c r="S15" s="414"/>
      <c r="T15" s="414"/>
      <c r="U15" s="415"/>
      <c r="V15" s="397"/>
      <c r="W15" s="393"/>
      <c r="X15" s="393"/>
      <c r="Y15" s="393"/>
      <c r="Z15" s="393"/>
      <c r="AA15" s="394"/>
      <c r="AB15" s="397"/>
      <c r="AC15" s="393"/>
      <c r="AD15" s="393"/>
      <c r="AE15" s="393"/>
      <c r="AF15" s="393"/>
      <c r="AG15" s="394"/>
      <c r="AH15" s="404"/>
      <c r="AI15" s="405"/>
      <c r="AJ15" s="405"/>
      <c r="AK15" s="405"/>
      <c r="AL15" s="405"/>
      <c r="AM15" s="406"/>
      <c r="AN15" s="66"/>
      <c r="AO15" s="360"/>
      <c r="AP15" s="361"/>
      <c r="AQ15" s="361"/>
      <c r="AR15" s="361"/>
      <c r="AS15" s="361"/>
      <c r="AT15" s="36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346"/>
      <c r="C16" s="346"/>
      <c r="D16" s="347"/>
      <c r="E16" s="387"/>
      <c r="F16" s="388"/>
      <c r="G16" s="388"/>
      <c r="H16" s="388"/>
      <c r="I16" s="388"/>
      <c r="J16" s="413" t="str">
        <f>IF(AND('Mapa riesgos'!$M$19="Alta",'Mapa riesgos'!$Q$19="Leve"),CONCATENATE("R",'Mapa riesgos'!$A$19),"")</f>
        <v/>
      </c>
      <c r="K16" s="414"/>
      <c r="L16" s="414" t="str">
        <f>IF(AND('Mapa riesgos'!$M$25="Alta",'Mapa riesgos'!$Q$25="Leve"),CONCATENATE("R",'Mapa riesgos'!$A$25),"")</f>
        <v/>
      </c>
      <c r="M16" s="414"/>
      <c r="N16" s="414" t="str">
        <f>IF(AND('Mapa riesgos'!$M$31="Alta",'Mapa riesgos'!$Q$31="Leve"),CONCATENATE("R",'Mapa riesgos'!$A$31),"")</f>
        <v/>
      </c>
      <c r="O16" s="415"/>
      <c r="P16" s="413" t="str">
        <f>IF(AND('Mapa riesgos'!$M$19="Alta",'Mapa riesgos'!$Q$19="Menor"),CONCATENATE("R",'Mapa riesgos'!$A$19),"")</f>
        <v/>
      </c>
      <c r="Q16" s="414"/>
      <c r="R16" s="414" t="str">
        <f>IF(AND('Mapa riesgos'!$M$25="Alta",'Mapa riesgos'!$Q$25="Menor"),CONCATENATE("R",'Mapa riesgos'!$A$25),"")</f>
        <v/>
      </c>
      <c r="S16" s="414"/>
      <c r="T16" s="414" t="str">
        <f>IF(AND('Mapa riesgos'!$M$31="Alta",'Mapa riesgos'!$Q$31="Menor"),CONCATENATE("R",'Mapa riesgos'!$A$31),"")</f>
        <v/>
      </c>
      <c r="U16" s="415"/>
      <c r="V16" s="397" t="str">
        <f>IF(AND('Mapa riesgos'!$M$19="Alta",'Mapa riesgos'!$Q$19="Moderado"),CONCATENATE("R",'Mapa riesgos'!$A$19),"")</f>
        <v/>
      </c>
      <c r="W16" s="393"/>
      <c r="X16" s="393" t="str">
        <f>IF(AND('Mapa riesgos'!$M$25="Alta",'Mapa riesgos'!$Q$25="Moderado"),CONCATENATE("R",'Mapa riesgos'!$A$25),"")</f>
        <v/>
      </c>
      <c r="Y16" s="393"/>
      <c r="Z16" s="393" t="str">
        <f>IF(AND('Mapa riesgos'!$M$31="Alta",'Mapa riesgos'!$Q$31="Moderado"),CONCATENATE("R",'Mapa riesgos'!$A$31),"")</f>
        <v/>
      </c>
      <c r="AA16" s="394"/>
      <c r="AB16" s="397" t="str">
        <f>IF(AND('Mapa riesgos'!$M$19="Alta",'Mapa riesgos'!$Q$19="Mayor"),CONCATENATE("R",'Mapa riesgos'!$A$19),"")</f>
        <v/>
      </c>
      <c r="AC16" s="393"/>
      <c r="AD16" s="393" t="str">
        <f>IF(AND('Mapa riesgos'!$M$25="Alta",'Mapa riesgos'!$Q$25="Mayor"),CONCATENATE("R",'Mapa riesgos'!$A$25),"")</f>
        <v/>
      </c>
      <c r="AE16" s="393"/>
      <c r="AF16" s="393" t="str">
        <f>IF(AND('Mapa riesgos'!$M$31="Alta",'Mapa riesgos'!$Q$31="Mayor"),CONCATENATE("R",'Mapa riesgos'!$A$31),"")</f>
        <v/>
      </c>
      <c r="AG16" s="394"/>
      <c r="AH16" s="404" t="str">
        <f>IF(AND('Mapa riesgos'!$M$19="Alta",'Mapa riesgos'!$Q$19="Catastrófico"),CONCATENATE("R",'Mapa riesgos'!$A$19),"")</f>
        <v/>
      </c>
      <c r="AI16" s="405"/>
      <c r="AJ16" s="405" t="str">
        <f>IF(AND('Mapa riesgos'!$M$25="Alta",'Mapa riesgos'!$Q$25="Catastrófico"),CONCATENATE("R",'Mapa riesgos'!$A$25),"")</f>
        <v/>
      </c>
      <c r="AK16" s="405"/>
      <c r="AL16" s="405" t="str">
        <f>IF(AND('Mapa riesgos'!$M$31="Alta",'Mapa riesgos'!$Q$31="Catastrófico"),CONCATENATE("R",'Mapa riesgos'!$A$31),"")</f>
        <v/>
      </c>
      <c r="AM16" s="406"/>
      <c r="AN16" s="66"/>
      <c r="AO16" s="360"/>
      <c r="AP16" s="361"/>
      <c r="AQ16" s="361"/>
      <c r="AR16" s="361"/>
      <c r="AS16" s="361"/>
      <c r="AT16" s="362"/>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346"/>
      <c r="C17" s="346"/>
      <c r="D17" s="347"/>
      <c r="E17" s="387"/>
      <c r="F17" s="388"/>
      <c r="G17" s="388"/>
      <c r="H17" s="388"/>
      <c r="I17" s="388"/>
      <c r="J17" s="413"/>
      <c r="K17" s="414"/>
      <c r="L17" s="414"/>
      <c r="M17" s="414"/>
      <c r="N17" s="414"/>
      <c r="O17" s="415"/>
      <c r="P17" s="413"/>
      <c r="Q17" s="414"/>
      <c r="R17" s="414"/>
      <c r="S17" s="414"/>
      <c r="T17" s="414"/>
      <c r="U17" s="415"/>
      <c r="V17" s="397"/>
      <c r="W17" s="393"/>
      <c r="X17" s="393"/>
      <c r="Y17" s="393"/>
      <c r="Z17" s="393"/>
      <c r="AA17" s="394"/>
      <c r="AB17" s="397"/>
      <c r="AC17" s="393"/>
      <c r="AD17" s="393"/>
      <c r="AE17" s="393"/>
      <c r="AF17" s="393"/>
      <c r="AG17" s="394"/>
      <c r="AH17" s="404"/>
      <c r="AI17" s="405"/>
      <c r="AJ17" s="405"/>
      <c r="AK17" s="405"/>
      <c r="AL17" s="405"/>
      <c r="AM17" s="406"/>
      <c r="AN17" s="66"/>
      <c r="AO17" s="360"/>
      <c r="AP17" s="361"/>
      <c r="AQ17" s="361"/>
      <c r="AR17" s="361"/>
      <c r="AS17" s="361"/>
      <c r="AT17" s="362"/>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346"/>
      <c r="C18" s="346"/>
      <c r="D18" s="347"/>
      <c r="E18" s="387"/>
      <c r="F18" s="388"/>
      <c r="G18" s="388"/>
      <c r="H18" s="388"/>
      <c r="I18" s="388"/>
      <c r="J18" s="413" t="str">
        <f>IF(AND('Mapa riesgos'!$M$37="Alta",'Mapa riesgos'!$Q$37="Leve"),CONCATENATE("R",'Mapa riesgos'!$A$37),"")</f>
        <v/>
      </c>
      <c r="K18" s="414"/>
      <c r="L18" s="414" t="str">
        <f>IF(AND('Mapa riesgos'!$M$43="Alta",'Mapa riesgos'!$Q$43="Leve"),CONCATENATE("R",'Mapa riesgos'!$A$43),"")</f>
        <v/>
      </c>
      <c r="M18" s="414"/>
      <c r="N18" s="414" t="str">
        <f>IF(AND('Mapa riesgos'!$M$49="Alta",'Mapa riesgos'!$Q$49="Leve"),CONCATENATE("R",'Mapa riesgos'!$A$49),"")</f>
        <v/>
      </c>
      <c r="O18" s="415"/>
      <c r="P18" s="413" t="str">
        <f>IF(AND('Mapa riesgos'!$M$37="Alta",'Mapa riesgos'!$Q$37="Menor"),CONCATENATE("R",'Mapa riesgos'!$A$37),"")</f>
        <v/>
      </c>
      <c r="Q18" s="414"/>
      <c r="R18" s="414" t="str">
        <f>IF(AND('Mapa riesgos'!$M$43="Alta",'Mapa riesgos'!$Q$43="Menor"),CONCATENATE("R",'Mapa riesgos'!$A$43),"")</f>
        <v/>
      </c>
      <c r="S18" s="414"/>
      <c r="T18" s="414" t="str">
        <f>IF(AND('Mapa riesgos'!$M$49="Alta",'Mapa riesgos'!$Q$49="Menor"),CONCATENATE("R",'Mapa riesgos'!$A$49),"")</f>
        <v/>
      </c>
      <c r="U18" s="415"/>
      <c r="V18" s="397" t="str">
        <f>IF(AND('Mapa riesgos'!$M$37="Alta",'Mapa riesgos'!$Q$37="Moderado"),CONCATENATE("R",'Mapa riesgos'!$A$37),"")</f>
        <v/>
      </c>
      <c r="W18" s="393"/>
      <c r="X18" s="393" t="str">
        <f>IF(AND('Mapa riesgos'!$M$43="Alta",'Mapa riesgos'!$Q$43="Moderado"),CONCATENATE("R",'Mapa riesgos'!$A$43),"")</f>
        <v/>
      </c>
      <c r="Y18" s="393"/>
      <c r="Z18" s="393" t="str">
        <f>IF(AND('Mapa riesgos'!$M$49="Alta",'Mapa riesgos'!$Q$49="Moderado"),CONCATENATE("R",'Mapa riesgos'!$A$49),"")</f>
        <v/>
      </c>
      <c r="AA18" s="394"/>
      <c r="AB18" s="397" t="str">
        <f>IF(AND('Mapa riesgos'!$M$37="Alta",'Mapa riesgos'!$Q$37="Mayor"),CONCATENATE("R",'Mapa riesgos'!$A$37),"")</f>
        <v/>
      </c>
      <c r="AC18" s="393"/>
      <c r="AD18" s="393" t="str">
        <f>IF(AND('Mapa riesgos'!$M$43="Alta",'Mapa riesgos'!$Q$43="Mayor"),CONCATENATE("R",'Mapa riesgos'!$A$43),"")</f>
        <v/>
      </c>
      <c r="AE18" s="393"/>
      <c r="AF18" s="393" t="str">
        <f>IF(AND('Mapa riesgos'!$M$49="Alta",'Mapa riesgos'!$Q$49="Mayor"),CONCATENATE("R",'Mapa riesgos'!$A$49),"")</f>
        <v/>
      </c>
      <c r="AG18" s="394"/>
      <c r="AH18" s="404" t="str">
        <f>IF(AND('Mapa riesgos'!$M$37="Alta",'Mapa riesgos'!$Q$37="Catastrófico"),CONCATENATE("R",'Mapa riesgos'!$A$37),"")</f>
        <v/>
      </c>
      <c r="AI18" s="405"/>
      <c r="AJ18" s="405" t="str">
        <f>IF(AND('Mapa riesgos'!$M$43="Alta",'Mapa riesgos'!$Q$43="Catastrófico"),CONCATENATE("R",'Mapa riesgos'!$A$43),"")</f>
        <v/>
      </c>
      <c r="AK18" s="405"/>
      <c r="AL18" s="405" t="str">
        <f>IF(AND('Mapa riesgos'!$M$49="Alta",'Mapa riesgos'!$Q$49="Catastrófico"),CONCATENATE("R",'Mapa riesgos'!$A$49),"")</f>
        <v/>
      </c>
      <c r="AM18" s="406"/>
      <c r="AN18" s="66"/>
      <c r="AO18" s="360"/>
      <c r="AP18" s="361"/>
      <c r="AQ18" s="361"/>
      <c r="AR18" s="361"/>
      <c r="AS18" s="361"/>
      <c r="AT18" s="362"/>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346"/>
      <c r="C19" s="346"/>
      <c r="D19" s="347"/>
      <c r="E19" s="387"/>
      <c r="F19" s="388"/>
      <c r="G19" s="388"/>
      <c r="H19" s="388"/>
      <c r="I19" s="388"/>
      <c r="J19" s="413"/>
      <c r="K19" s="414"/>
      <c r="L19" s="414"/>
      <c r="M19" s="414"/>
      <c r="N19" s="414"/>
      <c r="O19" s="415"/>
      <c r="P19" s="413"/>
      <c r="Q19" s="414"/>
      <c r="R19" s="414"/>
      <c r="S19" s="414"/>
      <c r="T19" s="414"/>
      <c r="U19" s="415"/>
      <c r="V19" s="397"/>
      <c r="W19" s="393"/>
      <c r="X19" s="393"/>
      <c r="Y19" s="393"/>
      <c r="Z19" s="393"/>
      <c r="AA19" s="394"/>
      <c r="AB19" s="397"/>
      <c r="AC19" s="393"/>
      <c r="AD19" s="393"/>
      <c r="AE19" s="393"/>
      <c r="AF19" s="393"/>
      <c r="AG19" s="394"/>
      <c r="AH19" s="404"/>
      <c r="AI19" s="405"/>
      <c r="AJ19" s="405"/>
      <c r="AK19" s="405"/>
      <c r="AL19" s="405"/>
      <c r="AM19" s="406"/>
      <c r="AN19" s="66"/>
      <c r="AO19" s="360"/>
      <c r="AP19" s="361"/>
      <c r="AQ19" s="361"/>
      <c r="AR19" s="361"/>
      <c r="AS19" s="361"/>
      <c r="AT19" s="362"/>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346"/>
      <c r="C20" s="346"/>
      <c r="D20" s="347"/>
      <c r="E20" s="387"/>
      <c r="F20" s="388"/>
      <c r="G20" s="388"/>
      <c r="H20" s="388"/>
      <c r="I20" s="388"/>
      <c r="J20" s="413" t="str">
        <f>IF(AND('Mapa riesgos'!$M$55="Alta",'Mapa riesgos'!$Q$55="Leve"),CONCATENATE("R",'Mapa riesgos'!$A$55),"")</f>
        <v/>
      </c>
      <c r="K20" s="414"/>
      <c r="L20" s="414" t="str">
        <f>IF(AND('Mapa riesgos'!$M$61="Alta",'Mapa riesgos'!$Q$61="Leve"),CONCATENATE("R",'Mapa riesgos'!$A$61),"")</f>
        <v/>
      </c>
      <c r="M20" s="414"/>
      <c r="N20" s="414" t="str">
        <f>IF(AND('Mapa riesgos'!$M$67="Alta",'Mapa riesgos'!$Q$67="Leve"),CONCATENATE("R",'Mapa riesgos'!$A$67),"")</f>
        <v/>
      </c>
      <c r="O20" s="415"/>
      <c r="P20" s="413" t="str">
        <f>IF(AND('Mapa riesgos'!$M$55="Alta",'Mapa riesgos'!$Q$55="Menor"),CONCATENATE("R",'Mapa riesgos'!$A$55),"")</f>
        <v/>
      </c>
      <c r="Q20" s="414"/>
      <c r="R20" s="414" t="str">
        <f>IF(AND('Mapa riesgos'!$M$61="Alta",'Mapa riesgos'!$Q$61="Menor"),CONCATENATE("R",'Mapa riesgos'!$A$61),"")</f>
        <v/>
      </c>
      <c r="S20" s="414"/>
      <c r="T20" s="414" t="str">
        <f>IF(AND('Mapa riesgos'!$M$67="Alta",'Mapa riesgos'!$Q$67="Menor"),CONCATENATE("R",'Mapa riesgos'!$A$67),"")</f>
        <v/>
      </c>
      <c r="U20" s="415"/>
      <c r="V20" s="397" t="str">
        <f>IF(AND('Mapa riesgos'!$M$55="Alta",'Mapa riesgos'!$Q$55="Moderado"),CONCATENATE("R",'Mapa riesgos'!$A$55),"")</f>
        <v/>
      </c>
      <c r="W20" s="393"/>
      <c r="X20" s="393" t="str">
        <f>IF(AND('Mapa riesgos'!$M$61="Alta",'Mapa riesgos'!$Q$61="Moderado"),CONCATENATE("R",'Mapa riesgos'!$A$61),"")</f>
        <v/>
      </c>
      <c r="Y20" s="393"/>
      <c r="Z20" s="393" t="str">
        <f>IF(AND('Mapa riesgos'!$M$67="Alta",'Mapa riesgos'!$Q$67="Moderado"),CONCATENATE("R",'Mapa riesgos'!$A$67),"")</f>
        <v/>
      </c>
      <c r="AA20" s="394"/>
      <c r="AB20" s="397" t="str">
        <f>IF(AND('Mapa riesgos'!$M$55="Alta",'Mapa riesgos'!$Q$55="Mayor"),CONCATENATE("R",'Mapa riesgos'!$A$55),"")</f>
        <v/>
      </c>
      <c r="AC20" s="393"/>
      <c r="AD20" s="393" t="str">
        <f>IF(AND('Mapa riesgos'!$M$61="Alta",'Mapa riesgos'!$Q$61="Mayor"),CONCATENATE("R",'Mapa riesgos'!$A$61),"")</f>
        <v/>
      </c>
      <c r="AE20" s="393"/>
      <c r="AF20" s="393" t="str">
        <f>IF(AND('Mapa riesgos'!$M$67="Alta",'Mapa riesgos'!$Q$67="Mayor"),CONCATENATE("R",'Mapa riesgos'!$A$67),"")</f>
        <v/>
      </c>
      <c r="AG20" s="394"/>
      <c r="AH20" s="404" t="str">
        <f>IF(AND('Mapa riesgos'!$M$55="Alta",'Mapa riesgos'!$Q$55="Catastrófico"),CONCATENATE("R",'Mapa riesgos'!$A$55),"")</f>
        <v/>
      </c>
      <c r="AI20" s="405"/>
      <c r="AJ20" s="405" t="str">
        <f>IF(AND('Mapa riesgos'!$M$61="Alta",'Mapa riesgos'!$Q$61="Catastrófico"),CONCATENATE("R",'Mapa riesgos'!$A$61),"")</f>
        <v/>
      </c>
      <c r="AK20" s="405"/>
      <c r="AL20" s="405" t="str">
        <f>IF(AND('Mapa riesgos'!$M$67="Alta",'Mapa riesgos'!$Q$67="Catastrófico"),CONCATENATE("R",'Mapa riesgos'!$A$67),"")</f>
        <v/>
      </c>
      <c r="AM20" s="406"/>
      <c r="AN20" s="66"/>
      <c r="AO20" s="360"/>
      <c r="AP20" s="361"/>
      <c r="AQ20" s="361"/>
      <c r="AR20" s="361"/>
      <c r="AS20" s="361"/>
      <c r="AT20" s="362"/>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346"/>
      <c r="C21" s="346"/>
      <c r="D21" s="347"/>
      <c r="E21" s="390"/>
      <c r="F21" s="391"/>
      <c r="G21" s="391"/>
      <c r="H21" s="391"/>
      <c r="I21" s="391"/>
      <c r="J21" s="416"/>
      <c r="K21" s="417"/>
      <c r="L21" s="417"/>
      <c r="M21" s="417"/>
      <c r="N21" s="417"/>
      <c r="O21" s="418"/>
      <c r="P21" s="416"/>
      <c r="Q21" s="417"/>
      <c r="R21" s="417"/>
      <c r="S21" s="417"/>
      <c r="T21" s="417"/>
      <c r="U21" s="418"/>
      <c r="V21" s="401"/>
      <c r="W21" s="402"/>
      <c r="X21" s="402"/>
      <c r="Y21" s="402"/>
      <c r="Z21" s="402"/>
      <c r="AA21" s="403"/>
      <c r="AB21" s="401"/>
      <c r="AC21" s="402"/>
      <c r="AD21" s="402"/>
      <c r="AE21" s="402"/>
      <c r="AF21" s="402"/>
      <c r="AG21" s="403"/>
      <c r="AH21" s="407"/>
      <c r="AI21" s="408"/>
      <c r="AJ21" s="408"/>
      <c r="AK21" s="408"/>
      <c r="AL21" s="408"/>
      <c r="AM21" s="409"/>
      <c r="AN21" s="66"/>
      <c r="AO21" s="363"/>
      <c r="AP21" s="364"/>
      <c r="AQ21" s="364"/>
      <c r="AR21" s="364"/>
      <c r="AS21" s="364"/>
      <c r="AT21" s="36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346"/>
      <c r="C22" s="346"/>
      <c r="D22" s="347"/>
      <c r="E22" s="384" t="s">
        <v>165</v>
      </c>
      <c r="F22" s="385"/>
      <c r="G22" s="385"/>
      <c r="H22" s="385"/>
      <c r="I22" s="386"/>
      <c r="J22" s="419" t="str">
        <f>IF(AND('Mapa riesgos'!$M$13="Media",'Mapa riesgos'!$Q$13="Leve"),CONCATENATE("R",'Mapa riesgos'!$A$13),"")</f>
        <v/>
      </c>
      <c r="K22" s="420"/>
      <c r="L22" s="420" t="str">
        <f>IF(AND('Mapa riesgos'!$M$15="Media",'Mapa riesgos'!$Q$15="Leve"),CONCATENATE("R",'Mapa riesgos'!$A$15),"")</f>
        <v/>
      </c>
      <c r="M22" s="420"/>
      <c r="N22" s="420" t="str">
        <f>IF(AND('Mapa riesgos'!$M$17="Media",'Mapa riesgos'!$Q$17="Leve"),CONCATENATE("R",'Mapa riesgos'!$A$17),"")</f>
        <v/>
      </c>
      <c r="O22" s="421"/>
      <c r="P22" s="419" t="str">
        <f>IF(AND('Mapa riesgos'!$M$13="Media",'Mapa riesgos'!$Q$13="Menor"),CONCATENATE("R",'Mapa riesgos'!$A$13),"")</f>
        <v/>
      </c>
      <c r="Q22" s="420"/>
      <c r="R22" s="420" t="str">
        <f>IF(AND('Mapa riesgos'!$M$15="Media",'Mapa riesgos'!$Q$15="Menor"),CONCATENATE("R",'Mapa riesgos'!$A$15),"")</f>
        <v/>
      </c>
      <c r="S22" s="420"/>
      <c r="T22" s="420" t="str">
        <f>IF(AND('Mapa riesgos'!$M$17="Media",'Mapa riesgos'!$Q$17="Menor"),CONCATENATE("R",'Mapa riesgos'!$A$17),"")</f>
        <v/>
      </c>
      <c r="U22" s="421"/>
      <c r="V22" s="419" t="str">
        <f>IF(AND('Mapa riesgos'!$M$13="Media",'Mapa riesgos'!$Q$13="Moderado"),CONCATENATE("R",'Mapa riesgos'!$A$13),"")</f>
        <v/>
      </c>
      <c r="W22" s="420"/>
      <c r="X22" s="420" t="str">
        <f>IF(AND('Mapa riesgos'!$M$15="Media",'Mapa riesgos'!$Q$15="Moderado"),CONCATENATE("R",'Mapa riesgos'!$A$15),"")</f>
        <v>R2</v>
      </c>
      <c r="Y22" s="420"/>
      <c r="Z22" s="420" t="str">
        <f>IF(AND('Mapa riesgos'!$M$17="Media",'Mapa riesgos'!$Q$17="Moderado"),CONCATENATE("R",'Mapa riesgos'!$A$17),"")</f>
        <v>R3</v>
      </c>
      <c r="AA22" s="421"/>
      <c r="AB22" s="395" t="str">
        <f>IF(AND('Mapa riesgos'!$M$13="Media",'Mapa riesgos'!$Q$13="Mayor"),CONCATENATE("R",'Mapa riesgos'!$A$13),"")</f>
        <v/>
      </c>
      <c r="AC22" s="396"/>
      <c r="AD22" s="396" t="str">
        <f>IF(AND('Mapa riesgos'!$M$15="Media",'Mapa riesgos'!$Q$15="Mayor"),CONCATENATE("R",'Mapa riesgos'!$A$15),"")</f>
        <v/>
      </c>
      <c r="AE22" s="396"/>
      <c r="AF22" s="396" t="str">
        <f>IF(AND('Mapa riesgos'!$M$17="Media",'Mapa riesgos'!$Q$17="Mayor"),CONCATENATE("R",'Mapa riesgos'!$A$17),"")</f>
        <v/>
      </c>
      <c r="AG22" s="398"/>
      <c r="AH22" s="410" t="str">
        <f>IF(AND('Mapa riesgos'!$M$13="Media",'Mapa riesgos'!$Q$13="Catastrófico"),CONCATENATE("R",'Mapa riesgos'!$A$13),"")</f>
        <v/>
      </c>
      <c r="AI22" s="411"/>
      <c r="AJ22" s="411" t="str">
        <f>IF(AND('Mapa riesgos'!$M$15="Media",'Mapa riesgos'!$Q$15="Catastrófico"),CONCATENATE("R",'Mapa riesgos'!$A$15),"")</f>
        <v/>
      </c>
      <c r="AK22" s="411"/>
      <c r="AL22" s="411" t="str">
        <f>IF(AND('Mapa riesgos'!$M$17="Media",'Mapa riesgos'!$Q$17="Catastrófico"),CONCATENATE("R",'Mapa riesgos'!$A$17),"")</f>
        <v/>
      </c>
      <c r="AM22" s="412"/>
      <c r="AN22" s="66"/>
      <c r="AO22" s="366" t="s">
        <v>166</v>
      </c>
      <c r="AP22" s="367"/>
      <c r="AQ22" s="367"/>
      <c r="AR22" s="367"/>
      <c r="AS22" s="367"/>
      <c r="AT22" s="368"/>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346"/>
      <c r="C23" s="346"/>
      <c r="D23" s="347"/>
      <c r="E23" s="387"/>
      <c r="F23" s="388"/>
      <c r="G23" s="388"/>
      <c r="H23" s="388"/>
      <c r="I23" s="389"/>
      <c r="J23" s="413"/>
      <c r="K23" s="414"/>
      <c r="L23" s="414"/>
      <c r="M23" s="414"/>
      <c r="N23" s="414"/>
      <c r="O23" s="415"/>
      <c r="P23" s="413"/>
      <c r="Q23" s="414"/>
      <c r="R23" s="414"/>
      <c r="S23" s="414"/>
      <c r="T23" s="414"/>
      <c r="U23" s="415"/>
      <c r="V23" s="413"/>
      <c r="W23" s="414"/>
      <c r="X23" s="414"/>
      <c r="Y23" s="414"/>
      <c r="Z23" s="414"/>
      <c r="AA23" s="415"/>
      <c r="AB23" s="397"/>
      <c r="AC23" s="393"/>
      <c r="AD23" s="393"/>
      <c r="AE23" s="393"/>
      <c r="AF23" s="393"/>
      <c r="AG23" s="394"/>
      <c r="AH23" s="404"/>
      <c r="AI23" s="405"/>
      <c r="AJ23" s="405"/>
      <c r="AK23" s="405"/>
      <c r="AL23" s="405"/>
      <c r="AM23" s="406"/>
      <c r="AN23" s="66"/>
      <c r="AO23" s="369"/>
      <c r="AP23" s="370"/>
      <c r="AQ23" s="370"/>
      <c r="AR23" s="370"/>
      <c r="AS23" s="370"/>
      <c r="AT23" s="37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346"/>
      <c r="C24" s="346"/>
      <c r="D24" s="347"/>
      <c r="E24" s="387"/>
      <c r="F24" s="388"/>
      <c r="G24" s="388"/>
      <c r="H24" s="388"/>
      <c r="I24" s="389"/>
      <c r="J24" s="413" t="str">
        <f>IF(AND('Mapa riesgos'!$M$19="Media",'Mapa riesgos'!$Q$19="Leve"),CONCATENATE("R",'Mapa riesgos'!$A$19),"")</f>
        <v/>
      </c>
      <c r="K24" s="414"/>
      <c r="L24" s="414" t="str">
        <f>IF(AND('Mapa riesgos'!$M$25="Media",'Mapa riesgos'!$Q$25="Leve"),CONCATENATE("R",'Mapa riesgos'!$A$25),"")</f>
        <v/>
      </c>
      <c r="M24" s="414"/>
      <c r="N24" s="414" t="str">
        <f>IF(AND('Mapa riesgos'!$M$31="Media",'Mapa riesgos'!$Q$31="Leve"),CONCATENATE("R",'Mapa riesgos'!$A$31),"")</f>
        <v/>
      </c>
      <c r="O24" s="415"/>
      <c r="P24" s="413" t="str">
        <f>IF(AND('Mapa riesgos'!$M$19="Media",'Mapa riesgos'!$Q$19="Menor"),CONCATENATE("R",'Mapa riesgos'!$A$19),"")</f>
        <v/>
      </c>
      <c r="Q24" s="414"/>
      <c r="R24" s="414" t="str">
        <f>IF(AND('Mapa riesgos'!$M$25="Media",'Mapa riesgos'!$Q$25="Menor"),CONCATENATE("R",'Mapa riesgos'!$A$25),"")</f>
        <v/>
      </c>
      <c r="S24" s="414"/>
      <c r="T24" s="414" t="str">
        <f>IF(AND('Mapa riesgos'!$M$31="Media",'Mapa riesgos'!$Q$31="Menor"),CONCATENATE("R",'Mapa riesgos'!$A$31),"")</f>
        <v/>
      </c>
      <c r="U24" s="415"/>
      <c r="V24" s="413" t="str">
        <f>IF(AND('Mapa riesgos'!$M$19="Media",'Mapa riesgos'!$Q$19="Moderado"),CONCATENATE("R",'Mapa riesgos'!$A$19),"")</f>
        <v/>
      </c>
      <c r="W24" s="414"/>
      <c r="X24" s="414" t="str">
        <f>IF(AND('Mapa riesgos'!$M$25="Media",'Mapa riesgos'!$Q$25="Moderado"),CONCATENATE("R",'Mapa riesgos'!$A$25),"")</f>
        <v/>
      </c>
      <c r="Y24" s="414"/>
      <c r="Z24" s="414" t="str">
        <f>IF(AND('Mapa riesgos'!$M$31="Media",'Mapa riesgos'!$Q$31="Moderado"),CONCATENATE("R",'Mapa riesgos'!$A$31),"")</f>
        <v/>
      </c>
      <c r="AA24" s="415"/>
      <c r="AB24" s="397" t="str">
        <f>IF(AND('Mapa riesgos'!$M$19="Media",'Mapa riesgos'!$Q$19="Mayor"),CONCATENATE("R",'Mapa riesgos'!$A$19),"")</f>
        <v/>
      </c>
      <c r="AC24" s="393"/>
      <c r="AD24" s="393" t="str">
        <f>IF(AND('Mapa riesgos'!$M$25="Media",'Mapa riesgos'!$Q$25="Mayor"),CONCATENATE("R",'Mapa riesgos'!$A$25),"")</f>
        <v/>
      </c>
      <c r="AE24" s="393"/>
      <c r="AF24" s="393" t="str">
        <f>IF(AND('Mapa riesgos'!$M$31="Media",'Mapa riesgos'!$Q$31="Mayor"),CONCATENATE("R",'Mapa riesgos'!$A$31),"")</f>
        <v/>
      </c>
      <c r="AG24" s="394"/>
      <c r="AH24" s="404" t="str">
        <f>IF(AND('Mapa riesgos'!$M$19="Media",'Mapa riesgos'!$Q$19="Catastrófico"),CONCATENATE("R",'Mapa riesgos'!$A$19),"")</f>
        <v/>
      </c>
      <c r="AI24" s="405"/>
      <c r="AJ24" s="405" t="str">
        <f>IF(AND('Mapa riesgos'!$M$25="Media",'Mapa riesgos'!$Q$25="Catastrófico"),CONCATENATE("R",'Mapa riesgos'!$A$25),"")</f>
        <v/>
      </c>
      <c r="AK24" s="405"/>
      <c r="AL24" s="405" t="str">
        <f>IF(AND('Mapa riesgos'!$M$31="Media",'Mapa riesgos'!$Q$31="Catastrófico"),CONCATENATE("R",'Mapa riesgos'!$A$31),"")</f>
        <v/>
      </c>
      <c r="AM24" s="406"/>
      <c r="AN24" s="66"/>
      <c r="AO24" s="369"/>
      <c r="AP24" s="370"/>
      <c r="AQ24" s="370"/>
      <c r="AR24" s="370"/>
      <c r="AS24" s="370"/>
      <c r="AT24" s="37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346"/>
      <c r="C25" s="346"/>
      <c r="D25" s="347"/>
      <c r="E25" s="387"/>
      <c r="F25" s="388"/>
      <c r="G25" s="388"/>
      <c r="H25" s="388"/>
      <c r="I25" s="389"/>
      <c r="J25" s="413"/>
      <c r="K25" s="414"/>
      <c r="L25" s="414"/>
      <c r="M25" s="414"/>
      <c r="N25" s="414"/>
      <c r="O25" s="415"/>
      <c r="P25" s="413"/>
      <c r="Q25" s="414"/>
      <c r="R25" s="414"/>
      <c r="S25" s="414"/>
      <c r="T25" s="414"/>
      <c r="U25" s="415"/>
      <c r="V25" s="413"/>
      <c r="W25" s="414"/>
      <c r="X25" s="414"/>
      <c r="Y25" s="414"/>
      <c r="Z25" s="414"/>
      <c r="AA25" s="415"/>
      <c r="AB25" s="397"/>
      <c r="AC25" s="393"/>
      <c r="AD25" s="393"/>
      <c r="AE25" s="393"/>
      <c r="AF25" s="393"/>
      <c r="AG25" s="394"/>
      <c r="AH25" s="404"/>
      <c r="AI25" s="405"/>
      <c r="AJ25" s="405"/>
      <c r="AK25" s="405"/>
      <c r="AL25" s="405"/>
      <c r="AM25" s="406"/>
      <c r="AN25" s="66"/>
      <c r="AO25" s="369"/>
      <c r="AP25" s="370"/>
      <c r="AQ25" s="370"/>
      <c r="AR25" s="370"/>
      <c r="AS25" s="370"/>
      <c r="AT25" s="371"/>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346"/>
      <c r="C26" s="346"/>
      <c r="D26" s="347"/>
      <c r="E26" s="387"/>
      <c r="F26" s="388"/>
      <c r="G26" s="388"/>
      <c r="H26" s="388"/>
      <c r="I26" s="389"/>
      <c r="J26" s="413" t="str">
        <f>IF(AND('Mapa riesgos'!$M$37="Media",'Mapa riesgos'!$Q$37="Leve"),CONCATENATE("R",'Mapa riesgos'!$A$37),"")</f>
        <v/>
      </c>
      <c r="K26" s="414"/>
      <c r="L26" s="414" t="str">
        <f>IF(AND('Mapa riesgos'!$M$43="Media",'Mapa riesgos'!$Q$43="Leve"),CONCATENATE("R",'Mapa riesgos'!$A$43),"")</f>
        <v/>
      </c>
      <c r="M26" s="414"/>
      <c r="N26" s="414" t="str">
        <f>IF(AND('Mapa riesgos'!$M$49="Media",'Mapa riesgos'!$Q$49="Leve"),CONCATENATE("R",'Mapa riesgos'!$A$49),"")</f>
        <v/>
      </c>
      <c r="O26" s="415"/>
      <c r="P26" s="413" t="str">
        <f>IF(AND('Mapa riesgos'!$M$37="Media",'Mapa riesgos'!$Q$37="Menor"),CONCATENATE("R",'Mapa riesgos'!$A$37),"")</f>
        <v/>
      </c>
      <c r="Q26" s="414"/>
      <c r="R26" s="414" t="str">
        <f>IF(AND('Mapa riesgos'!$M$43="Media",'Mapa riesgos'!$Q$43="Menor"),CONCATENATE("R",'Mapa riesgos'!$A$43),"")</f>
        <v/>
      </c>
      <c r="S26" s="414"/>
      <c r="T26" s="414" t="str">
        <f>IF(AND('Mapa riesgos'!$M$49="Media",'Mapa riesgos'!$Q$49="Menor"),CONCATENATE("R",'Mapa riesgos'!$A$49),"")</f>
        <v/>
      </c>
      <c r="U26" s="415"/>
      <c r="V26" s="413" t="str">
        <f>IF(AND('Mapa riesgos'!$M$37="Media",'Mapa riesgos'!$Q$37="Moderado"),CONCATENATE("R",'Mapa riesgos'!$A$37),"")</f>
        <v/>
      </c>
      <c r="W26" s="414"/>
      <c r="X26" s="414" t="str">
        <f>IF(AND('Mapa riesgos'!$M$43="Media",'Mapa riesgos'!$Q$43="Moderado"),CONCATENATE("R",'Mapa riesgos'!$A$43),"")</f>
        <v/>
      </c>
      <c r="Y26" s="414"/>
      <c r="Z26" s="414" t="str">
        <f>IF(AND('Mapa riesgos'!$M$49="Media",'Mapa riesgos'!$Q$49="Moderado"),CONCATENATE("R",'Mapa riesgos'!$A$49),"")</f>
        <v/>
      </c>
      <c r="AA26" s="415"/>
      <c r="AB26" s="397" t="str">
        <f>IF(AND('Mapa riesgos'!$M$37="Media",'Mapa riesgos'!$Q$37="Mayor"),CONCATENATE("R",'Mapa riesgos'!$A$37),"")</f>
        <v/>
      </c>
      <c r="AC26" s="393"/>
      <c r="AD26" s="393" t="str">
        <f>IF(AND('Mapa riesgos'!$M$43="Media",'Mapa riesgos'!$Q$43="Mayor"),CONCATENATE("R",'Mapa riesgos'!$A$43),"")</f>
        <v/>
      </c>
      <c r="AE26" s="393"/>
      <c r="AF26" s="393" t="str">
        <f>IF(AND('Mapa riesgos'!$M$49="Media",'Mapa riesgos'!$Q$49="Mayor"),CONCATENATE("R",'Mapa riesgos'!$A$49),"")</f>
        <v/>
      </c>
      <c r="AG26" s="394"/>
      <c r="AH26" s="404" t="str">
        <f>IF(AND('Mapa riesgos'!$M$37="Media",'Mapa riesgos'!$Q$37="Catastrófico"),CONCATENATE("R",'Mapa riesgos'!$A$37),"")</f>
        <v/>
      </c>
      <c r="AI26" s="405"/>
      <c r="AJ26" s="405" t="str">
        <f>IF(AND('Mapa riesgos'!$M$43="Media",'Mapa riesgos'!$Q$43="Catastrófico"),CONCATENATE("R",'Mapa riesgos'!$A$43),"")</f>
        <v/>
      </c>
      <c r="AK26" s="405"/>
      <c r="AL26" s="405" t="str">
        <f>IF(AND('Mapa riesgos'!$M$49="Media",'Mapa riesgos'!$Q$49="Catastrófico"),CONCATENATE("R",'Mapa riesgos'!$A$49),"")</f>
        <v/>
      </c>
      <c r="AM26" s="406"/>
      <c r="AN26" s="66"/>
      <c r="AO26" s="369"/>
      <c r="AP26" s="370"/>
      <c r="AQ26" s="370"/>
      <c r="AR26" s="370"/>
      <c r="AS26" s="370"/>
      <c r="AT26" s="371"/>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346"/>
      <c r="C27" s="346"/>
      <c r="D27" s="347"/>
      <c r="E27" s="387"/>
      <c r="F27" s="388"/>
      <c r="G27" s="388"/>
      <c r="H27" s="388"/>
      <c r="I27" s="389"/>
      <c r="J27" s="413"/>
      <c r="K27" s="414"/>
      <c r="L27" s="414"/>
      <c r="M27" s="414"/>
      <c r="N27" s="414"/>
      <c r="O27" s="415"/>
      <c r="P27" s="413"/>
      <c r="Q27" s="414"/>
      <c r="R27" s="414"/>
      <c r="S27" s="414"/>
      <c r="T27" s="414"/>
      <c r="U27" s="415"/>
      <c r="V27" s="413"/>
      <c r="W27" s="414"/>
      <c r="X27" s="414"/>
      <c r="Y27" s="414"/>
      <c r="Z27" s="414"/>
      <c r="AA27" s="415"/>
      <c r="AB27" s="397"/>
      <c r="AC27" s="393"/>
      <c r="AD27" s="393"/>
      <c r="AE27" s="393"/>
      <c r="AF27" s="393"/>
      <c r="AG27" s="394"/>
      <c r="AH27" s="404"/>
      <c r="AI27" s="405"/>
      <c r="AJ27" s="405"/>
      <c r="AK27" s="405"/>
      <c r="AL27" s="405"/>
      <c r="AM27" s="406"/>
      <c r="AN27" s="66"/>
      <c r="AO27" s="369"/>
      <c r="AP27" s="370"/>
      <c r="AQ27" s="370"/>
      <c r="AR27" s="370"/>
      <c r="AS27" s="370"/>
      <c r="AT27" s="37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346"/>
      <c r="C28" s="346"/>
      <c r="D28" s="347"/>
      <c r="E28" s="387"/>
      <c r="F28" s="388"/>
      <c r="G28" s="388"/>
      <c r="H28" s="388"/>
      <c r="I28" s="389"/>
      <c r="J28" s="413" t="str">
        <f>IF(AND('Mapa riesgos'!$M$55="Media",'Mapa riesgos'!$Q$55="Leve"),CONCATENATE("R",'Mapa riesgos'!$A$55),"")</f>
        <v/>
      </c>
      <c r="K28" s="414"/>
      <c r="L28" s="414" t="str">
        <f>IF(AND('Mapa riesgos'!$M$61="Media",'Mapa riesgos'!$Q$61="Leve"),CONCATENATE("R",'Mapa riesgos'!$A$61),"")</f>
        <v/>
      </c>
      <c r="M28" s="414"/>
      <c r="N28" s="414" t="str">
        <f>IF(AND('Mapa riesgos'!$M$67="Media",'Mapa riesgos'!$Q$67="Leve"),CONCATENATE("R",'Mapa riesgos'!$A$67),"")</f>
        <v/>
      </c>
      <c r="O28" s="415"/>
      <c r="P28" s="413" t="str">
        <f>IF(AND('Mapa riesgos'!$M$55="Media",'Mapa riesgos'!$Q$55="Menor"),CONCATENATE("R",'Mapa riesgos'!$A$55),"")</f>
        <v/>
      </c>
      <c r="Q28" s="414"/>
      <c r="R28" s="414" t="str">
        <f>IF(AND('Mapa riesgos'!$M$61="Media",'Mapa riesgos'!$Q$61="Menor"),CONCATENATE("R",'Mapa riesgos'!$A$61),"")</f>
        <v/>
      </c>
      <c r="S28" s="414"/>
      <c r="T28" s="414" t="str">
        <f>IF(AND('Mapa riesgos'!$M$67="Media",'Mapa riesgos'!$Q$67="Menor"),CONCATENATE("R",'Mapa riesgos'!$A$67),"")</f>
        <v/>
      </c>
      <c r="U28" s="415"/>
      <c r="V28" s="413" t="str">
        <f>IF(AND('Mapa riesgos'!$M$55="Media",'Mapa riesgos'!$Q$55="Moderado"),CONCATENATE("R",'Mapa riesgos'!$A$55),"")</f>
        <v/>
      </c>
      <c r="W28" s="414"/>
      <c r="X28" s="414" t="str">
        <f>IF(AND('Mapa riesgos'!$M$61="Media",'Mapa riesgos'!$Q$61="Moderado"),CONCATENATE("R",'Mapa riesgos'!$A$61),"")</f>
        <v/>
      </c>
      <c r="Y28" s="414"/>
      <c r="Z28" s="414" t="str">
        <f>IF(AND('Mapa riesgos'!$M$67="Media",'Mapa riesgos'!$Q$67="Moderado"),CONCATENATE("R",'Mapa riesgos'!$A$67),"")</f>
        <v/>
      </c>
      <c r="AA28" s="415"/>
      <c r="AB28" s="397" t="str">
        <f>IF(AND('Mapa riesgos'!$M$55="Media",'Mapa riesgos'!$Q$55="Mayor"),CONCATENATE("R",'Mapa riesgos'!$A$55),"")</f>
        <v/>
      </c>
      <c r="AC28" s="393"/>
      <c r="AD28" s="393" t="str">
        <f>IF(AND('Mapa riesgos'!$M$61="Media",'Mapa riesgos'!$Q$61="Mayor"),CONCATENATE("R",'Mapa riesgos'!$A$61),"")</f>
        <v/>
      </c>
      <c r="AE28" s="393"/>
      <c r="AF28" s="393" t="str">
        <f>IF(AND('Mapa riesgos'!$M$67="Media",'Mapa riesgos'!$Q$67="Mayor"),CONCATENATE("R",'Mapa riesgos'!$A$67),"")</f>
        <v/>
      </c>
      <c r="AG28" s="394"/>
      <c r="AH28" s="404" t="str">
        <f>IF(AND('Mapa riesgos'!$M$55="Media",'Mapa riesgos'!$Q$55="Catastrófico"),CONCATENATE("R",'Mapa riesgos'!$A$55),"")</f>
        <v/>
      </c>
      <c r="AI28" s="405"/>
      <c r="AJ28" s="405" t="str">
        <f>IF(AND('Mapa riesgos'!$M$61="Media",'Mapa riesgos'!$Q$61="Catastrófico"),CONCATENATE("R",'Mapa riesgos'!$A$61),"")</f>
        <v/>
      </c>
      <c r="AK28" s="405"/>
      <c r="AL28" s="405" t="str">
        <f>IF(AND('Mapa riesgos'!$M$67="Media",'Mapa riesgos'!$Q$67="Catastrófico"),CONCATENATE("R",'Mapa riesgos'!$A$67),"")</f>
        <v/>
      </c>
      <c r="AM28" s="406"/>
      <c r="AN28" s="66"/>
      <c r="AO28" s="369"/>
      <c r="AP28" s="370"/>
      <c r="AQ28" s="370"/>
      <c r="AR28" s="370"/>
      <c r="AS28" s="370"/>
      <c r="AT28" s="37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346"/>
      <c r="C29" s="346"/>
      <c r="D29" s="347"/>
      <c r="E29" s="390"/>
      <c r="F29" s="391"/>
      <c r="G29" s="391"/>
      <c r="H29" s="391"/>
      <c r="I29" s="392"/>
      <c r="J29" s="413"/>
      <c r="K29" s="414"/>
      <c r="L29" s="414"/>
      <c r="M29" s="414"/>
      <c r="N29" s="414"/>
      <c r="O29" s="415"/>
      <c r="P29" s="416"/>
      <c r="Q29" s="417"/>
      <c r="R29" s="417"/>
      <c r="S29" s="417"/>
      <c r="T29" s="417"/>
      <c r="U29" s="418"/>
      <c r="V29" s="416"/>
      <c r="W29" s="417"/>
      <c r="X29" s="417"/>
      <c r="Y29" s="417"/>
      <c r="Z29" s="417"/>
      <c r="AA29" s="418"/>
      <c r="AB29" s="401"/>
      <c r="AC29" s="402"/>
      <c r="AD29" s="402"/>
      <c r="AE29" s="402"/>
      <c r="AF29" s="402"/>
      <c r="AG29" s="403"/>
      <c r="AH29" s="407"/>
      <c r="AI29" s="408"/>
      <c r="AJ29" s="408"/>
      <c r="AK29" s="408"/>
      <c r="AL29" s="408"/>
      <c r="AM29" s="409"/>
      <c r="AN29" s="66"/>
      <c r="AO29" s="372"/>
      <c r="AP29" s="373"/>
      <c r="AQ29" s="373"/>
      <c r="AR29" s="373"/>
      <c r="AS29" s="373"/>
      <c r="AT29" s="374"/>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346"/>
      <c r="C30" s="346"/>
      <c r="D30" s="347"/>
      <c r="E30" s="384" t="s">
        <v>167</v>
      </c>
      <c r="F30" s="385"/>
      <c r="G30" s="385"/>
      <c r="H30" s="385"/>
      <c r="I30" s="385"/>
      <c r="J30" s="428" t="str">
        <f>IF(AND('Mapa riesgos'!$M$13="Baja",'Mapa riesgos'!$Q$13="Leve"),CONCATENATE("R",'Mapa riesgos'!$A$13),"")</f>
        <v/>
      </c>
      <c r="K30" s="429"/>
      <c r="L30" s="429" t="str">
        <f>IF(AND('Mapa riesgos'!$M$15="Baja",'Mapa riesgos'!$Q$15="Leve"),CONCATENATE("R",'Mapa riesgos'!$A$15),"")</f>
        <v/>
      </c>
      <c r="M30" s="429"/>
      <c r="N30" s="429" t="str">
        <f>IF(AND('Mapa riesgos'!$M$17="Baja",'Mapa riesgos'!$Q$17="Leve"),CONCATENATE("R",'Mapa riesgos'!$A$17),"")</f>
        <v/>
      </c>
      <c r="O30" s="430"/>
      <c r="P30" s="420" t="str">
        <f>IF(AND('Mapa riesgos'!$M$13="Baja",'Mapa riesgos'!$Q$13="Menor"),CONCATENATE("R",'Mapa riesgos'!$A$13),"")</f>
        <v/>
      </c>
      <c r="Q30" s="420"/>
      <c r="R30" s="420" t="str">
        <f>IF(AND('Mapa riesgos'!$M$15="Baja",'Mapa riesgos'!$Q$15="Menor"),CONCATENATE("R",'Mapa riesgos'!$A$15),"")</f>
        <v/>
      </c>
      <c r="S30" s="420"/>
      <c r="T30" s="420" t="str">
        <f>IF(AND('Mapa riesgos'!$M$17="Baja",'Mapa riesgos'!$Q$17="Menor"),CONCATENATE("R",'Mapa riesgos'!$A$17),"")</f>
        <v/>
      </c>
      <c r="U30" s="421"/>
      <c r="V30" s="419" t="str">
        <f>IF(AND('Mapa riesgos'!$M$13="Baja",'Mapa riesgos'!$Q$13="Moderado"),CONCATENATE("R",'Mapa riesgos'!$A$13),"")</f>
        <v/>
      </c>
      <c r="W30" s="420"/>
      <c r="X30" s="420" t="str">
        <f>IF(AND('Mapa riesgos'!$M$15="Baja",'Mapa riesgos'!$Q$15="Moderado"),CONCATENATE("R",'Mapa riesgos'!$A$15),"")</f>
        <v/>
      </c>
      <c r="Y30" s="420"/>
      <c r="Z30" s="420" t="str">
        <f>IF(AND('Mapa riesgos'!$M$17="Baja",'Mapa riesgos'!$Q$17="Moderado"),CONCATENATE("R",'Mapa riesgos'!$A$17),"")</f>
        <v/>
      </c>
      <c r="AA30" s="421"/>
      <c r="AB30" s="395" t="str">
        <f>IF(AND('Mapa riesgos'!$M$13="Baja",'Mapa riesgos'!$Q$13="Mayor"),CONCATENATE("R",'Mapa riesgos'!$A$13),"")</f>
        <v/>
      </c>
      <c r="AC30" s="396"/>
      <c r="AD30" s="396" t="str">
        <f>IF(AND('Mapa riesgos'!$M$15="Baja",'Mapa riesgos'!$Q$15="Mayor"),CONCATENATE("R",'Mapa riesgos'!$A$15),"")</f>
        <v/>
      </c>
      <c r="AE30" s="396"/>
      <c r="AF30" s="396" t="str">
        <f>IF(AND('Mapa riesgos'!$M$17="Baja",'Mapa riesgos'!$Q$17="Mayor"),CONCATENATE("R",'Mapa riesgos'!$A$17),"")</f>
        <v/>
      </c>
      <c r="AG30" s="398"/>
      <c r="AH30" s="410" t="str">
        <f>IF(AND('Mapa riesgos'!$M$13="Baja",'Mapa riesgos'!$Q$13="Catastrófico"),CONCATENATE("R",'Mapa riesgos'!$A$13),"")</f>
        <v/>
      </c>
      <c r="AI30" s="411"/>
      <c r="AJ30" s="411" t="str">
        <f>IF(AND('Mapa riesgos'!$M$15="Baja",'Mapa riesgos'!$Q$15="Catastrófico"),CONCATENATE("R",'Mapa riesgos'!$A$15),"")</f>
        <v/>
      </c>
      <c r="AK30" s="411"/>
      <c r="AL30" s="411" t="str">
        <f>IF(AND('Mapa riesgos'!$M$17="Baja",'Mapa riesgos'!$Q$17="Catastrófico"),CONCATENATE("R",'Mapa riesgos'!$A$17),"")</f>
        <v/>
      </c>
      <c r="AM30" s="412"/>
      <c r="AN30" s="66"/>
      <c r="AO30" s="375" t="s">
        <v>168</v>
      </c>
      <c r="AP30" s="376"/>
      <c r="AQ30" s="376"/>
      <c r="AR30" s="376"/>
      <c r="AS30" s="376"/>
      <c r="AT30" s="37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346"/>
      <c r="C31" s="346"/>
      <c r="D31" s="347"/>
      <c r="E31" s="387"/>
      <c r="F31" s="388"/>
      <c r="G31" s="388"/>
      <c r="H31" s="388"/>
      <c r="I31" s="388"/>
      <c r="J31" s="424"/>
      <c r="K31" s="422"/>
      <c r="L31" s="422"/>
      <c r="M31" s="422"/>
      <c r="N31" s="422"/>
      <c r="O31" s="423"/>
      <c r="P31" s="414"/>
      <c r="Q31" s="414"/>
      <c r="R31" s="414"/>
      <c r="S31" s="414"/>
      <c r="T31" s="414"/>
      <c r="U31" s="415"/>
      <c r="V31" s="413"/>
      <c r="W31" s="414"/>
      <c r="X31" s="414"/>
      <c r="Y31" s="414"/>
      <c r="Z31" s="414"/>
      <c r="AA31" s="415"/>
      <c r="AB31" s="397"/>
      <c r="AC31" s="393"/>
      <c r="AD31" s="393"/>
      <c r="AE31" s="393"/>
      <c r="AF31" s="393"/>
      <c r="AG31" s="394"/>
      <c r="AH31" s="404"/>
      <c r="AI31" s="405"/>
      <c r="AJ31" s="405"/>
      <c r="AK31" s="405"/>
      <c r="AL31" s="405"/>
      <c r="AM31" s="406"/>
      <c r="AN31" s="66"/>
      <c r="AO31" s="378"/>
      <c r="AP31" s="379"/>
      <c r="AQ31" s="379"/>
      <c r="AR31" s="379"/>
      <c r="AS31" s="379"/>
      <c r="AT31" s="38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346"/>
      <c r="C32" s="346"/>
      <c r="D32" s="347"/>
      <c r="E32" s="387"/>
      <c r="F32" s="388"/>
      <c r="G32" s="388"/>
      <c r="H32" s="388"/>
      <c r="I32" s="388"/>
      <c r="J32" s="424" t="str">
        <f>IF(AND('Mapa riesgos'!$M$19="Baja",'Mapa riesgos'!$Q$19="Leve"),CONCATENATE("R",'Mapa riesgos'!$A$19),"")</f>
        <v/>
      </c>
      <c r="K32" s="422"/>
      <c r="L32" s="422" t="str">
        <f>IF(AND('Mapa riesgos'!$M$25="Baja",'Mapa riesgos'!$Q$25="Leve"),CONCATENATE("R",'Mapa riesgos'!$A$25),"")</f>
        <v/>
      </c>
      <c r="M32" s="422"/>
      <c r="N32" s="422" t="str">
        <f>IF(AND('Mapa riesgos'!$M$31="Baja",'Mapa riesgos'!$Q$31="Leve"),CONCATENATE("R",'Mapa riesgos'!$A$31),"")</f>
        <v/>
      </c>
      <c r="O32" s="423"/>
      <c r="P32" s="414" t="str">
        <f>IF(AND('Mapa riesgos'!$M$19="Baja",'Mapa riesgos'!$Q$19="Menor"),CONCATENATE("R",'Mapa riesgos'!$A$19),"")</f>
        <v/>
      </c>
      <c r="Q32" s="414"/>
      <c r="R32" s="414" t="str">
        <f>IF(AND('Mapa riesgos'!$M$25="Baja",'Mapa riesgos'!$Q$25="Menor"),CONCATENATE("R",'Mapa riesgos'!$A$25),"")</f>
        <v/>
      </c>
      <c r="S32" s="414"/>
      <c r="T32" s="414" t="str">
        <f>IF(AND('Mapa riesgos'!$M$31="Baja",'Mapa riesgos'!$Q$31="Menor"),CONCATENATE("R",'Mapa riesgos'!$A$31),"")</f>
        <v/>
      </c>
      <c r="U32" s="415"/>
      <c r="V32" s="413" t="str">
        <f>IF(AND('Mapa riesgos'!$M$19="Baja",'Mapa riesgos'!$Q$19="Moderado"),CONCATENATE("R",'Mapa riesgos'!$A$19),"")</f>
        <v/>
      </c>
      <c r="W32" s="414"/>
      <c r="X32" s="414" t="str">
        <f>IF(AND('Mapa riesgos'!$M$25="Baja",'Mapa riesgos'!$Q$25="Moderado"),CONCATENATE("R",'Mapa riesgos'!$A$25),"")</f>
        <v/>
      </c>
      <c r="Y32" s="414"/>
      <c r="Z32" s="414" t="str">
        <f>IF(AND('Mapa riesgos'!$M$31="Baja",'Mapa riesgos'!$Q$31="Moderado"),CONCATENATE("R",'Mapa riesgos'!$A$31),"")</f>
        <v/>
      </c>
      <c r="AA32" s="415"/>
      <c r="AB32" s="397" t="str">
        <f>IF(AND('Mapa riesgos'!$M$19="Baja",'Mapa riesgos'!$Q$19="Mayor"),CONCATENATE("R",'Mapa riesgos'!$A$19),"")</f>
        <v/>
      </c>
      <c r="AC32" s="393"/>
      <c r="AD32" s="393" t="str">
        <f>IF(AND('Mapa riesgos'!$M$25="Baja",'Mapa riesgos'!$Q$25="Mayor"),CONCATENATE("R",'Mapa riesgos'!$A$25),"")</f>
        <v/>
      </c>
      <c r="AE32" s="393"/>
      <c r="AF32" s="393" t="str">
        <f>IF(AND('Mapa riesgos'!$M$31="Baja",'Mapa riesgos'!$Q$31="Mayor"),CONCATENATE("R",'Mapa riesgos'!$A$31),"")</f>
        <v/>
      </c>
      <c r="AG32" s="394"/>
      <c r="AH32" s="404" t="str">
        <f>IF(AND('Mapa riesgos'!$M$19="Baja",'Mapa riesgos'!$Q$19="Catastrófico"),CONCATENATE("R",'Mapa riesgos'!$A$19),"")</f>
        <v/>
      </c>
      <c r="AI32" s="405"/>
      <c r="AJ32" s="405" t="str">
        <f>IF(AND('Mapa riesgos'!$M$25="Baja",'Mapa riesgos'!$Q$25="Catastrófico"),CONCATENATE("R",'Mapa riesgos'!$A$25),"")</f>
        <v/>
      </c>
      <c r="AK32" s="405"/>
      <c r="AL32" s="405" t="str">
        <f>IF(AND('Mapa riesgos'!$M$31="Baja",'Mapa riesgos'!$Q$31="Catastrófico"),CONCATENATE("R",'Mapa riesgos'!$A$31),"")</f>
        <v/>
      </c>
      <c r="AM32" s="406"/>
      <c r="AN32" s="66"/>
      <c r="AO32" s="378"/>
      <c r="AP32" s="379"/>
      <c r="AQ32" s="379"/>
      <c r="AR32" s="379"/>
      <c r="AS32" s="379"/>
      <c r="AT32" s="38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346"/>
      <c r="C33" s="346"/>
      <c r="D33" s="347"/>
      <c r="E33" s="387"/>
      <c r="F33" s="388"/>
      <c r="G33" s="388"/>
      <c r="H33" s="388"/>
      <c r="I33" s="388"/>
      <c r="J33" s="424"/>
      <c r="K33" s="422"/>
      <c r="L33" s="422"/>
      <c r="M33" s="422"/>
      <c r="N33" s="422"/>
      <c r="O33" s="423"/>
      <c r="P33" s="414"/>
      <c r="Q33" s="414"/>
      <c r="R33" s="414"/>
      <c r="S33" s="414"/>
      <c r="T33" s="414"/>
      <c r="U33" s="415"/>
      <c r="V33" s="413"/>
      <c r="W33" s="414"/>
      <c r="X33" s="414"/>
      <c r="Y33" s="414"/>
      <c r="Z33" s="414"/>
      <c r="AA33" s="415"/>
      <c r="AB33" s="397"/>
      <c r="AC33" s="393"/>
      <c r="AD33" s="393"/>
      <c r="AE33" s="393"/>
      <c r="AF33" s="393"/>
      <c r="AG33" s="394"/>
      <c r="AH33" s="404"/>
      <c r="AI33" s="405"/>
      <c r="AJ33" s="405"/>
      <c r="AK33" s="405"/>
      <c r="AL33" s="405"/>
      <c r="AM33" s="406"/>
      <c r="AN33" s="66"/>
      <c r="AO33" s="378"/>
      <c r="AP33" s="379"/>
      <c r="AQ33" s="379"/>
      <c r="AR33" s="379"/>
      <c r="AS33" s="379"/>
      <c r="AT33" s="38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346"/>
      <c r="C34" s="346"/>
      <c r="D34" s="347"/>
      <c r="E34" s="387"/>
      <c r="F34" s="388"/>
      <c r="G34" s="388"/>
      <c r="H34" s="388"/>
      <c r="I34" s="388"/>
      <c r="J34" s="424" t="str">
        <f>IF(AND('Mapa riesgos'!$M$37="Baja",'Mapa riesgos'!$Q$37="Leve"),CONCATENATE("R",'Mapa riesgos'!$A$37),"")</f>
        <v/>
      </c>
      <c r="K34" s="422"/>
      <c r="L34" s="422" t="str">
        <f>IF(AND('Mapa riesgos'!$M$43="Baja",'Mapa riesgos'!$Q$43="Leve"),CONCATENATE("R",'Mapa riesgos'!$A$43),"")</f>
        <v/>
      </c>
      <c r="M34" s="422"/>
      <c r="N34" s="422" t="str">
        <f>IF(AND('Mapa riesgos'!$M$49="Baja",'Mapa riesgos'!$Q$49="Leve"),CONCATENATE("R",'Mapa riesgos'!$A$49),"")</f>
        <v/>
      </c>
      <c r="O34" s="423"/>
      <c r="P34" s="414" t="str">
        <f>IF(AND('Mapa riesgos'!$M$37="Baja",'Mapa riesgos'!$Q$37="Menor"),CONCATENATE("R",'Mapa riesgos'!$A$37),"")</f>
        <v/>
      </c>
      <c r="Q34" s="414"/>
      <c r="R34" s="414" t="str">
        <f>IF(AND('Mapa riesgos'!$M$43="Baja",'Mapa riesgos'!$Q$43="Menor"),CONCATENATE("R",'Mapa riesgos'!$A$43),"")</f>
        <v/>
      </c>
      <c r="S34" s="414"/>
      <c r="T34" s="414" t="str">
        <f>IF(AND('Mapa riesgos'!$M$49="Baja",'Mapa riesgos'!$Q$49="Menor"),CONCATENATE("R",'Mapa riesgos'!$A$49),"")</f>
        <v/>
      </c>
      <c r="U34" s="415"/>
      <c r="V34" s="413" t="str">
        <f>IF(AND('Mapa riesgos'!$M$37="Baja",'Mapa riesgos'!$Q$37="Moderado"),CONCATENATE("R",'Mapa riesgos'!$A$37),"")</f>
        <v/>
      </c>
      <c r="W34" s="414"/>
      <c r="X34" s="414" t="str">
        <f>IF(AND('Mapa riesgos'!$M$43="Baja",'Mapa riesgos'!$Q$43="Moderado"),CONCATENATE("R",'Mapa riesgos'!$A$43),"")</f>
        <v/>
      </c>
      <c r="Y34" s="414"/>
      <c r="Z34" s="414" t="str">
        <f>IF(AND('Mapa riesgos'!$M$49="Baja",'Mapa riesgos'!$Q$49="Moderado"),CONCATENATE("R",'Mapa riesgos'!$A$49),"")</f>
        <v/>
      </c>
      <c r="AA34" s="415"/>
      <c r="AB34" s="397" t="str">
        <f>IF(AND('Mapa riesgos'!$M$37="Baja",'Mapa riesgos'!$Q$37="Mayor"),CONCATENATE("R",'Mapa riesgos'!$A$37),"")</f>
        <v/>
      </c>
      <c r="AC34" s="393"/>
      <c r="AD34" s="393" t="str">
        <f>IF(AND('Mapa riesgos'!$M$43="Baja",'Mapa riesgos'!$Q$43="Mayor"),CONCATENATE("R",'Mapa riesgos'!$A$43),"")</f>
        <v/>
      </c>
      <c r="AE34" s="393"/>
      <c r="AF34" s="393" t="str">
        <f>IF(AND('Mapa riesgos'!$M$49="Baja",'Mapa riesgos'!$Q$49="Mayor"),CONCATENATE("R",'Mapa riesgos'!$A$49),"")</f>
        <v/>
      </c>
      <c r="AG34" s="394"/>
      <c r="AH34" s="404" t="str">
        <f>IF(AND('Mapa riesgos'!$M$37="Baja",'Mapa riesgos'!$Q$37="Catastrófico"),CONCATENATE("R",'Mapa riesgos'!$A$37),"")</f>
        <v/>
      </c>
      <c r="AI34" s="405"/>
      <c r="AJ34" s="405" t="str">
        <f>IF(AND('Mapa riesgos'!$M$43="Baja",'Mapa riesgos'!$Q$43="Catastrófico"),CONCATENATE("R",'Mapa riesgos'!$A$43),"")</f>
        <v/>
      </c>
      <c r="AK34" s="405"/>
      <c r="AL34" s="405" t="str">
        <f>IF(AND('Mapa riesgos'!$M$49="Baja",'Mapa riesgos'!$Q$49="Catastrófico"),CONCATENATE("R",'Mapa riesgos'!$A$49),"")</f>
        <v/>
      </c>
      <c r="AM34" s="406"/>
      <c r="AN34" s="66"/>
      <c r="AO34" s="378"/>
      <c r="AP34" s="379"/>
      <c r="AQ34" s="379"/>
      <c r="AR34" s="379"/>
      <c r="AS34" s="379"/>
      <c r="AT34" s="38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346"/>
      <c r="C35" s="346"/>
      <c r="D35" s="347"/>
      <c r="E35" s="387"/>
      <c r="F35" s="388"/>
      <c r="G35" s="388"/>
      <c r="H35" s="388"/>
      <c r="I35" s="388"/>
      <c r="J35" s="424"/>
      <c r="K35" s="422"/>
      <c r="L35" s="422"/>
      <c r="M35" s="422"/>
      <c r="N35" s="422"/>
      <c r="O35" s="423"/>
      <c r="P35" s="414"/>
      <c r="Q35" s="414"/>
      <c r="R35" s="414"/>
      <c r="S35" s="414"/>
      <c r="T35" s="414"/>
      <c r="U35" s="415"/>
      <c r="V35" s="413"/>
      <c r="W35" s="414"/>
      <c r="X35" s="414"/>
      <c r="Y35" s="414"/>
      <c r="Z35" s="414"/>
      <c r="AA35" s="415"/>
      <c r="AB35" s="397"/>
      <c r="AC35" s="393"/>
      <c r="AD35" s="393"/>
      <c r="AE35" s="393"/>
      <c r="AF35" s="393"/>
      <c r="AG35" s="394"/>
      <c r="AH35" s="404"/>
      <c r="AI35" s="405"/>
      <c r="AJ35" s="405"/>
      <c r="AK35" s="405"/>
      <c r="AL35" s="405"/>
      <c r="AM35" s="406"/>
      <c r="AN35" s="66"/>
      <c r="AO35" s="378"/>
      <c r="AP35" s="379"/>
      <c r="AQ35" s="379"/>
      <c r="AR35" s="379"/>
      <c r="AS35" s="379"/>
      <c r="AT35" s="38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346"/>
      <c r="C36" s="346"/>
      <c r="D36" s="347"/>
      <c r="E36" s="387"/>
      <c r="F36" s="388"/>
      <c r="G36" s="388"/>
      <c r="H36" s="388"/>
      <c r="I36" s="388"/>
      <c r="J36" s="424" t="str">
        <f>IF(AND('Mapa riesgos'!$M$55="Baja",'Mapa riesgos'!$Q$55="Leve"),CONCATENATE("R",'Mapa riesgos'!$A$55),"")</f>
        <v/>
      </c>
      <c r="K36" s="422"/>
      <c r="L36" s="422" t="str">
        <f>IF(AND('Mapa riesgos'!$M$61="Baja",'Mapa riesgos'!$Q$61="Leve"),CONCATENATE("R",'Mapa riesgos'!$A$61),"")</f>
        <v/>
      </c>
      <c r="M36" s="422"/>
      <c r="N36" s="422" t="str">
        <f>IF(AND('Mapa riesgos'!$M$67="Baja",'Mapa riesgos'!$Q$67="Leve"),CONCATENATE("R",'Mapa riesgos'!$A$67),"")</f>
        <v/>
      </c>
      <c r="O36" s="423"/>
      <c r="P36" s="414" t="str">
        <f>IF(AND('Mapa riesgos'!$M$55="Baja",'Mapa riesgos'!$Q$55="Menor"),CONCATENATE("R",'Mapa riesgos'!$A$55),"")</f>
        <v/>
      </c>
      <c r="Q36" s="414"/>
      <c r="R36" s="414" t="str">
        <f>IF(AND('Mapa riesgos'!$M$61="Baja",'Mapa riesgos'!$Q$61="Menor"),CONCATENATE("R",'Mapa riesgos'!$A$61),"")</f>
        <v/>
      </c>
      <c r="S36" s="414"/>
      <c r="T36" s="414" t="str">
        <f>IF(AND('Mapa riesgos'!$M$67="Baja",'Mapa riesgos'!$Q$67="Menor"),CONCATENATE("R",'Mapa riesgos'!$A$67),"")</f>
        <v/>
      </c>
      <c r="U36" s="415"/>
      <c r="V36" s="413" t="str">
        <f>IF(AND('Mapa riesgos'!$M$55="Baja",'Mapa riesgos'!$Q$55="Moderado"),CONCATENATE("R",'Mapa riesgos'!$A$55),"")</f>
        <v/>
      </c>
      <c r="W36" s="414"/>
      <c r="X36" s="414" t="str">
        <f>IF(AND('Mapa riesgos'!$M$61="Baja",'Mapa riesgos'!$Q$61="Moderado"),CONCATENATE("R",'Mapa riesgos'!$A$61),"")</f>
        <v/>
      </c>
      <c r="Y36" s="414"/>
      <c r="Z36" s="414" t="str">
        <f>IF(AND('Mapa riesgos'!$M$67="Baja",'Mapa riesgos'!$Q$67="Moderado"),CONCATENATE("R",'Mapa riesgos'!$A$67),"")</f>
        <v/>
      </c>
      <c r="AA36" s="415"/>
      <c r="AB36" s="397" t="str">
        <f>IF(AND('Mapa riesgos'!$M$55="Baja",'Mapa riesgos'!$Q$55="Mayor"),CONCATENATE("R",'Mapa riesgos'!$A$55),"")</f>
        <v/>
      </c>
      <c r="AC36" s="393"/>
      <c r="AD36" s="393" t="str">
        <f>IF(AND('Mapa riesgos'!$M$61="Baja",'Mapa riesgos'!$Q$61="Mayor"),CONCATENATE("R",'Mapa riesgos'!$A$61),"")</f>
        <v/>
      </c>
      <c r="AE36" s="393"/>
      <c r="AF36" s="393" t="str">
        <f>IF(AND('Mapa riesgos'!$M$67="Baja",'Mapa riesgos'!$Q$67="Mayor"),CONCATENATE("R",'Mapa riesgos'!$A$67),"")</f>
        <v/>
      </c>
      <c r="AG36" s="394"/>
      <c r="AH36" s="404" t="str">
        <f>IF(AND('Mapa riesgos'!$M$55="Baja",'Mapa riesgos'!$Q$55="Catastrófico"),CONCATENATE("R",'Mapa riesgos'!$A$55),"")</f>
        <v/>
      </c>
      <c r="AI36" s="405"/>
      <c r="AJ36" s="405" t="str">
        <f>IF(AND('Mapa riesgos'!$M$61="Baja",'Mapa riesgos'!$Q$61="Catastrófico"),CONCATENATE("R",'Mapa riesgos'!$A$61),"")</f>
        <v/>
      </c>
      <c r="AK36" s="405"/>
      <c r="AL36" s="405" t="str">
        <f>IF(AND('Mapa riesgos'!$M$67="Baja",'Mapa riesgos'!$Q$67="Catastrófico"),CONCATENATE("R",'Mapa riesgos'!$A$67),"")</f>
        <v/>
      </c>
      <c r="AM36" s="406"/>
      <c r="AN36" s="66"/>
      <c r="AO36" s="378"/>
      <c r="AP36" s="379"/>
      <c r="AQ36" s="379"/>
      <c r="AR36" s="379"/>
      <c r="AS36" s="379"/>
      <c r="AT36" s="380"/>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346"/>
      <c r="C37" s="346"/>
      <c r="D37" s="347"/>
      <c r="E37" s="390"/>
      <c r="F37" s="391"/>
      <c r="G37" s="391"/>
      <c r="H37" s="391"/>
      <c r="I37" s="391"/>
      <c r="J37" s="425"/>
      <c r="K37" s="426"/>
      <c r="L37" s="426"/>
      <c r="M37" s="426"/>
      <c r="N37" s="426"/>
      <c r="O37" s="427"/>
      <c r="P37" s="417"/>
      <c r="Q37" s="417"/>
      <c r="R37" s="417"/>
      <c r="S37" s="417"/>
      <c r="T37" s="417"/>
      <c r="U37" s="418"/>
      <c r="V37" s="416"/>
      <c r="W37" s="417"/>
      <c r="X37" s="417"/>
      <c r="Y37" s="417"/>
      <c r="Z37" s="417"/>
      <c r="AA37" s="418"/>
      <c r="AB37" s="401"/>
      <c r="AC37" s="402"/>
      <c r="AD37" s="402"/>
      <c r="AE37" s="402"/>
      <c r="AF37" s="402"/>
      <c r="AG37" s="403"/>
      <c r="AH37" s="407"/>
      <c r="AI37" s="408"/>
      <c r="AJ37" s="408"/>
      <c r="AK37" s="408"/>
      <c r="AL37" s="408"/>
      <c r="AM37" s="409"/>
      <c r="AN37" s="66"/>
      <c r="AO37" s="381"/>
      <c r="AP37" s="382"/>
      <c r="AQ37" s="382"/>
      <c r="AR37" s="382"/>
      <c r="AS37" s="382"/>
      <c r="AT37" s="383"/>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346"/>
      <c r="C38" s="346"/>
      <c r="D38" s="347"/>
      <c r="E38" s="384" t="s">
        <v>169</v>
      </c>
      <c r="F38" s="385"/>
      <c r="G38" s="385"/>
      <c r="H38" s="385"/>
      <c r="I38" s="386"/>
      <c r="J38" s="428" t="str">
        <f>IF(AND('Mapa riesgos'!$M$13="Muy Baja",'Mapa riesgos'!$Q$13="Leve"),CONCATENATE("R",'Mapa riesgos'!$A$13),"")</f>
        <v/>
      </c>
      <c r="K38" s="429"/>
      <c r="L38" s="429" t="str">
        <f>IF(AND('Mapa riesgos'!$M$15="Muy Baja",'Mapa riesgos'!$Q$15="Leve"),CONCATENATE("R",'Mapa riesgos'!$A$15),"")</f>
        <v/>
      </c>
      <c r="M38" s="429"/>
      <c r="N38" s="429" t="str">
        <f>IF(AND('Mapa riesgos'!$M$17="Muy Baja",'Mapa riesgos'!$Q$17="Leve"),CONCATENATE("R",'Mapa riesgos'!$A$17),"")</f>
        <v/>
      </c>
      <c r="O38" s="430"/>
      <c r="P38" s="428" t="str">
        <f>IF(AND('Mapa riesgos'!$M$13="Muy Baja",'Mapa riesgos'!$Q$13="Menor"),CONCATENATE("R",'Mapa riesgos'!$A$13),"")</f>
        <v/>
      </c>
      <c r="Q38" s="429"/>
      <c r="R38" s="429" t="str">
        <f>IF(AND('Mapa riesgos'!$M$15="Muy Baja",'Mapa riesgos'!$Q$15="Menor"),CONCATENATE("R",'Mapa riesgos'!$A$15),"")</f>
        <v/>
      </c>
      <c r="S38" s="429"/>
      <c r="T38" s="429" t="str">
        <f>IF(AND('Mapa riesgos'!$M$17="Muy Baja",'Mapa riesgos'!$Q$17="Menor"),CONCATENATE("R",'Mapa riesgos'!$A$17),"")</f>
        <v/>
      </c>
      <c r="U38" s="430"/>
      <c r="V38" s="419" t="str">
        <f>IF(AND('Mapa riesgos'!$M$13="Muy Baja",'Mapa riesgos'!$Q$13="Moderado"),CONCATENATE("R",'Mapa riesgos'!$A$13),"")</f>
        <v/>
      </c>
      <c r="W38" s="420"/>
      <c r="X38" s="420" t="str">
        <f>IF(AND('Mapa riesgos'!$M$15="Muy Baja",'Mapa riesgos'!$Q$15="Moderado"),CONCATENATE("R",'Mapa riesgos'!$A$15),"")</f>
        <v/>
      </c>
      <c r="Y38" s="420"/>
      <c r="Z38" s="420" t="str">
        <f>IF(AND('Mapa riesgos'!$M$17="Muy Baja",'Mapa riesgos'!$Q$17="Moderado"),CONCATENATE("R",'Mapa riesgos'!$A$17),"")</f>
        <v/>
      </c>
      <c r="AA38" s="421"/>
      <c r="AB38" s="395" t="str">
        <f>IF(AND('Mapa riesgos'!$M$13="Muy Baja",'Mapa riesgos'!$Q$13="Mayor"),CONCATENATE("R",'Mapa riesgos'!$A$13),"")</f>
        <v/>
      </c>
      <c r="AC38" s="396"/>
      <c r="AD38" s="396" t="str">
        <f>IF(AND('Mapa riesgos'!$M$15="Muy Baja",'Mapa riesgos'!$Q$15="Mayor"),CONCATENATE("R",'Mapa riesgos'!$A$15),"")</f>
        <v/>
      </c>
      <c r="AE38" s="396"/>
      <c r="AF38" s="396" t="str">
        <f>IF(AND('Mapa riesgos'!$M$17="Muy Baja",'Mapa riesgos'!$Q$17="Mayor"),CONCATENATE("R",'Mapa riesgos'!$A$17),"")</f>
        <v/>
      </c>
      <c r="AG38" s="398"/>
      <c r="AH38" s="410" t="str">
        <f>IF(AND('Mapa riesgos'!$M$13="Muy Baja",'Mapa riesgos'!$Q$13="Catastrófico"),CONCATENATE("R",'Mapa riesgos'!$A$13),"")</f>
        <v/>
      </c>
      <c r="AI38" s="411"/>
      <c r="AJ38" s="411" t="str">
        <f>IF(AND('Mapa riesgos'!$M$15="Muy Baja",'Mapa riesgos'!$Q$15="Catastrófico"),CONCATENATE("R",'Mapa riesgos'!$A$15),"")</f>
        <v/>
      </c>
      <c r="AK38" s="411"/>
      <c r="AL38" s="411" t="str">
        <f>IF(AND('Mapa riesgos'!$M$17="Muy Baja",'Mapa riesgos'!$Q$17="Catastrófico"),CONCATENATE("R",'Mapa riesgos'!$A$17),"")</f>
        <v/>
      </c>
      <c r="AM38" s="412"/>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346"/>
      <c r="C39" s="346"/>
      <c r="D39" s="347"/>
      <c r="E39" s="387"/>
      <c r="F39" s="388"/>
      <c r="G39" s="388"/>
      <c r="H39" s="388"/>
      <c r="I39" s="389"/>
      <c r="J39" s="424"/>
      <c r="K39" s="422"/>
      <c r="L39" s="422"/>
      <c r="M39" s="422"/>
      <c r="N39" s="422"/>
      <c r="O39" s="423"/>
      <c r="P39" s="424"/>
      <c r="Q39" s="422"/>
      <c r="R39" s="422"/>
      <c r="S39" s="422"/>
      <c r="T39" s="422"/>
      <c r="U39" s="423"/>
      <c r="V39" s="413"/>
      <c r="W39" s="414"/>
      <c r="X39" s="414"/>
      <c r="Y39" s="414"/>
      <c r="Z39" s="414"/>
      <c r="AA39" s="415"/>
      <c r="AB39" s="397"/>
      <c r="AC39" s="393"/>
      <c r="AD39" s="393"/>
      <c r="AE39" s="393"/>
      <c r="AF39" s="393"/>
      <c r="AG39" s="394"/>
      <c r="AH39" s="404"/>
      <c r="AI39" s="405"/>
      <c r="AJ39" s="405"/>
      <c r="AK39" s="405"/>
      <c r="AL39" s="405"/>
      <c r="AM39" s="40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346"/>
      <c r="C40" s="346"/>
      <c r="D40" s="347"/>
      <c r="E40" s="387"/>
      <c r="F40" s="388"/>
      <c r="G40" s="388"/>
      <c r="H40" s="388"/>
      <c r="I40" s="389"/>
      <c r="J40" s="424" t="str">
        <f>IF(AND('Mapa riesgos'!$M$19="Muy Baja",'Mapa riesgos'!$Q$19="Leve"),CONCATENATE("R",'Mapa riesgos'!$A$19),"")</f>
        <v/>
      </c>
      <c r="K40" s="422"/>
      <c r="L40" s="422" t="str">
        <f>IF(AND('Mapa riesgos'!$M$25="Muy Baja",'Mapa riesgos'!$Q$25="Leve"),CONCATENATE("R",'Mapa riesgos'!$A$25),"")</f>
        <v/>
      </c>
      <c r="M40" s="422"/>
      <c r="N40" s="422" t="str">
        <f>IF(AND('Mapa riesgos'!$M$31="Muy Baja",'Mapa riesgos'!$Q$31="Leve"),CONCATENATE("R",'Mapa riesgos'!$A$31),"")</f>
        <v/>
      </c>
      <c r="O40" s="423"/>
      <c r="P40" s="424" t="str">
        <f>IF(AND('Mapa riesgos'!$M$19="Muy Baja",'Mapa riesgos'!$Q$19="Menor"),CONCATENATE("R",'Mapa riesgos'!$A$19),"")</f>
        <v/>
      </c>
      <c r="Q40" s="422"/>
      <c r="R40" s="422" t="str">
        <f>IF(AND('Mapa riesgos'!$M$25="Muy Baja",'Mapa riesgos'!$Q$25="Menor"),CONCATENATE("R",'Mapa riesgos'!$A$25),"")</f>
        <v/>
      </c>
      <c r="S40" s="422"/>
      <c r="T40" s="422" t="str">
        <f>IF(AND('Mapa riesgos'!$M$31="Muy Baja",'Mapa riesgos'!$Q$31="Menor"),CONCATENATE("R",'Mapa riesgos'!$A$31),"")</f>
        <v/>
      </c>
      <c r="U40" s="423"/>
      <c r="V40" s="413" t="str">
        <f>IF(AND('Mapa riesgos'!$M$19="Muy Baja",'Mapa riesgos'!$Q$19="Moderado"),CONCATENATE("R",'Mapa riesgos'!$A$19),"")</f>
        <v/>
      </c>
      <c r="W40" s="414"/>
      <c r="X40" s="414" t="str">
        <f>IF(AND('Mapa riesgos'!$M$25="Muy Baja",'Mapa riesgos'!$Q$25="Moderado"),CONCATENATE("R",'Mapa riesgos'!$A$25),"")</f>
        <v/>
      </c>
      <c r="Y40" s="414"/>
      <c r="Z40" s="414" t="str">
        <f>IF(AND('Mapa riesgos'!$M$31="Muy Baja",'Mapa riesgos'!$Q$31="Moderado"),CONCATENATE("R",'Mapa riesgos'!$A$31),"")</f>
        <v/>
      </c>
      <c r="AA40" s="415"/>
      <c r="AB40" s="397" t="str">
        <f>IF(AND('Mapa riesgos'!$M$19="Muy Baja",'Mapa riesgos'!$Q$19="Mayor"),CONCATENATE("R",'Mapa riesgos'!$A$19),"")</f>
        <v/>
      </c>
      <c r="AC40" s="393"/>
      <c r="AD40" s="393" t="str">
        <f>IF(AND('Mapa riesgos'!$M$25="Muy Baja",'Mapa riesgos'!$Q$25="Mayor"),CONCATENATE("R",'Mapa riesgos'!$A$25),"")</f>
        <v/>
      </c>
      <c r="AE40" s="393"/>
      <c r="AF40" s="393" t="str">
        <f>IF(AND('Mapa riesgos'!$M$31="Muy Baja",'Mapa riesgos'!$Q$31="Mayor"),CONCATENATE("R",'Mapa riesgos'!$A$31),"")</f>
        <v/>
      </c>
      <c r="AG40" s="394"/>
      <c r="AH40" s="404" t="str">
        <f>IF(AND('Mapa riesgos'!$M$19="Muy Baja",'Mapa riesgos'!$Q$19="Catastrófico"),CONCATENATE("R",'Mapa riesgos'!$A$19),"")</f>
        <v/>
      </c>
      <c r="AI40" s="405"/>
      <c r="AJ40" s="405" t="str">
        <f>IF(AND('Mapa riesgos'!$M$25="Muy Baja",'Mapa riesgos'!$Q$25="Catastrófico"),CONCATENATE("R",'Mapa riesgos'!$A$25),"")</f>
        <v/>
      </c>
      <c r="AK40" s="405"/>
      <c r="AL40" s="405" t="str">
        <f>IF(AND('Mapa riesgos'!$M$31="Muy Baja",'Mapa riesgos'!$Q$31="Catastrófico"),CONCATENATE("R",'Mapa riesgos'!$A$31),"")</f>
        <v/>
      </c>
      <c r="AM40" s="40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346"/>
      <c r="C41" s="346"/>
      <c r="D41" s="347"/>
      <c r="E41" s="387"/>
      <c r="F41" s="388"/>
      <c r="G41" s="388"/>
      <c r="H41" s="388"/>
      <c r="I41" s="389"/>
      <c r="J41" s="424"/>
      <c r="K41" s="422"/>
      <c r="L41" s="422"/>
      <c r="M41" s="422"/>
      <c r="N41" s="422"/>
      <c r="O41" s="423"/>
      <c r="P41" s="424"/>
      <c r="Q41" s="422"/>
      <c r="R41" s="422"/>
      <c r="S41" s="422"/>
      <c r="T41" s="422"/>
      <c r="U41" s="423"/>
      <c r="V41" s="413"/>
      <c r="W41" s="414"/>
      <c r="X41" s="414"/>
      <c r="Y41" s="414"/>
      <c r="Z41" s="414"/>
      <c r="AA41" s="415"/>
      <c r="AB41" s="397"/>
      <c r="AC41" s="393"/>
      <c r="AD41" s="393"/>
      <c r="AE41" s="393"/>
      <c r="AF41" s="393"/>
      <c r="AG41" s="394"/>
      <c r="AH41" s="404"/>
      <c r="AI41" s="405"/>
      <c r="AJ41" s="405"/>
      <c r="AK41" s="405"/>
      <c r="AL41" s="405"/>
      <c r="AM41" s="40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346"/>
      <c r="C42" s="346"/>
      <c r="D42" s="347"/>
      <c r="E42" s="387"/>
      <c r="F42" s="388"/>
      <c r="G42" s="388"/>
      <c r="H42" s="388"/>
      <c r="I42" s="389"/>
      <c r="J42" s="424" t="str">
        <f>IF(AND('Mapa riesgos'!$M$37="Muy Baja",'Mapa riesgos'!$Q$37="Leve"),CONCATENATE("R",'Mapa riesgos'!$A$37),"")</f>
        <v/>
      </c>
      <c r="K42" s="422"/>
      <c r="L42" s="422" t="str">
        <f>IF(AND('Mapa riesgos'!$M$43="Muy Baja",'Mapa riesgos'!$Q$43="Leve"),CONCATENATE("R",'Mapa riesgos'!$A$43),"")</f>
        <v/>
      </c>
      <c r="M42" s="422"/>
      <c r="N42" s="422" t="str">
        <f>IF(AND('Mapa riesgos'!$M$49="Muy Baja",'Mapa riesgos'!$Q$49="Leve"),CONCATENATE("R",'Mapa riesgos'!$A$49),"")</f>
        <v/>
      </c>
      <c r="O42" s="423"/>
      <c r="P42" s="424" t="str">
        <f>IF(AND('Mapa riesgos'!$M$37="Muy Baja",'Mapa riesgos'!$Q$37="Menor"),CONCATENATE("R",'Mapa riesgos'!$A$37),"")</f>
        <v/>
      </c>
      <c r="Q42" s="422"/>
      <c r="R42" s="422" t="str">
        <f>IF(AND('Mapa riesgos'!$M$43="Muy Baja",'Mapa riesgos'!$Q$43="Menor"),CONCATENATE("R",'Mapa riesgos'!$A$43),"")</f>
        <v/>
      </c>
      <c r="S42" s="422"/>
      <c r="T42" s="422" t="str">
        <f>IF(AND('Mapa riesgos'!$M$49="Muy Baja",'Mapa riesgos'!$Q$49="Menor"),CONCATENATE("R",'Mapa riesgos'!$A$49),"")</f>
        <v/>
      </c>
      <c r="U42" s="423"/>
      <c r="V42" s="413" t="str">
        <f>IF(AND('Mapa riesgos'!$M$37="Muy Baja",'Mapa riesgos'!$Q$37="Moderado"),CONCATENATE("R",'Mapa riesgos'!$A$37),"")</f>
        <v/>
      </c>
      <c r="W42" s="414"/>
      <c r="X42" s="414" t="str">
        <f>IF(AND('Mapa riesgos'!$M$43="Muy Baja",'Mapa riesgos'!$Q$43="Moderado"),CONCATENATE("R",'Mapa riesgos'!$A$43),"")</f>
        <v/>
      </c>
      <c r="Y42" s="414"/>
      <c r="Z42" s="414" t="str">
        <f>IF(AND('Mapa riesgos'!$M$49="Muy Baja",'Mapa riesgos'!$Q$49="Moderado"),CONCATENATE("R",'Mapa riesgos'!$A$49),"")</f>
        <v/>
      </c>
      <c r="AA42" s="415"/>
      <c r="AB42" s="397" t="str">
        <f>IF(AND('Mapa riesgos'!$M$37="Muy Baja",'Mapa riesgos'!$Q$37="Mayor"),CONCATENATE("R",'Mapa riesgos'!$A$37),"")</f>
        <v/>
      </c>
      <c r="AC42" s="393"/>
      <c r="AD42" s="393" t="str">
        <f>IF(AND('Mapa riesgos'!$M$43="Muy Baja",'Mapa riesgos'!$Q$43="Mayor"),CONCATENATE("R",'Mapa riesgos'!$A$43),"")</f>
        <v/>
      </c>
      <c r="AE42" s="393"/>
      <c r="AF42" s="393" t="str">
        <f>IF(AND('Mapa riesgos'!$M$49="Muy Baja",'Mapa riesgos'!$Q$49="Mayor"),CONCATENATE("R",'Mapa riesgos'!$A$49),"")</f>
        <v/>
      </c>
      <c r="AG42" s="394"/>
      <c r="AH42" s="404" t="str">
        <f>IF(AND('Mapa riesgos'!$M$37="Muy Baja",'Mapa riesgos'!$Q$37="Catastrófico"),CONCATENATE("R",'Mapa riesgos'!$A$37),"")</f>
        <v/>
      </c>
      <c r="AI42" s="405"/>
      <c r="AJ42" s="405" t="str">
        <f>IF(AND('Mapa riesgos'!$M$43="Muy Baja",'Mapa riesgos'!$Q$43="Catastrófico"),CONCATENATE("R",'Mapa riesgos'!$A$43),"")</f>
        <v/>
      </c>
      <c r="AK42" s="405"/>
      <c r="AL42" s="405" t="str">
        <f>IF(AND('Mapa riesgos'!$M$49="Muy Baja",'Mapa riesgos'!$Q$49="Catastrófico"),CONCATENATE("R",'Mapa riesgos'!$A$49),"")</f>
        <v/>
      </c>
      <c r="AM42" s="40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346"/>
      <c r="C43" s="346"/>
      <c r="D43" s="347"/>
      <c r="E43" s="387"/>
      <c r="F43" s="388"/>
      <c r="G43" s="388"/>
      <c r="H43" s="388"/>
      <c r="I43" s="389"/>
      <c r="J43" s="424"/>
      <c r="K43" s="422"/>
      <c r="L43" s="422"/>
      <c r="M43" s="422"/>
      <c r="N43" s="422"/>
      <c r="O43" s="423"/>
      <c r="P43" s="424"/>
      <c r="Q43" s="422"/>
      <c r="R43" s="422"/>
      <c r="S43" s="422"/>
      <c r="T43" s="422"/>
      <c r="U43" s="423"/>
      <c r="V43" s="413"/>
      <c r="W43" s="414"/>
      <c r="X43" s="414"/>
      <c r="Y43" s="414"/>
      <c r="Z43" s="414"/>
      <c r="AA43" s="415"/>
      <c r="AB43" s="397"/>
      <c r="AC43" s="393"/>
      <c r="AD43" s="393"/>
      <c r="AE43" s="393"/>
      <c r="AF43" s="393"/>
      <c r="AG43" s="394"/>
      <c r="AH43" s="404"/>
      <c r="AI43" s="405"/>
      <c r="AJ43" s="405"/>
      <c r="AK43" s="405"/>
      <c r="AL43" s="405"/>
      <c r="AM43" s="40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346"/>
      <c r="C44" s="346"/>
      <c r="D44" s="347"/>
      <c r="E44" s="387"/>
      <c r="F44" s="388"/>
      <c r="G44" s="388"/>
      <c r="H44" s="388"/>
      <c r="I44" s="389"/>
      <c r="J44" s="424" t="str">
        <f>IF(AND('Mapa riesgos'!$M$55="Muy Baja",'Mapa riesgos'!$Q$55="Leve"),CONCATENATE("R",'Mapa riesgos'!$A$55),"")</f>
        <v/>
      </c>
      <c r="K44" s="422"/>
      <c r="L44" s="422" t="str">
        <f>IF(AND('Mapa riesgos'!$M$61="Muy Baja",'Mapa riesgos'!$Q$61="Leve"),CONCATENATE("R",'Mapa riesgos'!$A$61),"")</f>
        <v/>
      </c>
      <c r="M44" s="422"/>
      <c r="N44" s="422" t="str">
        <f>IF(AND('Mapa riesgos'!$M$67="Muy Baja",'Mapa riesgos'!$Q$67="Leve"),CONCATENATE("R",'Mapa riesgos'!$A$67),"")</f>
        <v/>
      </c>
      <c r="O44" s="423"/>
      <c r="P44" s="424" t="str">
        <f>IF(AND('Mapa riesgos'!$M$55="Muy Baja",'Mapa riesgos'!$Q$55="Menor"),CONCATENATE("R",'Mapa riesgos'!$A$55),"")</f>
        <v/>
      </c>
      <c r="Q44" s="422"/>
      <c r="R44" s="422" t="str">
        <f>IF(AND('Mapa riesgos'!$M$61="Muy Baja",'Mapa riesgos'!$Q$61="Menor"),CONCATENATE("R",'Mapa riesgos'!$A$61),"")</f>
        <v/>
      </c>
      <c r="S44" s="422"/>
      <c r="T44" s="422" t="str">
        <f>IF(AND('Mapa riesgos'!$M$67="Muy Baja",'Mapa riesgos'!$Q$67="Menor"),CONCATENATE("R",'Mapa riesgos'!$A$67),"")</f>
        <v/>
      </c>
      <c r="U44" s="423"/>
      <c r="V44" s="413" t="str">
        <f>IF(AND('Mapa riesgos'!$M$55="Muy Baja",'Mapa riesgos'!$Q$55="Moderado"),CONCATENATE("R",'Mapa riesgos'!$A$55),"")</f>
        <v/>
      </c>
      <c r="W44" s="414"/>
      <c r="X44" s="414" t="str">
        <f>IF(AND('Mapa riesgos'!$M$61="Muy Baja",'Mapa riesgos'!$Q$61="Moderado"),CONCATENATE("R",'Mapa riesgos'!$A$61),"")</f>
        <v/>
      </c>
      <c r="Y44" s="414"/>
      <c r="Z44" s="414" t="str">
        <f>IF(AND('Mapa riesgos'!$M$67="Muy Baja",'Mapa riesgos'!$Q$67="Moderado"),CONCATENATE("R",'Mapa riesgos'!$A$67),"")</f>
        <v/>
      </c>
      <c r="AA44" s="415"/>
      <c r="AB44" s="397" t="str">
        <f>IF(AND('Mapa riesgos'!$M$55="Muy Baja",'Mapa riesgos'!$Q$55="Mayor"),CONCATENATE("R",'Mapa riesgos'!$A$55),"")</f>
        <v/>
      </c>
      <c r="AC44" s="393"/>
      <c r="AD44" s="393" t="str">
        <f>IF(AND('Mapa riesgos'!$M$61="Muy Baja",'Mapa riesgos'!$Q$61="Mayor"),CONCATENATE("R",'Mapa riesgos'!$A$61),"")</f>
        <v/>
      </c>
      <c r="AE44" s="393"/>
      <c r="AF44" s="393" t="str">
        <f>IF(AND('Mapa riesgos'!$M$67="Muy Baja",'Mapa riesgos'!$Q$67="Mayor"),CONCATENATE("R",'Mapa riesgos'!$A$67),"")</f>
        <v/>
      </c>
      <c r="AG44" s="394"/>
      <c r="AH44" s="404" t="str">
        <f>IF(AND('Mapa riesgos'!$M$55="Muy Baja",'Mapa riesgos'!$Q$55="Catastrófico"),CONCATENATE("R",'Mapa riesgos'!$A$55),"")</f>
        <v/>
      </c>
      <c r="AI44" s="405"/>
      <c r="AJ44" s="405" t="str">
        <f>IF(AND('Mapa riesgos'!$M$61="Muy Baja",'Mapa riesgos'!$Q$61="Catastrófico"),CONCATENATE("R",'Mapa riesgos'!$A$61),"")</f>
        <v/>
      </c>
      <c r="AK44" s="405"/>
      <c r="AL44" s="405" t="str">
        <f>IF(AND('Mapa riesgos'!$M$67="Muy Baja",'Mapa riesgos'!$Q$67="Catastrófico"),CONCATENATE("R",'Mapa riesgos'!$A$67),"")</f>
        <v/>
      </c>
      <c r="AM44" s="40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346"/>
      <c r="C45" s="346"/>
      <c r="D45" s="347"/>
      <c r="E45" s="390"/>
      <c r="F45" s="391"/>
      <c r="G45" s="391"/>
      <c r="H45" s="391"/>
      <c r="I45" s="392"/>
      <c r="J45" s="425"/>
      <c r="K45" s="426"/>
      <c r="L45" s="426"/>
      <c r="M45" s="426"/>
      <c r="N45" s="426"/>
      <c r="O45" s="427"/>
      <c r="P45" s="425"/>
      <c r="Q45" s="426"/>
      <c r="R45" s="426"/>
      <c r="S45" s="426"/>
      <c r="T45" s="426"/>
      <c r="U45" s="427"/>
      <c r="V45" s="416"/>
      <c r="W45" s="417"/>
      <c r="X45" s="417"/>
      <c r="Y45" s="417"/>
      <c r="Z45" s="417"/>
      <c r="AA45" s="418"/>
      <c r="AB45" s="401"/>
      <c r="AC45" s="402"/>
      <c r="AD45" s="402"/>
      <c r="AE45" s="402"/>
      <c r="AF45" s="402"/>
      <c r="AG45" s="403"/>
      <c r="AH45" s="407"/>
      <c r="AI45" s="408"/>
      <c r="AJ45" s="408"/>
      <c r="AK45" s="408"/>
      <c r="AL45" s="408"/>
      <c r="AM45" s="409"/>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384" t="s">
        <v>170</v>
      </c>
      <c r="K46" s="385"/>
      <c r="L46" s="385"/>
      <c r="M46" s="385"/>
      <c r="N46" s="385"/>
      <c r="O46" s="386"/>
      <c r="P46" s="384" t="s">
        <v>171</v>
      </c>
      <c r="Q46" s="385"/>
      <c r="R46" s="385"/>
      <c r="S46" s="385"/>
      <c r="T46" s="385"/>
      <c r="U46" s="386"/>
      <c r="V46" s="384" t="s">
        <v>172</v>
      </c>
      <c r="W46" s="385"/>
      <c r="X46" s="385"/>
      <c r="Y46" s="385"/>
      <c r="Z46" s="385"/>
      <c r="AA46" s="386"/>
      <c r="AB46" s="384" t="s">
        <v>173</v>
      </c>
      <c r="AC46" s="400"/>
      <c r="AD46" s="385"/>
      <c r="AE46" s="385"/>
      <c r="AF46" s="385"/>
      <c r="AG46" s="386"/>
      <c r="AH46" s="384" t="s">
        <v>174</v>
      </c>
      <c r="AI46" s="385"/>
      <c r="AJ46" s="385"/>
      <c r="AK46" s="385"/>
      <c r="AL46" s="385"/>
      <c r="AM46" s="38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387"/>
      <c r="K47" s="388"/>
      <c r="L47" s="388"/>
      <c r="M47" s="388"/>
      <c r="N47" s="388"/>
      <c r="O47" s="389"/>
      <c r="P47" s="387"/>
      <c r="Q47" s="388"/>
      <c r="R47" s="388"/>
      <c r="S47" s="388"/>
      <c r="T47" s="388"/>
      <c r="U47" s="389"/>
      <c r="V47" s="387"/>
      <c r="W47" s="388"/>
      <c r="X47" s="388"/>
      <c r="Y47" s="388"/>
      <c r="Z47" s="388"/>
      <c r="AA47" s="389"/>
      <c r="AB47" s="387"/>
      <c r="AC47" s="388"/>
      <c r="AD47" s="388"/>
      <c r="AE47" s="388"/>
      <c r="AF47" s="388"/>
      <c r="AG47" s="389"/>
      <c r="AH47" s="387"/>
      <c r="AI47" s="388"/>
      <c r="AJ47" s="388"/>
      <c r="AK47" s="388"/>
      <c r="AL47" s="388"/>
      <c r="AM47" s="389"/>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387"/>
      <c r="K48" s="388"/>
      <c r="L48" s="388"/>
      <c r="M48" s="388"/>
      <c r="N48" s="388"/>
      <c r="O48" s="389"/>
      <c r="P48" s="387"/>
      <c r="Q48" s="388"/>
      <c r="R48" s="388"/>
      <c r="S48" s="388"/>
      <c r="T48" s="388"/>
      <c r="U48" s="389"/>
      <c r="V48" s="387"/>
      <c r="W48" s="388"/>
      <c r="X48" s="388"/>
      <c r="Y48" s="388"/>
      <c r="Z48" s="388"/>
      <c r="AA48" s="389"/>
      <c r="AB48" s="387"/>
      <c r="AC48" s="388"/>
      <c r="AD48" s="388"/>
      <c r="AE48" s="388"/>
      <c r="AF48" s="388"/>
      <c r="AG48" s="389"/>
      <c r="AH48" s="387"/>
      <c r="AI48" s="388"/>
      <c r="AJ48" s="388"/>
      <c r="AK48" s="388"/>
      <c r="AL48" s="388"/>
      <c r="AM48" s="389"/>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387"/>
      <c r="K49" s="388"/>
      <c r="L49" s="388"/>
      <c r="M49" s="388"/>
      <c r="N49" s="388"/>
      <c r="O49" s="389"/>
      <c r="P49" s="387"/>
      <c r="Q49" s="388"/>
      <c r="R49" s="388"/>
      <c r="S49" s="388"/>
      <c r="T49" s="388"/>
      <c r="U49" s="389"/>
      <c r="V49" s="387"/>
      <c r="W49" s="388"/>
      <c r="X49" s="388"/>
      <c r="Y49" s="388"/>
      <c r="Z49" s="388"/>
      <c r="AA49" s="389"/>
      <c r="AB49" s="387"/>
      <c r="AC49" s="388"/>
      <c r="AD49" s="388"/>
      <c r="AE49" s="388"/>
      <c r="AF49" s="388"/>
      <c r="AG49" s="389"/>
      <c r="AH49" s="387"/>
      <c r="AI49" s="388"/>
      <c r="AJ49" s="388"/>
      <c r="AK49" s="388"/>
      <c r="AL49" s="388"/>
      <c r="AM49" s="389"/>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387"/>
      <c r="K50" s="388"/>
      <c r="L50" s="388"/>
      <c r="M50" s="388"/>
      <c r="N50" s="388"/>
      <c r="O50" s="389"/>
      <c r="P50" s="387"/>
      <c r="Q50" s="388"/>
      <c r="R50" s="388"/>
      <c r="S50" s="388"/>
      <c r="T50" s="388"/>
      <c r="U50" s="389"/>
      <c r="V50" s="387"/>
      <c r="W50" s="388"/>
      <c r="X50" s="388"/>
      <c r="Y50" s="388"/>
      <c r="Z50" s="388"/>
      <c r="AA50" s="389"/>
      <c r="AB50" s="387"/>
      <c r="AC50" s="388"/>
      <c r="AD50" s="388"/>
      <c r="AE50" s="388"/>
      <c r="AF50" s="388"/>
      <c r="AG50" s="389"/>
      <c r="AH50" s="387"/>
      <c r="AI50" s="388"/>
      <c r="AJ50" s="388"/>
      <c r="AK50" s="388"/>
      <c r="AL50" s="388"/>
      <c r="AM50" s="389"/>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390"/>
      <c r="K51" s="391"/>
      <c r="L51" s="391"/>
      <c r="M51" s="391"/>
      <c r="N51" s="391"/>
      <c r="O51" s="392"/>
      <c r="P51" s="390"/>
      <c r="Q51" s="391"/>
      <c r="R51" s="391"/>
      <c r="S51" s="391"/>
      <c r="T51" s="391"/>
      <c r="U51" s="392"/>
      <c r="V51" s="390"/>
      <c r="W51" s="391"/>
      <c r="X51" s="391"/>
      <c r="Y51" s="391"/>
      <c r="Z51" s="391"/>
      <c r="AA51" s="392"/>
      <c r="AB51" s="390"/>
      <c r="AC51" s="391"/>
      <c r="AD51" s="391"/>
      <c r="AE51" s="391"/>
      <c r="AF51" s="391"/>
      <c r="AG51" s="392"/>
      <c r="AH51" s="390"/>
      <c r="AI51" s="391"/>
      <c r="AJ51" s="391"/>
      <c r="AK51" s="391"/>
      <c r="AL51" s="391"/>
      <c r="AM51" s="392"/>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40" zoomScaleNormal="40" workbookViewId="0">
      <selection activeCell="W45" sqref="W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457" t="s">
        <v>175</v>
      </c>
      <c r="C2" s="458"/>
      <c r="D2" s="458"/>
      <c r="E2" s="458"/>
      <c r="F2" s="458"/>
      <c r="G2" s="458"/>
      <c r="H2" s="458"/>
      <c r="I2" s="458"/>
      <c r="J2" s="399" t="s">
        <v>15</v>
      </c>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458"/>
      <c r="C3" s="458"/>
      <c r="D3" s="458"/>
      <c r="E3" s="458"/>
      <c r="F3" s="458"/>
      <c r="G3" s="458"/>
      <c r="H3" s="458"/>
      <c r="I3" s="458"/>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458"/>
      <c r="C4" s="458"/>
      <c r="D4" s="458"/>
      <c r="E4" s="458"/>
      <c r="F4" s="458"/>
      <c r="G4" s="458"/>
      <c r="H4" s="458"/>
      <c r="I4" s="458"/>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346" t="s">
        <v>160</v>
      </c>
      <c r="C6" s="346"/>
      <c r="D6" s="347"/>
      <c r="E6" s="441" t="s">
        <v>161</v>
      </c>
      <c r="F6" s="442"/>
      <c r="G6" s="442"/>
      <c r="H6" s="442"/>
      <c r="I6" s="459"/>
      <c r="J6" s="29" t="str">
        <f>IF(AND('Mapa riesgos'!$AD$13="Muy Alta",'Mapa riesgos'!$AF$13="Leve"),CONCATENATE("R1C",'Mapa riesgos'!$T$13),"")</f>
        <v/>
      </c>
      <c r="K6" s="30" t="str">
        <f>IF(AND('Mapa riesgos'!$AD$14="Muy Alta",'Mapa riesgos'!$AF$14="Leve"),CONCATENATE("R1C",'Mapa riesgos'!$T$14),"")</f>
        <v/>
      </c>
      <c r="L6" s="30" t="e">
        <f>IF(AND('Mapa riesgos'!#REF!="Muy Alta",'Mapa riesgos'!#REF!="Leve"),CONCATENATE("R1C",'Mapa riesgos'!#REF!),"")</f>
        <v>#REF!</v>
      </c>
      <c r="M6" s="30" t="e">
        <f>IF(AND('Mapa riesgos'!#REF!="Muy Alta",'Mapa riesgos'!#REF!="Leve"),CONCATENATE("R1C",'Mapa riesgos'!#REF!),"")</f>
        <v>#REF!</v>
      </c>
      <c r="N6" s="30" t="e">
        <f>IF(AND('Mapa riesgos'!#REF!="Muy Alta",'Mapa riesgos'!#REF!="Leve"),CONCATENATE("R1C",'Mapa riesgos'!#REF!),"")</f>
        <v>#REF!</v>
      </c>
      <c r="O6" s="31" t="e">
        <f>IF(AND('Mapa riesgos'!#REF!="Muy Alta",'Mapa riesgos'!#REF!="Leve"),CONCATENATE("R1C",'Mapa riesgos'!#REF!),"")</f>
        <v>#REF!</v>
      </c>
      <c r="P6" s="29" t="str">
        <f>IF(AND('Mapa riesgos'!$AD$13="Muy Alta",'Mapa riesgos'!$AF$13="Menor"),CONCATENATE("R1C",'Mapa riesgos'!$T$13),"")</f>
        <v/>
      </c>
      <c r="Q6" s="30" t="str">
        <f>IF(AND('Mapa riesgos'!$AD$14="Muy Alta",'Mapa riesgos'!$AF$14="Menor"),CONCATENATE("R1C",'Mapa riesgos'!$T$14),"")</f>
        <v/>
      </c>
      <c r="R6" s="30" t="e">
        <f>IF(AND('Mapa riesgos'!#REF!="Muy Alta",'Mapa riesgos'!#REF!="Menor"),CONCATENATE("R1C",'Mapa riesgos'!#REF!),"")</f>
        <v>#REF!</v>
      </c>
      <c r="S6" s="30" t="e">
        <f>IF(AND('Mapa riesgos'!#REF!="Muy Alta",'Mapa riesgos'!#REF!="Menor"),CONCATENATE("R1C",'Mapa riesgos'!#REF!),"")</f>
        <v>#REF!</v>
      </c>
      <c r="T6" s="30" t="e">
        <f>IF(AND('Mapa riesgos'!#REF!="Muy Alta",'Mapa riesgos'!#REF!="Menor"),CONCATENATE("R1C",'Mapa riesgos'!#REF!),"")</f>
        <v>#REF!</v>
      </c>
      <c r="U6" s="31" t="e">
        <f>IF(AND('Mapa riesgos'!#REF!="Muy Alta",'Mapa riesgos'!#REF!="Menor"),CONCATENATE("R1C",'Mapa riesgos'!#REF!),"")</f>
        <v>#REF!</v>
      </c>
      <c r="V6" s="29" t="str">
        <f>IF(AND('Mapa riesgos'!$AD$13="Muy Alta",'Mapa riesgos'!$AF$13="Moderado"),CONCATENATE("R1C",'Mapa riesgos'!$T$13),"")</f>
        <v/>
      </c>
      <c r="W6" s="30" t="str">
        <f>IF(AND('Mapa riesgos'!$AD$14="Muy Alta",'Mapa riesgos'!$AF$14="Moderado"),CONCATENATE("R1C",'Mapa riesgos'!$T$14),"")</f>
        <v/>
      </c>
      <c r="X6" s="30" t="e">
        <f>IF(AND('Mapa riesgos'!#REF!="Muy Alta",'Mapa riesgos'!#REF!="Moderado"),CONCATENATE("R1C",'Mapa riesgos'!#REF!),"")</f>
        <v>#REF!</v>
      </c>
      <c r="Y6" s="30" t="e">
        <f>IF(AND('Mapa riesgos'!#REF!="Muy Alta",'Mapa riesgos'!#REF!="Moderado"),CONCATENATE("R1C",'Mapa riesgos'!#REF!),"")</f>
        <v>#REF!</v>
      </c>
      <c r="Z6" s="30" t="e">
        <f>IF(AND('Mapa riesgos'!#REF!="Muy Alta",'Mapa riesgos'!#REF!="Moderado"),CONCATENATE("R1C",'Mapa riesgos'!#REF!),"")</f>
        <v>#REF!</v>
      </c>
      <c r="AA6" s="31" t="e">
        <f>IF(AND('Mapa riesgos'!#REF!="Muy Alta",'Mapa riesgos'!#REF!="Moderado"),CONCATENATE("R1C",'Mapa riesgos'!#REF!),"")</f>
        <v>#REF!</v>
      </c>
      <c r="AB6" s="29" t="str">
        <f>IF(AND('Mapa riesgos'!$AD$13="Muy Alta",'Mapa riesgos'!$AF$13="Mayor"),CONCATENATE("R1C",'Mapa riesgos'!$T$13),"")</f>
        <v/>
      </c>
      <c r="AC6" s="30" t="str">
        <f>IF(AND('Mapa riesgos'!$AD$14="Muy Alta",'Mapa riesgos'!$AF$14="Mayor"),CONCATENATE("R1C",'Mapa riesgos'!$T$14),"")</f>
        <v/>
      </c>
      <c r="AD6" s="30" t="e">
        <f>IF(AND('Mapa riesgos'!#REF!="Muy Alta",'Mapa riesgos'!#REF!="Mayor"),CONCATENATE("R1C",'Mapa riesgos'!#REF!),"")</f>
        <v>#REF!</v>
      </c>
      <c r="AE6" s="30" t="e">
        <f>IF(AND('Mapa riesgos'!#REF!="Muy Alta",'Mapa riesgos'!#REF!="Mayor"),CONCATENATE("R1C",'Mapa riesgos'!#REF!),"")</f>
        <v>#REF!</v>
      </c>
      <c r="AF6" s="30" t="e">
        <f>IF(AND('Mapa riesgos'!#REF!="Muy Alta",'Mapa riesgos'!#REF!="Mayor"),CONCATENATE("R1C",'Mapa riesgos'!#REF!),"")</f>
        <v>#REF!</v>
      </c>
      <c r="AG6" s="31" t="e">
        <f>IF(AND('Mapa riesgos'!#REF!="Muy Alta",'Mapa riesgos'!#REF!="Mayor"),CONCATENATE("R1C",'Mapa riesgos'!#REF!),"")</f>
        <v>#REF!</v>
      </c>
      <c r="AH6" s="32" t="str">
        <f>IF(AND('Mapa riesgos'!$AD$13="Muy Alta",'Mapa riesgos'!$AF$13="Catastrófico"),CONCATENATE("R1C",'Mapa riesgos'!$T$13),"")</f>
        <v/>
      </c>
      <c r="AI6" s="33" t="str">
        <f>IF(AND('Mapa riesgos'!$AD$14="Muy Alta",'Mapa riesgos'!$AF$14="Catastrófico"),CONCATENATE("R1C",'Mapa riesgos'!$T$14),"")</f>
        <v/>
      </c>
      <c r="AJ6" s="33" t="e">
        <f>IF(AND('Mapa riesgos'!#REF!="Muy Alta",'Mapa riesgos'!#REF!="Catastrófico"),CONCATENATE("R1C",'Mapa riesgos'!#REF!),"")</f>
        <v>#REF!</v>
      </c>
      <c r="AK6" s="33" t="e">
        <f>IF(AND('Mapa riesgos'!#REF!="Muy Alta",'Mapa riesgos'!#REF!="Catastrófico"),CONCATENATE("R1C",'Mapa riesgos'!#REF!),"")</f>
        <v>#REF!</v>
      </c>
      <c r="AL6" s="33" t="e">
        <f>IF(AND('Mapa riesgos'!#REF!="Muy Alta",'Mapa riesgos'!#REF!="Catastrófico"),CONCATENATE("R1C",'Mapa riesgos'!#REF!),"")</f>
        <v>#REF!</v>
      </c>
      <c r="AM6" s="34" t="e">
        <f>IF(AND('Mapa riesgos'!#REF!="Muy Alta",'Mapa riesgos'!#REF!="Catastrófico"),CONCATENATE("R1C",'Mapa riesgos'!#REF!),"")</f>
        <v>#REF!</v>
      </c>
      <c r="AN6" s="66"/>
      <c r="AO6" s="448" t="s">
        <v>162</v>
      </c>
      <c r="AP6" s="449"/>
      <c r="AQ6" s="449"/>
      <c r="AR6" s="449"/>
      <c r="AS6" s="449"/>
      <c r="AT6" s="45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346"/>
      <c r="C7" s="346"/>
      <c r="D7" s="347"/>
      <c r="E7" s="445"/>
      <c r="F7" s="444"/>
      <c r="G7" s="444"/>
      <c r="H7" s="444"/>
      <c r="I7" s="460"/>
      <c r="J7" s="35" t="str">
        <f>IF(AND('Mapa riesgos'!$AD$15="Muy Alta",'Mapa riesgos'!$AF$15="Leve"),CONCATENATE("R2C",'Mapa riesgos'!$T$15),"")</f>
        <v/>
      </c>
      <c r="K7" s="36" t="str">
        <f>IF(AND('Mapa riesgos'!$AD$16="Muy Alta",'Mapa riesgos'!$AF$16="Leve"),CONCATENATE("R2C",'Mapa riesgos'!$T$16),"")</f>
        <v/>
      </c>
      <c r="L7" s="36" t="e">
        <f>IF(AND('Mapa riesgos'!#REF!="Muy Alta",'Mapa riesgos'!#REF!="Leve"),CONCATENATE("R2C",'Mapa riesgos'!#REF!),"")</f>
        <v>#REF!</v>
      </c>
      <c r="M7" s="36" t="e">
        <f>IF(AND('Mapa riesgos'!#REF!="Muy Alta",'Mapa riesgos'!#REF!="Leve"),CONCATENATE("R2C",'Mapa riesgos'!#REF!),"")</f>
        <v>#REF!</v>
      </c>
      <c r="N7" s="36" t="e">
        <f>IF(AND('Mapa riesgos'!#REF!="Muy Alta",'Mapa riesgos'!#REF!="Leve"),CONCATENATE("R2C",'Mapa riesgos'!#REF!),"")</f>
        <v>#REF!</v>
      </c>
      <c r="O7" s="37" t="e">
        <f>IF(AND('Mapa riesgos'!#REF!="Muy Alta",'Mapa riesgos'!#REF!="Leve"),CONCATENATE("R2C",'Mapa riesgos'!#REF!),"")</f>
        <v>#REF!</v>
      </c>
      <c r="P7" s="35" t="str">
        <f>IF(AND('Mapa riesgos'!$AD$15="Muy Alta",'Mapa riesgos'!$AF$15="Menor"),CONCATENATE("R2C",'Mapa riesgos'!$T$15),"")</f>
        <v/>
      </c>
      <c r="Q7" s="36" t="str">
        <f>IF(AND('Mapa riesgos'!$AD$16="Muy Alta",'Mapa riesgos'!$AF$16="Menor"),CONCATENATE("R2C",'Mapa riesgos'!$T$16),"")</f>
        <v/>
      </c>
      <c r="R7" s="36" t="e">
        <f>IF(AND('Mapa riesgos'!#REF!="Muy Alta",'Mapa riesgos'!#REF!="Menor"),CONCATENATE("R2C",'Mapa riesgos'!#REF!),"")</f>
        <v>#REF!</v>
      </c>
      <c r="S7" s="36" t="e">
        <f>IF(AND('Mapa riesgos'!#REF!="Muy Alta",'Mapa riesgos'!#REF!="Menor"),CONCATENATE("R2C",'Mapa riesgos'!#REF!),"")</f>
        <v>#REF!</v>
      </c>
      <c r="T7" s="36" t="e">
        <f>IF(AND('Mapa riesgos'!#REF!="Muy Alta",'Mapa riesgos'!#REF!="Menor"),CONCATENATE("R2C",'Mapa riesgos'!#REF!),"")</f>
        <v>#REF!</v>
      </c>
      <c r="U7" s="37" t="e">
        <f>IF(AND('Mapa riesgos'!#REF!="Muy Alta",'Mapa riesgos'!#REF!="Menor"),CONCATENATE("R2C",'Mapa riesgos'!#REF!),"")</f>
        <v>#REF!</v>
      </c>
      <c r="V7" s="35" t="str">
        <f>IF(AND('Mapa riesgos'!$AD$15="Muy Alta",'Mapa riesgos'!$AF$15="Moderado"),CONCATENATE("R2C",'Mapa riesgos'!$T$15),"")</f>
        <v/>
      </c>
      <c r="W7" s="36" t="str">
        <f>IF(AND('Mapa riesgos'!$AD$16="Muy Alta",'Mapa riesgos'!$AF$16="Moderado"),CONCATENATE("R2C",'Mapa riesgos'!$T$16),"")</f>
        <v/>
      </c>
      <c r="X7" s="36" t="e">
        <f>IF(AND('Mapa riesgos'!#REF!="Muy Alta",'Mapa riesgos'!#REF!="Moderado"),CONCATENATE("R2C",'Mapa riesgos'!#REF!),"")</f>
        <v>#REF!</v>
      </c>
      <c r="Y7" s="36" t="e">
        <f>IF(AND('Mapa riesgos'!#REF!="Muy Alta",'Mapa riesgos'!#REF!="Moderado"),CONCATENATE("R2C",'Mapa riesgos'!#REF!),"")</f>
        <v>#REF!</v>
      </c>
      <c r="Z7" s="36" t="e">
        <f>IF(AND('Mapa riesgos'!#REF!="Muy Alta",'Mapa riesgos'!#REF!="Moderado"),CONCATENATE("R2C",'Mapa riesgos'!#REF!),"")</f>
        <v>#REF!</v>
      </c>
      <c r="AA7" s="37" t="e">
        <f>IF(AND('Mapa riesgos'!#REF!="Muy Alta",'Mapa riesgos'!#REF!="Moderado"),CONCATENATE("R2C",'Mapa riesgos'!#REF!),"")</f>
        <v>#REF!</v>
      </c>
      <c r="AB7" s="35" t="str">
        <f>IF(AND('Mapa riesgos'!$AD$15="Muy Alta",'Mapa riesgos'!$AF$15="Mayor"),CONCATENATE("R2C",'Mapa riesgos'!$T$15),"")</f>
        <v/>
      </c>
      <c r="AC7" s="36" t="str">
        <f>IF(AND('Mapa riesgos'!$AD$16="Muy Alta",'Mapa riesgos'!$AF$16="Mayor"),CONCATENATE("R2C",'Mapa riesgos'!$T$16),"")</f>
        <v/>
      </c>
      <c r="AD7" s="36" t="e">
        <f>IF(AND('Mapa riesgos'!#REF!="Muy Alta",'Mapa riesgos'!#REF!="Mayor"),CONCATENATE("R2C",'Mapa riesgos'!#REF!),"")</f>
        <v>#REF!</v>
      </c>
      <c r="AE7" s="36" t="e">
        <f>IF(AND('Mapa riesgos'!#REF!="Muy Alta",'Mapa riesgos'!#REF!="Mayor"),CONCATENATE("R2C",'Mapa riesgos'!#REF!),"")</f>
        <v>#REF!</v>
      </c>
      <c r="AF7" s="36" t="e">
        <f>IF(AND('Mapa riesgos'!#REF!="Muy Alta",'Mapa riesgos'!#REF!="Mayor"),CONCATENATE("R2C",'Mapa riesgos'!#REF!),"")</f>
        <v>#REF!</v>
      </c>
      <c r="AG7" s="37" t="e">
        <f>IF(AND('Mapa riesgos'!#REF!="Muy Alta",'Mapa riesgos'!#REF!="Mayor"),CONCATENATE("R2C",'Mapa riesgos'!#REF!),"")</f>
        <v>#REF!</v>
      </c>
      <c r="AH7" s="38" t="str">
        <f>IF(AND('Mapa riesgos'!$AD$15="Muy Alta",'Mapa riesgos'!$AF$15="Catastrófico"),CONCATENATE("R2C",'Mapa riesgos'!$T$15),"")</f>
        <v/>
      </c>
      <c r="AI7" s="39" t="str">
        <f>IF(AND('Mapa riesgos'!$AD$16="Muy Alta",'Mapa riesgos'!$AF$16="Catastrófico"),CONCATENATE("R2C",'Mapa riesgos'!$T$16),"")</f>
        <v/>
      </c>
      <c r="AJ7" s="39" t="e">
        <f>IF(AND('Mapa riesgos'!#REF!="Muy Alta",'Mapa riesgos'!#REF!="Catastrófico"),CONCATENATE("R2C",'Mapa riesgos'!#REF!),"")</f>
        <v>#REF!</v>
      </c>
      <c r="AK7" s="39" t="e">
        <f>IF(AND('Mapa riesgos'!#REF!="Muy Alta",'Mapa riesgos'!#REF!="Catastrófico"),CONCATENATE("R2C",'Mapa riesgos'!#REF!),"")</f>
        <v>#REF!</v>
      </c>
      <c r="AL7" s="39" t="e">
        <f>IF(AND('Mapa riesgos'!#REF!="Muy Alta",'Mapa riesgos'!#REF!="Catastrófico"),CONCATENATE("R2C",'Mapa riesgos'!#REF!),"")</f>
        <v>#REF!</v>
      </c>
      <c r="AM7" s="40" t="e">
        <f>IF(AND('Mapa riesgos'!#REF!="Muy Alta",'Mapa riesgos'!#REF!="Catastrófico"),CONCATENATE("R2C",'Mapa riesgos'!#REF!),"")</f>
        <v>#REF!</v>
      </c>
      <c r="AN7" s="66"/>
      <c r="AO7" s="451"/>
      <c r="AP7" s="452"/>
      <c r="AQ7" s="452"/>
      <c r="AR7" s="452"/>
      <c r="AS7" s="452"/>
      <c r="AT7" s="45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346"/>
      <c r="C8" s="346"/>
      <c r="D8" s="347"/>
      <c r="E8" s="445"/>
      <c r="F8" s="444"/>
      <c r="G8" s="444"/>
      <c r="H8" s="444"/>
      <c r="I8" s="460"/>
      <c r="J8" s="35" t="str">
        <f>IF(AND('Mapa riesgos'!$AD$17="Muy Alta",'Mapa riesgos'!$AF$17="Leve"),CONCATENATE("R3C",'Mapa riesgos'!$T$17),"")</f>
        <v/>
      </c>
      <c r="K8" s="36" t="str">
        <f>IF(AND('Mapa riesgos'!$AD$18="Muy Alta",'Mapa riesgos'!$AF$18="Leve"),CONCATENATE("R3C",'Mapa riesgos'!$T$18),"")</f>
        <v/>
      </c>
      <c r="L8" s="36" t="e">
        <f>IF(AND('Mapa riesgos'!#REF!="Muy Alta",'Mapa riesgos'!#REF!="Leve"),CONCATENATE("R3C",'Mapa riesgos'!#REF!),"")</f>
        <v>#REF!</v>
      </c>
      <c r="M8" s="36" t="e">
        <f>IF(AND('Mapa riesgos'!#REF!="Muy Alta",'Mapa riesgos'!#REF!="Leve"),CONCATENATE("R3C",'Mapa riesgos'!#REF!),"")</f>
        <v>#REF!</v>
      </c>
      <c r="N8" s="36" t="e">
        <f>IF(AND('Mapa riesgos'!#REF!="Muy Alta",'Mapa riesgos'!#REF!="Leve"),CONCATENATE("R3C",'Mapa riesgos'!#REF!),"")</f>
        <v>#REF!</v>
      </c>
      <c r="O8" s="37" t="e">
        <f>IF(AND('Mapa riesgos'!#REF!="Muy Alta",'Mapa riesgos'!#REF!="Leve"),CONCATENATE("R3C",'Mapa riesgos'!#REF!),"")</f>
        <v>#REF!</v>
      </c>
      <c r="P8" s="35" t="str">
        <f>IF(AND('Mapa riesgos'!$AD$17="Muy Alta",'Mapa riesgos'!$AF$17="Menor"),CONCATENATE("R3C",'Mapa riesgos'!$T$17),"")</f>
        <v/>
      </c>
      <c r="Q8" s="36" t="str">
        <f>IF(AND('Mapa riesgos'!$AD$18="Muy Alta",'Mapa riesgos'!$AF$18="Menor"),CONCATENATE("R3C",'Mapa riesgos'!$T$18),"")</f>
        <v/>
      </c>
      <c r="R8" s="36" t="e">
        <f>IF(AND('Mapa riesgos'!#REF!="Muy Alta",'Mapa riesgos'!#REF!="Menor"),CONCATENATE("R3C",'Mapa riesgos'!#REF!),"")</f>
        <v>#REF!</v>
      </c>
      <c r="S8" s="36" t="e">
        <f>IF(AND('Mapa riesgos'!#REF!="Muy Alta",'Mapa riesgos'!#REF!="Menor"),CONCATENATE("R3C",'Mapa riesgos'!#REF!),"")</f>
        <v>#REF!</v>
      </c>
      <c r="T8" s="36" t="e">
        <f>IF(AND('Mapa riesgos'!#REF!="Muy Alta",'Mapa riesgos'!#REF!="Menor"),CONCATENATE("R3C",'Mapa riesgos'!#REF!),"")</f>
        <v>#REF!</v>
      </c>
      <c r="U8" s="37" t="e">
        <f>IF(AND('Mapa riesgos'!#REF!="Muy Alta",'Mapa riesgos'!#REF!="Menor"),CONCATENATE("R3C",'Mapa riesgos'!#REF!),"")</f>
        <v>#REF!</v>
      </c>
      <c r="V8" s="35" t="str">
        <f>IF(AND('Mapa riesgos'!$AD$17="Muy Alta",'Mapa riesgos'!$AF$17="Moderado"),CONCATENATE("R3C",'Mapa riesgos'!$T$17),"")</f>
        <v/>
      </c>
      <c r="W8" s="36" t="str">
        <f>IF(AND('Mapa riesgos'!$AD$18="Muy Alta",'Mapa riesgos'!$AF$18="Moderado"),CONCATENATE("R3C",'Mapa riesgos'!$T$18),"")</f>
        <v/>
      </c>
      <c r="X8" s="36" t="e">
        <f>IF(AND('Mapa riesgos'!#REF!="Muy Alta",'Mapa riesgos'!#REF!="Moderado"),CONCATENATE("R3C",'Mapa riesgos'!#REF!),"")</f>
        <v>#REF!</v>
      </c>
      <c r="Y8" s="36" t="e">
        <f>IF(AND('Mapa riesgos'!#REF!="Muy Alta",'Mapa riesgos'!#REF!="Moderado"),CONCATENATE("R3C",'Mapa riesgos'!#REF!),"")</f>
        <v>#REF!</v>
      </c>
      <c r="Z8" s="36" t="e">
        <f>IF(AND('Mapa riesgos'!#REF!="Muy Alta",'Mapa riesgos'!#REF!="Moderado"),CONCATENATE("R3C",'Mapa riesgos'!#REF!),"")</f>
        <v>#REF!</v>
      </c>
      <c r="AA8" s="37" t="e">
        <f>IF(AND('Mapa riesgos'!#REF!="Muy Alta",'Mapa riesgos'!#REF!="Moderado"),CONCATENATE("R3C",'Mapa riesgos'!#REF!),"")</f>
        <v>#REF!</v>
      </c>
      <c r="AB8" s="35" t="str">
        <f>IF(AND('Mapa riesgos'!$AD$17="Muy Alta",'Mapa riesgos'!$AF$17="Mayor"),CONCATENATE("R3C",'Mapa riesgos'!$T$17),"")</f>
        <v/>
      </c>
      <c r="AC8" s="36" t="str">
        <f>IF(AND('Mapa riesgos'!$AD$18="Muy Alta",'Mapa riesgos'!$AF$18="Mayor"),CONCATENATE("R3C",'Mapa riesgos'!$T$18),"")</f>
        <v/>
      </c>
      <c r="AD8" s="36" t="e">
        <f>IF(AND('Mapa riesgos'!#REF!="Muy Alta",'Mapa riesgos'!#REF!="Mayor"),CONCATENATE("R3C",'Mapa riesgos'!#REF!),"")</f>
        <v>#REF!</v>
      </c>
      <c r="AE8" s="36" t="e">
        <f>IF(AND('Mapa riesgos'!#REF!="Muy Alta",'Mapa riesgos'!#REF!="Mayor"),CONCATENATE("R3C",'Mapa riesgos'!#REF!),"")</f>
        <v>#REF!</v>
      </c>
      <c r="AF8" s="36" t="e">
        <f>IF(AND('Mapa riesgos'!#REF!="Muy Alta",'Mapa riesgos'!#REF!="Mayor"),CONCATENATE("R3C",'Mapa riesgos'!#REF!),"")</f>
        <v>#REF!</v>
      </c>
      <c r="AG8" s="37" t="e">
        <f>IF(AND('Mapa riesgos'!#REF!="Muy Alta",'Mapa riesgos'!#REF!="Mayor"),CONCATENATE("R3C",'Mapa riesgos'!#REF!),"")</f>
        <v>#REF!</v>
      </c>
      <c r="AH8" s="38" t="str">
        <f>IF(AND('Mapa riesgos'!$AD$17="Muy Alta",'Mapa riesgos'!$AF$17="Catastrófico"),CONCATENATE("R3C",'Mapa riesgos'!$T$17),"")</f>
        <v/>
      </c>
      <c r="AI8" s="39" t="str">
        <f>IF(AND('Mapa riesgos'!$AD$18="Muy Alta",'Mapa riesgos'!$AF$18="Catastrófico"),CONCATENATE("R3C",'Mapa riesgos'!$T$18),"")</f>
        <v/>
      </c>
      <c r="AJ8" s="39" t="e">
        <f>IF(AND('Mapa riesgos'!#REF!="Muy Alta",'Mapa riesgos'!#REF!="Catastrófico"),CONCATENATE("R3C",'Mapa riesgos'!#REF!),"")</f>
        <v>#REF!</v>
      </c>
      <c r="AK8" s="39" t="e">
        <f>IF(AND('Mapa riesgos'!#REF!="Muy Alta",'Mapa riesgos'!#REF!="Catastrófico"),CONCATENATE("R3C",'Mapa riesgos'!#REF!),"")</f>
        <v>#REF!</v>
      </c>
      <c r="AL8" s="39" t="e">
        <f>IF(AND('Mapa riesgos'!#REF!="Muy Alta",'Mapa riesgos'!#REF!="Catastrófico"),CONCATENATE("R3C",'Mapa riesgos'!#REF!),"")</f>
        <v>#REF!</v>
      </c>
      <c r="AM8" s="40" t="e">
        <f>IF(AND('Mapa riesgos'!#REF!="Muy Alta",'Mapa riesgos'!#REF!="Catastrófico"),CONCATENATE("R3C",'Mapa riesgos'!#REF!),"")</f>
        <v>#REF!</v>
      </c>
      <c r="AN8" s="66"/>
      <c r="AO8" s="451"/>
      <c r="AP8" s="452"/>
      <c r="AQ8" s="452"/>
      <c r="AR8" s="452"/>
      <c r="AS8" s="452"/>
      <c r="AT8" s="45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346"/>
      <c r="C9" s="346"/>
      <c r="D9" s="347"/>
      <c r="E9" s="445"/>
      <c r="F9" s="444"/>
      <c r="G9" s="444"/>
      <c r="H9" s="444"/>
      <c r="I9" s="460"/>
      <c r="J9" s="35" t="str">
        <f>IF(AND('Mapa riesgos'!$AD$19="Muy Alta",'Mapa riesgos'!$AF$19="Leve"),CONCATENATE("R4C",'Mapa riesgos'!$T$19),"")</f>
        <v/>
      </c>
      <c r="K9" s="36" t="str">
        <f>IF(AND('Mapa riesgos'!$AD$20="Muy Alta",'Mapa riesgos'!$AF$20="Leve"),CONCATENATE("R4C",'Mapa riesgos'!$T$20),"")</f>
        <v/>
      </c>
      <c r="L9" s="36" t="str">
        <f>IF(AND('Mapa riesgos'!$AD$21="Muy Alta",'Mapa riesgos'!$AF$21="Leve"),CONCATENATE("R4C",'Mapa riesgos'!$T$21),"")</f>
        <v/>
      </c>
      <c r="M9" s="36" t="str">
        <f>IF(AND('Mapa riesgos'!$AD$22="Muy Alta",'Mapa riesgos'!$AF$22="Leve"),CONCATENATE("R4C",'Mapa riesgos'!$T$22),"")</f>
        <v/>
      </c>
      <c r="N9" s="36" t="str">
        <f>IF(AND('Mapa riesgos'!$AD$23="Muy Alta",'Mapa riesgos'!$AF$23="Leve"),CONCATENATE("R4C",'Mapa riesgos'!$T$23),"")</f>
        <v/>
      </c>
      <c r="O9" s="37" t="str">
        <f>IF(AND('Mapa riesgos'!$AD$24="Muy Alta",'Mapa riesgos'!$AF$24="Leve"),CONCATENATE("R4C",'Mapa riesgos'!$T$24),"")</f>
        <v/>
      </c>
      <c r="P9" s="35" t="str">
        <f>IF(AND('Mapa riesgos'!$AD$19="Muy Alta",'Mapa riesgos'!$AF$19="Menor"),CONCATENATE("R4C",'Mapa riesgos'!$T$19),"")</f>
        <v/>
      </c>
      <c r="Q9" s="36" t="str">
        <f>IF(AND('Mapa riesgos'!$AD$20="Muy Alta",'Mapa riesgos'!$AF$20="Menor"),CONCATENATE("R4C",'Mapa riesgos'!$T$20),"")</f>
        <v/>
      </c>
      <c r="R9" s="36" t="str">
        <f>IF(AND('Mapa riesgos'!$AD$21="Muy Alta",'Mapa riesgos'!$AF$21="Menor"),CONCATENATE("R4C",'Mapa riesgos'!$T$21),"")</f>
        <v/>
      </c>
      <c r="S9" s="36" t="str">
        <f>IF(AND('Mapa riesgos'!$AD$22="Muy Alta",'Mapa riesgos'!$AF$22="Menor"),CONCATENATE("R4C",'Mapa riesgos'!$T$22),"")</f>
        <v/>
      </c>
      <c r="T9" s="36" t="str">
        <f>IF(AND('Mapa riesgos'!$AD$23="Muy Alta",'Mapa riesgos'!$AF$23="Menor"),CONCATENATE("R4C",'Mapa riesgos'!$T$23),"")</f>
        <v/>
      </c>
      <c r="U9" s="37" t="str">
        <f>IF(AND('Mapa riesgos'!$AD$24="Muy Alta",'Mapa riesgos'!$AF$24="Menor"),CONCATENATE("R4C",'Mapa riesgos'!$T$24),"")</f>
        <v/>
      </c>
      <c r="V9" s="35" t="str">
        <f>IF(AND('Mapa riesgos'!$AD$19="Muy Alta",'Mapa riesgos'!$AF$19="Moderado"),CONCATENATE("R4C",'Mapa riesgos'!$T$19),"")</f>
        <v/>
      </c>
      <c r="W9" s="36" t="str">
        <f>IF(AND('Mapa riesgos'!$AD$20="Muy Alta",'Mapa riesgos'!$AF$20="Moderado"),CONCATENATE("R4C",'Mapa riesgos'!$T$20),"")</f>
        <v/>
      </c>
      <c r="X9" s="36" t="str">
        <f>IF(AND('Mapa riesgos'!$AD$21="Muy Alta",'Mapa riesgos'!$AF$21="Moderado"),CONCATENATE("R4C",'Mapa riesgos'!$T$21),"")</f>
        <v/>
      </c>
      <c r="Y9" s="36" t="str">
        <f>IF(AND('Mapa riesgos'!$AD$22="Muy Alta",'Mapa riesgos'!$AF$22="Moderado"),CONCATENATE("R4C",'Mapa riesgos'!$T$22),"")</f>
        <v/>
      </c>
      <c r="Z9" s="36" t="str">
        <f>IF(AND('Mapa riesgos'!$AD$23="Muy Alta",'Mapa riesgos'!$AF$23="Moderado"),CONCATENATE("R4C",'Mapa riesgos'!$T$23),"")</f>
        <v/>
      </c>
      <c r="AA9" s="37" t="str">
        <f>IF(AND('Mapa riesgos'!$AD$24="Muy Alta",'Mapa riesgos'!$AF$24="Moderado"),CONCATENATE("R4C",'Mapa riesgos'!$T$24),"")</f>
        <v/>
      </c>
      <c r="AB9" s="35" t="str">
        <f>IF(AND('Mapa riesgos'!$AD$19="Muy Alta",'Mapa riesgos'!$AF$19="Mayor"),CONCATENATE("R4C",'Mapa riesgos'!$T$19),"")</f>
        <v/>
      </c>
      <c r="AC9" s="36" t="str">
        <f>IF(AND('Mapa riesgos'!$AD$20="Muy Alta",'Mapa riesgos'!$AF$20="Mayor"),CONCATENATE("R4C",'Mapa riesgos'!$T$20),"")</f>
        <v/>
      </c>
      <c r="AD9" s="36" t="str">
        <f>IF(AND('Mapa riesgos'!$AD$21="Muy Alta",'Mapa riesgos'!$AF$21="Mayor"),CONCATENATE("R4C",'Mapa riesgos'!$T$21),"")</f>
        <v/>
      </c>
      <c r="AE9" s="36" t="str">
        <f>IF(AND('Mapa riesgos'!$AD$22="Muy Alta",'Mapa riesgos'!$AF$22="Mayor"),CONCATENATE("R4C",'Mapa riesgos'!$T$22),"")</f>
        <v/>
      </c>
      <c r="AF9" s="36" t="str">
        <f>IF(AND('Mapa riesgos'!$AD$23="Muy Alta",'Mapa riesgos'!$AF$23="Mayor"),CONCATENATE("R4C",'Mapa riesgos'!$T$23),"")</f>
        <v/>
      </c>
      <c r="AG9" s="37" t="str">
        <f>IF(AND('Mapa riesgos'!$AD$24="Muy Alta",'Mapa riesgos'!$AF$24="Mayor"),CONCATENATE("R4C",'Mapa riesgos'!$T$24),"")</f>
        <v/>
      </c>
      <c r="AH9" s="38" t="str">
        <f>IF(AND('Mapa riesgos'!$AD$19="Muy Alta",'Mapa riesgos'!$AF$19="Catastrófico"),CONCATENATE("R4C",'Mapa riesgos'!$T$19),"")</f>
        <v/>
      </c>
      <c r="AI9" s="39" t="str">
        <f>IF(AND('Mapa riesgos'!$AD$20="Muy Alta",'Mapa riesgos'!$AF$20="Catastrófico"),CONCATENATE("R4C",'Mapa riesgos'!$T$20),"")</f>
        <v/>
      </c>
      <c r="AJ9" s="39" t="str">
        <f>IF(AND('Mapa riesgos'!$AD$21="Muy Alta",'Mapa riesgos'!$AF$21="Catastrófico"),CONCATENATE("R4C",'Mapa riesgos'!$T$21),"")</f>
        <v/>
      </c>
      <c r="AK9" s="39" t="str">
        <f>IF(AND('Mapa riesgos'!$AD$22="Muy Alta",'Mapa riesgos'!$AF$22="Catastrófico"),CONCATENATE("R4C",'Mapa riesgos'!$T$22),"")</f>
        <v/>
      </c>
      <c r="AL9" s="39" t="str">
        <f>IF(AND('Mapa riesgos'!$AD$23="Muy Alta",'Mapa riesgos'!$AF$23="Catastrófico"),CONCATENATE("R4C",'Mapa riesgos'!$T$23),"")</f>
        <v/>
      </c>
      <c r="AM9" s="40" t="str">
        <f>IF(AND('Mapa riesgos'!$AD$24="Muy Alta",'Mapa riesgos'!$AF$24="Catastrófico"),CONCATENATE("R4C",'Mapa riesgos'!$T$24),"")</f>
        <v/>
      </c>
      <c r="AN9" s="66"/>
      <c r="AO9" s="451"/>
      <c r="AP9" s="452"/>
      <c r="AQ9" s="452"/>
      <c r="AR9" s="452"/>
      <c r="AS9" s="452"/>
      <c r="AT9" s="45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346"/>
      <c r="C10" s="346"/>
      <c r="D10" s="347"/>
      <c r="E10" s="445"/>
      <c r="F10" s="444"/>
      <c r="G10" s="444"/>
      <c r="H10" s="444"/>
      <c r="I10" s="460"/>
      <c r="J10" s="35" t="str">
        <f>IF(AND('Mapa riesgos'!$AD$25="Muy Alta",'Mapa riesgos'!$AF$25="Leve"),CONCATENATE("R5C",'Mapa riesgos'!$T$25),"")</f>
        <v/>
      </c>
      <c r="K10" s="36" t="str">
        <f>IF(AND('Mapa riesgos'!$AD$26="Muy Alta",'Mapa riesgos'!$AF$26="Leve"),CONCATENATE("R5C",'Mapa riesgos'!$T$26),"")</f>
        <v/>
      </c>
      <c r="L10" s="36" t="str">
        <f>IF(AND('Mapa riesgos'!$AD$27="Muy Alta",'Mapa riesgos'!$AF$27="Leve"),CONCATENATE("R5C",'Mapa riesgos'!$T$27),"")</f>
        <v/>
      </c>
      <c r="M10" s="36" t="str">
        <f>IF(AND('Mapa riesgos'!$AD$28="Muy Alta",'Mapa riesgos'!$AF$28="Leve"),CONCATENATE("R5C",'Mapa riesgos'!$T$28),"")</f>
        <v/>
      </c>
      <c r="N10" s="36" t="str">
        <f>IF(AND('Mapa riesgos'!$AD$29="Muy Alta",'Mapa riesgos'!$AF$29="Leve"),CONCATENATE("R5C",'Mapa riesgos'!$T$29),"")</f>
        <v/>
      </c>
      <c r="O10" s="37" t="str">
        <f>IF(AND('Mapa riesgos'!$AD$30="Muy Alta",'Mapa riesgos'!$AF$30="Leve"),CONCATENATE("R5C",'Mapa riesgos'!$T$30),"")</f>
        <v/>
      </c>
      <c r="P10" s="35" t="str">
        <f>IF(AND('Mapa riesgos'!$AD$25="Muy Alta",'Mapa riesgos'!$AF$25="Menor"),CONCATENATE("R5C",'Mapa riesgos'!$T$25),"")</f>
        <v/>
      </c>
      <c r="Q10" s="36" t="str">
        <f>IF(AND('Mapa riesgos'!$AD$26="Muy Alta",'Mapa riesgos'!$AF$26="Menor"),CONCATENATE("R5C",'Mapa riesgos'!$T$26),"")</f>
        <v/>
      </c>
      <c r="R10" s="36" t="str">
        <f>IF(AND('Mapa riesgos'!$AD$27="Muy Alta",'Mapa riesgos'!$AF$27="Menor"),CONCATENATE("R5C",'Mapa riesgos'!$T$27),"")</f>
        <v/>
      </c>
      <c r="S10" s="36" t="str">
        <f>IF(AND('Mapa riesgos'!$AD$28="Muy Alta",'Mapa riesgos'!$AF$28="Menor"),CONCATENATE("R5C",'Mapa riesgos'!$T$28),"")</f>
        <v/>
      </c>
      <c r="T10" s="36" t="str">
        <f>IF(AND('Mapa riesgos'!$AD$29="Muy Alta",'Mapa riesgos'!$AF$29="Menor"),CONCATENATE("R5C",'Mapa riesgos'!$T$29),"")</f>
        <v/>
      </c>
      <c r="U10" s="37" t="str">
        <f>IF(AND('Mapa riesgos'!$AD$30="Muy Alta",'Mapa riesgos'!$AF$30="Menor"),CONCATENATE("R5C",'Mapa riesgos'!$T$30),"")</f>
        <v/>
      </c>
      <c r="V10" s="35" t="str">
        <f>IF(AND('Mapa riesgos'!$AD$25="Muy Alta",'Mapa riesgos'!$AF$25="Moderado"),CONCATENATE("R5C",'Mapa riesgos'!$T$25),"")</f>
        <v/>
      </c>
      <c r="W10" s="36" t="str">
        <f>IF(AND('Mapa riesgos'!$AD$26="Muy Alta",'Mapa riesgos'!$AF$26="Moderado"),CONCATENATE("R5C",'Mapa riesgos'!$T$26),"")</f>
        <v/>
      </c>
      <c r="X10" s="36" t="str">
        <f>IF(AND('Mapa riesgos'!$AD$27="Muy Alta",'Mapa riesgos'!$AF$27="Moderado"),CONCATENATE("R5C",'Mapa riesgos'!$T$27),"")</f>
        <v/>
      </c>
      <c r="Y10" s="36" t="str">
        <f>IF(AND('Mapa riesgos'!$AD$28="Muy Alta",'Mapa riesgos'!$AF$28="Moderado"),CONCATENATE("R5C",'Mapa riesgos'!$T$28),"")</f>
        <v/>
      </c>
      <c r="Z10" s="36" t="str">
        <f>IF(AND('Mapa riesgos'!$AD$29="Muy Alta",'Mapa riesgos'!$AF$29="Moderado"),CONCATENATE("R5C",'Mapa riesgos'!$T$29),"")</f>
        <v/>
      </c>
      <c r="AA10" s="37" t="str">
        <f>IF(AND('Mapa riesgos'!$AD$30="Muy Alta",'Mapa riesgos'!$AF$30="Moderado"),CONCATENATE("R5C",'Mapa riesgos'!$T$30),"")</f>
        <v/>
      </c>
      <c r="AB10" s="35" t="str">
        <f>IF(AND('Mapa riesgos'!$AD$25="Muy Alta",'Mapa riesgos'!$AF$25="Mayor"),CONCATENATE("R5C",'Mapa riesgos'!$T$25),"")</f>
        <v/>
      </c>
      <c r="AC10" s="36" t="str">
        <f>IF(AND('Mapa riesgos'!$AD$26="Muy Alta",'Mapa riesgos'!$AF$26="Mayor"),CONCATENATE("R5C",'Mapa riesgos'!$T$26),"")</f>
        <v/>
      </c>
      <c r="AD10" s="36" t="str">
        <f>IF(AND('Mapa riesgos'!$AD$27="Muy Alta",'Mapa riesgos'!$AF$27="Mayor"),CONCATENATE("R5C",'Mapa riesgos'!$T$27),"")</f>
        <v/>
      </c>
      <c r="AE10" s="36" t="str">
        <f>IF(AND('Mapa riesgos'!$AD$28="Muy Alta",'Mapa riesgos'!$AF$28="Mayor"),CONCATENATE("R5C",'Mapa riesgos'!$T$28),"")</f>
        <v/>
      </c>
      <c r="AF10" s="36" t="str">
        <f>IF(AND('Mapa riesgos'!$AD$29="Muy Alta",'Mapa riesgos'!$AF$29="Mayor"),CONCATENATE("R5C",'Mapa riesgos'!$T$29),"")</f>
        <v/>
      </c>
      <c r="AG10" s="37" t="str">
        <f>IF(AND('Mapa riesgos'!$AD$30="Muy Alta",'Mapa riesgos'!$AF$30="Mayor"),CONCATENATE("R5C",'Mapa riesgos'!$T$30),"")</f>
        <v/>
      </c>
      <c r="AH10" s="38" t="str">
        <f>IF(AND('Mapa riesgos'!$AD$25="Muy Alta",'Mapa riesgos'!$AF$25="Catastrófico"),CONCATENATE("R5C",'Mapa riesgos'!$T$25),"")</f>
        <v/>
      </c>
      <c r="AI10" s="39" t="str">
        <f>IF(AND('Mapa riesgos'!$AD$26="Muy Alta",'Mapa riesgos'!$AF$26="Catastrófico"),CONCATENATE("R5C",'Mapa riesgos'!$T$26),"")</f>
        <v/>
      </c>
      <c r="AJ10" s="39" t="str">
        <f>IF(AND('Mapa riesgos'!$AD$27="Muy Alta",'Mapa riesgos'!$AF$27="Catastrófico"),CONCATENATE("R5C",'Mapa riesgos'!$T$27),"")</f>
        <v/>
      </c>
      <c r="AK10" s="39" t="str">
        <f>IF(AND('Mapa riesgos'!$AD$28="Muy Alta",'Mapa riesgos'!$AF$28="Catastrófico"),CONCATENATE("R5C",'Mapa riesgos'!$T$28),"")</f>
        <v/>
      </c>
      <c r="AL10" s="39" t="str">
        <f>IF(AND('Mapa riesgos'!$AD$29="Muy Alta",'Mapa riesgos'!$AF$29="Catastrófico"),CONCATENATE("R5C",'Mapa riesgos'!$T$29),"")</f>
        <v/>
      </c>
      <c r="AM10" s="40" t="str">
        <f>IF(AND('Mapa riesgos'!$AD$30="Muy Alta",'Mapa riesgos'!$AF$30="Catastrófico"),CONCATENATE("R5C",'Mapa riesgos'!$T$30),"")</f>
        <v/>
      </c>
      <c r="AN10" s="66"/>
      <c r="AO10" s="451"/>
      <c r="AP10" s="452"/>
      <c r="AQ10" s="452"/>
      <c r="AR10" s="452"/>
      <c r="AS10" s="452"/>
      <c r="AT10" s="45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346"/>
      <c r="C11" s="346"/>
      <c r="D11" s="347"/>
      <c r="E11" s="445"/>
      <c r="F11" s="444"/>
      <c r="G11" s="444"/>
      <c r="H11" s="444"/>
      <c r="I11" s="460"/>
      <c r="J11" s="35" t="str">
        <f>IF(AND('Mapa riesgos'!$AD$31="Muy Alta",'Mapa riesgos'!$AF$31="Leve"),CONCATENATE("R6C",'Mapa riesgos'!$T$31),"")</f>
        <v/>
      </c>
      <c r="K11" s="36" t="str">
        <f>IF(AND('Mapa riesgos'!$AD$32="Muy Alta",'Mapa riesgos'!$AF$32="Leve"),CONCATENATE("R6C",'Mapa riesgos'!$T$32),"")</f>
        <v/>
      </c>
      <c r="L11" s="36" t="str">
        <f>IF(AND('Mapa riesgos'!$AD$33="Muy Alta",'Mapa riesgos'!$AF$33="Leve"),CONCATENATE("R6C",'Mapa riesgos'!$T$33),"")</f>
        <v/>
      </c>
      <c r="M11" s="36" t="str">
        <f>IF(AND('Mapa riesgos'!$AD$34="Muy Alta",'Mapa riesgos'!$AF$34="Leve"),CONCATENATE("R6C",'Mapa riesgos'!$T$34),"")</f>
        <v/>
      </c>
      <c r="N11" s="36" t="str">
        <f>IF(AND('Mapa riesgos'!$AD$35="Muy Alta",'Mapa riesgos'!$AF$35="Leve"),CONCATENATE("R6C",'Mapa riesgos'!$T$35),"")</f>
        <v/>
      </c>
      <c r="O11" s="37" t="str">
        <f>IF(AND('Mapa riesgos'!$AD$36="Muy Alta",'Mapa riesgos'!$AF$36="Leve"),CONCATENATE("R6C",'Mapa riesgos'!$T$36),"")</f>
        <v/>
      </c>
      <c r="P11" s="35" t="str">
        <f>IF(AND('Mapa riesgos'!$AD$31="Muy Alta",'Mapa riesgos'!$AF$31="Menor"),CONCATENATE("R6C",'Mapa riesgos'!$T$31),"")</f>
        <v/>
      </c>
      <c r="Q11" s="36" t="str">
        <f>IF(AND('Mapa riesgos'!$AD$32="Muy Alta",'Mapa riesgos'!$AF$32="Menor"),CONCATENATE("R6C",'Mapa riesgos'!$T$32),"")</f>
        <v/>
      </c>
      <c r="R11" s="36" t="str">
        <f>IF(AND('Mapa riesgos'!$AD$33="Muy Alta",'Mapa riesgos'!$AF$33="Menor"),CONCATENATE("R6C",'Mapa riesgos'!$T$33),"")</f>
        <v/>
      </c>
      <c r="S11" s="36" t="str">
        <f>IF(AND('Mapa riesgos'!$AD$34="Muy Alta",'Mapa riesgos'!$AF$34="Menor"),CONCATENATE("R6C",'Mapa riesgos'!$T$34),"")</f>
        <v/>
      </c>
      <c r="T11" s="36" t="str">
        <f>IF(AND('Mapa riesgos'!$AD$35="Muy Alta",'Mapa riesgos'!$AF$35="Menor"),CONCATENATE("R6C",'Mapa riesgos'!$T$35),"")</f>
        <v/>
      </c>
      <c r="U11" s="37" t="str">
        <f>IF(AND('Mapa riesgos'!$AD$36="Muy Alta",'Mapa riesgos'!$AF$36="Menor"),CONCATENATE("R6C",'Mapa riesgos'!$T$36),"")</f>
        <v/>
      </c>
      <c r="V11" s="35" t="str">
        <f>IF(AND('Mapa riesgos'!$AD$31="Muy Alta",'Mapa riesgos'!$AF$31="Moderado"),CONCATENATE("R6C",'Mapa riesgos'!$T$31),"")</f>
        <v/>
      </c>
      <c r="W11" s="36" t="str">
        <f>IF(AND('Mapa riesgos'!$AD$32="Muy Alta",'Mapa riesgos'!$AF$32="Moderado"),CONCATENATE("R6C",'Mapa riesgos'!$T$32),"")</f>
        <v/>
      </c>
      <c r="X11" s="36" t="str">
        <f>IF(AND('Mapa riesgos'!$AD$33="Muy Alta",'Mapa riesgos'!$AF$33="Moderado"),CONCATENATE("R6C",'Mapa riesgos'!$T$33),"")</f>
        <v/>
      </c>
      <c r="Y11" s="36" t="str">
        <f>IF(AND('Mapa riesgos'!$AD$34="Muy Alta",'Mapa riesgos'!$AF$34="Moderado"),CONCATENATE("R6C",'Mapa riesgos'!$T$34),"")</f>
        <v/>
      </c>
      <c r="Z11" s="36" t="str">
        <f>IF(AND('Mapa riesgos'!$AD$35="Muy Alta",'Mapa riesgos'!$AF$35="Moderado"),CONCATENATE("R6C",'Mapa riesgos'!$T$35),"")</f>
        <v/>
      </c>
      <c r="AA11" s="37" t="str">
        <f>IF(AND('Mapa riesgos'!$AD$36="Muy Alta",'Mapa riesgos'!$AF$36="Moderado"),CONCATENATE("R6C",'Mapa riesgos'!$T$36),"")</f>
        <v/>
      </c>
      <c r="AB11" s="35" t="str">
        <f>IF(AND('Mapa riesgos'!$AD$31="Muy Alta",'Mapa riesgos'!$AF$31="Mayor"),CONCATENATE("R6C",'Mapa riesgos'!$T$31),"")</f>
        <v/>
      </c>
      <c r="AC11" s="36" t="str">
        <f>IF(AND('Mapa riesgos'!$AD$32="Muy Alta",'Mapa riesgos'!$AF$32="Mayor"),CONCATENATE("R6C",'Mapa riesgos'!$T$32),"")</f>
        <v/>
      </c>
      <c r="AD11" s="36" t="str">
        <f>IF(AND('Mapa riesgos'!$AD$33="Muy Alta",'Mapa riesgos'!$AF$33="Mayor"),CONCATENATE("R6C",'Mapa riesgos'!$T$33),"")</f>
        <v/>
      </c>
      <c r="AE11" s="36" t="str">
        <f>IF(AND('Mapa riesgos'!$AD$34="Muy Alta",'Mapa riesgos'!$AF$34="Mayor"),CONCATENATE("R6C",'Mapa riesgos'!$T$34),"")</f>
        <v/>
      </c>
      <c r="AF11" s="36" t="str">
        <f>IF(AND('Mapa riesgos'!$AD$35="Muy Alta",'Mapa riesgos'!$AF$35="Mayor"),CONCATENATE("R6C",'Mapa riesgos'!$T$35),"")</f>
        <v/>
      </c>
      <c r="AG11" s="37" t="str">
        <f>IF(AND('Mapa riesgos'!$AD$36="Muy Alta",'Mapa riesgos'!$AF$36="Mayor"),CONCATENATE("R6C",'Mapa riesgos'!$T$36),"")</f>
        <v/>
      </c>
      <c r="AH11" s="38" t="str">
        <f>IF(AND('Mapa riesgos'!$AD$31="Muy Alta",'Mapa riesgos'!$AF$31="Catastrófico"),CONCATENATE("R6C",'Mapa riesgos'!$T$31),"")</f>
        <v/>
      </c>
      <c r="AI11" s="39" t="str">
        <f>IF(AND('Mapa riesgos'!$AD$32="Muy Alta",'Mapa riesgos'!$AF$32="Catastrófico"),CONCATENATE("R6C",'Mapa riesgos'!$T$32),"")</f>
        <v/>
      </c>
      <c r="AJ11" s="39" t="str">
        <f>IF(AND('Mapa riesgos'!$AD$33="Muy Alta",'Mapa riesgos'!$AF$33="Catastrófico"),CONCATENATE("R6C",'Mapa riesgos'!$T$33),"")</f>
        <v/>
      </c>
      <c r="AK11" s="39" t="str">
        <f>IF(AND('Mapa riesgos'!$AD$34="Muy Alta",'Mapa riesgos'!$AF$34="Catastrófico"),CONCATENATE("R6C",'Mapa riesgos'!$T$34),"")</f>
        <v/>
      </c>
      <c r="AL11" s="39" t="str">
        <f>IF(AND('Mapa riesgos'!$AD$35="Muy Alta",'Mapa riesgos'!$AF$35="Catastrófico"),CONCATENATE("R6C",'Mapa riesgos'!$T$35),"")</f>
        <v/>
      </c>
      <c r="AM11" s="40" t="str">
        <f>IF(AND('Mapa riesgos'!$AD$36="Muy Alta",'Mapa riesgos'!$AF$36="Catastrófico"),CONCATENATE("R6C",'Mapa riesgos'!$T$36),"")</f>
        <v/>
      </c>
      <c r="AN11" s="66"/>
      <c r="AO11" s="451"/>
      <c r="AP11" s="452"/>
      <c r="AQ11" s="452"/>
      <c r="AR11" s="452"/>
      <c r="AS11" s="452"/>
      <c r="AT11" s="45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346"/>
      <c r="C12" s="346"/>
      <c r="D12" s="347"/>
      <c r="E12" s="445"/>
      <c r="F12" s="444"/>
      <c r="G12" s="444"/>
      <c r="H12" s="444"/>
      <c r="I12" s="460"/>
      <c r="J12" s="35" t="str">
        <f>IF(AND('Mapa riesgos'!$AD$37="Muy Alta",'Mapa riesgos'!$AF$37="Leve"),CONCATENATE("R7C",'Mapa riesgos'!$T$37),"")</f>
        <v/>
      </c>
      <c r="K12" s="36" t="str">
        <f>IF(AND('Mapa riesgos'!$AD$38="Muy Alta",'Mapa riesgos'!$AF$38="Leve"),CONCATENATE("R7C",'Mapa riesgos'!$T$38),"")</f>
        <v/>
      </c>
      <c r="L12" s="36" t="str">
        <f>IF(AND('Mapa riesgos'!$AD$39="Muy Alta",'Mapa riesgos'!$AF$39="Leve"),CONCATENATE("R7C",'Mapa riesgos'!$T$39),"")</f>
        <v/>
      </c>
      <c r="M12" s="36" t="str">
        <f>IF(AND('Mapa riesgos'!$AD$40="Muy Alta",'Mapa riesgos'!$AF$40="Leve"),CONCATENATE("R7C",'Mapa riesgos'!$T$40),"")</f>
        <v/>
      </c>
      <c r="N12" s="36" t="str">
        <f>IF(AND('Mapa riesgos'!$AD$41="Muy Alta",'Mapa riesgos'!$AF$41="Leve"),CONCATENATE("R7C",'Mapa riesgos'!$T$41),"")</f>
        <v/>
      </c>
      <c r="O12" s="37" t="str">
        <f>IF(AND('Mapa riesgos'!$AD$42="Muy Alta",'Mapa riesgos'!$AF$42="Leve"),CONCATENATE("R7C",'Mapa riesgos'!$T$42),"")</f>
        <v/>
      </c>
      <c r="P12" s="35" t="str">
        <f>IF(AND('Mapa riesgos'!$AD$37="Muy Alta",'Mapa riesgos'!$AF$37="Menor"),CONCATENATE("R7C",'Mapa riesgos'!$T$37),"")</f>
        <v/>
      </c>
      <c r="Q12" s="36" t="str">
        <f>IF(AND('Mapa riesgos'!$AD$38="Muy Alta",'Mapa riesgos'!$AF$38="Menor"),CONCATENATE("R7C",'Mapa riesgos'!$T$38),"")</f>
        <v/>
      </c>
      <c r="R12" s="36" t="str">
        <f>IF(AND('Mapa riesgos'!$AD$39="Muy Alta",'Mapa riesgos'!$AF$39="Menor"),CONCATENATE("R7C",'Mapa riesgos'!$T$39),"")</f>
        <v/>
      </c>
      <c r="S12" s="36" t="str">
        <f>IF(AND('Mapa riesgos'!$AD$40="Muy Alta",'Mapa riesgos'!$AF$40="Menor"),CONCATENATE("R7C",'Mapa riesgos'!$T$40),"")</f>
        <v/>
      </c>
      <c r="T12" s="36" t="str">
        <f>IF(AND('Mapa riesgos'!$AD$41="Muy Alta",'Mapa riesgos'!$AF$41="Menor"),CONCATENATE("R7C",'Mapa riesgos'!$T$41),"")</f>
        <v/>
      </c>
      <c r="U12" s="37" t="str">
        <f>IF(AND('Mapa riesgos'!$AD$42="Muy Alta",'Mapa riesgos'!$AF$42="Menor"),CONCATENATE("R7C",'Mapa riesgos'!$T$42),"")</f>
        <v/>
      </c>
      <c r="V12" s="35" t="str">
        <f>IF(AND('Mapa riesgos'!$AD$37="Muy Alta",'Mapa riesgos'!$AF$37="Moderado"),CONCATENATE("R7C",'Mapa riesgos'!$T$37),"")</f>
        <v/>
      </c>
      <c r="W12" s="36" t="str">
        <f>IF(AND('Mapa riesgos'!$AD$38="Muy Alta",'Mapa riesgos'!$AF$38="Moderado"),CONCATENATE("R7C",'Mapa riesgos'!$T$38),"")</f>
        <v/>
      </c>
      <c r="X12" s="36" t="str">
        <f>IF(AND('Mapa riesgos'!$AD$39="Muy Alta",'Mapa riesgos'!$AF$39="Moderado"),CONCATENATE("R7C",'Mapa riesgos'!$T$39),"")</f>
        <v/>
      </c>
      <c r="Y12" s="36" t="str">
        <f>IF(AND('Mapa riesgos'!$AD$40="Muy Alta",'Mapa riesgos'!$AF$40="Moderado"),CONCATENATE("R7C",'Mapa riesgos'!$T$40),"")</f>
        <v/>
      </c>
      <c r="Z12" s="36" t="str">
        <f>IF(AND('Mapa riesgos'!$AD$41="Muy Alta",'Mapa riesgos'!$AF$41="Moderado"),CONCATENATE("R7C",'Mapa riesgos'!$T$41),"")</f>
        <v/>
      </c>
      <c r="AA12" s="37" t="str">
        <f>IF(AND('Mapa riesgos'!$AD$42="Muy Alta",'Mapa riesgos'!$AF$42="Moderado"),CONCATENATE("R7C",'Mapa riesgos'!$T$42),"")</f>
        <v/>
      </c>
      <c r="AB12" s="35" t="str">
        <f>IF(AND('Mapa riesgos'!$AD$37="Muy Alta",'Mapa riesgos'!$AF$37="Mayor"),CONCATENATE("R7C",'Mapa riesgos'!$T$37),"")</f>
        <v/>
      </c>
      <c r="AC12" s="36" t="str">
        <f>IF(AND('Mapa riesgos'!$AD$38="Muy Alta",'Mapa riesgos'!$AF$38="Mayor"),CONCATENATE("R7C",'Mapa riesgos'!$T$38),"")</f>
        <v/>
      </c>
      <c r="AD12" s="36" t="str">
        <f>IF(AND('Mapa riesgos'!$AD$39="Muy Alta",'Mapa riesgos'!$AF$39="Mayor"),CONCATENATE("R7C",'Mapa riesgos'!$T$39),"")</f>
        <v/>
      </c>
      <c r="AE12" s="36" t="str">
        <f>IF(AND('Mapa riesgos'!$AD$40="Muy Alta",'Mapa riesgos'!$AF$40="Mayor"),CONCATENATE("R7C",'Mapa riesgos'!$T$40),"")</f>
        <v/>
      </c>
      <c r="AF12" s="36" t="str">
        <f>IF(AND('Mapa riesgos'!$AD$41="Muy Alta",'Mapa riesgos'!$AF$41="Mayor"),CONCATENATE("R7C",'Mapa riesgos'!$T$41),"")</f>
        <v/>
      </c>
      <c r="AG12" s="37" t="str">
        <f>IF(AND('Mapa riesgos'!$AD$42="Muy Alta",'Mapa riesgos'!$AF$42="Mayor"),CONCATENATE("R7C",'Mapa riesgos'!$T$42),"")</f>
        <v/>
      </c>
      <c r="AH12" s="38" t="str">
        <f>IF(AND('Mapa riesgos'!$AD$37="Muy Alta",'Mapa riesgos'!$AF$37="Catastrófico"),CONCATENATE("R7C",'Mapa riesgos'!$T$37),"")</f>
        <v/>
      </c>
      <c r="AI12" s="39" t="str">
        <f>IF(AND('Mapa riesgos'!$AD$38="Muy Alta",'Mapa riesgos'!$AF$38="Catastrófico"),CONCATENATE("R7C",'Mapa riesgos'!$T$38),"")</f>
        <v/>
      </c>
      <c r="AJ12" s="39" t="str">
        <f>IF(AND('Mapa riesgos'!$AD$39="Muy Alta",'Mapa riesgos'!$AF$39="Catastrófico"),CONCATENATE("R7C",'Mapa riesgos'!$T$39),"")</f>
        <v/>
      </c>
      <c r="AK12" s="39" t="str">
        <f>IF(AND('Mapa riesgos'!$AD$40="Muy Alta",'Mapa riesgos'!$AF$40="Catastrófico"),CONCATENATE("R7C",'Mapa riesgos'!$T$40),"")</f>
        <v/>
      </c>
      <c r="AL12" s="39" t="str">
        <f>IF(AND('Mapa riesgos'!$AD$41="Muy Alta",'Mapa riesgos'!$AF$41="Catastrófico"),CONCATENATE("R7C",'Mapa riesgos'!$T$41),"")</f>
        <v/>
      </c>
      <c r="AM12" s="40" t="str">
        <f>IF(AND('Mapa riesgos'!$AD$42="Muy Alta",'Mapa riesgos'!$AF$42="Catastrófico"),CONCATENATE("R7C",'Mapa riesgos'!$T$42),"")</f>
        <v/>
      </c>
      <c r="AN12" s="66"/>
      <c r="AO12" s="451"/>
      <c r="AP12" s="452"/>
      <c r="AQ12" s="452"/>
      <c r="AR12" s="452"/>
      <c r="AS12" s="452"/>
      <c r="AT12" s="45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346"/>
      <c r="C13" s="346"/>
      <c r="D13" s="347"/>
      <c r="E13" s="445"/>
      <c r="F13" s="444"/>
      <c r="G13" s="444"/>
      <c r="H13" s="444"/>
      <c r="I13" s="460"/>
      <c r="J13" s="35" t="str">
        <f>IF(AND('Mapa riesgos'!$AD$43="Muy Alta",'Mapa riesgos'!$AF$43="Leve"),CONCATENATE("R8C",'Mapa riesgos'!$T$43),"")</f>
        <v/>
      </c>
      <c r="K13" s="36" t="str">
        <f>IF(AND('Mapa riesgos'!$AD$44="Muy Alta",'Mapa riesgos'!$AF$44="Leve"),CONCATENATE("R8C",'Mapa riesgos'!$T$44),"")</f>
        <v/>
      </c>
      <c r="L13" s="36" t="str">
        <f>IF(AND('Mapa riesgos'!$AD$45="Muy Alta",'Mapa riesgos'!$AF$45="Leve"),CONCATENATE("R8C",'Mapa riesgos'!$T$45),"")</f>
        <v/>
      </c>
      <c r="M13" s="36" t="str">
        <f>IF(AND('Mapa riesgos'!$AD$46="Muy Alta",'Mapa riesgos'!$AF$46="Leve"),CONCATENATE("R8C",'Mapa riesgos'!$T$46),"")</f>
        <v/>
      </c>
      <c r="N13" s="36" t="str">
        <f>IF(AND('Mapa riesgos'!$AD$47="Muy Alta",'Mapa riesgos'!$AF$47="Leve"),CONCATENATE("R8C",'Mapa riesgos'!$T$47),"")</f>
        <v/>
      </c>
      <c r="O13" s="37" t="str">
        <f>IF(AND('Mapa riesgos'!$AD$48="Muy Alta",'Mapa riesgos'!$AF$48="Leve"),CONCATENATE("R8C",'Mapa riesgos'!$T$48),"")</f>
        <v/>
      </c>
      <c r="P13" s="35" t="str">
        <f>IF(AND('Mapa riesgos'!$AD$43="Muy Alta",'Mapa riesgos'!$AF$43="Menor"),CONCATENATE("R8C",'Mapa riesgos'!$T$43),"")</f>
        <v/>
      </c>
      <c r="Q13" s="36" t="str">
        <f>IF(AND('Mapa riesgos'!$AD$44="Muy Alta",'Mapa riesgos'!$AF$44="Menor"),CONCATENATE("R8C",'Mapa riesgos'!$T$44),"")</f>
        <v/>
      </c>
      <c r="R13" s="36" t="str">
        <f>IF(AND('Mapa riesgos'!$AD$45="Muy Alta",'Mapa riesgos'!$AF$45="Menor"),CONCATENATE("R8C",'Mapa riesgos'!$T$45),"")</f>
        <v/>
      </c>
      <c r="S13" s="36" t="str">
        <f>IF(AND('Mapa riesgos'!$AD$46="Muy Alta",'Mapa riesgos'!$AF$46="Menor"),CONCATENATE("R8C",'Mapa riesgos'!$T$46),"")</f>
        <v/>
      </c>
      <c r="T13" s="36" t="str">
        <f>IF(AND('Mapa riesgos'!$AD$47="Muy Alta",'Mapa riesgos'!$AF$47="Menor"),CONCATENATE("R8C",'Mapa riesgos'!$T$47),"")</f>
        <v/>
      </c>
      <c r="U13" s="37" t="str">
        <f>IF(AND('Mapa riesgos'!$AD$48="Muy Alta",'Mapa riesgos'!$AF$48="Menor"),CONCATENATE("R8C",'Mapa riesgos'!$T$48),"")</f>
        <v/>
      </c>
      <c r="V13" s="35" t="str">
        <f>IF(AND('Mapa riesgos'!$AD$43="Muy Alta",'Mapa riesgos'!$AF$43="Moderado"),CONCATENATE("R8C",'Mapa riesgos'!$T$43),"")</f>
        <v/>
      </c>
      <c r="W13" s="36" t="str">
        <f>IF(AND('Mapa riesgos'!$AD$44="Muy Alta",'Mapa riesgos'!$AF$44="Moderado"),CONCATENATE("R8C",'Mapa riesgos'!$T$44),"")</f>
        <v/>
      </c>
      <c r="X13" s="36" t="str">
        <f>IF(AND('Mapa riesgos'!$AD$45="Muy Alta",'Mapa riesgos'!$AF$45="Moderado"),CONCATENATE("R8C",'Mapa riesgos'!$T$45),"")</f>
        <v/>
      </c>
      <c r="Y13" s="36" t="str">
        <f>IF(AND('Mapa riesgos'!$AD$46="Muy Alta",'Mapa riesgos'!$AF$46="Moderado"),CONCATENATE("R8C",'Mapa riesgos'!$T$46),"")</f>
        <v/>
      </c>
      <c r="Z13" s="36" t="str">
        <f>IF(AND('Mapa riesgos'!$AD$47="Muy Alta",'Mapa riesgos'!$AF$47="Moderado"),CONCATENATE("R8C",'Mapa riesgos'!$T$47),"")</f>
        <v/>
      </c>
      <c r="AA13" s="37" t="str">
        <f>IF(AND('Mapa riesgos'!$AD$48="Muy Alta",'Mapa riesgos'!$AF$48="Moderado"),CONCATENATE("R8C",'Mapa riesgos'!$T$48),"")</f>
        <v/>
      </c>
      <c r="AB13" s="35" t="str">
        <f>IF(AND('Mapa riesgos'!$AD$43="Muy Alta",'Mapa riesgos'!$AF$43="Mayor"),CONCATENATE("R8C",'Mapa riesgos'!$T$43),"")</f>
        <v/>
      </c>
      <c r="AC13" s="36" t="str">
        <f>IF(AND('Mapa riesgos'!$AD$44="Muy Alta",'Mapa riesgos'!$AF$44="Mayor"),CONCATENATE("R8C",'Mapa riesgos'!$T$44),"")</f>
        <v/>
      </c>
      <c r="AD13" s="36" t="str">
        <f>IF(AND('Mapa riesgos'!$AD$45="Muy Alta",'Mapa riesgos'!$AF$45="Mayor"),CONCATENATE("R8C",'Mapa riesgos'!$T$45),"")</f>
        <v/>
      </c>
      <c r="AE13" s="36" t="str">
        <f>IF(AND('Mapa riesgos'!$AD$46="Muy Alta",'Mapa riesgos'!$AF$46="Mayor"),CONCATENATE("R8C",'Mapa riesgos'!$T$46),"")</f>
        <v/>
      </c>
      <c r="AF13" s="36" t="str">
        <f>IF(AND('Mapa riesgos'!$AD$47="Muy Alta",'Mapa riesgos'!$AF$47="Mayor"),CONCATENATE("R8C",'Mapa riesgos'!$T$47),"")</f>
        <v/>
      </c>
      <c r="AG13" s="37" t="str">
        <f>IF(AND('Mapa riesgos'!$AD$48="Muy Alta",'Mapa riesgos'!$AF$48="Mayor"),CONCATENATE("R8C",'Mapa riesgos'!$T$48),"")</f>
        <v/>
      </c>
      <c r="AH13" s="38" t="str">
        <f>IF(AND('Mapa riesgos'!$AD$43="Muy Alta",'Mapa riesgos'!$AF$43="Catastrófico"),CONCATENATE("R8C",'Mapa riesgos'!$T$43),"")</f>
        <v/>
      </c>
      <c r="AI13" s="39" t="str">
        <f>IF(AND('Mapa riesgos'!$AD$44="Muy Alta",'Mapa riesgos'!$AF$44="Catastrófico"),CONCATENATE("R8C",'Mapa riesgos'!$T$44),"")</f>
        <v/>
      </c>
      <c r="AJ13" s="39" t="str">
        <f>IF(AND('Mapa riesgos'!$AD$45="Muy Alta",'Mapa riesgos'!$AF$45="Catastrófico"),CONCATENATE("R8C",'Mapa riesgos'!$T$45),"")</f>
        <v/>
      </c>
      <c r="AK13" s="39" t="str">
        <f>IF(AND('Mapa riesgos'!$AD$46="Muy Alta",'Mapa riesgos'!$AF$46="Catastrófico"),CONCATENATE("R8C",'Mapa riesgos'!$T$46),"")</f>
        <v/>
      </c>
      <c r="AL13" s="39" t="str">
        <f>IF(AND('Mapa riesgos'!$AD$47="Muy Alta",'Mapa riesgos'!$AF$47="Catastrófico"),CONCATENATE("R8C",'Mapa riesgos'!$T$47),"")</f>
        <v/>
      </c>
      <c r="AM13" s="40" t="str">
        <f>IF(AND('Mapa riesgos'!$AD$48="Muy Alta",'Mapa riesgos'!$AF$48="Catastrófico"),CONCATENATE("R8C",'Mapa riesgos'!$T$48),"")</f>
        <v/>
      </c>
      <c r="AN13" s="66"/>
      <c r="AO13" s="451"/>
      <c r="AP13" s="452"/>
      <c r="AQ13" s="452"/>
      <c r="AR13" s="452"/>
      <c r="AS13" s="452"/>
      <c r="AT13" s="45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346"/>
      <c r="C14" s="346"/>
      <c r="D14" s="347"/>
      <c r="E14" s="445"/>
      <c r="F14" s="444"/>
      <c r="G14" s="444"/>
      <c r="H14" s="444"/>
      <c r="I14" s="460"/>
      <c r="J14" s="35" t="str">
        <f>IF(AND('Mapa riesgos'!$AD$49="Muy Alta",'Mapa riesgos'!$AF$49="Leve"),CONCATENATE("R9C",'Mapa riesgos'!$T$49),"")</f>
        <v/>
      </c>
      <c r="K14" s="36" t="str">
        <f>IF(AND('Mapa riesgos'!$AD$50="Muy Alta",'Mapa riesgos'!$AF$50="Leve"),CONCATENATE("R9C",'Mapa riesgos'!$T$50),"")</f>
        <v/>
      </c>
      <c r="L14" s="36" t="str">
        <f>IF(AND('Mapa riesgos'!$AD$51="Muy Alta",'Mapa riesgos'!$AF$51="Leve"),CONCATENATE("R9C",'Mapa riesgos'!$T$51),"")</f>
        <v/>
      </c>
      <c r="M14" s="36" t="str">
        <f>IF(AND('Mapa riesgos'!$AD$52="Muy Alta",'Mapa riesgos'!$AF$52="Leve"),CONCATENATE("R9C",'Mapa riesgos'!$T$52),"")</f>
        <v/>
      </c>
      <c r="N14" s="36" t="str">
        <f>IF(AND('Mapa riesgos'!$AD$53="Muy Alta",'Mapa riesgos'!$AF$53="Leve"),CONCATENATE("R9C",'Mapa riesgos'!$T$53),"")</f>
        <v/>
      </c>
      <c r="O14" s="37" t="str">
        <f>IF(AND('Mapa riesgos'!$AD$54="Muy Alta",'Mapa riesgos'!$AF$54="Leve"),CONCATENATE("R9C",'Mapa riesgos'!$T$54),"")</f>
        <v/>
      </c>
      <c r="P14" s="35" t="str">
        <f>IF(AND('Mapa riesgos'!$AD$49="Muy Alta",'Mapa riesgos'!$AF$49="Menor"),CONCATENATE("R9C",'Mapa riesgos'!$T$49),"")</f>
        <v/>
      </c>
      <c r="Q14" s="36" t="str">
        <f>IF(AND('Mapa riesgos'!$AD$50="Muy Alta",'Mapa riesgos'!$AF$50="Menor"),CONCATENATE("R9C",'Mapa riesgos'!$T$50),"")</f>
        <v/>
      </c>
      <c r="R14" s="36" t="str">
        <f>IF(AND('Mapa riesgos'!$AD$51="Muy Alta",'Mapa riesgos'!$AF$51="Menor"),CONCATENATE("R9C",'Mapa riesgos'!$T$51),"")</f>
        <v/>
      </c>
      <c r="S14" s="36" t="str">
        <f>IF(AND('Mapa riesgos'!$AD$52="Muy Alta",'Mapa riesgos'!$AF$52="Menor"),CONCATENATE("R9C",'Mapa riesgos'!$T$52),"")</f>
        <v/>
      </c>
      <c r="T14" s="36" t="str">
        <f>IF(AND('Mapa riesgos'!$AD$53="Muy Alta",'Mapa riesgos'!$AF$53="Menor"),CONCATENATE("R9C",'Mapa riesgos'!$T$53),"")</f>
        <v/>
      </c>
      <c r="U14" s="37" t="str">
        <f>IF(AND('Mapa riesgos'!$AD$54="Muy Alta",'Mapa riesgos'!$AF$54="Menor"),CONCATENATE("R9C",'Mapa riesgos'!$T$54),"")</f>
        <v/>
      </c>
      <c r="V14" s="35" t="str">
        <f>IF(AND('Mapa riesgos'!$AD$49="Muy Alta",'Mapa riesgos'!$AF$49="Moderado"),CONCATENATE("R9C",'Mapa riesgos'!$T$49),"")</f>
        <v/>
      </c>
      <c r="W14" s="36" t="str">
        <f>IF(AND('Mapa riesgos'!$AD$50="Muy Alta",'Mapa riesgos'!$AF$50="Moderado"),CONCATENATE("R9C",'Mapa riesgos'!$T$50),"")</f>
        <v/>
      </c>
      <c r="X14" s="36" t="str">
        <f>IF(AND('Mapa riesgos'!$AD$51="Muy Alta",'Mapa riesgos'!$AF$51="Moderado"),CONCATENATE("R9C",'Mapa riesgos'!$T$51),"")</f>
        <v/>
      </c>
      <c r="Y14" s="36" t="str">
        <f>IF(AND('Mapa riesgos'!$AD$52="Muy Alta",'Mapa riesgos'!$AF$52="Moderado"),CONCATENATE("R9C",'Mapa riesgos'!$T$52),"")</f>
        <v/>
      </c>
      <c r="Z14" s="36" t="str">
        <f>IF(AND('Mapa riesgos'!$AD$53="Muy Alta",'Mapa riesgos'!$AF$53="Moderado"),CONCATENATE("R9C",'Mapa riesgos'!$T$53),"")</f>
        <v/>
      </c>
      <c r="AA14" s="37" t="str">
        <f>IF(AND('Mapa riesgos'!$AD$54="Muy Alta",'Mapa riesgos'!$AF$54="Moderado"),CONCATENATE("R9C",'Mapa riesgos'!$T$54),"")</f>
        <v/>
      </c>
      <c r="AB14" s="35" t="str">
        <f>IF(AND('Mapa riesgos'!$AD$49="Muy Alta",'Mapa riesgos'!$AF$49="Mayor"),CONCATENATE("R9C",'Mapa riesgos'!$T$49),"")</f>
        <v/>
      </c>
      <c r="AC14" s="36" t="str">
        <f>IF(AND('Mapa riesgos'!$AD$50="Muy Alta",'Mapa riesgos'!$AF$50="Mayor"),CONCATENATE("R9C",'Mapa riesgos'!$T$50),"")</f>
        <v/>
      </c>
      <c r="AD14" s="36" t="str">
        <f>IF(AND('Mapa riesgos'!$AD$51="Muy Alta",'Mapa riesgos'!$AF$51="Mayor"),CONCATENATE("R9C",'Mapa riesgos'!$T$51),"")</f>
        <v/>
      </c>
      <c r="AE14" s="36" t="str">
        <f>IF(AND('Mapa riesgos'!$AD$52="Muy Alta",'Mapa riesgos'!$AF$52="Mayor"),CONCATENATE("R9C",'Mapa riesgos'!$T$52),"")</f>
        <v/>
      </c>
      <c r="AF14" s="36" t="str">
        <f>IF(AND('Mapa riesgos'!$AD$53="Muy Alta",'Mapa riesgos'!$AF$53="Mayor"),CONCATENATE("R9C",'Mapa riesgos'!$T$53),"")</f>
        <v/>
      </c>
      <c r="AG14" s="37" t="str">
        <f>IF(AND('Mapa riesgos'!$AD$54="Muy Alta",'Mapa riesgos'!$AF$54="Mayor"),CONCATENATE("R9C",'Mapa riesgos'!$T$54),"")</f>
        <v/>
      </c>
      <c r="AH14" s="38" t="str">
        <f>IF(AND('Mapa riesgos'!$AD$49="Muy Alta",'Mapa riesgos'!$AF$49="Catastrófico"),CONCATENATE("R9C",'Mapa riesgos'!$T$49),"")</f>
        <v/>
      </c>
      <c r="AI14" s="39" t="str">
        <f>IF(AND('Mapa riesgos'!$AD$50="Muy Alta",'Mapa riesgos'!$AF$50="Catastrófico"),CONCATENATE("R9C",'Mapa riesgos'!$T$50),"")</f>
        <v/>
      </c>
      <c r="AJ14" s="39" t="str">
        <f>IF(AND('Mapa riesgos'!$AD$51="Muy Alta",'Mapa riesgos'!$AF$51="Catastrófico"),CONCATENATE("R9C",'Mapa riesgos'!$T$51),"")</f>
        <v/>
      </c>
      <c r="AK14" s="39" t="str">
        <f>IF(AND('Mapa riesgos'!$AD$52="Muy Alta",'Mapa riesgos'!$AF$52="Catastrófico"),CONCATENATE("R9C",'Mapa riesgos'!$T$52),"")</f>
        <v/>
      </c>
      <c r="AL14" s="39" t="str">
        <f>IF(AND('Mapa riesgos'!$AD$53="Muy Alta",'Mapa riesgos'!$AF$53="Catastrófico"),CONCATENATE("R9C",'Mapa riesgos'!$T$53),"")</f>
        <v/>
      </c>
      <c r="AM14" s="40" t="str">
        <f>IF(AND('Mapa riesgos'!$AD$54="Muy Alta",'Mapa riesgos'!$AF$54="Catastrófico"),CONCATENATE("R9C",'Mapa riesgos'!$T$54),"")</f>
        <v/>
      </c>
      <c r="AN14" s="66"/>
      <c r="AO14" s="451"/>
      <c r="AP14" s="452"/>
      <c r="AQ14" s="452"/>
      <c r="AR14" s="452"/>
      <c r="AS14" s="452"/>
      <c r="AT14" s="45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346"/>
      <c r="C15" s="346"/>
      <c r="D15" s="347"/>
      <c r="E15" s="446"/>
      <c r="F15" s="447"/>
      <c r="G15" s="447"/>
      <c r="H15" s="447"/>
      <c r="I15" s="461"/>
      <c r="J15" s="41" t="str">
        <f>IF(AND('Mapa riesgos'!$AD$55="Muy Alta",'Mapa riesgos'!$AF$55="Leve"),CONCATENATE("R10C",'Mapa riesgos'!$T$55),"")</f>
        <v/>
      </c>
      <c r="K15" s="42" t="str">
        <f>IF(AND('Mapa riesgos'!$AD$56="Muy Alta",'Mapa riesgos'!$AF$56="Leve"),CONCATENATE("R10C",'Mapa riesgos'!$T$56),"")</f>
        <v/>
      </c>
      <c r="L15" s="42" t="str">
        <f>IF(AND('Mapa riesgos'!$AD$57="Muy Alta",'Mapa riesgos'!$AF$57="Leve"),CONCATENATE("R10C",'Mapa riesgos'!$T$57),"")</f>
        <v/>
      </c>
      <c r="M15" s="42" t="str">
        <f>IF(AND('Mapa riesgos'!$AD$58="Muy Alta",'Mapa riesgos'!$AF$58="Leve"),CONCATENATE("R10C",'Mapa riesgos'!$T$58),"")</f>
        <v/>
      </c>
      <c r="N15" s="42" t="str">
        <f>IF(AND('Mapa riesgos'!$AD$59="Muy Alta",'Mapa riesgos'!$AF$59="Leve"),CONCATENATE("R10C",'Mapa riesgos'!$T$59),"")</f>
        <v/>
      </c>
      <c r="O15" s="43" t="str">
        <f>IF(AND('Mapa riesgos'!$AD$60="Muy Alta",'Mapa riesgos'!$AF$60="Leve"),CONCATENATE("R10C",'Mapa riesgos'!$T$60),"")</f>
        <v/>
      </c>
      <c r="P15" s="35" t="str">
        <f>IF(AND('Mapa riesgos'!$AD$55="Muy Alta",'Mapa riesgos'!$AF$55="Menor"),CONCATENATE("R10C",'Mapa riesgos'!$T$55),"")</f>
        <v/>
      </c>
      <c r="Q15" s="36" t="str">
        <f>IF(AND('Mapa riesgos'!$AD$56="Muy Alta",'Mapa riesgos'!$AF$56="Menor"),CONCATENATE("R10C",'Mapa riesgos'!$T$56),"")</f>
        <v/>
      </c>
      <c r="R15" s="36" t="str">
        <f>IF(AND('Mapa riesgos'!$AD$57="Muy Alta",'Mapa riesgos'!$AF$57="Menor"),CONCATENATE("R10C",'Mapa riesgos'!$T$57),"")</f>
        <v/>
      </c>
      <c r="S15" s="36" t="str">
        <f>IF(AND('Mapa riesgos'!$AD$58="Muy Alta",'Mapa riesgos'!$AF$58="Menor"),CONCATENATE("R10C",'Mapa riesgos'!$T$58),"")</f>
        <v/>
      </c>
      <c r="T15" s="36" t="str">
        <f>IF(AND('Mapa riesgos'!$AD$59="Muy Alta",'Mapa riesgos'!$AF$59="Menor"),CONCATENATE("R10C",'Mapa riesgos'!$T$59),"")</f>
        <v/>
      </c>
      <c r="U15" s="37" t="str">
        <f>IF(AND('Mapa riesgos'!$AD$60="Muy Alta",'Mapa riesgos'!$AF$60="Menor"),CONCATENATE("R10C",'Mapa riesgos'!$T$60),"")</f>
        <v/>
      </c>
      <c r="V15" s="41" t="str">
        <f>IF(AND('Mapa riesgos'!$AD$55="Muy Alta",'Mapa riesgos'!$AF$55="Moderado"),CONCATENATE("R10C",'Mapa riesgos'!$T$55),"")</f>
        <v/>
      </c>
      <c r="W15" s="42" t="str">
        <f>IF(AND('Mapa riesgos'!$AD$56="Muy Alta",'Mapa riesgos'!$AF$56="Moderado"),CONCATENATE("R10C",'Mapa riesgos'!$T$56),"")</f>
        <v/>
      </c>
      <c r="X15" s="42" t="str">
        <f>IF(AND('Mapa riesgos'!$AD$57="Muy Alta",'Mapa riesgos'!$AF$57="Moderado"),CONCATENATE("R10C",'Mapa riesgos'!$T$57),"")</f>
        <v/>
      </c>
      <c r="Y15" s="42" t="str">
        <f>IF(AND('Mapa riesgos'!$AD$58="Muy Alta",'Mapa riesgos'!$AF$58="Moderado"),CONCATENATE("R10C",'Mapa riesgos'!$T$58),"")</f>
        <v/>
      </c>
      <c r="Z15" s="42" t="str">
        <f>IF(AND('Mapa riesgos'!$AD$59="Muy Alta",'Mapa riesgos'!$AF$59="Moderado"),CONCATENATE("R10C",'Mapa riesgos'!$T$59),"")</f>
        <v/>
      </c>
      <c r="AA15" s="43" t="str">
        <f>IF(AND('Mapa riesgos'!$AD$60="Muy Alta",'Mapa riesgos'!$AF$60="Moderado"),CONCATENATE("R10C",'Mapa riesgos'!$T$60),"")</f>
        <v/>
      </c>
      <c r="AB15" s="35" t="str">
        <f>IF(AND('Mapa riesgos'!$AD$55="Muy Alta",'Mapa riesgos'!$AF$55="Mayor"),CONCATENATE("R10C",'Mapa riesgos'!$T$55),"")</f>
        <v/>
      </c>
      <c r="AC15" s="36" t="str">
        <f>IF(AND('Mapa riesgos'!$AD$56="Muy Alta",'Mapa riesgos'!$AF$56="Mayor"),CONCATENATE("R10C",'Mapa riesgos'!$T$56),"")</f>
        <v/>
      </c>
      <c r="AD15" s="36" t="str">
        <f>IF(AND('Mapa riesgos'!$AD$57="Muy Alta",'Mapa riesgos'!$AF$57="Mayor"),CONCATENATE("R10C",'Mapa riesgos'!$T$57),"")</f>
        <v/>
      </c>
      <c r="AE15" s="36" t="str">
        <f>IF(AND('Mapa riesgos'!$AD$58="Muy Alta",'Mapa riesgos'!$AF$58="Mayor"),CONCATENATE("R10C",'Mapa riesgos'!$T$58),"")</f>
        <v/>
      </c>
      <c r="AF15" s="36" t="str">
        <f>IF(AND('Mapa riesgos'!$AD$59="Muy Alta",'Mapa riesgos'!$AF$59="Mayor"),CONCATENATE("R10C",'Mapa riesgos'!$T$59),"")</f>
        <v/>
      </c>
      <c r="AG15" s="37" t="str">
        <f>IF(AND('Mapa riesgos'!$AD$60="Muy Alta",'Mapa riesgos'!$AF$60="Mayor"),CONCATENATE("R10C",'Mapa riesgos'!$T$60),"")</f>
        <v/>
      </c>
      <c r="AH15" s="44" t="str">
        <f>IF(AND('Mapa riesgos'!$AD$55="Muy Alta",'Mapa riesgos'!$AF$55="Catastrófico"),CONCATENATE("R10C",'Mapa riesgos'!$T$55),"")</f>
        <v/>
      </c>
      <c r="AI15" s="45" t="str">
        <f>IF(AND('Mapa riesgos'!$AD$56="Muy Alta",'Mapa riesgos'!$AF$56="Catastrófico"),CONCATENATE("R10C",'Mapa riesgos'!$T$56),"")</f>
        <v/>
      </c>
      <c r="AJ15" s="45" t="str">
        <f>IF(AND('Mapa riesgos'!$AD$57="Muy Alta",'Mapa riesgos'!$AF$57="Catastrófico"),CONCATENATE("R10C",'Mapa riesgos'!$T$57),"")</f>
        <v/>
      </c>
      <c r="AK15" s="45" t="str">
        <f>IF(AND('Mapa riesgos'!$AD$58="Muy Alta",'Mapa riesgos'!$AF$58="Catastrófico"),CONCATENATE("R10C",'Mapa riesgos'!$T$58),"")</f>
        <v/>
      </c>
      <c r="AL15" s="45" t="str">
        <f>IF(AND('Mapa riesgos'!$AD$59="Muy Alta",'Mapa riesgos'!$AF$59="Catastrófico"),CONCATENATE("R10C",'Mapa riesgos'!$T$59),"")</f>
        <v/>
      </c>
      <c r="AM15" s="46" t="str">
        <f>IF(AND('Mapa riesgos'!$AD$60="Muy Alta",'Mapa riesgos'!$AF$60="Catastrófico"),CONCATENATE("R10C",'Mapa riesgos'!$T$60),"")</f>
        <v/>
      </c>
      <c r="AN15" s="66"/>
      <c r="AO15" s="454"/>
      <c r="AP15" s="455"/>
      <c r="AQ15" s="455"/>
      <c r="AR15" s="455"/>
      <c r="AS15" s="455"/>
      <c r="AT15" s="45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346"/>
      <c r="C16" s="346"/>
      <c r="D16" s="347"/>
      <c r="E16" s="441" t="s">
        <v>163</v>
      </c>
      <c r="F16" s="442"/>
      <c r="G16" s="442"/>
      <c r="H16" s="442"/>
      <c r="I16" s="442"/>
      <c r="J16" s="47" t="str">
        <f>IF(AND('Mapa riesgos'!$AD$13="Alta",'Mapa riesgos'!$AF$13="Leve"),CONCATENATE("R1C",'Mapa riesgos'!$T$13),"")</f>
        <v/>
      </c>
      <c r="K16" s="48" t="str">
        <f>IF(AND('Mapa riesgos'!$AD$14="Alta",'Mapa riesgos'!$AF$14="Leve"),CONCATENATE("R1C",'Mapa riesgos'!$T$14),"")</f>
        <v/>
      </c>
      <c r="L16" s="48" t="e">
        <f>IF(AND('Mapa riesgos'!#REF!="Alta",'Mapa riesgos'!#REF!="Leve"),CONCATENATE("R1C",'Mapa riesgos'!#REF!),"")</f>
        <v>#REF!</v>
      </c>
      <c r="M16" s="48" t="e">
        <f>IF(AND('Mapa riesgos'!#REF!="Alta",'Mapa riesgos'!#REF!="Leve"),CONCATENATE("R1C",'Mapa riesgos'!#REF!),"")</f>
        <v>#REF!</v>
      </c>
      <c r="N16" s="48" t="e">
        <f>IF(AND('Mapa riesgos'!#REF!="Alta",'Mapa riesgos'!#REF!="Leve"),CONCATENATE("R1C",'Mapa riesgos'!#REF!),"")</f>
        <v>#REF!</v>
      </c>
      <c r="O16" s="49" t="e">
        <f>IF(AND('Mapa riesgos'!#REF!="Alta",'Mapa riesgos'!#REF!="Leve"),CONCATENATE("R1C",'Mapa riesgos'!#REF!),"")</f>
        <v>#REF!</v>
      </c>
      <c r="P16" s="47" t="str">
        <f>IF(AND('Mapa riesgos'!$AD$13="Alta",'Mapa riesgos'!$AF$13="Menor"),CONCATENATE("R1C",'Mapa riesgos'!$T$13),"")</f>
        <v/>
      </c>
      <c r="Q16" s="48" t="str">
        <f>IF(AND('Mapa riesgos'!$AD$14="Alta",'Mapa riesgos'!$AF$14="Menor"),CONCATENATE("R1C",'Mapa riesgos'!$T$14),"")</f>
        <v/>
      </c>
      <c r="R16" s="48" t="e">
        <f>IF(AND('Mapa riesgos'!#REF!="Alta",'Mapa riesgos'!#REF!="Menor"),CONCATENATE("R1C",'Mapa riesgos'!#REF!),"")</f>
        <v>#REF!</v>
      </c>
      <c r="S16" s="48" t="e">
        <f>IF(AND('Mapa riesgos'!#REF!="Alta",'Mapa riesgos'!#REF!="Menor"),CONCATENATE("R1C",'Mapa riesgos'!#REF!),"")</f>
        <v>#REF!</v>
      </c>
      <c r="T16" s="48" t="e">
        <f>IF(AND('Mapa riesgos'!#REF!="Alta",'Mapa riesgos'!#REF!="Menor"),CONCATENATE("R1C",'Mapa riesgos'!#REF!),"")</f>
        <v>#REF!</v>
      </c>
      <c r="U16" s="49" t="e">
        <f>IF(AND('Mapa riesgos'!#REF!="Alta",'Mapa riesgos'!#REF!="Menor"),CONCATENATE("R1C",'Mapa riesgos'!#REF!),"")</f>
        <v>#REF!</v>
      </c>
      <c r="V16" s="29" t="str">
        <f>IF(AND('Mapa riesgos'!$AD$13="Alta",'Mapa riesgos'!$AF$13="Moderado"),CONCATENATE("R1C",'Mapa riesgos'!$T$13),"")</f>
        <v/>
      </c>
      <c r="W16" s="30" t="str">
        <f>IF(AND('Mapa riesgos'!$AD$14="Alta",'Mapa riesgos'!$AF$14="Moderado"),CONCATENATE("R1C",'Mapa riesgos'!$T$14),"")</f>
        <v/>
      </c>
      <c r="X16" s="30" t="e">
        <f>IF(AND('Mapa riesgos'!#REF!="Alta",'Mapa riesgos'!#REF!="Moderado"),CONCATENATE("R1C",'Mapa riesgos'!#REF!),"")</f>
        <v>#REF!</v>
      </c>
      <c r="Y16" s="30" t="e">
        <f>IF(AND('Mapa riesgos'!#REF!="Alta",'Mapa riesgos'!#REF!="Moderado"),CONCATENATE("R1C",'Mapa riesgos'!#REF!),"")</f>
        <v>#REF!</v>
      </c>
      <c r="Z16" s="30" t="e">
        <f>IF(AND('Mapa riesgos'!#REF!="Alta",'Mapa riesgos'!#REF!="Moderado"),CONCATENATE("R1C",'Mapa riesgos'!#REF!),"")</f>
        <v>#REF!</v>
      </c>
      <c r="AA16" s="31" t="e">
        <f>IF(AND('Mapa riesgos'!#REF!="Alta",'Mapa riesgos'!#REF!="Moderado"),CONCATENATE("R1C",'Mapa riesgos'!#REF!),"")</f>
        <v>#REF!</v>
      </c>
      <c r="AB16" s="29" t="str">
        <f>IF(AND('Mapa riesgos'!$AD$13="Alta",'Mapa riesgos'!$AF$13="Mayor"),CONCATENATE("R1C",'Mapa riesgos'!$T$13),"")</f>
        <v/>
      </c>
      <c r="AC16" s="30" t="str">
        <f>IF(AND('Mapa riesgos'!$AD$14="Alta",'Mapa riesgos'!$AF$14="Mayor"),CONCATENATE("R1C",'Mapa riesgos'!$T$14),"")</f>
        <v/>
      </c>
      <c r="AD16" s="30" t="e">
        <f>IF(AND('Mapa riesgos'!#REF!="Alta",'Mapa riesgos'!#REF!="Mayor"),CONCATENATE("R1C",'Mapa riesgos'!#REF!),"")</f>
        <v>#REF!</v>
      </c>
      <c r="AE16" s="30" t="e">
        <f>IF(AND('Mapa riesgos'!#REF!="Alta",'Mapa riesgos'!#REF!="Mayor"),CONCATENATE("R1C",'Mapa riesgos'!#REF!),"")</f>
        <v>#REF!</v>
      </c>
      <c r="AF16" s="30" t="e">
        <f>IF(AND('Mapa riesgos'!#REF!="Alta",'Mapa riesgos'!#REF!="Mayor"),CONCATENATE("R1C",'Mapa riesgos'!#REF!),"")</f>
        <v>#REF!</v>
      </c>
      <c r="AG16" s="31" t="e">
        <f>IF(AND('Mapa riesgos'!#REF!="Alta",'Mapa riesgos'!#REF!="Mayor"),CONCATENATE("R1C",'Mapa riesgos'!#REF!),"")</f>
        <v>#REF!</v>
      </c>
      <c r="AH16" s="32" t="str">
        <f>IF(AND('Mapa riesgos'!$AD$13="Alta",'Mapa riesgos'!$AF$13="Catastrófico"),CONCATENATE("R1C",'Mapa riesgos'!$T$13),"")</f>
        <v/>
      </c>
      <c r="AI16" s="33" t="str">
        <f>IF(AND('Mapa riesgos'!$AD$14="Alta",'Mapa riesgos'!$AF$14="Catastrófico"),CONCATENATE("R1C",'Mapa riesgos'!$T$14),"")</f>
        <v/>
      </c>
      <c r="AJ16" s="33" t="e">
        <f>IF(AND('Mapa riesgos'!#REF!="Alta",'Mapa riesgos'!#REF!="Catastrófico"),CONCATENATE("R1C",'Mapa riesgos'!#REF!),"")</f>
        <v>#REF!</v>
      </c>
      <c r="AK16" s="33" t="e">
        <f>IF(AND('Mapa riesgos'!#REF!="Alta",'Mapa riesgos'!#REF!="Catastrófico"),CONCATENATE("R1C",'Mapa riesgos'!#REF!),"")</f>
        <v>#REF!</v>
      </c>
      <c r="AL16" s="33" t="e">
        <f>IF(AND('Mapa riesgos'!#REF!="Alta",'Mapa riesgos'!#REF!="Catastrófico"),CONCATENATE("R1C",'Mapa riesgos'!#REF!),"")</f>
        <v>#REF!</v>
      </c>
      <c r="AM16" s="34" t="e">
        <f>IF(AND('Mapa riesgos'!#REF!="Alta",'Mapa riesgos'!#REF!="Catastrófico"),CONCATENATE("R1C",'Mapa riesgos'!#REF!),"")</f>
        <v>#REF!</v>
      </c>
      <c r="AN16" s="66"/>
      <c r="AO16" s="432" t="s">
        <v>164</v>
      </c>
      <c r="AP16" s="433"/>
      <c r="AQ16" s="433"/>
      <c r="AR16" s="433"/>
      <c r="AS16" s="433"/>
      <c r="AT16" s="43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346"/>
      <c r="C17" s="346"/>
      <c r="D17" s="347"/>
      <c r="E17" s="443"/>
      <c r="F17" s="444"/>
      <c r="G17" s="444"/>
      <c r="H17" s="444"/>
      <c r="I17" s="444"/>
      <c r="J17" s="50" t="str">
        <f>IF(AND('Mapa riesgos'!$AD$15="Alta",'Mapa riesgos'!$AF$15="Leve"),CONCATENATE("R2C",'Mapa riesgos'!$T$15),"")</f>
        <v/>
      </c>
      <c r="K17" s="51" t="str">
        <f>IF(AND('Mapa riesgos'!$AD$16="Alta",'Mapa riesgos'!$AF$16="Leve"),CONCATENATE("R2C",'Mapa riesgos'!$T$16),"")</f>
        <v/>
      </c>
      <c r="L17" s="51" t="e">
        <f>IF(AND('Mapa riesgos'!#REF!="Alta",'Mapa riesgos'!#REF!="Leve"),CONCATENATE("R2C",'Mapa riesgos'!#REF!),"")</f>
        <v>#REF!</v>
      </c>
      <c r="M17" s="51" t="e">
        <f>IF(AND('Mapa riesgos'!#REF!="Alta",'Mapa riesgos'!#REF!="Leve"),CONCATENATE("R2C",'Mapa riesgos'!#REF!),"")</f>
        <v>#REF!</v>
      </c>
      <c r="N17" s="51" t="e">
        <f>IF(AND('Mapa riesgos'!#REF!="Alta",'Mapa riesgos'!#REF!="Leve"),CONCATENATE("R2C",'Mapa riesgos'!#REF!),"")</f>
        <v>#REF!</v>
      </c>
      <c r="O17" s="52" t="e">
        <f>IF(AND('Mapa riesgos'!#REF!="Alta",'Mapa riesgos'!#REF!="Leve"),CONCATENATE("R2C",'Mapa riesgos'!#REF!),"")</f>
        <v>#REF!</v>
      </c>
      <c r="P17" s="50" t="str">
        <f>IF(AND('Mapa riesgos'!$AD$15="Alta",'Mapa riesgos'!$AF$15="Menor"),CONCATENATE("R2C",'Mapa riesgos'!$T$15),"")</f>
        <v/>
      </c>
      <c r="Q17" s="51" t="str">
        <f>IF(AND('Mapa riesgos'!$AD$16="Alta",'Mapa riesgos'!$AF$16="Menor"),CONCATENATE("R2C",'Mapa riesgos'!$T$16),"")</f>
        <v/>
      </c>
      <c r="R17" s="51" t="e">
        <f>IF(AND('Mapa riesgos'!#REF!="Alta",'Mapa riesgos'!#REF!="Menor"),CONCATENATE("R2C",'Mapa riesgos'!#REF!),"")</f>
        <v>#REF!</v>
      </c>
      <c r="S17" s="51" t="e">
        <f>IF(AND('Mapa riesgos'!#REF!="Alta",'Mapa riesgos'!#REF!="Menor"),CONCATENATE("R2C",'Mapa riesgos'!#REF!),"")</f>
        <v>#REF!</v>
      </c>
      <c r="T17" s="51" t="e">
        <f>IF(AND('Mapa riesgos'!#REF!="Alta",'Mapa riesgos'!#REF!="Menor"),CONCATENATE("R2C",'Mapa riesgos'!#REF!),"")</f>
        <v>#REF!</v>
      </c>
      <c r="U17" s="52" t="e">
        <f>IF(AND('Mapa riesgos'!#REF!="Alta",'Mapa riesgos'!#REF!="Menor"),CONCATENATE("R2C",'Mapa riesgos'!#REF!),"")</f>
        <v>#REF!</v>
      </c>
      <c r="V17" s="35" t="str">
        <f>IF(AND('Mapa riesgos'!$AD$15="Alta",'Mapa riesgos'!$AF$15="Moderado"),CONCATENATE("R2C",'Mapa riesgos'!$T$15),"")</f>
        <v/>
      </c>
      <c r="W17" s="36" t="str">
        <f>IF(AND('Mapa riesgos'!$AD$16="Alta",'Mapa riesgos'!$AF$16="Moderado"),CONCATENATE("R2C",'Mapa riesgos'!$T$16),"")</f>
        <v/>
      </c>
      <c r="X17" s="36" t="e">
        <f>IF(AND('Mapa riesgos'!#REF!="Alta",'Mapa riesgos'!#REF!="Moderado"),CONCATENATE("R2C",'Mapa riesgos'!#REF!),"")</f>
        <v>#REF!</v>
      </c>
      <c r="Y17" s="36" t="e">
        <f>IF(AND('Mapa riesgos'!#REF!="Alta",'Mapa riesgos'!#REF!="Moderado"),CONCATENATE("R2C",'Mapa riesgos'!#REF!),"")</f>
        <v>#REF!</v>
      </c>
      <c r="Z17" s="36" t="e">
        <f>IF(AND('Mapa riesgos'!#REF!="Alta",'Mapa riesgos'!#REF!="Moderado"),CONCATENATE("R2C",'Mapa riesgos'!#REF!),"")</f>
        <v>#REF!</v>
      </c>
      <c r="AA17" s="37" t="e">
        <f>IF(AND('Mapa riesgos'!#REF!="Alta",'Mapa riesgos'!#REF!="Moderado"),CONCATENATE("R2C",'Mapa riesgos'!#REF!),"")</f>
        <v>#REF!</v>
      </c>
      <c r="AB17" s="35" t="str">
        <f>IF(AND('Mapa riesgos'!$AD$15="Alta",'Mapa riesgos'!$AF$15="Mayor"),CONCATENATE("R2C",'Mapa riesgos'!$T$15),"")</f>
        <v/>
      </c>
      <c r="AC17" s="36" t="str">
        <f>IF(AND('Mapa riesgos'!$AD$16="Alta",'Mapa riesgos'!$AF$16="Mayor"),CONCATENATE("R2C",'Mapa riesgos'!$T$16),"")</f>
        <v/>
      </c>
      <c r="AD17" s="36" t="e">
        <f>IF(AND('Mapa riesgos'!#REF!="Alta",'Mapa riesgos'!#REF!="Mayor"),CONCATENATE("R2C",'Mapa riesgos'!#REF!),"")</f>
        <v>#REF!</v>
      </c>
      <c r="AE17" s="36" t="e">
        <f>IF(AND('Mapa riesgos'!#REF!="Alta",'Mapa riesgos'!#REF!="Mayor"),CONCATENATE("R2C",'Mapa riesgos'!#REF!),"")</f>
        <v>#REF!</v>
      </c>
      <c r="AF17" s="36" t="e">
        <f>IF(AND('Mapa riesgos'!#REF!="Alta",'Mapa riesgos'!#REF!="Mayor"),CONCATENATE("R2C",'Mapa riesgos'!#REF!),"")</f>
        <v>#REF!</v>
      </c>
      <c r="AG17" s="37" t="e">
        <f>IF(AND('Mapa riesgos'!#REF!="Alta",'Mapa riesgos'!#REF!="Mayor"),CONCATENATE("R2C",'Mapa riesgos'!#REF!),"")</f>
        <v>#REF!</v>
      </c>
      <c r="AH17" s="38" t="str">
        <f>IF(AND('Mapa riesgos'!$AD$15="Alta",'Mapa riesgos'!$AF$15="Catastrófico"),CONCATENATE("R2C",'Mapa riesgos'!$T$15),"")</f>
        <v/>
      </c>
      <c r="AI17" s="39" t="str">
        <f>IF(AND('Mapa riesgos'!$AD$16="Alta",'Mapa riesgos'!$AF$16="Catastrófico"),CONCATENATE("R2C",'Mapa riesgos'!$T$16),"")</f>
        <v/>
      </c>
      <c r="AJ17" s="39" t="e">
        <f>IF(AND('Mapa riesgos'!#REF!="Alta",'Mapa riesgos'!#REF!="Catastrófico"),CONCATENATE("R2C",'Mapa riesgos'!#REF!),"")</f>
        <v>#REF!</v>
      </c>
      <c r="AK17" s="39" t="e">
        <f>IF(AND('Mapa riesgos'!#REF!="Alta",'Mapa riesgos'!#REF!="Catastrófico"),CONCATENATE("R2C",'Mapa riesgos'!#REF!),"")</f>
        <v>#REF!</v>
      </c>
      <c r="AL17" s="39" t="e">
        <f>IF(AND('Mapa riesgos'!#REF!="Alta",'Mapa riesgos'!#REF!="Catastrófico"),CONCATENATE("R2C",'Mapa riesgos'!#REF!),"")</f>
        <v>#REF!</v>
      </c>
      <c r="AM17" s="40" t="e">
        <f>IF(AND('Mapa riesgos'!#REF!="Alta",'Mapa riesgos'!#REF!="Catastrófico"),CONCATENATE("R2C",'Mapa riesgos'!#REF!),"")</f>
        <v>#REF!</v>
      </c>
      <c r="AN17" s="66"/>
      <c r="AO17" s="435"/>
      <c r="AP17" s="436"/>
      <c r="AQ17" s="436"/>
      <c r="AR17" s="436"/>
      <c r="AS17" s="436"/>
      <c r="AT17" s="437"/>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346"/>
      <c r="C18" s="346"/>
      <c r="D18" s="347"/>
      <c r="E18" s="445"/>
      <c r="F18" s="444"/>
      <c r="G18" s="444"/>
      <c r="H18" s="444"/>
      <c r="I18" s="444"/>
      <c r="J18" s="50" t="str">
        <f>IF(AND('Mapa riesgos'!$AD$17="Alta",'Mapa riesgos'!$AF$17="Leve"),CONCATENATE("R3C",'Mapa riesgos'!$T$17),"")</f>
        <v/>
      </c>
      <c r="K18" s="51" t="str">
        <f>IF(AND('Mapa riesgos'!$AD$18="Alta",'Mapa riesgos'!$AF$18="Leve"),CONCATENATE("R3C",'Mapa riesgos'!$T$18),"")</f>
        <v/>
      </c>
      <c r="L18" s="51" t="e">
        <f>IF(AND('Mapa riesgos'!#REF!="Alta",'Mapa riesgos'!#REF!="Leve"),CONCATENATE("R3C",'Mapa riesgos'!#REF!),"")</f>
        <v>#REF!</v>
      </c>
      <c r="M18" s="51" t="e">
        <f>IF(AND('Mapa riesgos'!#REF!="Alta",'Mapa riesgos'!#REF!="Leve"),CONCATENATE("R3C",'Mapa riesgos'!#REF!),"")</f>
        <v>#REF!</v>
      </c>
      <c r="N18" s="51" t="e">
        <f>IF(AND('Mapa riesgos'!#REF!="Alta",'Mapa riesgos'!#REF!="Leve"),CONCATENATE("R3C",'Mapa riesgos'!#REF!),"")</f>
        <v>#REF!</v>
      </c>
      <c r="O18" s="52" t="e">
        <f>IF(AND('Mapa riesgos'!#REF!="Alta",'Mapa riesgos'!#REF!="Leve"),CONCATENATE("R3C",'Mapa riesgos'!#REF!),"")</f>
        <v>#REF!</v>
      </c>
      <c r="P18" s="50" t="str">
        <f>IF(AND('Mapa riesgos'!$AD$17="Alta",'Mapa riesgos'!$AF$17="Menor"),CONCATENATE("R3C",'Mapa riesgos'!$T$17),"")</f>
        <v/>
      </c>
      <c r="Q18" s="51" t="str">
        <f>IF(AND('Mapa riesgos'!$AD$18="Alta",'Mapa riesgos'!$AF$18="Menor"),CONCATENATE("R3C",'Mapa riesgos'!$T$18),"")</f>
        <v/>
      </c>
      <c r="R18" s="51" t="e">
        <f>IF(AND('Mapa riesgos'!#REF!="Alta",'Mapa riesgos'!#REF!="Menor"),CONCATENATE("R3C",'Mapa riesgos'!#REF!),"")</f>
        <v>#REF!</v>
      </c>
      <c r="S18" s="51" t="e">
        <f>IF(AND('Mapa riesgos'!#REF!="Alta",'Mapa riesgos'!#REF!="Menor"),CONCATENATE("R3C",'Mapa riesgos'!#REF!),"")</f>
        <v>#REF!</v>
      </c>
      <c r="T18" s="51" t="e">
        <f>IF(AND('Mapa riesgos'!#REF!="Alta",'Mapa riesgos'!#REF!="Menor"),CONCATENATE("R3C",'Mapa riesgos'!#REF!),"")</f>
        <v>#REF!</v>
      </c>
      <c r="U18" s="52" t="e">
        <f>IF(AND('Mapa riesgos'!#REF!="Alta",'Mapa riesgos'!#REF!="Menor"),CONCATENATE("R3C",'Mapa riesgos'!#REF!),"")</f>
        <v>#REF!</v>
      </c>
      <c r="V18" s="35" t="str">
        <f>IF(AND('Mapa riesgos'!$AD$17="Alta",'Mapa riesgos'!$AF$17="Moderado"),CONCATENATE("R3C",'Mapa riesgos'!$T$17),"")</f>
        <v/>
      </c>
      <c r="W18" s="36" t="str">
        <f>IF(AND('Mapa riesgos'!$AD$18="Alta",'Mapa riesgos'!$AF$18="Moderado"),CONCATENATE("R3C",'Mapa riesgos'!$T$18),"")</f>
        <v/>
      </c>
      <c r="X18" s="36" t="e">
        <f>IF(AND('Mapa riesgos'!#REF!="Alta",'Mapa riesgos'!#REF!="Moderado"),CONCATENATE("R3C",'Mapa riesgos'!#REF!),"")</f>
        <v>#REF!</v>
      </c>
      <c r="Y18" s="36" t="e">
        <f>IF(AND('Mapa riesgos'!#REF!="Alta",'Mapa riesgos'!#REF!="Moderado"),CONCATENATE("R3C",'Mapa riesgos'!#REF!),"")</f>
        <v>#REF!</v>
      </c>
      <c r="Z18" s="36" t="e">
        <f>IF(AND('Mapa riesgos'!#REF!="Alta",'Mapa riesgos'!#REF!="Moderado"),CONCATENATE("R3C",'Mapa riesgos'!#REF!),"")</f>
        <v>#REF!</v>
      </c>
      <c r="AA18" s="37" t="e">
        <f>IF(AND('Mapa riesgos'!#REF!="Alta",'Mapa riesgos'!#REF!="Moderado"),CONCATENATE("R3C",'Mapa riesgos'!#REF!),"")</f>
        <v>#REF!</v>
      </c>
      <c r="AB18" s="35" t="str">
        <f>IF(AND('Mapa riesgos'!$AD$17="Alta",'Mapa riesgos'!$AF$17="Mayor"),CONCATENATE("R3C",'Mapa riesgos'!$T$17),"")</f>
        <v/>
      </c>
      <c r="AC18" s="36" t="str">
        <f>IF(AND('Mapa riesgos'!$AD$18="Alta",'Mapa riesgos'!$AF$18="Mayor"),CONCATENATE("R3C",'Mapa riesgos'!$T$18),"")</f>
        <v/>
      </c>
      <c r="AD18" s="36" t="e">
        <f>IF(AND('Mapa riesgos'!#REF!="Alta",'Mapa riesgos'!#REF!="Mayor"),CONCATENATE("R3C",'Mapa riesgos'!#REF!),"")</f>
        <v>#REF!</v>
      </c>
      <c r="AE18" s="36" t="e">
        <f>IF(AND('Mapa riesgos'!#REF!="Alta",'Mapa riesgos'!#REF!="Mayor"),CONCATENATE("R3C",'Mapa riesgos'!#REF!),"")</f>
        <v>#REF!</v>
      </c>
      <c r="AF18" s="36" t="e">
        <f>IF(AND('Mapa riesgos'!#REF!="Alta",'Mapa riesgos'!#REF!="Mayor"),CONCATENATE("R3C",'Mapa riesgos'!#REF!),"")</f>
        <v>#REF!</v>
      </c>
      <c r="AG18" s="37" t="e">
        <f>IF(AND('Mapa riesgos'!#REF!="Alta",'Mapa riesgos'!#REF!="Mayor"),CONCATENATE("R3C",'Mapa riesgos'!#REF!),"")</f>
        <v>#REF!</v>
      </c>
      <c r="AH18" s="38" t="str">
        <f>IF(AND('Mapa riesgos'!$AD$17="Alta",'Mapa riesgos'!$AF$17="Catastrófico"),CONCATENATE("R3C",'Mapa riesgos'!$T$17),"")</f>
        <v/>
      </c>
      <c r="AI18" s="39" t="str">
        <f>IF(AND('Mapa riesgos'!$AD$18="Alta",'Mapa riesgos'!$AF$18="Catastrófico"),CONCATENATE("R3C",'Mapa riesgos'!$T$18),"")</f>
        <v/>
      </c>
      <c r="AJ18" s="39" t="e">
        <f>IF(AND('Mapa riesgos'!#REF!="Alta",'Mapa riesgos'!#REF!="Catastrófico"),CONCATENATE("R3C",'Mapa riesgos'!#REF!),"")</f>
        <v>#REF!</v>
      </c>
      <c r="AK18" s="39" t="e">
        <f>IF(AND('Mapa riesgos'!#REF!="Alta",'Mapa riesgos'!#REF!="Catastrófico"),CONCATENATE("R3C",'Mapa riesgos'!#REF!),"")</f>
        <v>#REF!</v>
      </c>
      <c r="AL18" s="39" t="e">
        <f>IF(AND('Mapa riesgos'!#REF!="Alta",'Mapa riesgos'!#REF!="Catastrófico"),CONCATENATE("R3C",'Mapa riesgos'!#REF!),"")</f>
        <v>#REF!</v>
      </c>
      <c r="AM18" s="40" t="e">
        <f>IF(AND('Mapa riesgos'!#REF!="Alta",'Mapa riesgos'!#REF!="Catastrófico"),CONCATENATE("R3C",'Mapa riesgos'!#REF!),"")</f>
        <v>#REF!</v>
      </c>
      <c r="AN18" s="66"/>
      <c r="AO18" s="435"/>
      <c r="AP18" s="436"/>
      <c r="AQ18" s="436"/>
      <c r="AR18" s="436"/>
      <c r="AS18" s="436"/>
      <c r="AT18" s="437"/>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346"/>
      <c r="C19" s="346"/>
      <c r="D19" s="347"/>
      <c r="E19" s="445"/>
      <c r="F19" s="444"/>
      <c r="G19" s="444"/>
      <c r="H19" s="444"/>
      <c r="I19" s="444"/>
      <c r="J19" s="50" t="str">
        <f>IF(AND('Mapa riesgos'!$AD$19="Alta",'Mapa riesgos'!$AF$19="Leve"),CONCATENATE("R4C",'Mapa riesgos'!$T$19),"")</f>
        <v/>
      </c>
      <c r="K19" s="51" t="str">
        <f>IF(AND('Mapa riesgos'!$AD$20="Alta",'Mapa riesgos'!$AF$20="Leve"),CONCATENATE("R4C",'Mapa riesgos'!$T$20),"")</f>
        <v/>
      </c>
      <c r="L19" s="51" t="str">
        <f>IF(AND('Mapa riesgos'!$AD$21="Alta",'Mapa riesgos'!$AF$21="Leve"),CONCATENATE("R4C",'Mapa riesgos'!$T$21),"")</f>
        <v/>
      </c>
      <c r="M19" s="51" t="str">
        <f>IF(AND('Mapa riesgos'!$AD$22="Alta",'Mapa riesgos'!$AF$22="Leve"),CONCATENATE("R4C",'Mapa riesgos'!$T$22),"")</f>
        <v/>
      </c>
      <c r="N19" s="51" t="str">
        <f>IF(AND('Mapa riesgos'!$AD$23="Alta",'Mapa riesgos'!$AF$23="Leve"),CONCATENATE("R4C",'Mapa riesgos'!$T$23),"")</f>
        <v/>
      </c>
      <c r="O19" s="52" t="str">
        <f>IF(AND('Mapa riesgos'!$AD$24="Alta",'Mapa riesgos'!$AF$24="Leve"),CONCATENATE("R4C",'Mapa riesgos'!$T$24),"")</f>
        <v/>
      </c>
      <c r="P19" s="50" t="str">
        <f>IF(AND('Mapa riesgos'!$AD$19="Alta",'Mapa riesgos'!$AF$19="Menor"),CONCATENATE("R4C",'Mapa riesgos'!$T$19),"")</f>
        <v/>
      </c>
      <c r="Q19" s="51" t="str">
        <f>IF(AND('Mapa riesgos'!$AD$20="Alta",'Mapa riesgos'!$AF$20="Menor"),CONCATENATE("R4C",'Mapa riesgos'!$T$20),"")</f>
        <v/>
      </c>
      <c r="R19" s="51" t="str">
        <f>IF(AND('Mapa riesgos'!$AD$21="Alta",'Mapa riesgos'!$AF$21="Menor"),CONCATENATE("R4C",'Mapa riesgos'!$T$21),"")</f>
        <v/>
      </c>
      <c r="S19" s="51" t="str">
        <f>IF(AND('Mapa riesgos'!$AD$22="Alta",'Mapa riesgos'!$AF$22="Menor"),CONCATENATE("R4C",'Mapa riesgos'!$T$22),"")</f>
        <v/>
      </c>
      <c r="T19" s="51" t="str">
        <f>IF(AND('Mapa riesgos'!$AD$23="Alta",'Mapa riesgos'!$AF$23="Menor"),CONCATENATE("R4C",'Mapa riesgos'!$T$23),"")</f>
        <v/>
      </c>
      <c r="U19" s="52" t="str">
        <f>IF(AND('Mapa riesgos'!$AD$24="Alta",'Mapa riesgos'!$AF$24="Menor"),CONCATENATE("R4C",'Mapa riesgos'!$T$24),"")</f>
        <v/>
      </c>
      <c r="V19" s="35" t="str">
        <f>IF(AND('Mapa riesgos'!$AD$19="Alta",'Mapa riesgos'!$AF$19="Moderado"),CONCATENATE("R4C",'Mapa riesgos'!$T$19),"")</f>
        <v/>
      </c>
      <c r="W19" s="36" t="str">
        <f>IF(AND('Mapa riesgos'!$AD$20="Alta",'Mapa riesgos'!$AF$20="Moderado"),CONCATENATE("R4C",'Mapa riesgos'!$T$20),"")</f>
        <v/>
      </c>
      <c r="X19" s="36" t="str">
        <f>IF(AND('Mapa riesgos'!$AD$21="Alta",'Mapa riesgos'!$AF$21="Moderado"),CONCATENATE("R4C",'Mapa riesgos'!$T$21),"")</f>
        <v/>
      </c>
      <c r="Y19" s="36" t="str">
        <f>IF(AND('Mapa riesgos'!$AD$22="Alta",'Mapa riesgos'!$AF$22="Moderado"),CONCATENATE("R4C",'Mapa riesgos'!$T$22),"")</f>
        <v/>
      </c>
      <c r="Z19" s="36" t="str">
        <f>IF(AND('Mapa riesgos'!$AD$23="Alta",'Mapa riesgos'!$AF$23="Moderado"),CONCATENATE("R4C",'Mapa riesgos'!$T$23),"")</f>
        <v/>
      </c>
      <c r="AA19" s="37" t="str">
        <f>IF(AND('Mapa riesgos'!$AD$24="Alta",'Mapa riesgos'!$AF$24="Moderado"),CONCATENATE("R4C",'Mapa riesgos'!$T$24),"")</f>
        <v/>
      </c>
      <c r="AB19" s="35" t="str">
        <f>IF(AND('Mapa riesgos'!$AD$19="Alta",'Mapa riesgos'!$AF$19="Mayor"),CONCATENATE("R4C",'Mapa riesgos'!$T$19),"")</f>
        <v/>
      </c>
      <c r="AC19" s="36" t="str">
        <f>IF(AND('Mapa riesgos'!$AD$20="Alta",'Mapa riesgos'!$AF$20="Mayor"),CONCATENATE("R4C",'Mapa riesgos'!$T$20),"")</f>
        <v/>
      </c>
      <c r="AD19" s="36" t="str">
        <f>IF(AND('Mapa riesgos'!$AD$21="Alta",'Mapa riesgos'!$AF$21="Mayor"),CONCATENATE("R4C",'Mapa riesgos'!$T$21),"")</f>
        <v/>
      </c>
      <c r="AE19" s="36" t="str">
        <f>IF(AND('Mapa riesgos'!$AD$22="Alta",'Mapa riesgos'!$AF$22="Mayor"),CONCATENATE("R4C",'Mapa riesgos'!$T$22),"")</f>
        <v/>
      </c>
      <c r="AF19" s="36" t="str">
        <f>IF(AND('Mapa riesgos'!$AD$23="Alta",'Mapa riesgos'!$AF$23="Mayor"),CONCATENATE("R4C",'Mapa riesgos'!$T$23),"")</f>
        <v/>
      </c>
      <c r="AG19" s="37" t="str">
        <f>IF(AND('Mapa riesgos'!$AD$24="Alta",'Mapa riesgos'!$AF$24="Mayor"),CONCATENATE("R4C",'Mapa riesgos'!$T$24),"")</f>
        <v/>
      </c>
      <c r="AH19" s="38" t="str">
        <f>IF(AND('Mapa riesgos'!$AD$19="Alta",'Mapa riesgos'!$AF$19="Catastrófico"),CONCATENATE("R4C",'Mapa riesgos'!$T$19),"")</f>
        <v/>
      </c>
      <c r="AI19" s="39" t="str">
        <f>IF(AND('Mapa riesgos'!$AD$20="Alta",'Mapa riesgos'!$AF$20="Catastrófico"),CONCATENATE("R4C",'Mapa riesgos'!$T$20),"")</f>
        <v/>
      </c>
      <c r="AJ19" s="39" t="str">
        <f>IF(AND('Mapa riesgos'!$AD$21="Alta",'Mapa riesgos'!$AF$21="Catastrófico"),CONCATENATE("R4C",'Mapa riesgos'!$T$21),"")</f>
        <v/>
      </c>
      <c r="AK19" s="39" t="str">
        <f>IF(AND('Mapa riesgos'!$AD$22="Alta",'Mapa riesgos'!$AF$22="Catastrófico"),CONCATENATE("R4C",'Mapa riesgos'!$T$22),"")</f>
        <v/>
      </c>
      <c r="AL19" s="39" t="str">
        <f>IF(AND('Mapa riesgos'!$AD$23="Alta",'Mapa riesgos'!$AF$23="Catastrófico"),CONCATENATE("R4C",'Mapa riesgos'!$T$23),"")</f>
        <v/>
      </c>
      <c r="AM19" s="40" t="str">
        <f>IF(AND('Mapa riesgos'!$AD$24="Alta",'Mapa riesgos'!$AF$24="Catastrófico"),CONCATENATE("R4C",'Mapa riesgos'!$T$24),"")</f>
        <v/>
      </c>
      <c r="AN19" s="66"/>
      <c r="AO19" s="435"/>
      <c r="AP19" s="436"/>
      <c r="AQ19" s="436"/>
      <c r="AR19" s="436"/>
      <c r="AS19" s="436"/>
      <c r="AT19" s="437"/>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346"/>
      <c r="C20" s="346"/>
      <c r="D20" s="347"/>
      <c r="E20" s="445"/>
      <c r="F20" s="444"/>
      <c r="G20" s="444"/>
      <c r="H20" s="444"/>
      <c r="I20" s="444"/>
      <c r="J20" s="50" t="str">
        <f>IF(AND('Mapa riesgos'!$AD$25="Alta",'Mapa riesgos'!$AF$25="Leve"),CONCATENATE("R5C",'Mapa riesgos'!$T$25),"")</f>
        <v/>
      </c>
      <c r="K20" s="51" t="str">
        <f>IF(AND('Mapa riesgos'!$AD$26="Alta",'Mapa riesgos'!$AF$26="Leve"),CONCATENATE("R5C",'Mapa riesgos'!$T$26),"")</f>
        <v/>
      </c>
      <c r="L20" s="51" t="str">
        <f>IF(AND('Mapa riesgos'!$AD$27="Alta",'Mapa riesgos'!$AF$27="Leve"),CONCATENATE("R5C",'Mapa riesgos'!$T$27),"")</f>
        <v/>
      </c>
      <c r="M20" s="51" t="str">
        <f>IF(AND('Mapa riesgos'!$AD$28="Alta",'Mapa riesgos'!$AF$28="Leve"),CONCATENATE("R5C",'Mapa riesgos'!$T$28),"")</f>
        <v/>
      </c>
      <c r="N20" s="51" t="str">
        <f>IF(AND('Mapa riesgos'!$AD$29="Alta",'Mapa riesgos'!$AF$29="Leve"),CONCATENATE("R5C",'Mapa riesgos'!$T$29),"")</f>
        <v/>
      </c>
      <c r="O20" s="52" t="str">
        <f>IF(AND('Mapa riesgos'!$AD$30="Alta",'Mapa riesgos'!$AF$30="Leve"),CONCATENATE("R5C",'Mapa riesgos'!$T$30),"")</f>
        <v/>
      </c>
      <c r="P20" s="50" t="str">
        <f>IF(AND('Mapa riesgos'!$AD$25="Alta",'Mapa riesgos'!$AF$25="Menor"),CONCATENATE("R5C",'Mapa riesgos'!$T$25),"")</f>
        <v/>
      </c>
      <c r="Q20" s="51" t="str">
        <f>IF(AND('Mapa riesgos'!$AD$26="Alta",'Mapa riesgos'!$AF$26="Menor"),CONCATENATE("R5C",'Mapa riesgos'!$T$26),"")</f>
        <v/>
      </c>
      <c r="R20" s="51" t="str">
        <f>IF(AND('Mapa riesgos'!$AD$27="Alta",'Mapa riesgos'!$AF$27="Menor"),CONCATENATE("R5C",'Mapa riesgos'!$T$27),"")</f>
        <v/>
      </c>
      <c r="S20" s="51" t="str">
        <f>IF(AND('Mapa riesgos'!$AD$28="Alta",'Mapa riesgos'!$AF$28="Menor"),CONCATENATE("R5C",'Mapa riesgos'!$T$28),"")</f>
        <v/>
      </c>
      <c r="T20" s="51" t="str">
        <f>IF(AND('Mapa riesgos'!$AD$29="Alta",'Mapa riesgos'!$AF$29="Menor"),CONCATENATE("R5C",'Mapa riesgos'!$T$29),"")</f>
        <v/>
      </c>
      <c r="U20" s="52" t="str">
        <f>IF(AND('Mapa riesgos'!$AD$30="Alta",'Mapa riesgos'!$AF$30="Menor"),CONCATENATE("R5C",'Mapa riesgos'!$T$30),"")</f>
        <v/>
      </c>
      <c r="V20" s="35" t="str">
        <f>IF(AND('Mapa riesgos'!$AD$25="Alta",'Mapa riesgos'!$AF$25="Moderado"),CONCATENATE("R5C",'Mapa riesgos'!$T$25),"")</f>
        <v/>
      </c>
      <c r="W20" s="36" t="str">
        <f>IF(AND('Mapa riesgos'!$AD$26="Alta",'Mapa riesgos'!$AF$26="Moderado"),CONCATENATE("R5C",'Mapa riesgos'!$T$26),"")</f>
        <v/>
      </c>
      <c r="X20" s="36" t="str">
        <f>IF(AND('Mapa riesgos'!$AD$27="Alta",'Mapa riesgos'!$AF$27="Moderado"),CONCATENATE("R5C",'Mapa riesgos'!$T$27),"")</f>
        <v/>
      </c>
      <c r="Y20" s="36" t="str">
        <f>IF(AND('Mapa riesgos'!$AD$28="Alta",'Mapa riesgos'!$AF$28="Moderado"),CONCATENATE("R5C",'Mapa riesgos'!$T$28),"")</f>
        <v/>
      </c>
      <c r="Z20" s="36" t="str">
        <f>IF(AND('Mapa riesgos'!$AD$29="Alta",'Mapa riesgos'!$AF$29="Moderado"),CONCATENATE("R5C",'Mapa riesgos'!$T$29),"")</f>
        <v/>
      </c>
      <c r="AA20" s="37" t="str">
        <f>IF(AND('Mapa riesgos'!$AD$30="Alta",'Mapa riesgos'!$AF$30="Moderado"),CONCATENATE("R5C",'Mapa riesgos'!$T$30),"")</f>
        <v/>
      </c>
      <c r="AB20" s="35" t="str">
        <f>IF(AND('Mapa riesgos'!$AD$25="Alta",'Mapa riesgos'!$AF$25="Mayor"),CONCATENATE("R5C",'Mapa riesgos'!$T$25),"")</f>
        <v/>
      </c>
      <c r="AC20" s="36" t="str">
        <f>IF(AND('Mapa riesgos'!$AD$26="Alta",'Mapa riesgos'!$AF$26="Mayor"),CONCATENATE("R5C",'Mapa riesgos'!$T$26),"")</f>
        <v/>
      </c>
      <c r="AD20" s="36" t="str">
        <f>IF(AND('Mapa riesgos'!$AD$27="Alta",'Mapa riesgos'!$AF$27="Mayor"),CONCATENATE("R5C",'Mapa riesgos'!$T$27),"")</f>
        <v/>
      </c>
      <c r="AE20" s="36" t="str">
        <f>IF(AND('Mapa riesgos'!$AD$28="Alta",'Mapa riesgos'!$AF$28="Mayor"),CONCATENATE("R5C",'Mapa riesgos'!$T$28),"")</f>
        <v/>
      </c>
      <c r="AF20" s="36" t="str">
        <f>IF(AND('Mapa riesgos'!$AD$29="Alta",'Mapa riesgos'!$AF$29="Mayor"),CONCATENATE("R5C",'Mapa riesgos'!$T$29),"")</f>
        <v/>
      </c>
      <c r="AG20" s="37" t="str">
        <f>IF(AND('Mapa riesgos'!$AD$30="Alta",'Mapa riesgos'!$AF$30="Mayor"),CONCATENATE("R5C",'Mapa riesgos'!$T$30),"")</f>
        <v/>
      </c>
      <c r="AH20" s="38" t="str">
        <f>IF(AND('Mapa riesgos'!$AD$25="Alta",'Mapa riesgos'!$AF$25="Catastrófico"),CONCATENATE("R5C",'Mapa riesgos'!$T$25),"")</f>
        <v/>
      </c>
      <c r="AI20" s="39" t="str">
        <f>IF(AND('Mapa riesgos'!$AD$26="Alta",'Mapa riesgos'!$AF$26="Catastrófico"),CONCATENATE("R5C",'Mapa riesgos'!$T$26),"")</f>
        <v/>
      </c>
      <c r="AJ20" s="39" t="str">
        <f>IF(AND('Mapa riesgos'!$AD$27="Alta",'Mapa riesgos'!$AF$27="Catastrófico"),CONCATENATE("R5C",'Mapa riesgos'!$T$27),"")</f>
        <v/>
      </c>
      <c r="AK20" s="39" t="str">
        <f>IF(AND('Mapa riesgos'!$AD$28="Alta",'Mapa riesgos'!$AF$28="Catastrófico"),CONCATENATE("R5C",'Mapa riesgos'!$T$28),"")</f>
        <v/>
      </c>
      <c r="AL20" s="39" t="str">
        <f>IF(AND('Mapa riesgos'!$AD$29="Alta",'Mapa riesgos'!$AF$29="Catastrófico"),CONCATENATE("R5C",'Mapa riesgos'!$T$29),"")</f>
        <v/>
      </c>
      <c r="AM20" s="40" t="str">
        <f>IF(AND('Mapa riesgos'!$AD$30="Alta",'Mapa riesgos'!$AF$30="Catastrófico"),CONCATENATE("R5C",'Mapa riesgos'!$T$30),"")</f>
        <v/>
      </c>
      <c r="AN20" s="66"/>
      <c r="AO20" s="435"/>
      <c r="AP20" s="436"/>
      <c r="AQ20" s="436"/>
      <c r="AR20" s="436"/>
      <c r="AS20" s="436"/>
      <c r="AT20" s="437"/>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346"/>
      <c r="C21" s="346"/>
      <c r="D21" s="347"/>
      <c r="E21" s="445"/>
      <c r="F21" s="444"/>
      <c r="G21" s="444"/>
      <c r="H21" s="444"/>
      <c r="I21" s="444"/>
      <c r="J21" s="50" t="str">
        <f>IF(AND('Mapa riesgos'!$AD$31="Alta",'Mapa riesgos'!$AF$31="Leve"),CONCATENATE("R6C",'Mapa riesgos'!$T$31),"")</f>
        <v/>
      </c>
      <c r="K21" s="51" t="str">
        <f>IF(AND('Mapa riesgos'!$AD$32="Alta",'Mapa riesgos'!$AF$32="Leve"),CONCATENATE("R6C",'Mapa riesgos'!$T$32),"")</f>
        <v/>
      </c>
      <c r="L21" s="51" t="str">
        <f>IF(AND('Mapa riesgos'!$AD$33="Alta",'Mapa riesgos'!$AF$33="Leve"),CONCATENATE("R6C",'Mapa riesgos'!$T$33),"")</f>
        <v/>
      </c>
      <c r="M21" s="51" t="str">
        <f>IF(AND('Mapa riesgos'!$AD$34="Alta",'Mapa riesgos'!$AF$34="Leve"),CONCATENATE("R6C",'Mapa riesgos'!$T$34),"")</f>
        <v/>
      </c>
      <c r="N21" s="51" t="str">
        <f>IF(AND('Mapa riesgos'!$AD$35="Alta",'Mapa riesgos'!$AF$35="Leve"),CONCATENATE("R6C",'Mapa riesgos'!$T$35),"")</f>
        <v/>
      </c>
      <c r="O21" s="52" t="str">
        <f>IF(AND('Mapa riesgos'!$AD$36="Alta",'Mapa riesgos'!$AF$36="Leve"),CONCATENATE("R6C",'Mapa riesgos'!$T$36),"")</f>
        <v/>
      </c>
      <c r="P21" s="50" t="str">
        <f>IF(AND('Mapa riesgos'!$AD$31="Alta",'Mapa riesgos'!$AF$31="Menor"),CONCATENATE("R6C",'Mapa riesgos'!$T$31),"")</f>
        <v/>
      </c>
      <c r="Q21" s="51" t="str">
        <f>IF(AND('Mapa riesgos'!$AD$32="Alta",'Mapa riesgos'!$AF$32="Menor"),CONCATENATE("R6C",'Mapa riesgos'!$T$32),"")</f>
        <v/>
      </c>
      <c r="R21" s="51" t="str">
        <f>IF(AND('Mapa riesgos'!$AD$33="Alta",'Mapa riesgos'!$AF$33="Menor"),CONCATENATE("R6C",'Mapa riesgos'!$T$33),"")</f>
        <v/>
      </c>
      <c r="S21" s="51" t="str">
        <f>IF(AND('Mapa riesgos'!$AD$34="Alta",'Mapa riesgos'!$AF$34="Menor"),CONCATENATE("R6C",'Mapa riesgos'!$T$34),"")</f>
        <v/>
      </c>
      <c r="T21" s="51" t="str">
        <f>IF(AND('Mapa riesgos'!$AD$35="Alta",'Mapa riesgos'!$AF$35="Menor"),CONCATENATE("R6C",'Mapa riesgos'!$T$35),"")</f>
        <v/>
      </c>
      <c r="U21" s="52" t="str">
        <f>IF(AND('Mapa riesgos'!$AD$36="Alta",'Mapa riesgos'!$AF$36="Menor"),CONCATENATE("R6C",'Mapa riesgos'!$T$36),"")</f>
        <v/>
      </c>
      <c r="V21" s="35" t="str">
        <f>IF(AND('Mapa riesgos'!$AD$31="Alta",'Mapa riesgos'!$AF$31="Moderado"),CONCATENATE("R6C",'Mapa riesgos'!$T$31),"")</f>
        <v/>
      </c>
      <c r="W21" s="36" t="str">
        <f>IF(AND('Mapa riesgos'!$AD$32="Alta",'Mapa riesgos'!$AF$32="Moderado"),CONCATENATE("R6C",'Mapa riesgos'!$T$32),"")</f>
        <v/>
      </c>
      <c r="X21" s="36" t="str">
        <f>IF(AND('Mapa riesgos'!$AD$33="Alta",'Mapa riesgos'!$AF$33="Moderado"),CONCATENATE("R6C",'Mapa riesgos'!$T$33),"")</f>
        <v/>
      </c>
      <c r="Y21" s="36" t="str">
        <f>IF(AND('Mapa riesgos'!$AD$34="Alta",'Mapa riesgos'!$AF$34="Moderado"),CONCATENATE("R6C",'Mapa riesgos'!$T$34),"")</f>
        <v/>
      </c>
      <c r="Z21" s="36" t="str">
        <f>IF(AND('Mapa riesgos'!$AD$35="Alta",'Mapa riesgos'!$AF$35="Moderado"),CONCATENATE("R6C",'Mapa riesgos'!$T$35),"")</f>
        <v/>
      </c>
      <c r="AA21" s="37" t="str">
        <f>IF(AND('Mapa riesgos'!$AD$36="Alta",'Mapa riesgos'!$AF$36="Moderado"),CONCATENATE("R6C",'Mapa riesgos'!$T$36),"")</f>
        <v/>
      </c>
      <c r="AB21" s="35" t="str">
        <f>IF(AND('Mapa riesgos'!$AD$31="Alta",'Mapa riesgos'!$AF$31="Mayor"),CONCATENATE("R6C",'Mapa riesgos'!$T$31),"")</f>
        <v/>
      </c>
      <c r="AC21" s="36" t="str">
        <f>IF(AND('Mapa riesgos'!$AD$32="Alta",'Mapa riesgos'!$AF$32="Mayor"),CONCATENATE("R6C",'Mapa riesgos'!$T$32),"")</f>
        <v/>
      </c>
      <c r="AD21" s="36" t="str">
        <f>IF(AND('Mapa riesgos'!$AD$33="Alta",'Mapa riesgos'!$AF$33="Mayor"),CONCATENATE("R6C",'Mapa riesgos'!$T$33),"")</f>
        <v/>
      </c>
      <c r="AE21" s="36" t="str">
        <f>IF(AND('Mapa riesgos'!$AD$34="Alta",'Mapa riesgos'!$AF$34="Mayor"),CONCATENATE("R6C",'Mapa riesgos'!$T$34),"")</f>
        <v/>
      </c>
      <c r="AF21" s="36" t="str">
        <f>IF(AND('Mapa riesgos'!$AD$35="Alta",'Mapa riesgos'!$AF$35="Mayor"),CONCATENATE("R6C",'Mapa riesgos'!$T$35),"")</f>
        <v/>
      </c>
      <c r="AG21" s="37" t="str">
        <f>IF(AND('Mapa riesgos'!$AD$36="Alta",'Mapa riesgos'!$AF$36="Mayor"),CONCATENATE("R6C",'Mapa riesgos'!$T$36),"")</f>
        <v/>
      </c>
      <c r="AH21" s="38" t="str">
        <f>IF(AND('Mapa riesgos'!$AD$31="Alta",'Mapa riesgos'!$AF$31="Catastrófico"),CONCATENATE("R6C",'Mapa riesgos'!$T$31),"")</f>
        <v/>
      </c>
      <c r="AI21" s="39" t="str">
        <f>IF(AND('Mapa riesgos'!$AD$32="Alta",'Mapa riesgos'!$AF$32="Catastrófico"),CONCATENATE("R6C",'Mapa riesgos'!$T$32),"")</f>
        <v/>
      </c>
      <c r="AJ21" s="39" t="str">
        <f>IF(AND('Mapa riesgos'!$AD$33="Alta",'Mapa riesgos'!$AF$33="Catastrófico"),CONCATENATE("R6C",'Mapa riesgos'!$T$33),"")</f>
        <v/>
      </c>
      <c r="AK21" s="39" t="str">
        <f>IF(AND('Mapa riesgos'!$AD$34="Alta",'Mapa riesgos'!$AF$34="Catastrófico"),CONCATENATE("R6C",'Mapa riesgos'!$T$34),"")</f>
        <v/>
      </c>
      <c r="AL21" s="39" t="str">
        <f>IF(AND('Mapa riesgos'!$AD$35="Alta",'Mapa riesgos'!$AF$35="Catastrófico"),CONCATENATE("R6C",'Mapa riesgos'!$T$35),"")</f>
        <v/>
      </c>
      <c r="AM21" s="40" t="str">
        <f>IF(AND('Mapa riesgos'!$AD$36="Alta",'Mapa riesgos'!$AF$36="Catastrófico"),CONCATENATE("R6C",'Mapa riesgos'!$T$36),"")</f>
        <v/>
      </c>
      <c r="AN21" s="66"/>
      <c r="AO21" s="435"/>
      <c r="AP21" s="436"/>
      <c r="AQ21" s="436"/>
      <c r="AR21" s="436"/>
      <c r="AS21" s="436"/>
      <c r="AT21" s="43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346"/>
      <c r="C22" s="346"/>
      <c r="D22" s="347"/>
      <c r="E22" s="445"/>
      <c r="F22" s="444"/>
      <c r="G22" s="444"/>
      <c r="H22" s="444"/>
      <c r="I22" s="444"/>
      <c r="J22" s="50" t="str">
        <f>IF(AND('Mapa riesgos'!$AD$37="Alta",'Mapa riesgos'!$AF$37="Leve"),CONCATENATE("R7C",'Mapa riesgos'!$T$37),"")</f>
        <v/>
      </c>
      <c r="K22" s="51" t="str">
        <f>IF(AND('Mapa riesgos'!$AD$38="Alta",'Mapa riesgos'!$AF$38="Leve"),CONCATENATE("R7C",'Mapa riesgos'!$T$38),"")</f>
        <v/>
      </c>
      <c r="L22" s="51" t="str">
        <f>IF(AND('Mapa riesgos'!$AD$39="Alta",'Mapa riesgos'!$AF$39="Leve"),CONCATENATE("R7C",'Mapa riesgos'!$T$39),"")</f>
        <v/>
      </c>
      <c r="M22" s="51" t="str">
        <f>IF(AND('Mapa riesgos'!$AD$40="Alta",'Mapa riesgos'!$AF$40="Leve"),CONCATENATE("R7C",'Mapa riesgos'!$T$40),"")</f>
        <v/>
      </c>
      <c r="N22" s="51" t="str">
        <f>IF(AND('Mapa riesgos'!$AD$41="Alta",'Mapa riesgos'!$AF$41="Leve"),CONCATENATE("R7C",'Mapa riesgos'!$T$41),"")</f>
        <v/>
      </c>
      <c r="O22" s="52" t="str">
        <f>IF(AND('Mapa riesgos'!$AD$42="Alta",'Mapa riesgos'!$AF$42="Leve"),CONCATENATE("R7C",'Mapa riesgos'!$T$42),"")</f>
        <v/>
      </c>
      <c r="P22" s="50" t="str">
        <f>IF(AND('Mapa riesgos'!$AD$37="Alta",'Mapa riesgos'!$AF$37="Menor"),CONCATENATE("R7C",'Mapa riesgos'!$T$37),"")</f>
        <v/>
      </c>
      <c r="Q22" s="51" t="str">
        <f>IF(AND('Mapa riesgos'!$AD$38="Alta",'Mapa riesgos'!$AF$38="Menor"),CONCATENATE("R7C",'Mapa riesgos'!$T$38),"")</f>
        <v/>
      </c>
      <c r="R22" s="51" t="str">
        <f>IF(AND('Mapa riesgos'!$AD$39="Alta",'Mapa riesgos'!$AF$39="Menor"),CONCATENATE("R7C",'Mapa riesgos'!$T$39),"")</f>
        <v/>
      </c>
      <c r="S22" s="51" t="str">
        <f>IF(AND('Mapa riesgos'!$AD$40="Alta",'Mapa riesgos'!$AF$40="Menor"),CONCATENATE("R7C",'Mapa riesgos'!$T$40),"")</f>
        <v/>
      </c>
      <c r="T22" s="51" t="str">
        <f>IF(AND('Mapa riesgos'!$AD$41="Alta",'Mapa riesgos'!$AF$41="Menor"),CONCATENATE("R7C",'Mapa riesgos'!$T$41),"")</f>
        <v/>
      </c>
      <c r="U22" s="52" t="str">
        <f>IF(AND('Mapa riesgos'!$AD$42="Alta",'Mapa riesgos'!$AF$42="Menor"),CONCATENATE("R7C",'Mapa riesgos'!$T$42),"")</f>
        <v/>
      </c>
      <c r="V22" s="35" t="str">
        <f>IF(AND('Mapa riesgos'!$AD$37="Alta",'Mapa riesgos'!$AF$37="Moderado"),CONCATENATE("R7C",'Mapa riesgos'!$T$37),"")</f>
        <v/>
      </c>
      <c r="W22" s="36" t="str">
        <f>IF(AND('Mapa riesgos'!$AD$38="Alta",'Mapa riesgos'!$AF$38="Moderado"),CONCATENATE("R7C",'Mapa riesgos'!$T$38),"")</f>
        <v/>
      </c>
      <c r="X22" s="36" t="str">
        <f>IF(AND('Mapa riesgos'!$AD$39="Alta",'Mapa riesgos'!$AF$39="Moderado"),CONCATENATE("R7C",'Mapa riesgos'!$T$39),"")</f>
        <v/>
      </c>
      <c r="Y22" s="36" t="str">
        <f>IF(AND('Mapa riesgos'!$AD$40="Alta",'Mapa riesgos'!$AF$40="Moderado"),CONCATENATE("R7C",'Mapa riesgos'!$T$40),"")</f>
        <v/>
      </c>
      <c r="Z22" s="36" t="str">
        <f>IF(AND('Mapa riesgos'!$AD$41="Alta",'Mapa riesgos'!$AF$41="Moderado"),CONCATENATE("R7C",'Mapa riesgos'!$T$41),"")</f>
        <v/>
      </c>
      <c r="AA22" s="37" t="str">
        <f>IF(AND('Mapa riesgos'!$AD$42="Alta",'Mapa riesgos'!$AF$42="Moderado"),CONCATENATE("R7C",'Mapa riesgos'!$T$42),"")</f>
        <v/>
      </c>
      <c r="AB22" s="35" t="str">
        <f>IF(AND('Mapa riesgos'!$AD$37="Alta",'Mapa riesgos'!$AF$37="Mayor"),CONCATENATE("R7C",'Mapa riesgos'!$T$37),"")</f>
        <v/>
      </c>
      <c r="AC22" s="36" t="str">
        <f>IF(AND('Mapa riesgos'!$AD$38="Alta",'Mapa riesgos'!$AF$38="Mayor"),CONCATENATE("R7C",'Mapa riesgos'!$T$38),"")</f>
        <v/>
      </c>
      <c r="AD22" s="36" t="str">
        <f>IF(AND('Mapa riesgos'!$AD$39="Alta",'Mapa riesgos'!$AF$39="Mayor"),CONCATENATE("R7C",'Mapa riesgos'!$T$39),"")</f>
        <v/>
      </c>
      <c r="AE22" s="36" t="str">
        <f>IF(AND('Mapa riesgos'!$AD$40="Alta",'Mapa riesgos'!$AF$40="Mayor"),CONCATENATE("R7C",'Mapa riesgos'!$T$40),"")</f>
        <v/>
      </c>
      <c r="AF22" s="36" t="str">
        <f>IF(AND('Mapa riesgos'!$AD$41="Alta",'Mapa riesgos'!$AF$41="Mayor"),CONCATENATE("R7C",'Mapa riesgos'!$T$41),"")</f>
        <v/>
      </c>
      <c r="AG22" s="37" t="str">
        <f>IF(AND('Mapa riesgos'!$AD$42="Alta",'Mapa riesgos'!$AF$42="Mayor"),CONCATENATE("R7C",'Mapa riesgos'!$T$42),"")</f>
        <v/>
      </c>
      <c r="AH22" s="38" t="str">
        <f>IF(AND('Mapa riesgos'!$AD$37="Alta",'Mapa riesgos'!$AF$37="Catastrófico"),CONCATENATE("R7C",'Mapa riesgos'!$T$37),"")</f>
        <v/>
      </c>
      <c r="AI22" s="39" t="str">
        <f>IF(AND('Mapa riesgos'!$AD$38="Alta",'Mapa riesgos'!$AF$38="Catastrófico"),CONCATENATE("R7C",'Mapa riesgos'!$T$38),"")</f>
        <v/>
      </c>
      <c r="AJ22" s="39" t="str">
        <f>IF(AND('Mapa riesgos'!$AD$39="Alta",'Mapa riesgos'!$AF$39="Catastrófico"),CONCATENATE("R7C",'Mapa riesgos'!$T$39),"")</f>
        <v/>
      </c>
      <c r="AK22" s="39" t="str">
        <f>IF(AND('Mapa riesgos'!$AD$40="Alta",'Mapa riesgos'!$AF$40="Catastrófico"),CONCATENATE("R7C",'Mapa riesgos'!$T$40),"")</f>
        <v/>
      </c>
      <c r="AL22" s="39" t="str">
        <f>IF(AND('Mapa riesgos'!$AD$41="Alta",'Mapa riesgos'!$AF$41="Catastrófico"),CONCATENATE("R7C",'Mapa riesgos'!$T$41),"")</f>
        <v/>
      </c>
      <c r="AM22" s="40" t="str">
        <f>IF(AND('Mapa riesgos'!$AD$42="Alta",'Mapa riesgos'!$AF$42="Catastrófico"),CONCATENATE("R7C",'Mapa riesgos'!$T$42),"")</f>
        <v/>
      </c>
      <c r="AN22" s="66"/>
      <c r="AO22" s="435"/>
      <c r="AP22" s="436"/>
      <c r="AQ22" s="436"/>
      <c r="AR22" s="436"/>
      <c r="AS22" s="436"/>
      <c r="AT22" s="437"/>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346"/>
      <c r="C23" s="346"/>
      <c r="D23" s="347"/>
      <c r="E23" s="445"/>
      <c r="F23" s="444"/>
      <c r="G23" s="444"/>
      <c r="H23" s="444"/>
      <c r="I23" s="444"/>
      <c r="J23" s="50" t="str">
        <f>IF(AND('Mapa riesgos'!$AD$43="Alta",'Mapa riesgos'!$AF$43="Leve"),CONCATENATE("R8C",'Mapa riesgos'!$T$43),"")</f>
        <v/>
      </c>
      <c r="K23" s="51" t="str">
        <f>IF(AND('Mapa riesgos'!$AD$44="Alta",'Mapa riesgos'!$AF$44="Leve"),CONCATENATE("R8C",'Mapa riesgos'!$T$44),"")</f>
        <v/>
      </c>
      <c r="L23" s="51" t="str">
        <f>IF(AND('Mapa riesgos'!$AD$45="Alta",'Mapa riesgos'!$AF$45="Leve"),CONCATENATE("R8C",'Mapa riesgos'!$T$45),"")</f>
        <v/>
      </c>
      <c r="M23" s="51" t="str">
        <f>IF(AND('Mapa riesgos'!$AD$46="Alta",'Mapa riesgos'!$AF$46="Leve"),CONCATENATE("R8C",'Mapa riesgos'!$T$46),"")</f>
        <v/>
      </c>
      <c r="N23" s="51" t="str">
        <f>IF(AND('Mapa riesgos'!$AD$47="Alta",'Mapa riesgos'!$AF$47="Leve"),CONCATENATE("R8C",'Mapa riesgos'!$T$47),"")</f>
        <v/>
      </c>
      <c r="O23" s="52" t="str">
        <f>IF(AND('Mapa riesgos'!$AD$48="Alta",'Mapa riesgos'!$AF$48="Leve"),CONCATENATE("R8C",'Mapa riesgos'!$T$48),"")</f>
        <v/>
      </c>
      <c r="P23" s="50" t="str">
        <f>IF(AND('Mapa riesgos'!$AD$43="Alta",'Mapa riesgos'!$AF$43="Menor"),CONCATENATE("R8C",'Mapa riesgos'!$T$43),"")</f>
        <v/>
      </c>
      <c r="Q23" s="51" t="str">
        <f>IF(AND('Mapa riesgos'!$AD$44="Alta",'Mapa riesgos'!$AF$44="Menor"),CONCATENATE("R8C",'Mapa riesgos'!$T$44),"")</f>
        <v/>
      </c>
      <c r="R23" s="51" t="str">
        <f>IF(AND('Mapa riesgos'!$AD$45="Alta",'Mapa riesgos'!$AF$45="Menor"),CONCATENATE("R8C",'Mapa riesgos'!$T$45),"")</f>
        <v/>
      </c>
      <c r="S23" s="51" t="str">
        <f>IF(AND('Mapa riesgos'!$AD$46="Alta",'Mapa riesgos'!$AF$46="Menor"),CONCATENATE("R8C",'Mapa riesgos'!$T$46),"")</f>
        <v/>
      </c>
      <c r="T23" s="51" t="str">
        <f>IF(AND('Mapa riesgos'!$AD$47="Alta",'Mapa riesgos'!$AF$47="Menor"),CONCATENATE("R8C",'Mapa riesgos'!$T$47),"")</f>
        <v/>
      </c>
      <c r="U23" s="52" t="str">
        <f>IF(AND('Mapa riesgos'!$AD$48="Alta",'Mapa riesgos'!$AF$48="Menor"),CONCATENATE("R8C",'Mapa riesgos'!$T$48),"")</f>
        <v/>
      </c>
      <c r="V23" s="35" t="str">
        <f>IF(AND('Mapa riesgos'!$AD$43="Alta",'Mapa riesgos'!$AF$43="Moderado"),CONCATENATE("R8C",'Mapa riesgos'!$T$43),"")</f>
        <v/>
      </c>
      <c r="W23" s="36" t="str">
        <f>IF(AND('Mapa riesgos'!$AD$44="Alta",'Mapa riesgos'!$AF$44="Moderado"),CONCATENATE("R8C",'Mapa riesgos'!$T$44),"")</f>
        <v/>
      </c>
      <c r="X23" s="36" t="str">
        <f>IF(AND('Mapa riesgos'!$AD$45="Alta",'Mapa riesgos'!$AF$45="Moderado"),CONCATENATE("R8C",'Mapa riesgos'!$T$45),"")</f>
        <v/>
      </c>
      <c r="Y23" s="36" t="str">
        <f>IF(AND('Mapa riesgos'!$AD$46="Alta",'Mapa riesgos'!$AF$46="Moderado"),CONCATENATE("R8C",'Mapa riesgos'!$T$46),"")</f>
        <v/>
      </c>
      <c r="Z23" s="36" t="str">
        <f>IF(AND('Mapa riesgos'!$AD$47="Alta",'Mapa riesgos'!$AF$47="Moderado"),CONCATENATE("R8C",'Mapa riesgos'!$T$47),"")</f>
        <v/>
      </c>
      <c r="AA23" s="37" t="str">
        <f>IF(AND('Mapa riesgos'!$AD$48="Alta",'Mapa riesgos'!$AF$48="Moderado"),CONCATENATE("R8C",'Mapa riesgos'!$T$48),"")</f>
        <v/>
      </c>
      <c r="AB23" s="35" t="str">
        <f>IF(AND('Mapa riesgos'!$AD$43="Alta",'Mapa riesgos'!$AF$43="Mayor"),CONCATENATE("R8C",'Mapa riesgos'!$T$43),"")</f>
        <v/>
      </c>
      <c r="AC23" s="36" t="str">
        <f>IF(AND('Mapa riesgos'!$AD$44="Alta",'Mapa riesgos'!$AF$44="Mayor"),CONCATENATE("R8C",'Mapa riesgos'!$T$44),"")</f>
        <v/>
      </c>
      <c r="AD23" s="36" t="str">
        <f>IF(AND('Mapa riesgos'!$AD$45="Alta",'Mapa riesgos'!$AF$45="Mayor"),CONCATENATE("R8C",'Mapa riesgos'!$T$45),"")</f>
        <v/>
      </c>
      <c r="AE23" s="36" t="str">
        <f>IF(AND('Mapa riesgos'!$AD$46="Alta",'Mapa riesgos'!$AF$46="Mayor"),CONCATENATE("R8C",'Mapa riesgos'!$T$46),"")</f>
        <v/>
      </c>
      <c r="AF23" s="36" t="str">
        <f>IF(AND('Mapa riesgos'!$AD$47="Alta",'Mapa riesgos'!$AF$47="Mayor"),CONCATENATE("R8C",'Mapa riesgos'!$T$47),"")</f>
        <v/>
      </c>
      <c r="AG23" s="37" t="str">
        <f>IF(AND('Mapa riesgos'!$AD$48="Alta",'Mapa riesgos'!$AF$48="Mayor"),CONCATENATE("R8C",'Mapa riesgos'!$T$48),"")</f>
        <v/>
      </c>
      <c r="AH23" s="38" t="str">
        <f>IF(AND('Mapa riesgos'!$AD$43="Alta",'Mapa riesgos'!$AF$43="Catastrófico"),CONCATENATE("R8C",'Mapa riesgos'!$T$43),"")</f>
        <v/>
      </c>
      <c r="AI23" s="39" t="str">
        <f>IF(AND('Mapa riesgos'!$AD$44="Alta",'Mapa riesgos'!$AF$44="Catastrófico"),CONCATENATE("R8C",'Mapa riesgos'!$T$44),"")</f>
        <v/>
      </c>
      <c r="AJ23" s="39" t="str">
        <f>IF(AND('Mapa riesgos'!$AD$45="Alta",'Mapa riesgos'!$AF$45="Catastrófico"),CONCATENATE("R8C",'Mapa riesgos'!$T$45),"")</f>
        <v/>
      </c>
      <c r="AK23" s="39" t="str">
        <f>IF(AND('Mapa riesgos'!$AD$46="Alta",'Mapa riesgos'!$AF$46="Catastrófico"),CONCATENATE("R8C",'Mapa riesgos'!$T$46),"")</f>
        <v/>
      </c>
      <c r="AL23" s="39" t="str">
        <f>IF(AND('Mapa riesgos'!$AD$47="Alta",'Mapa riesgos'!$AF$47="Catastrófico"),CONCATENATE("R8C",'Mapa riesgos'!$T$47),"")</f>
        <v/>
      </c>
      <c r="AM23" s="40" t="str">
        <f>IF(AND('Mapa riesgos'!$AD$48="Alta",'Mapa riesgos'!$AF$48="Catastrófico"),CONCATENATE("R8C",'Mapa riesgos'!$T$48),"")</f>
        <v/>
      </c>
      <c r="AN23" s="66"/>
      <c r="AO23" s="435"/>
      <c r="AP23" s="436"/>
      <c r="AQ23" s="436"/>
      <c r="AR23" s="436"/>
      <c r="AS23" s="436"/>
      <c r="AT23" s="437"/>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346"/>
      <c r="C24" s="346"/>
      <c r="D24" s="347"/>
      <c r="E24" s="445"/>
      <c r="F24" s="444"/>
      <c r="G24" s="444"/>
      <c r="H24" s="444"/>
      <c r="I24" s="444"/>
      <c r="J24" s="50" t="str">
        <f>IF(AND('Mapa riesgos'!$AD$49="Alta",'Mapa riesgos'!$AF$49="Leve"),CONCATENATE("R9C",'Mapa riesgos'!$T$49),"")</f>
        <v/>
      </c>
      <c r="K24" s="51" t="str">
        <f>IF(AND('Mapa riesgos'!$AD$50="Alta",'Mapa riesgos'!$AF$50="Leve"),CONCATENATE("R9C",'Mapa riesgos'!$T$50),"")</f>
        <v/>
      </c>
      <c r="L24" s="51" t="str">
        <f>IF(AND('Mapa riesgos'!$AD$51="Alta",'Mapa riesgos'!$AF$51="Leve"),CONCATENATE("R9C",'Mapa riesgos'!$T$51),"")</f>
        <v/>
      </c>
      <c r="M24" s="51" t="str">
        <f>IF(AND('Mapa riesgos'!$AD$52="Alta",'Mapa riesgos'!$AF$52="Leve"),CONCATENATE("R9C",'Mapa riesgos'!$T$52),"")</f>
        <v/>
      </c>
      <c r="N24" s="51" t="str">
        <f>IF(AND('Mapa riesgos'!$AD$53="Alta",'Mapa riesgos'!$AF$53="Leve"),CONCATENATE("R9C",'Mapa riesgos'!$T$53),"")</f>
        <v/>
      </c>
      <c r="O24" s="52" t="str">
        <f>IF(AND('Mapa riesgos'!$AD$54="Alta",'Mapa riesgos'!$AF$54="Leve"),CONCATENATE("R9C",'Mapa riesgos'!$T$54),"")</f>
        <v/>
      </c>
      <c r="P24" s="50" t="str">
        <f>IF(AND('Mapa riesgos'!$AD$49="Alta",'Mapa riesgos'!$AF$49="Menor"),CONCATENATE("R9C",'Mapa riesgos'!$T$49),"")</f>
        <v/>
      </c>
      <c r="Q24" s="51" t="str">
        <f>IF(AND('Mapa riesgos'!$AD$50="Alta",'Mapa riesgos'!$AF$50="Menor"),CONCATENATE("R9C",'Mapa riesgos'!$T$50),"")</f>
        <v/>
      </c>
      <c r="R24" s="51" t="str">
        <f>IF(AND('Mapa riesgos'!$AD$51="Alta",'Mapa riesgos'!$AF$51="Menor"),CONCATENATE("R9C",'Mapa riesgos'!$T$51),"")</f>
        <v/>
      </c>
      <c r="S24" s="51" t="str">
        <f>IF(AND('Mapa riesgos'!$AD$52="Alta",'Mapa riesgos'!$AF$52="Menor"),CONCATENATE("R9C",'Mapa riesgos'!$T$52),"")</f>
        <v/>
      </c>
      <c r="T24" s="51" t="str">
        <f>IF(AND('Mapa riesgos'!$AD$53="Alta",'Mapa riesgos'!$AF$53="Menor"),CONCATENATE("R9C",'Mapa riesgos'!$T$53),"")</f>
        <v/>
      </c>
      <c r="U24" s="52" t="str">
        <f>IF(AND('Mapa riesgos'!$AD$54="Alta",'Mapa riesgos'!$AF$54="Menor"),CONCATENATE("R9C",'Mapa riesgos'!$T$54),"")</f>
        <v/>
      </c>
      <c r="V24" s="35" t="str">
        <f>IF(AND('Mapa riesgos'!$AD$49="Alta",'Mapa riesgos'!$AF$49="Moderado"),CONCATENATE("R9C",'Mapa riesgos'!$T$49),"")</f>
        <v/>
      </c>
      <c r="W24" s="36" t="str">
        <f>IF(AND('Mapa riesgos'!$AD$50="Alta",'Mapa riesgos'!$AF$50="Moderado"),CONCATENATE("R9C",'Mapa riesgos'!$T$50),"")</f>
        <v/>
      </c>
      <c r="X24" s="36" t="str">
        <f>IF(AND('Mapa riesgos'!$AD$51="Alta",'Mapa riesgos'!$AF$51="Moderado"),CONCATENATE("R9C",'Mapa riesgos'!$T$51),"")</f>
        <v/>
      </c>
      <c r="Y24" s="36" t="str">
        <f>IF(AND('Mapa riesgos'!$AD$52="Alta",'Mapa riesgos'!$AF$52="Moderado"),CONCATENATE("R9C",'Mapa riesgos'!$T$52),"")</f>
        <v/>
      </c>
      <c r="Z24" s="36" t="str">
        <f>IF(AND('Mapa riesgos'!$AD$53="Alta",'Mapa riesgos'!$AF$53="Moderado"),CONCATENATE("R9C",'Mapa riesgos'!$T$53),"")</f>
        <v/>
      </c>
      <c r="AA24" s="37" t="str">
        <f>IF(AND('Mapa riesgos'!$AD$54="Alta",'Mapa riesgos'!$AF$54="Moderado"),CONCATENATE("R9C",'Mapa riesgos'!$T$54),"")</f>
        <v/>
      </c>
      <c r="AB24" s="35" t="str">
        <f>IF(AND('Mapa riesgos'!$AD$49="Alta",'Mapa riesgos'!$AF$49="Mayor"),CONCATENATE("R9C",'Mapa riesgos'!$T$49),"")</f>
        <v/>
      </c>
      <c r="AC24" s="36" t="str">
        <f>IF(AND('Mapa riesgos'!$AD$50="Alta",'Mapa riesgos'!$AF$50="Mayor"),CONCATENATE("R9C",'Mapa riesgos'!$T$50),"")</f>
        <v/>
      </c>
      <c r="AD24" s="36" t="str">
        <f>IF(AND('Mapa riesgos'!$AD$51="Alta",'Mapa riesgos'!$AF$51="Mayor"),CONCATENATE("R9C",'Mapa riesgos'!$T$51),"")</f>
        <v/>
      </c>
      <c r="AE24" s="36" t="str">
        <f>IF(AND('Mapa riesgos'!$AD$52="Alta",'Mapa riesgos'!$AF$52="Mayor"),CONCATENATE("R9C",'Mapa riesgos'!$T$52),"")</f>
        <v/>
      </c>
      <c r="AF24" s="36" t="str">
        <f>IF(AND('Mapa riesgos'!$AD$53="Alta",'Mapa riesgos'!$AF$53="Mayor"),CONCATENATE("R9C",'Mapa riesgos'!$T$53),"")</f>
        <v/>
      </c>
      <c r="AG24" s="37" t="str">
        <f>IF(AND('Mapa riesgos'!$AD$54="Alta",'Mapa riesgos'!$AF$54="Mayor"),CONCATENATE("R9C",'Mapa riesgos'!$T$54),"")</f>
        <v/>
      </c>
      <c r="AH24" s="38" t="str">
        <f>IF(AND('Mapa riesgos'!$AD$49="Alta",'Mapa riesgos'!$AF$49="Catastrófico"),CONCATENATE("R9C",'Mapa riesgos'!$T$49),"")</f>
        <v/>
      </c>
      <c r="AI24" s="39" t="str">
        <f>IF(AND('Mapa riesgos'!$AD$50="Alta",'Mapa riesgos'!$AF$50="Catastrófico"),CONCATENATE("R9C",'Mapa riesgos'!$T$50),"")</f>
        <v/>
      </c>
      <c r="AJ24" s="39" t="str">
        <f>IF(AND('Mapa riesgos'!$AD$51="Alta",'Mapa riesgos'!$AF$51="Catastrófico"),CONCATENATE("R9C",'Mapa riesgos'!$T$51),"")</f>
        <v/>
      </c>
      <c r="AK24" s="39" t="str">
        <f>IF(AND('Mapa riesgos'!$AD$52="Alta",'Mapa riesgos'!$AF$52="Catastrófico"),CONCATENATE("R9C",'Mapa riesgos'!$T$52),"")</f>
        <v/>
      </c>
      <c r="AL24" s="39" t="str">
        <f>IF(AND('Mapa riesgos'!$AD$53="Alta",'Mapa riesgos'!$AF$53="Catastrófico"),CONCATENATE("R9C",'Mapa riesgos'!$T$53),"")</f>
        <v/>
      </c>
      <c r="AM24" s="40" t="str">
        <f>IF(AND('Mapa riesgos'!$AD$54="Alta",'Mapa riesgos'!$AF$54="Catastrófico"),CONCATENATE("R9C",'Mapa riesgos'!$T$54),"")</f>
        <v/>
      </c>
      <c r="AN24" s="66"/>
      <c r="AO24" s="435"/>
      <c r="AP24" s="436"/>
      <c r="AQ24" s="436"/>
      <c r="AR24" s="436"/>
      <c r="AS24" s="436"/>
      <c r="AT24" s="437"/>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346"/>
      <c r="C25" s="346"/>
      <c r="D25" s="347"/>
      <c r="E25" s="446"/>
      <c r="F25" s="447"/>
      <c r="G25" s="447"/>
      <c r="H25" s="447"/>
      <c r="I25" s="447"/>
      <c r="J25" s="53" t="str">
        <f>IF(AND('Mapa riesgos'!$AD$55="Alta",'Mapa riesgos'!$AF$55="Leve"),CONCATENATE("R10C",'Mapa riesgos'!$T$55),"")</f>
        <v/>
      </c>
      <c r="K25" s="54" t="str">
        <f>IF(AND('Mapa riesgos'!$AD$56="Alta",'Mapa riesgos'!$AF$56="Leve"),CONCATENATE("R10C",'Mapa riesgos'!$T$56),"")</f>
        <v/>
      </c>
      <c r="L25" s="54" t="str">
        <f>IF(AND('Mapa riesgos'!$AD$57="Alta",'Mapa riesgos'!$AF$57="Leve"),CONCATENATE("R10C",'Mapa riesgos'!$T$57),"")</f>
        <v/>
      </c>
      <c r="M25" s="54" t="str">
        <f>IF(AND('Mapa riesgos'!$AD$58="Alta",'Mapa riesgos'!$AF$58="Leve"),CONCATENATE("R10C",'Mapa riesgos'!$T$58),"")</f>
        <v/>
      </c>
      <c r="N25" s="54" t="str">
        <f>IF(AND('Mapa riesgos'!$AD$59="Alta",'Mapa riesgos'!$AF$59="Leve"),CONCATENATE("R10C",'Mapa riesgos'!$T$59),"")</f>
        <v/>
      </c>
      <c r="O25" s="55" t="str">
        <f>IF(AND('Mapa riesgos'!$AD$60="Alta",'Mapa riesgos'!$AF$60="Leve"),CONCATENATE("R10C",'Mapa riesgos'!$T$60),"")</f>
        <v/>
      </c>
      <c r="P25" s="53" t="str">
        <f>IF(AND('Mapa riesgos'!$AD$55="Alta",'Mapa riesgos'!$AF$55="Menor"),CONCATENATE("R10C",'Mapa riesgos'!$T$55),"")</f>
        <v/>
      </c>
      <c r="Q25" s="54" t="str">
        <f>IF(AND('Mapa riesgos'!$AD$56="Alta",'Mapa riesgos'!$AF$56="Menor"),CONCATENATE("R10C",'Mapa riesgos'!$T$56),"")</f>
        <v/>
      </c>
      <c r="R25" s="54" t="str">
        <f>IF(AND('Mapa riesgos'!$AD$57="Alta",'Mapa riesgos'!$AF$57="Menor"),CONCATENATE("R10C",'Mapa riesgos'!$T$57),"")</f>
        <v/>
      </c>
      <c r="S25" s="54" t="str">
        <f>IF(AND('Mapa riesgos'!$AD$58="Alta",'Mapa riesgos'!$AF$58="Menor"),CONCATENATE("R10C",'Mapa riesgos'!$T$58),"")</f>
        <v/>
      </c>
      <c r="T25" s="54" t="str">
        <f>IF(AND('Mapa riesgos'!$AD$59="Alta",'Mapa riesgos'!$AF$59="Menor"),CONCATENATE("R10C",'Mapa riesgos'!$T$59),"")</f>
        <v/>
      </c>
      <c r="U25" s="55" t="str">
        <f>IF(AND('Mapa riesgos'!$AD$60="Alta",'Mapa riesgos'!$AF$60="Menor"),CONCATENATE("R10C",'Mapa riesgos'!$T$60),"")</f>
        <v/>
      </c>
      <c r="V25" s="41" t="str">
        <f>IF(AND('Mapa riesgos'!$AD$55="Alta",'Mapa riesgos'!$AF$55="Moderado"),CONCATENATE("R10C",'Mapa riesgos'!$T$55),"")</f>
        <v/>
      </c>
      <c r="W25" s="42" t="str">
        <f>IF(AND('Mapa riesgos'!$AD$56="Alta",'Mapa riesgos'!$AF$56="Moderado"),CONCATENATE("R10C",'Mapa riesgos'!$T$56),"")</f>
        <v/>
      </c>
      <c r="X25" s="42" t="str">
        <f>IF(AND('Mapa riesgos'!$AD$57="Alta",'Mapa riesgos'!$AF$57="Moderado"),CONCATENATE("R10C",'Mapa riesgos'!$T$57),"")</f>
        <v/>
      </c>
      <c r="Y25" s="42" t="str">
        <f>IF(AND('Mapa riesgos'!$AD$58="Alta",'Mapa riesgos'!$AF$58="Moderado"),CONCATENATE("R10C",'Mapa riesgos'!$T$58),"")</f>
        <v/>
      </c>
      <c r="Z25" s="42" t="str">
        <f>IF(AND('Mapa riesgos'!$AD$59="Alta",'Mapa riesgos'!$AF$59="Moderado"),CONCATENATE("R10C",'Mapa riesgos'!$T$59),"")</f>
        <v/>
      </c>
      <c r="AA25" s="43" t="str">
        <f>IF(AND('Mapa riesgos'!$AD$60="Alta",'Mapa riesgos'!$AF$60="Moderado"),CONCATENATE("R10C",'Mapa riesgos'!$T$60),"")</f>
        <v/>
      </c>
      <c r="AB25" s="41" t="str">
        <f>IF(AND('Mapa riesgos'!$AD$55="Alta",'Mapa riesgos'!$AF$55="Mayor"),CONCATENATE("R10C",'Mapa riesgos'!$T$55),"")</f>
        <v/>
      </c>
      <c r="AC25" s="42" t="str">
        <f>IF(AND('Mapa riesgos'!$AD$56="Alta",'Mapa riesgos'!$AF$56="Mayor"),CONCATENATE("R10C",'Mapa riesgos'!$T$56),"")</f>
        <v/>
      </c>
      <c r="AD25" s="42" t="str">
        <f>IF(AND('Mapa riesgos'!$AD$57="Alta",'Mapa riesgos'!$AF$57="Mayor"),CONCATENATE("R10C",'Mapa riesgos'!$T$57),"")</f>
        <v/>
      </c>
      <c r="AE25" s="42" t="str">
        <f>IF(AND('Mapa riesgos'!$AD$58="Alta",'Mapa riesgos'!$AF$58="Mayor"),CONCATENATE("R10C",'Mapa riesgos'!$T$58),"")</f>
        <v/>
      </c>
      <c r="AF25" s="42" t="str">
        <f>IF(AND('Mapa riesgos'!$AD$59="Alta",'Mapa riesgos'!$AF$59="Mayor"),CONCATENATE("R10C",'Mapa riesgos'!$T$59),"")</f>
        <v/>
      </c>
      <c r="AG25" s="43" t="str">
        <f>IF(AND('Mapa riesgos'!$AD$60="Alta",'Mapa riesgos'!$AF$60="Mayor"),CONCATENATE("R10C",'Mapa riesgos'!$T$60),"")</f>
        <v/>
      </c>
      <c r="AH25" s="44" t="str">
        <f>IF(AND('Mapa riesgos'!$AD$55="Alta",'Mapa riesgos'!$AF$55="Catastrófico"),CONCATENATE("R10C",'Mapa riesgos'!$T$55),"")</f>
        <v/>
      </c>
      <c r="AI25" s="45" t="str">
        <f>IF(AND('Mapa riesgos'!$AD$56="Alta",'Mapa riesgos'!$AF$56="Catastrófico"),CONCATENATE("R10C",'Mapa riesgos'!$T$56),"")</f>
        <v/>
      </c>
      <c r="AJ25" s="45" t="str">
        <f>IF(AND('Mapa riesgos'!$AD$57="Alta",'Mapa riesgos'!$AF$57="Catastrófico"),CONCATENATE("R10C",'Mapa riesgos'!$T$57),"")</f>
        <v/>
      </c>
      <c r="AK25" s="45" t="str">
        <f>IF(AND('Mapa riesgos'!$AD$58="Alta",'Mapa riesgos'!$AF$58="Catastrófico"),CONCATENATE("R10C",'Mapa riesgos'!$T$58),"")</f>
        <v/>
      </c>
      <c r="AL25" s="45" t="str">
        <f>IF(AND('Mapa riesgos'!$AD$59="Alta",'Mapa riesgos'!$AF$59="Catastrófico"),CONCATENATE("R10C",'Mapa riesgos'!$T$59),"")</f>
        <v/>
      </c>
      <c r="AM25" s="46" t="str">
        <f>IF(AND('Mapa riesgos'!$AD$60="Alta",'Mapa riesgos'!$AF$60="Catastrófico"),CONCATENATE("R10C",'Mapa riesgos'!$T$60),"")</f>
        <v/>
      </c>
      <c r="AN25" s="66"/>
      <c r="AO25" s="438"/>
      <c r="AP25" s="439"/>
      <c r="AQ25" s="439"/>
      <c r="AR25" s="439"/>
      <c r="AS25" s="439"/>
      <c r="AT25" s="440"/>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346"/>
      <c r="C26" s="346"/>
      <c r="D26" s="347"/>
      <c r="E26" s="441" t="s">
        <v>165</v>
      </c>
      <c r="F26" s="442"/>
      <c r="G26" s="442"/>
      <c r="H26" s="442"/>
      <c r="I26" s="459"/>
      <c r="J26" s="47" t="str">
        <f>IF(AND('Mapa riesgos'!$AD$13="Media",'Mapa riesgos'!$AF$13="Leve"),CONCATENATE("R1C",'Mapa riesgos'!$T$13),"")</f>
        <v/>
      </c>
      <c r="K26" s="48" t="str">
        <f>IF(AND('Mapa riesgos'!$AD$14="Media",'Mapa riesgos'!$AF$14="Leve"),CONCATENATE("R1C",'Mapa riesgos'!$T$14),"")</f>
        <v/>
      </c>
      <c r="L26" s="48" t="e">
        <f>IF(AND('Mapa riesgos'!#REF!="Media",'Mapa riesgos'!#REF!="Leve"),CONCATENATE("R1C",'Mapa riesgos'!#REF!),"")</f>
        <v>#REF!</v>
      </c>
      <c r="M26" s="48" t="e">
        <f>IF(AND('Mapa riesgos'!#REF!="Media",'Mapa riesgos'!#REF!="Leve"),CONCATENATE("R1C",'Mapa riesgos'!#REF!),"")</f>
        <v>#REF!</v>
      </c>
      <c r="N26" s="48" t="e">
        <f>IF(AND('Mapa riesgos'!#REF!="Media",'Mapa riesgos'!#REF!="Leve"),CONCATENATE("R1C",'Mapa riesgos'!#REF!),"")</f>
        <v>#REF!</v>
      </c>
      <c r="O26" s="49" t="e">
        <f>IF(AND('Mapa riesgos'!#REF!="Media",'Mapa riesgos'!#REF!="Leve"),CONCATENATE("R1C",'Mapa riesgos'!#REF!),"")</f>
        <v>#REF!</v>
      </c>
      <c r="P26" s="47" t="str">
        <f>IF(AND('Mapa riesgos'!$AD$13="Media",'Mapa riesgos'!$AF$13="Menor"),CONCATENATE("R1C",'Mapa riesgos'!$T$13),"")</f>
        <v>R1C1</v>
      </c>
      <c r="Q26" s="48" t="str">
        <f>IF(AND('Mapa riesgos'!$AD$14="Media",'Mapa riesgos'!$AF$14="Menor"),CONCATENATE("R1C",'Mapa riesgos'!$T$14),"")</f>
        <v/>
      </c>
      <c r="R26" s="48" t="e">
        <f>IF(AND('Mapa riesgos'!#REF!="Media",'Mapa riesgos'!#REF!="Menor"),CONCATENATE("R1C",'Mapa riesgos'!#REF!),"")</f>
        <v>#REF!</v>
      </c>
      <c r="S26" s="48" t="e">
        <f>IF(AND('Mapa riesgos'!#REF!="Media",'Mapa riesgos'!#REF!="Menor"),CONCATENATE("R1C",'Mapa riesgos'!#REF!),"")</f>
        <v>#REF!</v>
      </c>
      <c r="T26" s="48" t="e">
        <f>IF(AND('Mapa riesgos'!#REF!="Media",'Mapa riesgos'!#REF!="Menor"),CONCATENATE("R1C",'Mapa riesgos'!#REF!),"")</f>
        <v>#REF!</v>
      </c>
      <c r="U26" s="49" t="e">
        <f>IF(AND('Mapa riesgos'!#REF!="Media",'Mapa riesgos'!#REF!="Menor"),CONCATENATE("R1C",'Mapa riesgos'!#REF!),"")</f>
        <v>#REF!</v>
      </c>
      <c r="V26" s="47" t="str">
        <f>IF(AND('Mapa riesgos'!$AD$13="Media",'Mapa riesgos'!$AF$13="Moderado"),CONCATENATE("R1C",'Mapa riesgos'!$T$13),"")</f>
        <v/>
      </c>
      <c r="W26" s="48" t="str">
        <f>IF(AND('Mapa riesgos'!$AD$14="Media",'Mapa riesgos'!$AF$14="Moderado"),CONCATENATE("R1C",'Mapa riesgos'!$T$14),"")</f>
        <v/>
      </c>
      <c r="X26" s="48" t="e">
        <f>IF(AND('Mapa riesgos'!#REF!="Media",'Mapa riesgos'!#REF!="Moderado"),CONCATENATE("R1C",'Mapa riesgos'!#REF!),"")</f>
        <v>#REF!</v>
      </c>
      <c r="Y26" s="48" t="e">
        <f>IF(AND('Mapa riesgos'!#REF!="Media",'Mapa riesgos'!#REF!="Moderado"),CONCATENATE("R1C",'Mapa riesgos'!#REF!),"")</f>
        <v>#REF!</v>
      </c>
      <c r="Z26" s="48" t="e">
        <f>IF(AND('Mapa riesgos'!#REF!="Media",'Mapa riesgos'!#REF!="Moderado"),CONCATENATE("R1C",'Mapa riesgos'!#REF!),"")</f>
        <v>#REF!</v>
      </c>
      <c r="AA26" s="49" t="e">
        <f>IF(AND('Mapa riesgos'!#REF!="Media",'Mapa riesgos'!#REF!="Moderado"),CONCATENATE("R1C",'Mapa riesgos'!#REF!),"")</f>
        <v>#REF!</v>
      </c>
      <c r="AB26" s="29" t="str">
        <f>IF(AND('Mapa riesgos'!$AD$13="Media",'Mapa riesgos'!$AF$13="Mayor"),CONCATENATE("R1C",'Mapa riesgos'!$T$13),"")</f>
        <v/>
      </c>
      <c r="AC26" s="30" t="str">
        <f>IF(AND('Mapa riesgos'!$AD$14="Media",'Mapa riesgos'!$AF$14="Mayor"),CONCATENATE("R1C",'Mapa riesgos'!$T$14),"")</f>
        <v/>
      </c>
      <c r="AD26" s="30" t="e">
        <f>IF(AND('Mapa riesgos'!#REF!="Media",'Mapa riesgos'!#REF!="Mayor"),CONCATENATE("R1C",'Mapa riesgos'!#REF!),"")</f>
        <v>#REF!</v>
      </c>
      <c r="AE26" s="30" t="e">
        <f>IF(AND('Mapa riesgos'!#REF!="Media",'Mapa riesgos'!#REF!="Mayor"),CONCATENATE("R1C",'Mapa riesgos'!#REF!),"")</f>
        <v>#REF!</v>
      </c>
      <c r="AF26" s="30" t="e">
        <f>IF(AND('Mapa riesgos'!#REF!="Media",'Mapa riesgos'!#REF!="Mayor"),CONCATENATE("R1C",'Mapa riesgos'!#REF!),"")</f>
        <v>#REF!</v>
      </c>
      <c r="AG26" s="31" t="e">
        <f>IF(AND('Mapa riesgos'!#REF!="Media",'Mapa riesgos'!#REF!="Mayor"),CONCATENATE("R1C",'Mapa riesgos'!#REF!),"")</f>
        <v>#REF!</v>
      </c>
      <c r="AH26" s="32" t="str">
        <f>IF(AND('Mapa riesgos'!$AD$13="Media",'Mapa riesgos'!$AF$13="Catastrófico"),CONCATENATE("R1C",'Mapa riesgos'!$T$13),"")</f>
        <v/>
      </c>
      <c r="AI26" s="33" t="str">
        <f>IF(AND('Mapa riesgos'!$AD$14="Media",'Mapa riesgos'!$AF$14="Catastrófico"),CONCATENATE("R1C",'Mapa riesgos'!$T$14),"")</f>
        <v/>
      </c>
      <c r="AJ26" s="33" t="e">
        <f>IF(AND('Mapa riesgos'!#REF!="Media",'Mapa riesgos'!#REF!="Catastrófico"),CONCATENATE("R1C",'Mapa riesgos'!#REF!),"")</f>
        <v>#REF!</v>
      </c>
      <c r="AK26" s="33" t="e">
        <f>IF(AND('Mapa riesgos'!#REF!="Media",'Mapa riesgos'!#REF!="Catastrófico"),CONCATENATE("R1C",'Mapa riesgos'!#REF!),"")</f>
        <v>#REF!</v>
      </c>
      <c r="AL26" s="33" t="e">
        <f>IF(AND('Mapa riesgos'!#REF!="Media",'Mapa riesgos'!#REF!="Catastrófico"),CONCATENATE("R1C",'Mapa riesgos'!#REF!),"")</f>
        <v>#REF!</v>
      </c>
      <c r="AM26" s="34" t="e">
        <f>IF(AND('Mapa riesgos'!#REF!="Media",'Mapa riesgos'!#REF!="Catastrófico"),CONCATENATE("R1C",'Mapa riesgos'!#REF!),"")</f>
        <v>#REF!</v>
      </c>
      <c r="AN26" s="66"/>
      <c r="AO26" s="471" t="s">
        <v>166</v>
      </c>
      <c r="AP26" s="472"/>
      <c r="AQ26" s="472"/>
      <c r="AR26" s="472"/>
      <c r="AS26" s="472"/>
      <c r="AT26" s="473"/>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346"/>
      <c r="C27" s="346"/>
      <c r="D27" s="347"/>
      <c r="E27" s="443"/>
      <c r="F27" s="444"/>
      <c r="G27" s="444"/>
      <c r="H27" s="444"/>
      <c r="I27" s="460"/>
      <c r="J27" s="50" t="str">
        <f>IF(AND('Mapa riesgos'!$AD$15="Media",'Mapa riesgos'!$AF$15="Leve"),CONCATENATE("R2C",'Mapa riesgos'!$T$15),"")</f>
        <v/>
      </c>
      <c r="K27" s="51" t="str">
        <f>IF(AND('Mapa riesgos'!$AD$16="Media",'Mapa riesgos'!$AF$16="Leve"),CONCATENATE("R2C",'Mapa riesgos'!$T$16),"")</f>
        <v/>
      </c>
      <c r="L27" s="51" t="e">
        <f>IF(AND('Mapa riesgos'!#REF!="Media",'Mapa riesgos'!#REF!="Leve"),CONCATENATE("R2C",'Mapa riesgos'!#REF!),"")</f>
        <v>#REF!</v>
      </c>
      <c r="M27" s="51" t="e">
        <f>IF(AND('Mapa riesgos'!#REF!="Media",'Mapa riesgos'!#REF!="Leve"),CONCATENATE("R2C",'Mapa riesgos'!#REF!),"")</f>
        <v>#REF!</v>
      </c>
      <c r="N27" s="51" t="e">
        <f>IF(AND('Mapa riesgos'!#REF!="Media",'Mapa riesgos'!#REF!="Leve"),CONCATENATE("R2C",'Mapa riesgos'!#REF!),"")</f>
        <v>#REF!</v>
      </c>
      <c r="O27" s="52" t="e">
        <f>IF(AND('Mapa riesgos'!#REF!="Media",'Mapa riesgos'!#REF!="Leve"),CONCATENATE("R2C",'Mapa riesgos'!#REF!),"")</f>
        <v>#REF!</v>
      </c>
      <c r="P27" s="50" t="str">
        <f>IF(AND('Mapa riesgos'!$AD$15="Media",'Mapa riesgos'!$AF$15="Menor"),CONCATENATE("R2C",'Mapa riesgos'!$T$15),"")</f>
        <v/>
      </c>
      <c r="Q27" s="51" t="str">
        <f>IF(AND('Mapa riesgos'!$AD$16="Media",'Mapa riesgos'!$AF$16="Menor"),CONCATENATE("R2C",'Mapa riesgos'!$T$16),"")</f>
        <v/>
      </c>
      <c r="R27" s="51" t="e">
        <f>IF(AND('Mapa riesgos'!#REF!="Media",'Mapa riesgos'!#REF!="Menor"),CONCATENATE("R2C",'Mapa riesgos'!#REF!),"")</f>
        <v>#REF!</v>
      </c>
      <c r="S27" s="51" t="e">
        <f>IF(AND('Mapa riesgos'!#REF!="Media",'Mapa riesgos'!#REF!="Menor"),CONCATENATE("R2C",'Mapa riesgos'!#REF!),"")</f>
        <v>#REF!</v>
      </c>
      <c r="T27" s="51" t="e">
        <f>IF(AND('Mapa riesgos'!#REF!="Media",'Mapa riesgos'!#REF!="Menor"),CONCATENATE("R2C",'Mapa riesgos'!#REF!),"")</f>
        <v>#REF!</v>
      </c>
      <c r="U27" s="52" t="e">
        <f>IF(AND('Mapa riesgos'!#REF!="Media",'Mapa riesgos'!#REF!="Menor"),CONCATENATE("R2C",'Mapa riesgos'!#REF!),"")</f>
        <v>#REF!</v>
      </c>
      <c r="V27" s="50" t="str">
        <f>IF(AND('Mapa riesgos'!$AD$15="Media",'Mapa riesgos'!$AF$15="Moderado"),CONCATENATE("R2C",'Mapa riesgos'!$T$15),"")</f>
        <v/>
      </c>
      <c r="W27" s="51" t="str">
        <f>IF(AND('Mapa riesgos'!$AD$16="Media",'Mapa riesgos'!$AF$16="Moderado"),CONCATENATE("R2C",'Mapa riesgos'!$T$16),"")</f>
        <v/>
      </c>
      <c r="X27" s="51" t="e">
        <f>IF(AND('Mapa riesgos'!#REF!="Media",'Mapa riesgos'!#REF!="Moderado"),CONCATENATE("R2C",'Mapa riesgos'!#REF!),"")</f>
        <v>#REF!</v>
      </c>
      <c r="Y27" s="51" t="e">
        <f>IF(AND('Mapa riesgos'!#REF!="Media",'Mapa riesgos'!#REF!="Moderado"),CONCATENATE("R2C",'Mapa riesgos'!#REF!),"")</f>
        <v>#REF!</v>
      </c>
      <c r="Z27" s="51" t="e">
        <f>IF(AND('Mapa riesgos'!#REF!="Media",'Mapa riesgos'!#REF!="Moderado"),CONCATENATE("R2C",'Mapa riesgos'!#REF!),"")</f>
        <v>#REF!</v>
      </c>
      <c r="AA27" s="52" t="e">
        <f>IF(AND('Mapa riesgos'!#REF!="Media",'Mapa riesgos'!#REF!="Moderado"),CONCATENATE("R2C",'Mapa riesgos'!#REF!),"")</f>
        <v>#REF!</v>
      </c>
      <c r="AB27" s="35" t="str">
        <f>IF(AND('Mapa riesgos'!$AD$15="Media",'Mapa riesgos'!$AF$15="Mayor"),CONCATENATE("R2C",'Mapa riesgos'!$T$15),"")</f>
        <v/>
      </c>
      <c r="AC27" s="36" t="str">
        <f>IF(AND('Mapa riesgos'!$AD$16="Media",'Mapa riesgos'!$AF$16="Mayor"),CONCATENATE("R2C",'Mapa riesgos'!$T$16),"")</f>
        <v/>
      </c>
      <c r="AD27" s="36" t="e">
        <f>IF(AND('Mapa riesgos'!#REF!="Media",'Mapa riesgos'!#REF!="Mayor"),CONCATENATE("R2C",'Mapa riesgos'!#REF!),"")</f>
        <v>#REF!</v>
      </c>
      <c r="AE27" s="36" t="e">
        <f>IF(AND('Mapa riesgos'!#REF!="Media",'Mapa riesgos'!#REF!="Mayor"),CONCATENATE("R2C",'Mapa riesgos'!#REF!),"")</f>
        <v>#REF!</v>
      </c>
      <c r="AF27" s="36" t="e">
        <f>IF(AND('Mapa riesgos'!#REF!="Media",'Mapa riesgos'!#REF!="Mayor"),CONCATENATE("R2C",'Mapa riesgos'!#REF!),"")</f>
        <v>#REF!</v>
      </c>
      <c r="AG27" s="37" t="e">
        <f>IF(AND('Mapa riesgos'!#REF!="Media",'Mapa riesgos'!#REF!="Mayor"),CONCATENATE("R2C",'Mapa riesgos'!#REF!),"")</f>
        <v>#REF!</v>
      </c>
      <c r="AH27" s="38" t="str">
        <f>IF(AND('Mapa riesgos'!$AD$15="Media",'Mapa riesgos'!$AF$15="Catastrófico"),CONCATENATE("R2C",'Mapa riesgos'!$T$15),"")</f>
        <v/>
      </c>
      <c r="AI27" s="39" t="str">
        <f>IF(AND('Mapa riesgos'!$AD$16="Media",'Mapa riesgos'!$AF$16="Catastrófico"),CONCATENATE("R2C",'Mapa riesgos'!$T$16),"")</f>
        <v/>
      </c>
      <c r="AJ27" s="39" t="e">
        <f>IF(AND('Mapa riesgos'!#REF!="Media",'Mapa riesgos'!#REF!="Catastrófico"),CONCATENATE("R2C",'Mapa riesgos'!#REF!),"")</f>
        <v>#REF!</v>
      </c>
      <c r="AK27" s="39" t="e">
        <f>IF(AND('Mapa riesgos'!#REF!="Media",'Mapa riesgos'!#REF!="Catastrófico"),CONCATENATE("R2C",'Mapa riesgos'!#REF!),"")</f>
        <v>#REF!</v>
      </c>
      <c r="AL27" s="39" t="e">
        <f>IF(AND('Mapa riesgos'!#REF!="Media",'Mapa riesgos'!#REF!="Catastrófico"),CONCATENATE("R2C",'Mapa riesgos'!#REF!),"")</f>
        <v>#REF!</v>
      </c>
      <c r="AM27" s="40" t="e">
        <f>IF(AND('Mapa riesgos'!#REF!="Media",'Mapa riesgos'!#REF!="Catastrófico"),CONCATENATE("R2C",'Mapa riesgos'!#REF!),"")</f>
        <v>#REF!</v>
      </c>
      <c r="AN27" s="66"/>
      <c r="AO27" s="474"/>
      <c r="AP27" s="475"/>
      <c r="AQ27" s="475"/>
      <c r="AR27" s="475"/>
      <c r="AS27" s="475"/>
      <c r="AT27" s="47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346"/>
      <c r="C28" s="346"/>
      <c r="D28" s="347"/>
      <c r="E28" s="445"/>
      <c r="F28" s="444"/>
      <c r="G28" s="444"/>
      <c r="H28" s="444"/>
      <c r="I28" s="460"/>
      <c r="J28" s="50" t="str">
        <f>IF(AND('Mapa riesgos'!$AD$17="Media",'Mapa riesgos'!$AF$17="Leve"),CONCATENATE("R3C",'Mapa riesgos'!$T$17),"")</f>
        <v/>
      </c>
      <c r="K28" s="51" t="str">
        <f>IF(AND('Mapa riesgos'!$AD$18="Media",'Mapa riesgos'!$AF$18="Leve"),CONCATENATE("R3C",'Mapa riesgos'!$T$18),"")</f>
        <v/>
      </c>
      <c r="L28" s="51" t="e">
        <f>IF(AND('Mapa riesgos'!#REF!="Media",'Mapa riesgos'!#REF!="Leve"),CONCATENATE("R3C",'Mapa riesgos'!#REF!),"")</f>
        <v>#REF!</v>
      </c>
      <c r="M28" s="51" t="e">
        <f>IF(AND('Mapa riesgos'!#REF!="Media",'Mapa riesgos'!#REF!="Leve"),CONCATENATE("R3C",'Mapa riesgos'!#REF!),"")</f>
        <v>#REF!</v>
      </c>
      <c r="N28" s="51" t="e">
        <f>IF(AND('Mapa riesgos'!#REF!="Media",'Mapa riesgos'!#REF!="Leve"),CONCATENATE("R3C",'Mapa riesgos'!#REF!),"")</f>
        <v>#REF!</v>
      </c>
      <c r="O28" s="52" t="e">
        <f>IF(AND('Mapa riesgos'!#REF!="Media",'Mapa riesgos'!#REF!="Leve"),CONCATENATE("R3C",'Mapa riesgos'!#REF!),"")</f>
        <v>#REF!</v>
      </c>
      <c r="P28" s="50" t="str">
        <f>IF(AND('Mapa riesgos'!$AD$17="Media",'Mapa riesgos'!$AF$17="Menor"),CONCATENATE("R3C",'Mapa riesgos'!$T$17),"")</f>
        <v/>
      </c>
      <c r="Q28" s="51" t="str">
        <f>IF(AND('Mapa riesgos'!$AD$18="Media",'Mapa riesgos'!$AF$18="Menor"),CONCATENATE("R3C",'Mapa riesgos'!$T$18),"")</f>
        <v/>
      </c>
      <c r="R28" s="51" t="e">
        <f>IF(AND('Mapa riesgos'!#REF!="Media",'Mapa riesgos'!#REF!="Menor"),CONCATENATE("R3C",'Mapa riesgos'!#REF!),"")</f>
        <v>#REF!</v>
      </c>
      <c r="S28" s="51" t="e">
        <f>IF(AND('Mapa riesgos'!#REF!="Media",'Mapa riesgos'!#REF!="Menor"),CONCATENATE("R3C",'Mapa riesgos'!#REF!),"")</f>
        <v>#REF!</v>
      </c>
      <c r="T28" s="51" t="e">
        <f>IF(AND('Mapa riesgos'!#REF!="Media",'Mapa riesgos'!#REF!="Menor"),CONCATENATE("R3C",'Mapa riesgos'!#REF!),"")</f>
        <v>#REF!</v>
      </c>
      <c r="U28" s="52" t="e">
        <f>IF(AND('Mapa riesgos'!#REF!="Media",'Mapa riesgos'!#REF!="Menor"),CONCATENATE("R3C",'Mapa riesgos'!#REF!),"")</f>
        <v>#REF!</v>
      </c>
      <c r="V28" s="50" t="str">
        <f>IF(AND('Mapa riesgos'!$AD$17="Media",'Mapa riesgos'!$AF$17="Moderado"),CONCATENATE("R3C",'Mapa riesgos'!$T$17),"")</f>
        <v/>
      </c>
      <c r="W28" s="51" t="str">
        <f>IF(AND('Mapa riesgos'!$AD$18="Media",'Mapa riesgos'!$AF$18="Moderado"),CONCATENATE("R3C",'Mapa riesgos'!$T$18),"")</f>
        <v/>
      </c>
      <c r="X28" s="51" t="e">
        <f>IF(AND('Mapa riesgos'!#REF!="Media",'Mapa riesgos'!#REF!="Moderado"),CONCATENATE("R3C",'Mapa riesgos'!#REF!),"")</f>
        <v>#REF!</v>
      </c>
      <c r="Y28" s="51" t="e">
        <f>IF(AND('Mapa riesgos'!#REF!="Media",'Mapa riesgos'!#REF!="Moderado"),CONCATENATE("R3C",'Mapa riesgos'!#REF!),"")</f>
        <v>#REF!</v>
      </c>
      <c r="Z28" s="51" t="e">
        <f>IF(AND('Mapa riesgos'!#REF!="Media",'Mapa riesgos'!#REF!="Moderado"),CONCATENATE("R3C",'Mapa riesgos'!#REF!),"")</f>
        <v>#REF!</v>
      </c>
      <c r="AA28" s="52" t="e">
        <f>IF(AND('Mapa riesgos'!#REF!="Media",'Mapa riesgos'!#REF!="Moderado"),CONCATENATE("R3C",'Mapa riesgos'!#REF!),"")</f>
        <v>#REF!</v>
      </c>
      <c r="AB28" s="35" t="str">
        <f>IF(AND('Mapa riesgos'!$AD$17="Media",'Mapa riesgos'!$AF$17="Mayor"),CONCATENATE("R3C",'Mapa riesgos'!$T$17),"")</f>
        <v/>
      </c>
      <c r="AC28" s="36" t="str">
        <f>IF(AND('Mapa riesgos'!$AD$18="Media",'Mapa riesgos'!$AF$18="Mayor"),CONCATENATE("R3C",'Mapa riesgos'!$T$18),"")</f>
        <v/>
      </c>
      <c r="AD28" s="36" t="e">
        <f>IF(AND('Mapa riesgos'!#REF!="Media",'Mapa riesgos'!#REF!="Mayor"),CONCATENATE("R3C",'Mapa riesgos'!#REF!),"")</f>
        <v>#REF!</v>
      </c>
      <c r="AE28" s="36" t="e">
        <f>IF(AND('Mapa riesgos'!#REF!="Media",'Mapa riesgos'!#REF!="Mayor"),CONCATENATE("R3C",'Mapa riesgos'!#REF!),"")</f>
        <v>#REF!</v>
      </c>
      <c r="AF28" s="36" t="e">
        <f>IF(AND('Mapa riesgos'!#REF!="Media",'Mapa riesgos'!#REF!="Mayor"),CONCATENATE("R3C",'Mapa riesgos'!#REF!),"")</f>
        <v>#REF!</v>
      </c>
      <c r="AG28" s="37" t="e">
        <f>IF(AND('Mapa riesgos'!#REF!="Media",'Mapa riesgos'!#REF!="Mayor"),CONCATENATE("R3C",'Mapa riesgos'!#REF!),"")</f>
        <v>#REF!</v>
      </c>
      <c r="AH28" s="38" t="str">
        <f>IF(AND('Mapa riesgos'!$AD$17="Media",'Mapa riesgos'!$AF$17="Catastrófico"),CONCATENATE("R3C",'Mapa riesgos'!$T$17),"")</f>
        <v/>
      </c>
      <c r="AI28" s="39" t="str">
        <f>IF(AND('Mapa riesgos'!$AD$18="Media",'Mapa riesgos'!$AF$18="Catastrófico"),CONCATENATE("R3C",'Mapa riesgos'!$T$18),"")</f>
        <v/>
      </c>
      <c r="AJ28" s="39" t="e">
        <f>IF(AND('Mapa riesgos'!#REF!="Media",'Mapa riesgos'!#REF!="Catastrófico"),CONCATENATE("R3C",'Mapa riesgos'!#REF!),"")</f>
        <v>#REF!</v>
      </c>
      <c r="AK28" s="39" t="e">
        <f>IF(AND('Mapa riesgos'!#REF!="Media",'Mapa riesgos'!#REF!="Catastrófico"),CONCATENATE("R3C",'Mapa riesgos'!#REF!),"")</f>
        <v>#REF!</v>
      </c>
      <c r="AL28" s="39" t="e">
        <f>IF(AND('Mapa riesgos'!#REF!="Media",'Mapa riesgos'!#REF!="Catastrófico"),CONCATENATE("R3C",'Mapa riesgos'!#REF!),"")</f>
        <v>#REF!</v>
      </c>
      <c r="AM28" s="40" t="e">
        <f>IF(AND('Mapa riesgos'!#REF!="Media",'Mapa riesgos'!#REF!="Catastrófico"),CONCATENATE("R3C",'Mapa riesgos'!#REF!),"")</f>
        <v>#REF!</v>
      </c>
      <c r="AN28" s="66"/>
      <c r="AO28" s="474"/>
      <c r="AP28" s="475"/>
      <c r="AQ28" s="475"/>
      <c r="AR28" s="475"/>
      <c r="AS28" s="475"/>
      <c r="AT28" s="47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346"/>
      <c r="C29" s="346"/>
      <c r="D29" s="347"/>
      <c r="E29" s="445"/>
      <c r="F29" s="444"/>
      <c r="G29" s="444"/>
      <c r="H29" s="444"/>
      <c r="I29" s="460"/>
      <c r="J29" s="50" t="str">
        <f>IF(AND('Mapa riesgos'!$AD$19="Media",'Mapa riesgos'!$AF$19="Leve"),CONCATENATE("R4C",'Mapa riesgos'!$T$19),"")</f>
        <v/>
      </c>
      <c r="K29" s="51" t="str">
        <f>IF(AND('Mapa riesgos'!$AD$20="Media",'Mapa riesgos'!$AF$20="Leve"),CONCATENATE("R4C",'Mapa riesgos'!$T$20),"")</f>
        <v/>
      </c>
      <c r="L29" s="51" t="str">
        <f>IF(AND('Mapa riesgos'!$AD$21="Media",'Mapa riesgos'!$AF$21="Leve"),CONCATENATE("R4C",'Mapa riesgos'!$T$21),"")</f>
        <v/>
      </c>
      <c r="M29" s="51" t="str">
        <f>IF(AND('Mapa riesgos'!$AD$22="Media",'Mapa riesgos'!$AF$22="Leve"),CONCATENATE("R4C",'Mapa riesgos'!$T$22),"")</f>
        <v/>
      </c>
      <c r="N29" s="51" t="str">
        <f>IF(AND('Mapa riesgos'!$AD$23="Media",'Mapa riesgos'!$AF$23="Leve"),CONCATENATE("R4C",'Mapa riesgos'!$T$23),"")</f>
        <v/>
      </c>
      <c r="O29" s="52" t="str">
        <f>IF(AND('Mapa riesgos'!$AD$24="Media",'Mapa riesgos'!$AF$24="Leve"),CONCATENATE("R4C",'Mapa riesgos'!$T$24),"")</f>
        <v/>
      </c>
      <c r="P29" s="50" t="str">
        <f>IF(AND('Mapa riesgos'!$AD$19="Media",'Mapa riesgos'!$AF$19="Menor"),CONCATENATE("R4C",'Mapa riesgos'!$T$19),"")</f>
        <v/>
      </c>
      <c r="Q29" s="51" t="str">
        <f>IF(AND('Mapa riesgos'!$AD$20="Media",'Mapa riesgos'!$AF$20="Menor"),CONCATENATE("R4C",'Mapa riesgos'!$T$20),"")</f>
        <v/>
      </c>
      <c r="R29" s="51" t="str">
        <f>IF(AND('Mapa riesgos'!$AD$21="Media",'Mapa riesgos'!$AF$21="Menor"),CONCATENATE("R4C",'Mapa riesgos'!$T$21),"")</f>
        <v/>
      </c>
      <c r="S29" s="51" t="str">
        <f>IF(AND('Mapa riesgos'!$AD$22="Media",'Mapa riesgos'!$AF$22="Menor"),CONCATENATE("R4C",'Mapa riesgos'!$T$22),"")</f>
        <v/>
      </c>
      <c r="T29" s="51" t="str">
        <f>IF(AND('Mapa riesgos'!$AD$23="Media",'Mapa riesgos'!$AF$23="Menor"),CONCATENATE("R4C",'Mapa riesgos'!$T$23),"")</f>
        <v/>
      </c>
      <c r="U29" s="52" t="str">
        <f>IF(AND('Mapa riesgos'!$AD$24="Media",'Mapa riesgos'!$AF$24="Menor"),CONCATENATE("R4C",'Mapa riesgos'!$T$24),"")</f>
        <v/>
      </c>
      <c r="V29" s="50" t="str">
        <f>IF(AND('Mapa riesgos'!$AD$19="Media",'Mapa riesgos'!$AF$19="Moderado"),CONCATENATE("R4C",'Mapa riesgos'!$T$19),"")</f>
        <v/>
      </c>
      <c r="W29" s="51" t="str">
        <f>IF(AND('Mapa riesgos'!$AD$20="Media",'Mapa riesgos'!$AF$20="Moderado"),CONCATENATE("R4C",'Mapa riesgos'!$T$20),"")</f>
        <v/>
      </c>
      <c r="X29" s="51" t="str">
        <f>IF(AND('Mapa riesgos'!$AD$21="Media",'Mapa riesgos'!$AF$21="Moderado"),CONCATENATE("R4C",'Mapa riesgos'!$T$21),"")</f>
        <v/>
      </c>
      <c r="Y29" s="51" t="str">
        <f>IF(AND('Mapa riesgos'!$AD$22="Media",'Mapa riesgos'!$AF$22="Moderado"),CONCATENATE("R4C",'Mapa riesgos'!$T$22),"")</f>
        <v/>
      </c>
      <c r="Z29" s="51" t="str">
        <f>IF(AND('Mapa riesgos'!$AD$23="Media",'Mapa riesgos'!$AF$23="Moderado"),CONCATENATE("R4C",'Mapa riesgos'!$T$23),"")</f>
        <v/>
      </c>
      <c r="AA29" s="52" t="str">
        <f>IF(AND('Mapa riesgos'!$AD$24="Media",'Mapa riesgos'!$AF$24="Moderado"),CONCATENATE("R4C",'Mapa riesgos'!$T$24),"")</f>
        <v/>
      </c>
      <c r="AB29" s="35" t="str">
        <f>IF(AND('Mapa riesgos'!$AD$19="Media",'Mapa riesgos'!$AF$19="Mayor"),CONCATENATE("R4C",'Mapa riesgos'!$T$19),"")</f>
        <v/>
      </c>
      <c r="AC29" s="36" t="str">
        <f>IF(AND('Mapa riesgos'!$AD$20="Media",'Mapa riesgos'!$AF$20="Mayor"),CONCATENATE("R4C",'Mapa riesgos'!$T$20),"")</f>
        <v/>
      </c>
      <c r="AD29" s="36" t="str">
        <f>IF(AND('Mapa riesgos'!$AD$21="Media",'Mapa riesgos'!$AF$21="Mayor"),CONCATENATE("R4C",'Mapa riesgos'!$T$21),"")</f>
        <v/>
      </c>
      <c r="AE29" s="36" t="str">
        <f>IF(AND('Mapa riesgos'!$AD$22="Media",'Mapa riesgos'!$AF$22="Mayor"),CONCATENATE("R4C",'Mapa riesgos'!$T$22),"")</f>
        <v/>
      </c>
      <c r="AF29" s="36" t="str">
        <f>IF(AND('Mapa riesgos'!$AD$23="Media",'Mapa riesgos'!$AF$23="Mayor"),CONCATENATE("R4C",'Mapa riesgos'!$T$23),"")</f>
        <v/>
      </c>
      <c r="AG29" s="37" t="str">
        <f>IF(AND('Mapa riesgos'!$AD$24="Media",'Mapa riesgos'!$AF$24="Mayor"),CONCATENATE("R4C",'Mapa riesgos'!$T$24),"")</f>
        <v/>
      </c>
      <c r="AH29" s="38" t="str">
        <f>IF(AND('Mapa riesgos'!$AD$19="Media",'Mapa riesgos'!$AF$19="Catastrófico"),CONCATENATE("R4C",'Mapa riesgos'!$T$19),"")</f>
        <v/>
      </c>
      <c r="AI29" s="39" t="str">
        <f>IF(AND('Mapa riesgos'!$AD$20="Media",'Mapa riesgos'!$AF$20="Catastrófico"),CONCATENATE("R4C",'Mapa riesgos'!$T$20),"")</f>
        <v/>
      </c>
      <c r="AJ29" s="39" t="str">
        <f>IF(AND('Mapa riesgos'!$AD$21="Media",'Mapa riesgos'!$AF$21="Catastrófico"),CONCATENATE("R4C",'Mapa riesgos'!$T$21),"")</f>
        <v/>
      </c>
      <c r="AK29" s="39" t="str">
        <f>IF(AND('Mapa riesgos'!$AD$22="Media",'Mapa riesgos'!$AF$22="Catastrófico"),CONCATENATE("R4C",'Mapa riesgos'!$T$22),"")</f>
        <v/>
      </c>
      <c r="AL29" s="39" t="str">
        <f>IF(AND('Mapa riesgos'!$AD$23="Media",'Mapa riesgos'!$AF$23="Catastrófico"),CONCATENATE("R4C",'Mapa riesgos'!$T$23),"")</f>
        <v/>
      </c>
      <c r="AM29" s="40" t="str">
        <f>IF(AND('Mapa riesgos'!$AD$24="Media",'Mapa riesgos'!$AF$24="Catastrófico"),CONCATENATE("R4C",'Mapa riesgos'!$T$24),"")</f>
        <v/>
      </c>
      <c r="AN29" s="66"/>
      <c r="AO29" s="474"/>
      <c r="AP29" s="475"/>
      <c r="AQ29" s="475"/>
      <c r="AR29" s="475"/>
      <c r="AS29" s="475"/>
      <c r="AT29" s="47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346"/>
      <c r="C30" s="346"/>
      <c r="D30" s="347"/>
      <c r="E30" s="445"/>
      <c r="F30" s="444"/>
      <c r="G30" s="444"/>
      <c r="H30" s="444"/>
      <c r="I30" s="460"/>
      <c r="J30" s="50" t="str">
        <f>IF(AND('Mapa riesgos'!$AD$25="Media",'Mapa riesgos'!$AF$25="Leve"),CONCATENATE("R5C",'Mapa riesgos'!$T$25),"")</f>
        <v/>
      </c>
      <c r="K30" s="51" t="str">
        <f>IF(AND('Mapa riesgos'!$AD$26="Media",'Mapa riesgos'!$AF$26="Leve"),CONCATENATE("R5C",'Mapa riesgos'!$T$26),"")</f>
        <v/>
      </c>
      <c r="L30" s="51" t="str">
        <f>IF(AND('Mapa riesgos'!$AD$27="Media",'Mapa riesgos'!$AF$27="Leve"),CONCATENATE("R5C",'Mapa riesgos'!$T$27),"")</f>
        <v/>
      </c>
      <c r="M30" s="51" t="str">
        <f>IF(AND('Mapa riesgos'!$AD$28="Media",'Mapa riesgos'!$AF$28="Leve"),CONCATENATE("R5C",'Mapa riesgos'!$T$28),"")</f>
        <v/>
      </c>
      <c r="N30" s="51" t="str">
        <f>IF(AND('Mapa riesgos'!$AD$29="Media",'Mapa riesgos'!$AF$29="Leve"),CONCATENATE("R5C",'Mapa riesgos'!$T$29),"")</f>
        <v/>
      </c>
      <c r="O30" s="52" t="str">
        <f>IF(AND('Mapa riesgos'!$AD$30="Media",'Mapa riesgos'!$AF$30="Leve"),CONCATENATE("R5C",'Mapa riesgos'!$T$30),"")</f>
        <v/>
      </c>
      <c r="P30" s="50" t="str">
        <f>IF(AND('Mapa riesgos'!$AD$25="Media",'Mapa riesgos'!$AF$25="Menor"),CONCATENATE("R5C",'Mapa riesgos'!$T$25),"")</f>
        <v/>
      </c>
      <c r="Q30" s="51" t="str">
        <f>IF(AND('Mapa riesgos'!$AD$26="Media",'Mapa riesgos'!$AF$26="Menor"),CONCATENATE("R5C",'Mapa riesgos'!$T$26),"")</f>
        <v/>
      </c>
      <c r="R30" s="51" t="str">
        <f>IF(AND('Mapa riesgos'!$AD$27="Media",'Mapa riesgos'!$AF$27="Menor"),CONCATENATE("R5C",'Mapa riesgos'!$T$27),"")</f>
        <v/>
      </c>
      <c r="S30" s="51" t="str">
        <f>IF(AND('Mapa riesgos'!$AD$28="Media",'Mapa riesgos'!$AF$28="Menor"),CONCATENATE("R5C",'Mapa riesgos'!$T$28),"")</f>
        <v/>
      </c>
      <c r="T30" s="51" t="str">
        <f>IF(AND('Mapa riesgos'!$AD$29="Media",'Mapa riesgos'!$AF$29="Menor"),CONCATENATE("R5C",'Mapa riesgos'!$T$29),"")</f>
        <v/>
      </c>
      <c r="U30" s="52" t="str">
        <f>IF(AND('Mapa riesgos'!$AD$30="Media",'Mapa riesgos'!$AF$30="Menor"),CONCATENATE("R5C",'Mapa riesgos'!$T$30),"")</f>
        <v/>
      </c>
      <c r="V30" s="50" t="str">
        <f>IF(AND('Mapa riesgos'!$AD$25="Media",'Mapa riesgos'!$AF$25="Moderado"),CONCATENATE("R5C",'Mapa riesgos'!$T$25),"")</f>
        <v/>
      </c>
      <c r="W30" s="51" t="str">
        <f>IF(AND('Mapa riesgos'!$AD$26="Media",'Mapa riesgos'!$AF$26="Moderado"),CONCATENATE("R5C",'Mapa riesgos'!$T$26),"")</f>
        <v/>
      </c>
      <c r="X30" s="51" t="str">
        <f>IF(AND('Mapa riesgos'!$AD$27="Media",'Mapa riesgos'!$AF$27="Moderado"),CONCATENATE("R5C",'Mapa riesgos'!$T$27),"")</f>
        <v/>
      </c>
      <c r="Y30" s="51" t="str">
        <f>IF(AND('Mapa riesgos'!$AD$28="Media",'Mapa riesgos'!$AF$28="Moderado"),CONCATENATE("R5C",'Mapa riesgos'!$T$28),"")</f>
        <v/>
      </c>
      <c r="Z30" s="51" t="str">
        <f>IF(AND('Mapa riesgos'!$AD$29="Media",'Mapa riesgos'!$AF$29="Moderado"),CONCATENATE("R5C",'Mapa riesgos'!$T$29),"")</f>
        <v/>
      </c>
      <c r="AA30" s="52" t="str">
        <f>IF(AND('Mapa riesgos'!$AD$30="Media",'Mapa riesgos'!$AF$30="Moderado"),CONCATENATE("R5C",'Mapa riesgos'!$T$30),"")</f>
        <v/>
      </c>
      <c r="AB30" s="35" t="str">
        <f>IF(AND('Mapa riesgos'!$AD$25="Media",'Mapa riesgos'!$AF$25="Mayor"),CONCATENATE("R5C",'Mapa riesgos'!$T$25),"")</f>
        <v/>
      </c>
      <c r="AC30" s="36" t="str">
        <f>IF(AND('Mapa riesgos'!$AD$26="Media",'Mapa riesgos'!$AF$26="Mayor"),CONCATENATE("R5C",'Mapa riesgos'!$T$26),"")</f>
        <v/>
      </c>
      <c r="AD30" s="36" t="str">
        <f>IF(AND('Mapa riesgos'!$AD$27="Media",'Mapa riesgos'!$AF$27="Mayor"),CONCATENATE("R5C",'Mapa riesgos'!$T$27),"")</f>
        <v/>
      </c>
      <c r="AE30" s="36" t="str">
        <f>IF(AND('Mapa riesgos'!$AD$28="Media",'Mapa riesgos'!$AF$28="Mayor"),CONCATENATE("R5C",'Mapa riesgos'!$T$28),"")</f>
        <v/>
      </c>
      <c r="AF30" s="36" t="str">
        <f>IF(AND('Mapa riesgos'!$AD$29="Media",'Mapa riesgos'!$AF$29="Mayor"),CONCATENATE("R5C",'Mapa riesgos'!$T$29),"")</f>
        <v/>
      </c>
      <c r="AG30" s="37" t="str">
        <f>IF(AND('Mapa riesgos'!$AD$30="Media",'Mapa riesgos'!$AF$30="Mayor"),CONCATENATE("R5C",'Mapa riesgos'!$T$30),"")</f>
        <v/>
      </c>
      <c r="AH30" s="38" t="str">
        <f>IF(AND('Mapa riesgos'!$AD$25="Media",'Mapa riesgos'!$AF$25="Catastrófico"),CONCATENATE("R5C",'Mapa riesgos'!$T$25),"")</f>
        <v/>
      </c>
      <c r="AI30" s="39" t="str">
        <f>IF(AND('Mapa riesgos'!$AD$26="Media",'Mapa riesgos'!$AF$26="Catastrófico"),CONCATENATE("R5C",'Mapa riesgos'!$T$26),"")</f>
        <v/>
      </c>
      <c r="AJ30" s="39" t="str">
        <f>IF(AND('Mapa riesgos'!$AD$27="Media",'Mapa riesgos'!$AF$27="Catastrófico"),CONCATENATE("R5C",'Mapa riesgos'!$T$27),"")</f>
        <v/>
      </c>
      <c r="AK30" s="39" t="str">
        <f>IF(AND('Mapa riesgos'!$AD$28="Media",'Mapa riesgos'!$AF$28="Catastrófico"),CONCATENATE("R5C",'Mapa riesgos'!$T$28),"")</f>
        <v/>
      </c>
      <c r="AL30" s="39" t="str">
        <f>IF(AND('Mapa riesgos'!$AD$29="Media",'Mapa riesgos'!$AF$29="Catastrófico"),CONCATENATE("R5C",'Mapa riesgos'!$T$29),"")</f>
        <v/>
      </c>
      <c r="AM30" s="40" t="str">
        <f>IF(AND('Mapa riesgos'!$AD$30="Media",'Mapa riesgos'!$AF$30="Catastrófico"),CONCATENATE("R5C",'Mapa riesgos'!$T$30),"")</f>
        <v/>
      </c>
      <c r="AN30" s="66"/>
      <c r="AO30" s="474"/>
      <c r="AP30" s="475"/>
      <c r="AQ30" s="475"/>
      <c r="AR30" s="475"/>
      <c r="AS30" s="475"/>
      <c r="AT30" s="47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346"/>
      <c r="C31" s="346"/>
      <c r="D31" s="347"/>
      <c r="E31" s="445"/>
      <c r="F31" s="444"/>
      <c r="G31" s="444"/>
      <c r="H31" s="444"/>
      <c r="I31" s="460"/>
      <c r="J31" s="50" t="str">
        <f>IF(AND('Mapa riesgos'!$AD$31="Media",'Mapa riesgos'!$AF$31="Leve"),CONCATENATE("R6C",'Mapa riesgos'!$T$31),"")</f>
        <v/>
      </c>
      <c r="K31" s="51" t="str">
        <f>IF(AND('Mapa riesgos'!$AD$32="Media",'Mapa riesgos'!$AF$32="Leve"),CONCATENATE("R6C",'Mapa riesgos'!$T$32),"")</f>
        <v/>
      </c>
      <c r="L31" s="51" t="str">
        <f>IF(AND('Mapa riesgos'!$AD$33="Media",'Mapa riesgos'!$AF$33="Leve"),CONCATENATE("R6C",'Mapa riesgos'!$T$33),"")</f>
        <v/>
      </c>
      <c r="M31" s="51" t="str">
        <f>IF(AND('Mapa riesgos'!$AD$34="Media",'Mapa riesgos'!$AF$34="Leve"),CONCATENATE("R6C",'Mapa riesgos'!$T$34),"")</f>
        <v/>
      </c>
      <c r="N31" s="51" t="str">
        <f>IF(AND('Mapa riesgos'!$AD$35="Media",'Mapa riesgos'!$AF$35="Leve"),CONCATENATE("R6C",'Mapa riesgos'!$T$35),"")</f>
        <v/>
      </c>
      <c r="O31" s="52" t="str">
        <f>IF(AND('Mapa riesgos'!$AD$36="Media",'Mapa riesgos'!$AF$36="Leve"),CONCATENATE("R6C",'Mapa riesgos'!$T$36),"")</f>
        <v/>
      </c>
      <c r="P31" s="50" t="str">
        <f>IF(AND('Mapa riesgos'!$AD$31="Media",'Mapa riesgos'!$AF$31="Menor"),CONCATENATE("R6C",'Mapa riesgos'!$T$31),"")</f>
        <v/>
      </c>
      <c r="Q31" s="51" t="str">
        <f>IF(AND('Mapa riesgos'!$AD$32="Media",'Mapa riesgos'!$AF$32="Menor"),CONCATENATE("R6C",'Mapa riesgos'!$T$32),"")</f>
        <v/>
      </c>
      <c r="R31" s="51" t="str">
        <f>IF(AND('Mapa riesgos'!$AD$33="Media",'Mapa riesgos'!$AF$33="Menor"),CONCATENATE("R6C",'Mapa riesgos'!$T$33),"")</f>
        <v/>
      </c>
      <c r="S31" s="51" t="str">
        <f>IF(AND('Mapa riesgos'!$AD$34="Media",'Mapa riesgos'!$AF$34="Menor"),CONCATENATE("R6C",'Mapa riesgos'!$T$34),"")</f>
        <v/>
      </c>
      <c r="T31" s="51" t="str">
        <f>IF(AND('Mapa riesgos'!$AD$35="Media",'Mapa riesgos'!$AF$35="Menor"),CONCATENATE("R6C",'Mapa riesgos'!$T$35),"")</f>
        <v/>
      </c>
      <c r="U31" s="52" t="str">
        <f>IF(AND('Mapa riesgos'!$AD$36="Media",'Mapa riesgos'!$AF$36="Menor"),CONCATENATE("R6C",'Mapa riesgos'!$T$36),"")</f>
        <v/>
      </c>
      <c r="V31" s="50" t="str">
        <f>IF(AND('Mapa riesgos'!$AD$31="Media",'Mapa riesgos'!$AF$31="Moderado"),CONCATENATE("R6C",'Mapa riesgos'!$T$31),"")</f>
        <v/>
      </c>
      <c r="W31" s="51" t="str">
        <f>IF(AND('Mapa riesgos'!$AD$32="Media",'Mapa riesgos'!$AF$32="Moderado"),CONCATENATE("R6C",'Mapa riesgos'!$T$32),"")</f>
        <v/>
      </c>
      <c r="X31" s="51" t="str">
        <f>IF(AND('Mapa riesgos'!$AD$33="Media",'Mapa riesgos'!$AF$33="Moderado"),CONCATENATE("R6C",'Mapa riesgos'!$T$33),"")</f>
        <v/>
      </c>
      <c r="Y31" s="51" t="str">
        <f>IF(AND('Mapa riesgos'!$AD$34="Media",'Mapa riesgos'!$AF$34="Moderado"),CONCATENATE("R6C",'Mapa riesgos'!$T$34),"")</f>
        <v/>
      </c>
      <c r="Z31" s="51" t="str">
        <f>IF(AND('Mapa riesgos'!$AD$35="Media",'Mapa riesgos'!$AF$35="Moderado"),CONCATENATE("R6C",'Mapa riesgos'!$T$35),"")</f>
        <v/>
      </c>
      <c r="AA31" s="52" t="str">
        <f>IF(AND('Mapa riesgos'!$AD$36="Media",'Mapa riesgos'!$AF$36="Moderado"),CONCATENATE("R6C",'Mapa riesgos'!$T$36),"")</f>
        <v/>
      </c>
      <c r="AB31" s="35" t="str">
        <f>IF(AND('Mapa riesgos'!$AD$31="Media",'Mapa riesgos'!$AF$31="Mayor"),CONCATENATE("R6C",'Mapa riesgos'!$T$31),"")</f>
        <v/>
      </c>
      <c r="AC31" s="36" t="str">
        <f>IF(AND('Mapa riesgos'!$AD$32="Media",'Mapa riesgos'!$AF$32="Mayor"),CONCATENATE("R6C",'Mapa riesgos'!$T$32),"")</f>
        <v/>
      </c>
      <c r="AD31" s="36" t="str">
        <f>IF(AND('Mapa riesgos'!$AD$33="Media",'Mapa riesgos'!$AF$33="Mayor"),CONCATENATE("R6C",'Mapa riesgos'!$T$33),"")</f>
        <v/>
      </c>
      <c r="AE31" s="36" t="str">
        <f>IF(AND('Mapa riesgos'!$AD$34="Media",'Mapa riesgos'!$AF$34="Mayor"),CONCATENATE("R6C",'Mapa riesgos'!$T$34),"")</f>
        <v/>
      </c>
      <c r="AF31" s="36" t="str">
        <f>IF(AND('Mapa riesgos'!$AD$35="Media",'Mapa riesgos'!$AF$35="Mayor"),CONCATENATE("R6C",'Mapa riesgos'!$T$35),"")</f>
        <v/>
      </c>
      <c r="AG31" s="37" t="str">
        <f>IF(AND('Mapa riesgos'!$AD$36="Media",'Mapa riesgos'!$AF$36="Mayor"),CONCATENATE("R6C",'Mapa riesgos'!$T$36),"")</f>
        <v/>
      </c>
      <c r="AH31" s="38" t="str">
        <f>IF(AND('Mapa riesgos'!$AD$31="Media",'Mapa riesgos'!$AF$31="Catastrófico"),CONCATENATE("R6C",'Mapa riesgos'!$T$31),"")</f>
        <v/>
      </c>
      <c r="AI31" s="39" t="str">
        <f>IF(AND('Mapa riesgos'!$AD$32="Media",'Mapa riesgos'!$AF$32="Catastrófico"),CONCATENATE("R6C",'Mapa riesgos'!$T$32),"")</f>
        <v/>
      </c>
      <c r="AJ31" s="39" t="str">
        <f>IF(AND('Mapa riesgos'!$AD$33="Media",'Mapa riesgos'!$AF$33="Catastrófico"),CONCATENATE("R6C",'Mapa riesgos'!$T$33),"")</f>
        <v/>
      </c>
      <c r="AK31" s="39" t="str">
        <f>IF(AND('Mapa riesgos'!$AD$34="Media",'Mapa riesgos'!$AF$34="Catastrófico"),CONCATENATE("R6C",'Mapa riesgos'!$T$34),"")</f>
        <v/>
      </c>
      <c r="AL31" s="39" t="str">
        <f>IF(AND('Mapa riesgos'!$AD$35="Media",'Mapa riesgos'!$AF$35="Catastrófico"),CONCATENATE("R6C",'Mapa riesgos'!$T$35),"")</f>
        <v/>
      </c>
      <c r="AM31" s="40" t="str">
        <f>IF(AND('Mapa riesgos'!$AD$36="Media",'Mapa riesgos'!$AF$36="Catastrófico"),CONCATENATE("R6C",'Mapa riesgos'!$T$36),"")</f>
        <v/>
      </c>
      <c r="AN31" s="66"/>
      <c r="AO31" s="474"/>
      <c r="AP31" s="475"/>
      <c r="AQ31" s="475"/>
      <c r="AR31" s="475"/>
      <c r="AS31" s="475"/>
      <c r="AT31" s="47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346"/>
      <c r="C32" s="346"/>
      <c r="D32" s="347"/>
      <c r="E32" s="445"/>
      <c r="F32" s="444"/>
      <c r="G32" s="444"/>
      <c r="H32" s="444"/>
      <c r="I32" s="460"/>
      <c r="J32" s="50" t="str">
        <f>IF(AND('Mapa riesgos'!$AD$37="Media",'Mapa riesgos'!$AF$37="Leve"),CONCATENATE("R7C",'Mapa riesgos'!$T$37),"")</f>
        <v/>
      </c>
      <c r="K32" s="51" t="str">
        <f>IF(AND('Mapa riesgos'!$AD$38="Media",'Mapa riesgos'!$AF$38="Leve"),CONCATENATE("R7C",'Mapa riesgos'!$T$38),"")</f>
        <v/>
      </c>
      <c r="L32" s="51" t="str">
        <f>IF(AND('Mapa riesgos'!$AD$39="Media",'Mapa riesgos'!$AF$39="Leve"),CONCATENATE("R7C",'Mapa riesgos'!$T$39),"")</f>
        <v/>
      </c>
      <c r="M32" s="51" t="str">
        <f>IF(AND('Mapa riesgos'!$AD$40="Media",'Mapa riesgos'!$AF$40="Leve"),CONCATENATE("R7C",'Mapa riesgos'!$T$40),"")</f>
        <v/>
      </c>
      <c r="N32" s="51" t="str">
        <f>IF(AND('Mapa riesgos'!$AD$41="Media",'Mapa riesgos'!$AF$41="Leve"),CONCATENATE("R7C",'Mapa riesgos'!$T$41),"")</f>
        <v/>
      </c>
      <c r="O32" s="52" t="str">
        <f>IF(AND('Mapa riesgos'!$AD$42="Media",'Mapa riesgos'!$AF$42="Leve"),CONCATENATE("R7C",'Mapa riesgos'!$T$42),"")</f>
        <v/>
      </c>
      <c r="P32" s="50" t="str">
        <f>IF(AND('Mapa riesgos'!$AD$37="Media",'Mapa riesgos'!$AF$37="Menor"),CONCATENATE("R7C",'Mapa riesgos'!$T$37),"")</f>
        <v/>
      </c>
      <c r="Q32" s="51" t="str">
        <f>IF(AND('Mapa riesgos'!$AD$38="Media",'Mapa riesgos'!$AF$38="Menor"),CONCATENATE("R7C",'Mapa riesgos'!$T$38),"")</f>
        <v/>
      </c>
      <c r="R32" s="51" t="str">
        <f>IF(AND('Mapa riesgos'!$AD$39="Media",'Mapa riesgos'!$AF$39="Menor"),CONCATENATE("R7C",'Mapa riesgos'!$T$39),"")</f>
        <v/>
      </c>
      <c r="S32" s="51" t="str">
        <f>IF(AND('Mapa riesgos'!$AD$40="Media",'Mapa riesgos'!$AF$40="Menor"),CONCATENATE("R7C",'Mapa riesgos'!$T$40),"")</f>
        <v/>
      </c>
      <c r="T32" s="51" t="str">
        <f>IF(AND('Mapa riesgos'!$AD$41="Media",'Mapa riesgos'!$AF$41="Menor"),CONCATENATE("R7C",'Mapa riesgos'!$T$41),"")</f>
        <v/>
      </c>
      <c r="U32" s="52" t="str">
        <f>IF(AND('Mapa riesgos'!$AD$42="Media",'Mapa riesgos'!$AF$42="Menor"),CONCATENATE("R7C",'Mapa riesgos'!$T$42),"")</f>
        <v/>
      </c>
      <c r="V32" s="50" t="str">
        <f>IF(AND('Mapa riesgos'!$AD$37="Media",'Mapa riesgos'!$AF$37="Moderado"),CONCATENATE("R7C",'Mapa riesgos'!$T$37),"")</f>
        <v/>
      </c>
      <c r="W32" s="51" t="str">
        <f>IF(AND('Mapa riesgos'!$AD$38="Media",'Mapa riesgos'!$AF$38="Moderado"),CONCATENATE("R7C",'Mapa riesgos'!$T$38),"")</f>
        <v/>
      </c>
      <c r="X32" s="51" t="str">
        <f>IF(AND('Mapa riesgos'!$AD$39="Media",'Mapa riesgos'!$AF$39="Moderado"),CONCATENATE("R7C",'Mapa riesgos'!$T$39),"")</f>
        <v/>
      </c>
      <c r="Y32" s="51" t="str">
        <f>IF(AND('Mapa riesgos'!$AD$40="Media",'Mapa riesgos'!$AF$40="Moderado"),CONCATENATE("R7C",'Mapa riesgos'!$T$40),"")</f>
        <v/>
      </c>
      <c r="Z32" s="51" t="str">
        <f>IF(AND('Mapa riesgos'!$AD$41="Media",'Mapa riesgos'!$AF$41="Moderado"),CONCATENATE("R7C",'Mapa riesgos'!$T$41),"")</f>
        <v/>
      </c>
      <c r="AA32" s="52" t="str">
        <f>IF(AND('Mapa riesgos'!$AD$42="Media",'Mapa riesgos'!$AF$42="Moderado"),CONCATENATE("R7C",'Mapa riesgos'!$T$42),"")</f>
        <v/>
      </c>
      <c r="AB32" s="35" t="str">
        <f>IF(AND('Mapa riesgos'!$AD$37="Media",'Mapa riesgos'!$AF$37="Mayor"),CONCATENATE("R7C",'Mapa riesgos'!$T$37),"")</f>
        <v/>
      </c>
      <c r="AC32" s="36" t="str">
        <f>IF(AND('Mapa riesgos'!$AD$38="Media",'Mapa riesgos'!$AF$38="Mayor"),CONCATENATE("R7C",'Mapa riesgos'!$T$38),"")</f>
        <v/>
      </c>
      <c r="AD32" s="36" t="str">
        <f>IF(AND('Mapa riesgos'!$AD$39="Media",'Mapa riesgos'!$AF$39="Mayor"),CONCATENATE("R7C",'Mapa riesgos'!$T$39),"")</f>
        <v/>
      </c>
      <c r="AE32" s="36" t="str">
        <f>IF(AND('Mapa riesgos'!$AD$40="Media",'Mapa riesgos'!$AF$40="Mayor"),CONCATENATE("R7C",'Mapa riesgos'!$T$40),"")</f>
        <v/>
      </c>
      <c r="AF32" s="36" t="str">
        <f>IF(AND('Mapa riesgos'!$AD$41="Media",'Mapa riesgos'!$AF$41="Mayor"),CONCATENATE("R7C",'Mapa riesgos'!$T$41),"")</f>
        <v/>
      </c>
      <c r="AG32" s="37" t="str">
        <f>IF(AND('Mapa riesgos'!$AD$42="Media",'Mapa riesgos'!$AF$42="Mayor"),CONCATENATE("R7C",'Mapa riesgos'!$T$42),"")</f>
        <v/>
      </c>
      <c r="AH32" s="38" t="str">
        <f>IF(AND('Mapa riesgos'!$AD$37="Media",'Mapa riesgos'!$AF$37="Catastrófico"),CONCATENATE("R7C",'Mapa riesgos'!$T$37),"")</f>
        <v/>
      </c>
      <c r="AI32" s="39" t="str">
        <f>IF(AND('Mapa riesgos'!$AD$38="Media",'Mapa riesgos'!$AF$38="Catastrófico"),CONCATENATE("R7C",'Mapa riesgos'!$T$38),"")</f>
        <v/>
      </c>
      <c r="AJ32" s="39" t="str">
        <f>IF(AND('Mapa riesgos'!$AD$39="Media",'Mapa riesgos'!$AF$39="Catastrófico"),CONCATENATE("R7C",'Mapa riesgos'!$T$39),"")</f>
        <v/>
      </c>
      <c r="AK32" s="39" t="str">
        <f>IF(AND('Mapa riesgos'!$AD$40="Media",'Mapa riesgos'!$AF$40="Catastrófico"),CONCATENATE("R7C",'Mapa riesgos'!$T$40),"")</f>
        <v/>
      </c>
      <c r="AL32" s="39" t="str">
        <f>IF(AND('Mapa riesgos'!$AD$41="Media",'Mapa riesgos'!$AF$41="Catastrófico"),CONCATENATE("R7C",'Mapa riesgos'!$T$41),"")</f>
        <v/>
      </c>
      <c r="AM32" s="40" t="str">
        <f>IF(AND('Mapa riesgos'!$AD$42="Media",'Mapa riesgos'!$AF$42="Catastrófico"),CONCATENATE("R7C",'Mapa riesgos'!$T$42),"")</f>
        <v/>
      </c>
      <c r="AN32" s="66"/>
      <c r="AO32" s="474"/>
      <c r="AP32" s="475"/>
      <c r="AQ32" s="475"/>
      <c r="AR32" s="475"/>
      <c r="AS32" s="475"/>
      <c r="AT32" s="47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346"/>
      <c r="C33" s="346"/>
      <c r="D33" s="347"/>
      <c r="E33" s="445"/>
      <c r="F33" s="444"/>
      <c r="G33" s="444"/>
      <c r="H33" s="444"/>
      <c r="I33" s="460"/>
      <c r="J33" s="50" t="str">
        <f>IF(AND('Mapa riesgos'!$AD$43="Media",'Mapa riesgos'!$AF$43="Leve"),CONCATENATE("R8C",'Mapa riesgos'!$T$43),"")</f>
        <v/>
      </c>
      <c r="K33" s="51" t="str">
        <f>IF(AND('Mapa riesgos'!$AD$44="Media",'Mapa riesgos'!$AF$44="Leve"),CONCATENATE("R8C",'Mapa riesgos'!$T$44),"")</f>
        <v/>
      </c>
      <c r="L33" s="51" t="str">
        <f>IF(AND('Mapa riesgos'!$AD$45="Media",'Mapa riesgos'!$AF$45="Leve"),CONCATENATE("R8C",'Mapa riesgos'!$T$45),"")</f>
        <v/>
      </c>
      <c r="M33" s="51" t="str">
        <f>IF(AND('Mapa riesgos'!$AD$46="Media",'Mapa riesgos'!$AF$46="Leve"),CONCATENATE("R8C",'Mapa riesgos'!$T$46),"")</f>
        <v/>
      </c>
      <c r="N33" s="51" t="str">
        <f>IF(AND('Mapa riesgos'!$AD$47="Media",'Mapa riesgos'!$AF$47="Leve"),CONCATENATE("R8C",'Mapa riesgos'!$T$47),"")</f>
        <v/>
      </c>
      <c r="O33" s="52" t="str">
        <f>IF(AND('Mapa riesgos'!$AD$48="Media",'Mapa riesgos'!$AF$48="Leve"),CONCATENATE("R8C",'Mapa riesgos'!$T$48),"")</f>
        <v/>
      </c>
      <c r="P33" s="50" t="str">
        <f>IF(AND('Mapa riesgos'!$AD$43="Media",'Mapa riesgos'!$AF$43="Menor"),CONCATENATE("R8C",'Mapa riesgos'!$T$43),"")</f>
        <v/>
      </c>
      <c r="Q33" s="51" t="str">
        <f>IF(AND('Mapa riesgos'!$AD$44="Media",'Mapa riesgos'!$AF$44="Menor"),CONCATENATE("R8C",'Mapa riesgos'!$T$44),"")</f>
        <v/>
      </c>
      <c r="R33" s="51" t="str">
        <f>IF(AND('Mapa riesgos'!$AD$45="Media",'Mapa riesgos'!$AF$45="Menor"),CONCATENATE("R8C",'Mapa riesgos'!$T$45),"")</f>
        <v/>
      </c>
      <c r="S33" s="51" t="str">
        <f>IF(AND('Mapa riesgos'!$AD$46="Media",'Mapa riesgos'!$AF$46="Menor"),CONCATENATE("R8C",'Mapa riesgos'!$T$46),"")</f>
        <v/>
      </c>
      <c r="T33" s="51" t="str">
        <f>IF(AND('Mapa riesgos'!$AD$47="Media",'Mapa riesgos'!$AF$47="Menor"),CONCATENATE("R8C",'Mapa riesgos'!$T$47),"")</f>
        <v/>
      </c>
      <c r="U33" s="52" t="str">
        <f>IF(AND('Mapa riesgos'!$AD$48="Media",'Mapa riesgos'!$AF$48="Menor"),CONCATENATE("R8C",'Mapa riesgos'!$T$48),"")</f>
        <v/>
      </c>
      <c r="V33" s="50" t="str">
        <f>IF(AND('Mapa riesgos'!$AD$43="Media",'Mapa riesgos'!$AF$43="Moderado"),CONCATENATE("R8C",'Mapa riesgos'!$T$43),"")</f>
        <v/>
      </c>
      <c r="W33" s="51" t="str">
        <f>IF(AND('Mapa riesgos'!$AD$44="Media",'Mapa riesgos'!$AF$44="Moderado"),CONCATENATE("R8C",'Mapa riesgos'!$T$44),"")</f>
        <v/>
      </c>
      <c r="X33" s="51" t="str">
        <f>IF(AND('Mapa riesgos'!$AD$45="Media",'Mapa riesgos'!$AF$45="Moderado"),CONCATENATE("R8C",'Mapa riesgos'!$T$45),"")</f>
        <v/>
      </c>
      <c r="Y33" s="51" t="str">
        <f>IF(AND('Mapa riesgos'!$AD$46="Media",'Mapa riesgos'!$AF$46="Moderado"),CONCATENATE("R8C",'Mapa riesgos'!$T$46),"")</f>
        <v/>
      </c>
      <c r="Z33" s="51" t="str">
        <f>IF(AND('Mapa riesgos'!$AD$47="Media",'Mapa riesgos'!$AF$47="Moderado"),CONCATENATE("R8C",'Mapa riesgos'!$T$47),"")</f>
        <v/>
      </c>
      <c r="AA33" s="52" t="str">
        <f>IF(AND('Mapa riesgos'!$AD$48="Media",'Mapa riesgos'!$AF$48="Moderado"),CONCATENATE("R8C",'Mapa riesgos'!$T$48),"")</f>
        <v/>
      </c>
      <c r="AB33" s="35" t="str">
        <f>IF(AND('Mapa riesgos'!$AD$43="Media",'Mapa riesgos'!$AF$43="Mayor"),CONCATENATE("R8C",'Mapa riesgos'!$T$43),"")</f>
        <v/>
      </c>
      <c r="AC33" s="36" t="str">
        <f>IF(AND('Mapa riesgos'!$AD$44="Media",'Mapa riesgos'!$AF$44="Mayor"),CONCATENATE("R8C",'Mapa riesgos'!$T$44),"")</f>
        <v/>
      </c>
      <c r="AD33" s="36" t="str">
        <f>IF(AND('Mapa riesgos'!$AD$45="Media",'Mapa riesgos'!$AF$45="Mayor"),CONCATENATE("R8C",'Mapa riesgos'!$T$45),"")</f>
        <v/>
      </c>
      <c r="AE33" s="36" t="str">
        <f>IF(AND('Mapa riesgos'!$AD$46="Media",'Mapa riesgos'!$AF$46="Mayor"),CONCATENATE("R8C",'Mapa riesgos'!$T$46),"")</f>
        <v/>
      </c>
      <c r="AF33" s="36" t="str">
        <f>IF(AND('Mapa riesgos'!$AD$47="Media",'Mapa riesgos'!$AF$47="Mayor"),CONCATENATE("R8C",'Mapa riesgos'!$T$47),"")</f>
        <v/>
      </c>
      <c r="AG33" s="37" t="str">
        <f>IF(AND('Mapa riesgos'!$AD$48="Media",'Mapa riesgos'!$AF$48="Mayor"),CONCATENATE("R8C",'Mapa riesgos'!$T$48),"")</f>
        <v/>
      </c>
      <c r="AH33" s="38" t="str">
        <f>IF(AND('Mapa riesgos'!$AD$43="Media",'Mapa riesgos'!$AF$43="Catastrófico"),CONCATENATE("R8C",'Mapa riesgos'!$T$43),"")</f>
        <v/>
      </c>
      <c r="AI33" s="39" t="str">
        <f>IF(AND('Mapa riesgos'!$AD$44="Media",'Mapa riesgos'!$AF$44="Catastrófico"),CONCATENATE("R8C",'Mapa riesgos'!$T$44),"")</f>
        <v/>
      </c>
      <c r="AJ33" s="39" t="str">
        <f>IF(AND('Mapa riesgos'!$AD$45="Media",'Mapa riesgos'!$AF$45="Catastrófico"),CONCATENATE("R8C",'Mapa riesgos'!$T$45),"")</f>
        <v/>
      </c>
      <c r="AK33" s="39" t="str">
        <f>IF(AND('Mapa riesgos'!$AD$46="Media",'Mapa riesgos'!$AF$46="Catastrófico"),CONCATENATE("R8C",'Mapa riesgos'!$T$46),"")</f>
        <v/>
      </c>
      <c r="AL33" s="39" t="str">
        <f>IF(AND('Mapa riesgos'!$AD$47="Media",'Mapa riesgos'!$AF$47="Catastrófico"),CONCATENATE("R8C",'Mapa riesgos'!$T$47),"")</f>
        <v/>
      </c>
      <c r="AM33" s="40" t="str">
        <f>IF(AND('Mapa riesgos'!$AD$48="Media",'Mapa riesgos'!$AF$48="Catastrófico"),CONCATENATE("R8C",'Mapa riesgos'!$T$48),"")</f>
        <v/>
      </c>
      <c r="AN33" s="66"/>
      <c r="AO33" s="474"/>
      <c r="AP33" s="475"/>
      <c r="AQ33" s="475"/>
      <c r="AR33" s="475"/>
      <c r="AS33" s="475"/>
      <c r="AT33" s="47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346"/>
      <c r="C34" s="346"/>
      <c r="D34" s="347"/>
      <c r="E34" s="445"/>
      <c r="F34" s="444"/>
      <c r="G34" s="444"/>
      <c r="H34" s="444"/>
      <c r="I34" s="460"/>
      <c r="J34" s="50" t="str">
        <f>IF(AND('Mapa riesgos'!$AD$49="Media",'Mapa riesgos'!$AF$49="Leve"),CONCATENATE("R9C",'Mapa riesgos'!$T$49),"")</f>
        <v/>
      </c>
      <c r="K34" s="51" t="str">
        <f>IF(AND('Mapa riesgos'!$AD$50="Media",'Mapa riesgos'!$AF$50="Leve"),CONCATENATE("R9C",'Mapa riesgos'!$T$50),"")</f>
        <v/>
      </c>
      <c r="L34" s="51" t="str">
        <f>IF(AND('Mapa riesgos'!$AD$51="Media",'Mapa riesgos'!$AF$51="Leve"),CONCATENATE("R9C",'Mapa riesgos'!$T$51),"")</f>
        <v/>
      </c>
      <c r="M34" s="51" t="str">
        <f>IF(AND('Mapa riesgos'!$AD$52="Media",'Mapa riesgos'!$AF$52="Leve"),CONCATENATE("R9C",'Mapa riesgos'!$T$52),"")</f>
        <v/>
      </c>
      <c r="N34" s="51" t="str">
        <f>IF(AND('Mapa riesgos'!$AD$53="Media",'Mapa riesgos'!$AF$53="Leve"),CONCATENATE("R9C",'Mapa riesgos'!$T$53),"")</f>
        <v/>
      </c>
      <c r="O34" s="52" t="str">
        <f>IF(AND('Mapa riesgos'!$AD$54="Media",'Mapa riesgos'!$AF$54="Leve"),CONCATENATE("R9C",'Mapa riesgos'!$T$54),"")</f>
        <v/>
      </c>
      <c r="P34" s="50" t="str">
        <f>IF(AND('Mapa riesgos'!$AD$49="Media",'Mapa riesgos'!$AF$49="Menor"),CONCATENATE("R9C",'Mapa riesgos'!$T$49),"")</f>
        <v/>
      </c>
      <c r="Q34" s="51" t="str">
        <f>IF(AND('Mapa riesgos'!$AD$50="Media",'Mapa riesgos'!$AF$50="Menor"),CONCATENATE("R9C",'Mapa riesgos'!$T$50),"")</f>
        <v/>
      </c>
      <c r="R34" s="51" t="str">
        <f>IF(AND('Mapa riesgos'!$AD$51="Media",'Mapa riesgos'!$AF$51="Menor"),CONCATENATE("R9C",'Mapa riesgos'!$T$51),"")</f>
        <v/>
      </c>
      <c r="S34" s="51" t="str">
        <f>IF(AND('Mapa riesgos'!$AD$52="Media",'Mapa riesgos'!$AF$52="Menor"),CONCATENATE("R9C",'Mapa riesgos'!$T$52),"")</f>
        <v/>
      </c>
      <c r="T34" s="51" t="str">
        <f>IF(AND('Mapa riesgos'!$AD$53="Media",'Mapa riesgos'!$AF$53="Menor"),CONCATENATE("R9C",'Mapa riesgos'!$T$53),"")</f>
        <v/>
      </c>
      <c r="U34" s="52" t="str">
        <f>IF(AND('Mapa riesgos'!$AD$54="Media",'Mapa riesgos'!$AF$54="Menor"),CONCATENATE("R9C",'Mapa riesgos'!$T$54),"")</f>
        <v/>
      </c>
      <c r="V34" s="50" t="str">
        <f>IF(AND('Mapa riesgos'!$AD$49="Media",'Mapa riesgos'!$AF$49="Moderado"),CONCATENATE("R9C",'Mapa riesgos'!$T$49),"")</f>
        <v/>
      </c>
      <c r="W34" s="51" t="str">
        <f>IF(AND('Mapa riesgos'!$AD$50="Media",'Mapa riesgos'!$AF$50="Moderado"),CONCATENATE("R9C",'Mapa riesgos'!$T$50),"")</f>
        <v/>
      </c>
      <c r="X34" s="51" t="str">
        <f>IF(AND('Mapa riesgos'!$AD$51="Media",'Mapa riesgos'!$AF$51="Moderado"),CONCATENATE("R9C",'Mapa riesgos'!$T$51),"")</f>
        <v/>
      </c>
      <c r="Y34" s="51" t="str">
        <f>IF(AND('Mapa riesgos'!$AD$52="Media",'Mapa riesgos'!$AF$52="Moderado"),CONCATENATE("R9C",'Mapa riesgos'!$T$52),"")</f>
        <v/>
      </c>
      <c r="Z34" s="51" t="str">
        <f>IF(AND('Mapa riesgos'!$AD$53="Media",'Mapa riesgos'!$AF$53="Moderado"),CONCATENATE("R9C",'Mapa riesgos'!$T$53),"")</f>
        <v/>
      </c>
      <c r="AA34" s="52" t="str">
        <f>IF(AND('Mapa riesgos'!$AD$54="Media",'Mapa riesgos'!$AF$54="Moderado"),CONCATENATE("R9C",'Mapa riesgos'!$T$54),"")</f>
        <v/>
      </c>
      <c r="AB34" s="35" t="str">
        <f>IF(AND('Mapa riesgos'!$AD$49="Media",'Mapa riesgos'!$AF$49="Mayor"),CONCATENATE("R9C",'Mapa riesgos'!$T$49),"")</f>
        <v/>
      </c>
      <c r="AC34" s="36" t="str">
        <f>IF(AND('Mapa riesgos'!$AD$50="Media",'Mapa riesgos'!$AF$50="Mayor"),CONCATENATE("R9C",'Mapa riesgos'!$T$50),"")</f>
        <v/>
      </c>
      <c r="AD34" s="36" t="str">
        <f>IF(AND('Mapa riesgos'!$AD$51="Media",'Mapa riesgos'!$AF$51="Mayor"),CONCATENATE("R9C",'Mapa riesgos'!$T$51),"")</f>
        <v/>
      </c>
      <c r="AE34" s="36" t="str">
        <f>IF(AND('Mapa riesgos'!$AD$52="Media",'Mapa riesgos'!$AF$52="Mayor"),CONCATENATE("R9C",'Mapa riesgos'!$T$52),"")</f>
        <v/>
      </c>
      <c r="AF34" s="36" t="str">
        <f>IF(AND('Mapa riesgos'!$AD$53="Media",'Mapa riesgos'!$AF$53="Mayor"),CONCATENATE("R9C",'Mapa riesgos'!$T$53),"")</f>
        <v/>
      </c>
      <c r="AG34" s="37" t="str">
        <f>IF(AND('Mapa riesgos'!$AD$54="Media",'Mapa riesgos'!$AF$54="Mayor"),CONCATENATE("R9C",'Mapa riesgos'!$T$54),"")</f>
        <v/>
      </c>
      <c r="AH34" s="38" t="str">
        <f>IF(AND('Mapa riesgos'!$AD$49="Media",'Mapa riesgos'!$AF$49="Catastrófico"),CONCATENATE("R9C",'Mapa riesgos'!$T$49),"")</f>
        <v/>
      </c>
      <c r="AI34" s="39" t="str">
        <f>IF(AND('Mapa riesgos'!$AD$50="Media",'Mapa riesgos'!$AF$50="Catastrófico"),CONCATENATE("R9C",'Mapa riesgos'!$T$50),"")</f>
        <v/>
      </c>
      <c r="AJ34" s="39" t="str">
        <f>IF(AND('Mapa riesgos'!$AD$51="Media",'Mapa riesgos'!$AF$51="Catastrófico"),CONCATENATE("R9C",'Mapa riesgos'!$T$51),"")</f>
        <v/>
      </c>
      <c r="AK34" s="39" t="str">
        <f>IF(AND('Mapa riesgos'!$AD$52="Media",'Mapa riesgos'!$AF$52="Catastrófico"),CONCATENATE("R9C",'Mapa riesgos'!$T$52),"")</f>
        <v/>
      </c>
      <c r="AL34" s="39" t="str">
        <f>IF(AND('Mapa riesgos'!$AD$53="Media",'Mapa riesgos'!$AF$53="Catastrófico"),CONCATENATE("R9C",'Mapa riesgos'!$T$53),"")</f>
        <v/>
      </c>
      <c r="AM34" s="40" t="str">
        <f>IF(AND('Mapa riesgos'!$AD$54="Media",'Mapa riesgos'!$AF$54="Catastrófico"),CONCATENATE("R9C",'Mapa riesgos'!$T$54),"")</f>
        <v/>
      </c>
      <c r="AN34" s="66"/>
      <c r="AO34" s="474"/>
      <c r="AP34" s="475"/>
      <c r="AQ34" s="475"/>
      <c r="AR34" s="475"/>
      <c r="AS34" s="475"/>
      <c r="AT34" s="47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346"/>
      <c r="C35" s="346"/>
      <c r="D35" s="347"/>
      <c r="E35" s="446"/>
      <c r="F35" s="447"/>
      <c r="G35" s="447"/>
      <c r="H35" s="447"/>
      <c r="I35" s="461"/>
      <c r="J35" s="50" t="str">
        <f>IF(AND('Mapa riesgos'!$AD$55="Media",'Mapa riesgos'!$AF$55="Leve"),CONCATENATE("R10C",'Mapa riesgos'!$T$55),"")</f>
        <v/>
      </c>
      <c r="K35" s="51" t="str">
        <f>IF(AND('Mapa riesgos'!$AD$56="Media",'Mapa riesgos'!$AF$56="Leve"),CONCATENATE("R10C",'Mapa riesgos'!$T$56),"")</f>
        <v/>
      </c>
      <c r="L35" s="51" t="str">
        <f>IF(AND('Mapa riesgos'!$AD$57="Media",'Mapa riesgos'!$AF$57="Leve"),CONCATENATE("R10C",'Mapa riesgos'!$T$57),"")</f>
        <v/>
      </c>
      <c r="M35" s="51" t="str">
        <f>IF(AND('Mapa riesgos'!$AD$58="Media",'Mapa riesgos'!$AF$58="Leve"),CONCATENATE("R10C",'Mapa riesgos'!$T$58),"")</f>
        <v/>
      </c>
      <c r="N35" s="51" t="str">
        <f>IF(AND('Mapa riesgos'!$AD$59="Media",'Mapa riesgos'!$AF$59="Leve"),CONCATENATE("R10C",'Mapa riesgos'!$T$59),"")</f>
        <v/>
      </c>
      <c r="O35" s="52" t="str">
        <f>IF(AND('Mapa riesgos'!$AD$60="Media",'Mapa riesgos'!$AF$60="Leve"),CONCATENATE("R10C",'Mapa riesgos'!$T$60),"")</f>
        <v/>
      </c>
      <c r="P35" s="50" t="str">
        <f>IF(AND('Mapa riesgos'!$AD$55="Media",'Mapa riesgos'!$AF$55="Menor"),CONCATENATE("R10C",'Mapa riesgos'!$T$55),"")</f>
        <v/>
      </c>
      <c r="Q35" s="51" t="str">
        <f>IF(AND('Mapa riesgos'!$AD$56="Media",'Mapa riesgos'!$AF$56="Menor"),CONCATENATE("R10C",'Mapa riesgos'!$T$56),"")</f>
        <v/>
      </c>
      <c r="R35" s="51" t="str">
        <f>IF(AND('Mapa riesgos'!$AD$57="Media",'Mapa riesgos'!$AF$57="Menor"),CONCATENATE("R10C",'Mapa riesgos'!$T$57),"")</f>
        <v/>
      </c>
      <c r="S35" s="51" t="str">
        <f>IF(AND('Mapa riesgos'!$AD$58="Media",'Mapa riesgos'!$AF$58="Menor"),CONCATENATE("R10C",'Mapa riesgos'!$T$58),"")</f>
        <v/>
      </c>
      <c r="T35" s="51" t="str">
        <f>IF(AND('Mapa riesgos'!$AD$59="Media",'Mapa riesgos'!$AF$59="Menor"),CONCATENATE("R10C",'Mapa riesgos'!$T$59),"")</f>
        <v/>
      </c>
      <c r="U35" s="52" t="str">
        <f>IF(AND('Mapa riesgos'!$AD$60="Media",'Mapa riesgos'!$AF$60="Menor"),CONCATENATE("R10C",'Mapa riesgos'!$T$60),"")</f>
        <v/>
      </c>
      <c r="V35" s="50" t="str">
        <f>IF(AND('Mapa riesgos'!$AD$55="Media",'Mapa riesgos'!$AF$55="Moderado"),CONCATENATE("R10C",'Mapa riesgos'!$T$55),"")</f>
        <v/>
      </c>
      <c r="W35" s="51" t="str">
        <f>IF(AND('Mapa riesgos'!$AD$56="Media",'Mapa riesgos'!$AF$56="Moderado"),CONCATENATE("R10C",'Mapa riesgos'!$T$56),"")</f>
        <v/>
      </c>
      <c r="X35" s="51" t="str">
        <f>IF(AND('Mapa riesgos'!$AD$57="Media",'Mapa riesgos'!$AF$57="Moderado"),CONCATENATE("R10C",'Mapa riesgos'!$T$57),"")</f>
        <v/>
      </c>
      <c r="Y35" s="51" t="str">
        <f>IF(AND('Mapa riesgos'!$AD$58="Media",'Mapa riesgos'!$AF$58="Moderado"),CONCATENATE("R10C",'Mapa riesgos'!$T$58),"")</f>
        <v/>
      </c>
      <c r="Z35" s="51" t="str">
        <f>IF(AND('Mapa riesgos'!$AD$59="Media",'Mapa riesgos'!$AF$59="Moderado"),CONCATENATE("R10C",'Mapa riesgos'!$T$59),"")</f>
        <v/>
      </c>
      <c r="AA35" s="52" t="str">
        <f>IF(AND('Mapa riesgos'!$AD$60="Media",'Mapa riesgos'!$AF$60="Moderado"),CONCATENATE("R10C",'Mapa riesgos'!$T$60),"")</f>
        <v/>
      </c>
      <c r="AB35" s="41" t="str">
        <f>IF(AND('Mapa riesgos'!$AD$55="Media",'Mapa riesgos'!$AF$55="Mayor"),CONCATENATE("R10C",'Mapa riesgos'!$T$55),"")</f>
        <v/>
      </c>
      <c r="AC35" s="42" t="str">
        <f>IF(AND('Mapa riesgos'!$AD$56="Media",'Mapa riesgos'!$AF$56="Mayor"),CONCATENATE("R10C",'Mapa riesgos'!$T$56),"")</f>
        <v/>
      </c>
      <c r="AD35" s="42" t="str">
        <f>IF(AND('Mapa riesgos'!$AD$57="Media",'Mapa riesgos'!$AF$57="Mayor"),CONCATENATE("R10C",'Mapa riesgos'!$T$57),"")</f>
        <v/>
      </c>
      <c r="AE35" s="42" t="str">
        <f>IF(AND('Mapa riesgos'!$AD$58="Media",'Mapa riesgos'!$AF$58="Mayor"),CONCATENATE("R10C",'Mapa riesgos'!$T$58),"")</f>
        <v/>
      </c>
      <c r="AF35" s="42" t="str">
        <f>IF(AND('Mapa riesgos'!$AD$59="Media",'Mapa riesgos'!$AF$59="Mayor"),CONCATENATE("R10C",'Mapa riesgos'!$T$59),"")</f>
        <v/>
      </c>
      <c r="AG35" s="43" t="str">
        <f>IF(AND('Mapa riesgos'!$AD$60="Media",'Mapa riesgos'!$AF$60="Mayor"),CONCATENATE("R10C",'Mapa riesgos'!$T$60),"")</f>
        <v/>
      </c>
      <c r="AH35" s="44" t="str">
        <f>IF(AND('Mapa riesgos'!$AD$55="Media",'Mapa riesgos'!$AF$55="Catastrófico"),CONCATENATE("R10C",'Mapa riesgos'!$T$55),"")</f>
        <v/>
      </c>
      <c r="AI35" s="45" t="str">
        <f>IF(AND('Mapa riesgos'!$AD$56="Media",'Mapa riesgos'!$AF$56="Catastrófico"),CONCATENATE("R10C",'Mapa riesgos'!$T$56),"")</f>
        <v/>
      </c>
      <c r="AJ35" s="45" t="str">
        <f>IF(AND('Mapa riesgos'!$AD$57="Media",'Mapa riesgos'!$AF$57="Catastrófico"),CONCATENATE("R10C",'Mapa riesgos'!$T$57),"")</f>
        <v/>
      </c>
      <c r="AK35" s="45" t="str">
        <f>IF(AND('Mapa riesgos'!$AD$58="Media",'Mapa riesgos'!$AF$58="Catastrófico"),CONCATENATE("R10C",'Mapa riesgos'!$T$58),"")</f>
        <v/>
      </c>
      <c r="AL35" s="45" t="str">
        <f>IF(AND('Mapa riesgos'!$AD$59="Media",'Mapa riesgos'!$AF$59="Catastrófico"),CONCATENATE("R10C",'Mapa riesgos'!$T$59),"")</f>
        <v/>
      </c>
      <c r="AM35" s="46" t="str">
        <f>IF(AND('Mapa riesgos'!$AD$60="Media",'Mapa riesgos'!$AF$60="Catastrófico"),CONCATENATE("R10C",'Mapa riesgos'!$T$60),"")</f>
        <v/>
      </c>
      <c r="AN35" s="66"/>
      <c r="AO35" s="477"/>
      <c r="AP35" s="478"/>
      <c r="AQ35" s="478"/>
      <c r="AR35" s="478"/>
      <c r="AS35" s="478"/>
      <c r="AT35" s="479"/>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346"/>
      <c r="C36" s="346"/>
      <c r="D36" s="347"/>
      <c r="E36" s="441" t="s">
        <v>167</v>
      </c>
      <c r="F36" s="442"/>
      <c r="G36" s="442"/>
      <c r="H36" s="442"/>
      <c r="I36" s="442"/>
      <c r="J36" s="56" t="str">
        <f>IF(AND('Mapa riesgos'!$AD$13="Baja",'Mapa riesgos'!$AF$13="Leve"),CONCATENATE("R1C",'Mapa riesgos'!$T$13),"")</f>
        <v/>
      </c>
      <c r="K36" s="57" t="str">
        <f>IF(AND('Mapa riesgos'!$AD$14="Baja",'Mapa riesgos'!$AF$14="Leve"),CONCATENATE("R1C",'Mapa riesgos'!$T$14),"")</f>
        <v/>
      </c>
      <c r="L36" s="57" t="e">
        <f>IF(AND('Mapa riesgos'!#REF!="Baja",'Mapa riesgos'!#REF!="Leve"),CONCATENATE("R1C",'Mapa riesgos'!#REF!),"")</f>
        <v>#REF!</v>
      </c>
      <c r="M36" s="57" t="e">
        <f>IF(AND('Mapa riesgos'!#REF!="Baja",'Mapa riesgos'!#REF!="Leve"),CONCATENATE("R1C",'Mapa riesgos'!#REF!),"")</f>
        <v>#REF!</v>
      </c>
      <c r="N36" s="57" t="e">
        <f>IF(AND('Mapa riesgos'!#REF!="Baja",'Mapa riesgos'!#REF!="Leve"),CONCATENATE("R1C",'Mapa riesgos'!#REF!),"")</f>
        <v>#REF!</v>
      </c>
      <c r="O36" s="58" t="e">
        <f>IF(AND('Mapa riesgos'!#REF!="Baja",'Mapa riesgos'!#REF!="Leve"),CONCATENATE("R1C",'Mapa riesgos'!#REF!),"")</f>
        <v>#REF!</v>
      </c>
      <c r="P36" s="47" t="str">
        <f>IF(AND('Mapa riesgos'!$AD$13="Baja",'Mapa riesgos'!$AF$13="Menor"),CONCATENATE("R1C",'Mapa riesgos'!$T$13),"")</f>
        <v/>
      </c>
      <c r="Q36" s="48" t="str">
        <f>IF(AND('Mapa riesgos'!$AD$14="Baja",'Mapa riesgos'!$AF$14="Menor"),CONCATENATE("R1C",'Mapa riesgos'!$T$14),"")</f>
        <v>R1C2</v>
      </c>
      <c r="R36" s="48" t="e">
        <f>IF(AND('Mapa riesgos'!#REF!="Baja",'Mapa riesgos'!#REF!="Menor"),CONCATENATE("R1C",'Mapa riesgos'!#REF!),"")</f>
        <v>#REF!</v>
      </c>
      <c r="S36" s="48" t="e">
        <f>IF(AND('Mapa riesgos'!#REF!="Baja",'Mapa riesgos'!#REF!="Menor"),CONCATENATE("R1C",'Mapa riesgos'!#REF!),"")</f>
        <v>#REF!</v>
      </c>
      <c r="T36" s="48" t="e">
        <f>IF(AND('Mapa riesgos'!#REF!="Baja",'Mapa riesgos'!#REF!="Menor"),CONCATENATE("R1C",'Mapa riesgos'!#REF!),"")</f>
        <v>#REF!</v>
      </c>
      <c r="U36" s="49" t="e">
        <f>IF(AND('Mapa riesgos'!#REF!="Baja",'Mapa riesgos'!#REF!="Menor"),CONCATENATE("R1C",'Mapa riesgos'!#REF!),"")</f>
        <v>#REF!</v>
      </c>
      <c r="V36" s="47" t="str">
        <f>IF(AND('Mapa riesgos'!$AD$13="Baja",'Mapa riesgos'!$AF$13="Moderado"),CONCATENATE("R1C",'Mapa riesgos'!$T$13),"")</f>
        <v/>
      </c>
      <c r="W36" s="48" t="str">
        <f>IF(AND('Mapa riesgos'!$AD$14="Baja",'Mapa riesgos'!$AF$14="Moderado"),CONCATENATE("R1C",'Mapa riesgos'!$T$14),"")</f>
        <v/>
      </c>
      <c r="X36" s="48" t="e">
        <f>IF(AND('Mapa riesgos'!#REF!="Baja",'Mapa riesgos'!#REF!="Moderado"),CONCATENATE("R1C",'Mapa riesgos'!#REF!),"")</f>
        <v>#REF!</v>
      </c>
      <c r="Y36" s="48" t="e">
        <f>IF(AND('Mapa riesgos'!#REF!="Baja",'Mapa riesgos'!#REF!="Moderado"),CONCATENATE("R1C",'Mapa riesgos'!#REF!),"")</f>
        <v>#REF!</v>
      </c>
      <c r="Z36" s="48" t="e">
        <f>IF(AND('Mapa riesgos'!#REF!="Baja",'Mapa riesgos'!#REF!="Moderado"),CONCATENATE("R1C",'Mapa riesgos'!#REF!),"")</f>
        <v>#REF!</v>
      </c>
      <c r="AA36" s="49" t="e">
        <f>IF(AND('Mapa riesgos'!#REF!="Baja",'Mapa riesgos'!#REF!="Moderado"),CONCATENATE("R1C",'Mapa riesgos'!#REF!),"")</f>
        <v>#REF!</v>
      </c>
      <c r="AB36" s="29" t="str">
        <f>IF(AND('Mapa riesgos'!$AD$13="Baja",'Mapa riesgos'!$AF$13="Mayor"),CONCATENATE("R1C",'Mapa riesgos'!$T$13),"")</f>
        <v/>
      </c>
      <c r="AC36" s="30" t="str">
        <f>IF(AND('Mapa riesgos'!$AD$14="Baja",'Mapa riesgos'!$AF$14="Mayor"),CONCATENATE("R1C",'Mapa riesgos'!$T$14),"")</f>
        <v/>
      </c>
      <c r="AD36" s="30" t="e">
        <f>IF(AND('Mapa riesgos'!#REF!="Baja",'Mapa riesgos'!#REF!="Mayor"),CONCATENATE("R1C",'Mapa riesgos'!#REF!),"")</f>
        <v>#REF!</v>
      </c>
      <c r="AE36" s="30" t="e">
        <f>IF(AND('Mapa riesgos'!#REF!="Baja",'Mapa riesgos'!#REF!="Mayor"),CONCATENATE("R1C",'Mapa riesgos'!#REF!),"")</f>
        <v>#REF!</v>
      </c>
      <c r="AF36" s="30" t="e">
        <f>IF(AND('Mapa riesgos'!#REF!="Baja",'Mapa riesgos'!#REF!="Mayor"),CONCATENATE("R1C",'Mapa riesgos'!#REF!),"")</f>
        <v>#REF!</v>
      </c>
      <c r="AG36" s="31" t="e">
        <f>IF(AND('Mapa riesgos'!#REF!="Baja",'Mapa riesgos'!#REF!="Mayor"),CONCATENATE("R1C",'Mapa riesgos'!#REF!),"")</f>
        <v>#REF!</v>
      </c>
      <c r="AH36" s="32" t="str">
        <f>IF(AND('Mapa riesgos'!$AD$13="Baja",'Mapa riesgos'!$AF$13="Catastrófico"),CONCATENATE("R1C",'Mapa riesgos'!$T$13),"")</f>
        <v/>
      </c>
      <c r="AI36" s="33" t="str">
        <f>IF(AND('Mapa riesgos'!$AD$14="Baja",'Mapa riesgos'!$AF$14="Catastrófico"),CONCATENATE("R1C",'Mapa riesgos'!$T$14),"")</f>
        <v/>
      </c>
      <c r="AJ36" s="33" t="e">
        <f>IF(AND('Mapa riesgos'!#REF!="Baja",'Mapa riesgos'!#REF!="Catastrófico"),CONCATENATE("R1C",'Mapa riesgos'!#REF!),"")</f>
        <v>#REF!</v>
      </c>
      <c r="AK36" s="33" t="e">
        <f>IF(AND('Mapa riesgos'!#REF!="Baja",'Mapa riesgos'!#REF!="Catastrófico"),CONCATENATE("R1C",'Mapa riesgos'!#REF!),"")</f>
        <v>#REF!</v>
      </c>
      <c r="AL36" s="33" t="e">
        <f>IF(AND('Mapa riesgos'!#REF!="Baja",'Mapa riesgos'!#REF!="Catastrófico"),CONCATENATE("R1C",'Mapa riesgos'!#REF!),"")</f>
        <v>#REF!</v>
      </c>
      <c r="AM36" s="34" t="e">
        <f>IF(AND('Mapa riesgos'!#REF!="Baja",'Mapa riesgos'!#REF!="Catastrófico"),CONCATENATE("R1C",'Mapa riesgos'!#REF!),"")</f>
        <v>#REF!</v>
      </c>
      <c r="AN36" s="66"/>
      <c r="AO36" s="462" t="s">
        <v>168</v>
      </c>
      <c r="AP36" s="463"/>
      <c r="AQ36" s="463"/>
      <c r="AR36" s="463"/>
      <c r="AS36" s="463"/>
      <c r="AT36" s="46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346"/>
      <c r="C37" s="346"/>
      <c r="D37" s="347"/>
      <c r="E37" s="443"/>
      <c r="F37" s="444"/>
      <c r="G37" s="444"/>
      <c r="H37" s="444"/>
      <c r="I37" s="444"/>
      <c r="J37" s="59" t="str">
        <f>IF(AND('Mapa riesgos'!$AD$15="Baja",'Mapa riesgos'!$AF$15="Leve"),CONCATENATE("R2C",'Mapa riesgos'!$T$15),"")</f>
        <v/>
      </c>
      <c r="K37" s="60" t="str">
        <f>IF(AND('Mapa riesgos'!$AD$16="Baja",'Mapa riesgos'!$AF$16="Leve"),CONCATENATE("R2C",'Mapa riesgos'!$T$16),"")</f>
        <v/>
      </c>
      <c r="L37" s="60" t="e">
        <f>IF(AND('Mapa riesgos'!#REF!="Baja",'Mapa riesgos'!#REF!="Leve"),CONCATENATE("R2C",'Mapa riesgos'!#REF!),"")</f>
        <v>#REF!</v>
      </c>
      <c r="M37" s="60" t="e">
        <f>IF(AND('Mapa riesgos'!#REF!="Baja",'Mapa riesgos'!#REF!="Leve"),CONCATENATE("R2C",'Mapa riesgos'!#REF!),"")</f>
        <v>#REF!</v>
      </c>
      <c r="N37" s="60" t="e">
        <f>IF(AND('Mapa riesgos'!#REF!="Baja",'Mapa riesgos'!#REF!="Leve"),CONCATENATE("R2C",'Mapa riesgos'!#REF!),"")</f>
        <v>#REF!</v>
      </c>
      <c r="O37" s="61" t="e">
        <f>IF(AND('Mapa riesgos'!#REF!="Baja",'Mapa riesgos'!#REF!="Leve"),CONCATENATE("R2C",'Mapa riesgos'!#REF!),"")</f>
        <v>#REF!</v>
      </c>
      <c r="P37" s="50" t="str">
        <f>IF(AND('Mapa riesgos'!$AD$15="Baja",'Mapa riesgos'!$AF$15="Menor"),CONCATENATE("R2C",'Mapa riesgos'!$T$15),"")</f>
        <v/>
      </c>
      <c r="Q37" s="51" t="str">
        <f>IF(AND('Mapa riesgos'!$AD$16="Baja",'Mapa riesgos'!$AF$16="Menor"),CONCATENATE("R2C",'Mapa riesgos'!$T$16),"")</f>
        <v/>
      </c>
      <c r="R37" s="51" t="e">
        <f>IF(AND('Mapa riesgos'!#REF!="Baja",'Mapa riesgos'!#REF!="Menor"),CONCATENATE("R2C",'Mapa riesgos'!#REF!),"")</f>
        <v>#REF!</v>
      </c>
      <c r="S37" s="51" t="e">
        <f>IF(AND('Mapa riesgos'!#REF!="Baja",'Mapa riesgos'!#REF!="Menor"),CONCATENATE("R2C",'Mapa riesgos'!#REF!),"")</f>
        <v>#REF!</v>
      </c>
      <c r="T37" s="51" t="e">
        <f>IF(AND('Mapa riesgos'!#REF!="Baja",'Mapa riesgos'!#REF!="Menor"),CONCATENATE("R2C",'Mapa riesgos'!#REF!),"")</f>
        <v>#REF!</v>
      </c>
      <c r="U37" s="52" t="e">
        <f>IF(AND('Mapa riesgos'!#REF!="Baja",'Mapa riesgos'!#REF!="Menor"),CONCATENATE("R2C",'Mapa riesgos'!#REF!),"")</f>
        <v>#REF!</v>
      </c>
      <c r="V37" s="50" t="str">
        <f>IF(AND('Mapa riesgos'!$AD$15="Baja",'Mapa riesgos'!$AF$15="Moderado"),CONCATENATE("R2C",'Mapa riesgos'!$T$15),"")</f>
        <v>R2C1</v>
      </c>
      <c r="W37" s="51" t="str">
        <f>IF(AND('Mapa riesgos'!$AD$16="Baja",'Mapa riesgos'!$AF$16="Moderado"),CONCATENATE("R2C",'Mapa riesgos'!$T$16),"")</f>
        <v>R2C2</v>
      </c>
      <c r="X37" s="51" t="e">
        <f>IF(AND('Mapa riesgos'!#REF!="Baja",'Mapa riesgos'!#REF!="Moderado"),CONCATENATE("R2C",'Mapa riesgos'!#REF!),"")</f>
        <v>#REF!</v>
      </c>
      <c r="Y37" s="51" t="e">
        <f>IF(AND('Mapa riesgos'!#REF!="Baja",'Mapa riesgos'!#REF!="Moderado"),CONCATENATE("R2C",'Mapa riesgos'!#REF!),"")</f>
        <v>#REF!</v>
      </c>
      <c r="Z37" s="51" t="e">
        <f>IF(AND('Mapa riesgos'!#REF!="Baja",'Mapa riesgos'!#REF!="Moderado"),CONCATENATE("R2C",'Mapa riesgos'!#REF!),"")</f>
        <v>#REF!</v>
      </c>
      <c r="AA37" s="52" t="e">
        <f>IF(AND('Mapa riesgos'!#REF!="Baja",'Mapa riesgos'!#REF!="Moderado"),CONCATENATE("R2C",'Mapa riesgos'!#REF!),"")</f>
        <v>#REF!</v>
      </c>
      <c r="AB37" s="35" t="str">
        <f>IF(AND('Mapa riesgos'!$AD$15="Baja",'Mapa riesgos'!$AF$15="Mayor"),CONCATENATE("R2C",'Mapa riesgos'!$T$15),"")</f>
        <v/>
      </c>
      <c r="AC37" s="36" t="str">
        <f>IF(AND('Mapa riesgos'!$AD$16="Baja",'Mapa riesgos'!$AF$16="Mayor"),CONCATENATE("R2C",'Mapa riesgos'!$T$16),"")</f>
        <v/>
      </c>
      <c r="AD37" s="36" t="e">
        <f>IF(AND('Mapa riesgos'!#REF!="Baja",'Mapa riesgos'!#REF!="Mayor"),CONCATENATE("R2C",'Mapa riesgos'!#REF!),"")</f>
        <v>#REF!</v>
      </c>
      <c r="AE37" s="36" t="e">
        <f>IF(AND('Mapa riesgos'!#REF!="Baja",'Mapa riesgos'!#REF!="Mayor"),CONCATENATE("R2C",'Mapa riesgos'!#REF!),"")</f>
        <v>#REF!</v>
      </c>
      <c r="AF37" s="36" t="e">
        <f>IF(AND('Mapa riesgos'!#REF!="Baja",'Mapa riesgos'!#REF!="Mayor"),CONCATENATE("R2C",'Mapa riesgos'!#REF!),"")</f>
        <v>#REF!</v>
      </c>
      <c r="AG37" s="37" t="e">
        <f>IF(AND('Mapa riesgos'!#REF!="Baja",'Mapa riesgos'!#REF!="Mayor"),CONCATENATE("R2C",'Mapa riesgos'!#REF!),"")</f>
        <v>#REF!</v>
      </c>
      <c r="AH37" s="38" t="str">
        <f>IF(AND('Mapa riesgos'!$AD$15="Baja",'Mapa riesgos'!$AF$15="Catastrófico"),CONCATENATE("R2C",'Mapa riesgos'!$T$15),"")</f>
        <v/>
      </c>
      <c r="AI37" s="39" t="str">
        <f>IF(AND('Mapa riesgos'!$AD$16="Baja",'Mapa riesgos'!$AF$16="Catastrófico"),CONCATENATE("R2C",'Mapa riesgos'!$T$16),"")</f>
        <v/>
      </c>
      <c r="AJ37" s="39" t="e">
        <f>IF(AND('Mapa riesgos'!#REF!="Baja",'Mapa riesgos'!#REF!="Catastrófico"),CONCATENATE("R2C",'Mapa riesgos'!#REF!),"")</f>
        <v>#REF!</v>
      </c>
      <c r="AK37" s="39" t="e">
        <f>IF(AND('Mapa riesgos'!#REF!="Baja",'Mapa riesgos'!#REF!="Catastrófico"),CONCATENATE("R2C",'Mapa riesgos'!#REF!),"")</f>
        <v>#REF!</v>
      </c>
      <c r="AL37" s="39" t="e">
        <f>IF(AND('Mapa riesgos'!#REF!="Baja",'Mapa riesgos'!#REF!="Catastrófico"),CONCATENATE("R2C",'Mapa riesgos'!#REF!),"")</f>
        <v>#REF!</v>
      </c>
      <c r="AM37" s="40" t="e">
        <f>IF(AND('Mapa riesgos'!#REF!="Baja",'Mapa riesgos'!#REF!="Catastrófico"),CONCATENATE("R2C",'Mapa riesgos'!#REF!),"")</f>
        <v>#REF!</v>
      </c>
      <c r="AN37" s="66"/>
      <c r="AO37" s="465"/>
      <c r="AP37" s="466"/>
      <c r="AQ37" s="466"/>
      <c r="AR37" s="466"/>
      <c r="AS37" s="466"/>
      <c r="AT37" s="46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346"/>
      <c r="C38" s="346"/>
      <c r="D38" s="347"/>
      <c r="E38" s="445"/>
      <c r="F38" s="444"/>
      <c r="G38" s="444"/>
      <c r="H38" s="444"/>
      <c r="I38" s="444"/>
      <c r="J38" s="59" t="str">
        <f>IF(AND('Mapa riesgos'!$AD$17="Baja",'Mapa riesgos'!$AF$17="Leve"),CONCATENATE("R3C",'Mapa riesgos'!$T$17),"")</f>
        <v/>
      </c>
      <c r="K38" s="60" t="str">
        <f>IF(AND('Mapa riesgos'!$AD$18="Baja",'Mapa riesgos'!$AF$18="Leve"),CONCATENATE("R3C",'Mapa riesgos'!$T$18),"")</f>
        <v/>
      </c>
      <c r="L38" s="60" t="e">
        <f>IF(AND('Mapa riesgos'!#REF!="Baja",'Mapa riesgos'!#REF!="Leve"),CONCATENATE("R3C",'Mapa riesgos'!#REF!),"")</f>
        <v>#REF!</v>
      </c>
      <c r="M38" s="60" t="e">
        <f>IF(AND('Mapa riesgos'!#REF!="Baja",'Mapa riesgos'!#REF!="Leve"),CONCATENATE("R3C",'Mapa riesgos'!#REF!),"")</f>
        <v>#REF!</v>
      </c>
      <c r="N38" s="60" t="e">
        <f>IF(AND('Mapa riesgos'!#REF!="Baja",'Mapa riesgos'!#REF!="Leve"),CONCATENATE("R3C",'Mapa riesgos'!#REF!),"")</f>
        <v>#REF!</v>
      </c>
      <c r="O38" s="61" t="e">
        <f>IF(AND('Mapa riesgos'!#REF!="Baja",'Mapa riesgos'!#REF!="Leve"),CONCATENATE("R3C",'Mapa riesgos'!#REF!),"")</f>
        <v>#REF!</v>
      </c>
      <c r="P38" s="50" t="str">
        <f>IF(AND('Mapa riesgos'!$AD$17="Baja",'Mapa riesgos'!$AF$17="Menor"),CONCATENATE("R3C",'Mapa riesgos'!$T$17),"")</f>
        <v/>
      </c>
      <c r="Q38" s="51" t="str">
        <f>IF(AND('Mapa riesgos'!$AD$18="Baja",'Mapa riesgos'!$AF$18="Menor"),CONCATENATE("R3C",'Mapa riesgos'!$T$18),"")</f>
        <v/>
      </c>
      <c r="R38" s="51" t="e">
        <f>IF(AND('Mapa riesgos'!#REF!="Baja",'Mapa riesgos'!#REF!="Menor"),CONCATENATE("R3C",'Mapa riesgos'!#REF!),"")</f>
        <v>#REF!</v>
      </c>
      <c r="S38" s="51" t="e">
        <f>IF(AND('Mapa riesgos'!#REF!="Baja",'Mapa riesgos'!#REF!="Menor"),CONCATENATE("R3C",'Mapa riesgos'!#REF!),"")</f>
        <v>#REF!</v>
      </c>
      <c r="T38" s="51" t="e">
        <f>IF(AND('Mapa riesgos'!#REF!="Baja",'Mapa riesgos'!#REF!="Menor"),CONCATENATE("R3C",'Mapa riesgos'!#REF!),"")</f>
        <v>#REF!</v>
      </c>
      <c r="U38" s="52" t="e">
        <f>IF(AND('Mapa riesgos'!#REF!="Baja",'Mapa riesgos'!#REF!="Menor"),CONCATENATE("R3C",'Mapa riesgos'!#REF!),"")</f>
        <v>#REF!</v>
      </c>
      <c r="V38" s="50" t="str">
        <f>IF(AND('Mapa riesgos'!$AD$17="Baja",'Mapa riesgos'!$AF$17="Moderado"),CONCATENATE("R3C",'Mapa riesgos'!$T$17),"")</f>
        <v>R3C1</v>
      </c>
      <c r="W38" s="51" t="str">
        <f>IF(AND('Mapa riesgos'!$AD$18="Baja",'Mapa riesgos'!$AF$18="Moderado"),CONCATENATE("R3C",'Mapa riesgos'!$T$18),"")</f>
        <v>R3C2</v>
      </c>
      <c r="X38" s="51" t="e">
        <f>IF(AND('Mapa riesgos'!#REF!="Baja",'Mapa riesgos'!#REF!="Moderado"),CONCATENATE("R3C",'Mapa riesgos'!#REF!),"")</f>
        <v>#REF!</v>
      </c>
      <c r="Y38" s="51" t="e">
        <f>IF(AND('Mapa riesgos'!#REF!="Baja",'Mapa riesgos'!#REF!="Moderado"),CONCATENATE("R3C",'Mapa riesgos'!#REF!),"")</f>
        <v>#REF!</v>
      </c>
      <c r="Z38" s="51" t="e">
        <f>IF(AND('Mapa riesgos'!#REF!="Baja",'Mapa riesgos'!#REF!="Moderado"),CONCATENATE("R3C",'Mapa riesgos'!#REF!),"")</f>
        <v>#REF!</v>
      </c>
      <c r="AA38" s="52" t="e">
        <f>IF(AND('Mapa riesgos'!#REF!="Baja",'Mapa riesgos'!#REF!="Moderado"),CONCATENATE("R3C",'Mapa riesgos'!#REF!),"")</f>
        <v>#REF!</v>
      </c>
      <c r="AB38" s="35" t="str">
        <f>IF(AND('Mapa riesgos'!$AD$17="Baja",'Mapa riesgos'!$AF$17="Mayor"),CONCATENATE("R3C",'Mapa riesgos'!$T$17),"")</f>
        <v/>
      </c>
      <c r="AC38" s="36" t="str">
        <f>IF(AND('Mapa riesgos'!$AD$18="Baja",'Mapa riesgos'!$AF$18="Mayor"),CONCATENATE("R3C",'Mapa riesgos'!$T$18),"")</f>
        <v/>
      </c>
      <c r="AD38" s="36" t="e">
        <f>IF(AND('Mapa riesgos'!#REF!="Baja",'Mapa riesgos'!#REF!="Mayor"),CONCATENATE("R3C",'Mapa riesgos'!#REF!),"")</f>
        <v>#REF!</v>
      </c>
      <c r="AE38" s="36" t="e">
        <f>IF(AND('Mapa riesgos'!#REF!="Baja",'Mapa riesgos'!#REF!="Mayor"),CONCATENATE("R3C",'Mapa riesgos'!#REF!),"")</f>
        <v>#REF!</v>
      </c>
      <c r="AF38" s="36" t="e">
        <f>IF(AND('Mapa riesgos'!#REF!="Baja",'Mapa riesgos'!#REF!="Mayor"),CONCATENATE("R3C",'Mapa riesgos'!#REF!),"")</f>
        <v>#REF!</v>
      </c>
      <c r="AG38" s="37" t="e">
        <f>IF(AND('Mapa riesgos'!#REF!="Baja",'Mapa riesgos'!#REF!="Mayor"),CONCATENATE("R3C",'Mapa riesgos'!#REF!),"")</f>
        <v>#REF!</v>
      </c>
      <c r="AH38" s="38" t="str">
        <f>IF(AND('Mapa riesgos'!$AD$17="Baja",'Mapa riesgos'!$AF$17="Catastrófico"),CONCATENATE("R3C",'Mapa riesgos'!$T$17),"")</f>
        <v/>
      </c>
      <c r="AI38" s="39" t="str">
        <f>IF(AND('Mapa riesgos'!$AD$18="Baja",'Mapa riesgos'!$AF$18="Catastrófico"),CONCATENATE("R3C",'Mapa riesgos'!$T$18),"")</f>
        <v/>
      </c>
      <c r="AJ38" s="39" t="e">
        <f>IF(AND('Mapa riesgos'!#REF!="Baja",'Mapa riesgos'!#REF!="Catastrófico"),CONCATENATE("R3C",'Mapa riesgos'!#REF!),"")</f>
        <v>#REF!</v>
      </c>
      <c r="AK38" s="39" t="e">
        <f>IF(AND('Mapa riesgos'!#REF!="Baja",'Mapa riesgos'!#REF!="Catastrófico"),CONCATENATE("R3C",'Mapa riesgos'!#REF!),"")</f>
        <v>#REF!</v>
      </c>
      <c r="AL38" s="39" t="e">
        <f>IF(AND('Mapa riesgos'!#REF!="Baja",'Mapa riesgos'!#REF!="Catastrófico"),CONCATENATE("R3C",'Mapa riesgos'!#REF!),"")</f>
        <v>#REF!</v>
      </c>
      <c r="AM38" s="40" t="e">
        <f>IF(AND('Mapa riesgos'!#REF!="Baja",'Mapa riesgos'!#REF!="Catastrófico"),CONCATENATE("R3C",'Mapa riesgos'!#REF!),"")</f>
        <v>#REF!</v>
      </c>
      <c r="AN38" s="66"/>
      <c r="AO38" s="465"/>
      <c r="AP38" s="466"/>
      <c r="AQ38" s="466"/>
      <c r="AR38" s="466"/>
      <c r="AS38" s="466"/>
      <c r="AT38" s="467"/>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346"/>
      <c r="C39" s="346"/>
      <c r="D39" s="347"/>
      <c r="E39" s="445"/>
      <c r="F39" s="444"/>
      <c r="G39" s="444"/>
      <c r="H39" s="444"/>
      <c r="I39" s="444"/>
      <c r="J39" s="59" t="str">
        <f>IF(AND('Mapa riesgos'!$AD$19="Baja",'Mapa riesgos'!$AF$19="Leve"),CONCATENATE("R4C",'Mapa riesgos'!$T$19),"")</f>
        <v/>
      </c>
      <c r="K39" s="60" t="str">
        <f>IF(AND('Mapa riesgos'!$AD$20="Baja",'Mapa riesgos'!$AF$20="Leve"),CONCATENATE("R4C",'Mapa riesgos'!$T$20),"")</f>
        <v/>
      </c>
      <c r="L39" s="60" t="str">
        <f>IF(AND('Mapa riesgos'!$AD$21="Baja",'Mapa riesgos'!$AF$21="Leve"),CONCATENATE("R4C",'Mapa riesgos'!$T$21),"")</f>
        <v/>
      </c>
      <c r="M39" s="60" t="str">
        <f>IF(AND('Mapa riesgos'!$AD$22="Baja",'Mapa riesgos'!$AF$22="Leve"),CONCATENATE("R4C",'Mapa riesgos'!$T$22),"")</f>
        <v/>
      </c>
      <c r="N39" s="60" t="str">
        <f>IF(AND('Mapa riesgos'!$AD$23="Baja",'Mapa riesgos'!$AF$23="Leve"),CONCATENATE("R4C",'Mapa riesgos'!$T$23),"")</f>
        <v/>
      </c>
      <c r="O39" s="61" t="str">
        <f>IF(AND('Mapa riesgos'!$AD$24="Baja",'Mapa riesgos'!$AF$24="Leve"),CONCATENATE("R4C",'Mapa riesgos'!$T$24),"")</f>
        <v/>
      </c>
      <c r="P39" s="50" t="str">
        <f>IF(AND('Mapa riesgos'!$AD$19="Baja",'Mapa riesgos'!$AF$19="Menor"),CONCATENATE("R4C",'Mapa riesgos'!$T$19),"")</f>
        <v/>
      </c>
      <c r="Q39" s="51" t="str">
        <f>IF(AND('Mapa riesgos'!$AD$20="Baja",'Mapa riesgos'!$AF$20="Menor"),CONCATENATE("R4C",'Mapa riesgos'!$T$20),"")</f>
        <v/>
      </c>
      <c r="R39" s="51" t="str">
        <f>IF(AND('Mapa riesgos'!$AD$21="Baja",'Mapa riesgos'!$AF$21="Menor"),CONCATENATE("R4C",'Mapa riesgos'!$T$21),"")</f>
        <v/>
      </c>
      <c r="S39" s="51" t="str">
        <f>IF(AND('Mapa riesgos'!$AD$22="Baja",'Mapa riesgos'!$AF$22="Menor"),CONCATENATE("R4C",'Mapa riesgos'!$T$22),"")</f>
        <v/>
      </c>
      <c r="T39" s="51" t="str">
        <f>IF(AND('Mapa riesgos'!$AD$23="Baja",'Mapa riesgos'!$AF$23="Menor"),CONCATENATE("R4C",'Mapa riesgos'!$T$23),"")</f>
        <v/>
      </c>
      <c r="U39" s="52" t="str">
        <f>IF(AND('Mapa riesgos'!$AD$24="Baja",'Mapa riesgos'!$AF$24="Menor"),CONCATENATE("R4C",'Mapa riesgos'!$T$24),"")</f>
        <v/>
      </c>
      <c r="V39" s="50" t="str">
        <f>IF(AND('Mapa riesgos'!$AD$19="Baja",'Mapa riesgos'!$AF$19="Moderado"),CONCATENATE("R4C",'Mapa riesgos'!$T$19),"")</f>
        <v/>
      </c>
      <c r="W39" s="51" t="str">
        <f>IF(AND('Mapa riesgos'!$AD$20="Baja",'Mapa riesgos'!$AF$20="Moderado"),CONCATENATE("R4C",'Mapa riesgos'!$T$20),"")</f>
        <v/>
      </c>
      <c r="X39" s="51" t="str">
        <f>IF(AND('Mapa riesgos'!$AD$21="Baja",'Mapa riesgos'!$AF$21="Moderado"),CONCATENATE("R4C",'Mapa riesgos'!$T$21),"")</f>
        <v/>
      </c>
      <c r="Y39" s="51" t="str">
        <f>IF(AND('Mapa riesgos'!$AD$22="Baja",'Mapa riesgos'!$AF$22="Moderado"),CONCATENATE("R4C",'Mapa riesgos'!$T$22),"")</f>
        <v/>
      </c>
      <c r="Z39" s="51" t="str">
        <f>IF(AND('Mapa riesgos'!$AD$23="Baja",'Mapa riesgos'!$AF$23="Moderado"),CONCATENATE("R4C",'Mapa riesgos'!$T$23),"")</f>
        <v/>
      </c>
      <c r="AA39" s="52" t="str">
        <f>IF(AND('Mapa riesgos'!$AD$24="Baja",'Mapa riesgos'!$AF$24="Moderado"),CONCATENATE("R4C",'Mapa riesgos'!$T$24),"")</f>
        <v/>
      </c>
      <c r="AB39" s="35" t="str">
        <f>IF(AND('Mapa riesgos'!$AD$19="Baja",'Mapa riesgos'!$AF$19="Mayor"),CONCATENATE("R4C",'Mapa riesgos'!$T$19),"")</f>
        <v/>
      </c>
      <c r="AC39" s="36" t="str">
        <f>IF(AND('Mapa riesgos'!$AD$20="Baja",'Mapa riesgos'!$AF$20="Mayor"),CONCATENATE("R4C",'Mapa riesgos'!$T$20),"")</f>
        <v/>
      </c>
      <c r="AD39" s="36" t="str">
        <f>IF(AND('Mapa riesgos'!$AD$21="Baja",'Mapa riesgos'!$AF$21="Mayor"),CONCATENATE("R4C",'Mapa riesgos'!$T$21),"")</f>
        <v/>
      </c>
      <c r="AE39" s="36" t="str">
        <f>IF(AND('Mapa riesgos'!$AD$22="Baja",'Mapa riesgos'!$AF$22="Mayor"),CONCATENATE("R4C",'Mapa riesgos'!$T$22),"")</f>
        <v/>
      </c>
      <c r="AF39" s="36" t="str">
        <f>IF(AND('Mapa riesgos'!$AD$23="Baja",'Mapa riesgos'!$AF$23="Mayor"),CONCATENATE("R4C",'Mapa riesgos'!$T$23),"")</f>
        <v/>
      </c>
      <c r="AG39" s="37" t="str">
        <f>IF(AND('Mapa riesgos'!$AD$24="Baja",'Mapa riesgos'!$AF$24="Mayor"),CONCATENATE("R4C",'Mapa riesgos'!$T$24),"")</f>
        <v/>
      </c>
      <c r="AH39" s="38" t="str">
        <f>IF(AND('Mapa riesgos'!$AD$19="Baja",'Mapa riesgos'!$AF$19="Catastrófico"),CONCATENATE("R4C",'Mapa riesgos'!$T$19),"")</f>
        <v/>
      </c>
      <c r="AI39" s="39" t="str">
        <f>IF(AND('Mapa riesgos'!$AD$20="Baja",'Mapa riesgos'!$AF$20="Catastrófico"),CONCATENATE("R4C",'Mapa riesgos'!$T$20),"")</f>
        <v/>
      </c>
      <c r="AJ39" s="39" t="str">
        <f>IF(AND('Mapa riesgos'!$AD$21="Baja",'Mapa riesgos'!$AF$21="Catastrófico"),CONCATENATE("R4C",'Mapa riesgos'!$T$21),"")</f>
        <v/>
      </c>
      <c r="AK39" s="39" t="str">
        <f>IF(AND('Mapa riesgos'!$AD$22="Baja",'Mapa riesgos'!$AF$22="Catastrófico"),CONCATENATE("R4C",'Mapa riesgos'!$T$22),"")</f>
        <v/>
      </c>
      <c r="AL39" s="39" t="str">
        <f>IF(AND('Mapa riesgos'!$AD$23="Baja",'Mapa riesgos'!$AF$23="Catastrófico"),CONCATENATE("R4C",'Mapa riesgos'!$T$23),"")</f>
        <v/>
      </c>
      <c r="AM39" s="40" t="str">
        <f>IF(AND('Mapa riesgos'!$AD$24="Baja",'Mapa riesgos'!$AF$24="Catastrófico"),CONCATENATE("R4C",'Mapa riesgos'!$T$24),"")</f>
        <v/>
      </c>
      <c r="AN39" s="66"/>
      <c r="AO39" s="465"/>
      <c r="AP39" s="466"/>
      <c r="AQ39" s="466"/>
      <c r="AR39" s="466"/>
      <c r="AS39" s="466"/>
      <c r="AT39" s="467"/>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346"/>
      <c r="C40" s="346"/>
      <c r="D40" s="347"/>
      <c r="E40" s="445"/>
      <c r="F40" s="444"/>
      <c r="G40" s="444"/>
      <c r="H40" s="444"/>
      <c r="I40" s="444"/>
      <c r="J40" s="59" t="str">
        <f>IF(AND('Mapa riesgos'!$AD$25="Baja",'Mapa riesgos'!$AF$25="Leve"),CONCATENATE("R5C",'Mapa riesgos'!$T$25),"")</f>
        <v/>
      </c>
      <c r="K40" s="60" t="str">
        <f>IF(AND('Mapa riesgos'!$AD$26="Baja",'Mapa riesgos'!$AF$26="Leve"),CONCATENATE("R5C",'Mapa riesgos'!$T$26),"")</f>
        <v/>
      </c>
      <c r="L40" s="60" t="str">
        <f>IF(AND('Mapa riesgos'!$AD$27="Baja",'Mapa riesgos'!$AF$27="Leve"),CONCATENATE("R5C",'Mapa riesgos'!$T$27),"")</f>
        <v/>
      </c>
      <c r="M40" s="60" t="str">
        <f>IF(AND('Mapa riesgos'!$AD$28="Baja",'Mapa riesgos'!$AF$28="Leve"),CONCATENATE("R5C",'Mapa riesgos'!$T$28),"")</f>
        <v/>
      </c>
      <c r="N40" s="60" t="str">
        <f>IF(AND('Mapa riesgos'!$AD$29="Baja",'Mapa riesgos'!$AF$29="Leve"),CONCATENATE("R5C",'Mapa riesgos'!$T$29),"")</f>
        <v/>
      </c>
      <c r="O40" s="61" t="str">
        <f>IF(AND('Mapa riesgos'!$AD$30="Baja",'Mapa riesgos'!$AF$30="Leve"),CONCATENATE("R5C",'Mapa riesgos'!$T$30),"")</f>
        <v/>
      </c>
      <c r="P40" s="50" t="str">
        <f>IF(AND('Mapa riesgos'!$AD$25="Baja",'Mapa riesgos'!$AF$25="Menor"),CONCATENATE("R5C",'Mapa riesgos'!$T$25),"")</f>
        <v/>
      </c>
      <c r="Q40" s="51" t="str">
        <f>IF(AND('Mapa riesgos'!$AD$26="Baja",'Mapa riesgos'!$AF$26="Menor"),CONCATENATE("R5C",'Mapa riesgos'!$T$26),"")</f>
        <v/>
      </c>
      <c r="R40" s="51" t="str">
        <f>IF(AND('Mapa riesgos'!$AD$27="Baja",'Mapa riesgos'!$AF$27="Menor"),CONCATENATE("R5C",'Mapa riesgos'!$T$27),"")</f>
        <v/>
      </c>
      <c r="S40" s="51" t="str">
        <f>IF(AND('Mapa riesgos'!$AD$28="Baja",'Mapa riesgos'!$AF$28="Menor"),CONCATENATE("R5C",'Mapa riesgos'!$T$28),"")</f>
        <v/>
      </c>
      <c r="T40" s="51" t="str">
        <f>IF(AND('Mapa riesgos'!$AD$29="Baja",'Mapa riesgos'!$AF$29="Menor"),CONCATENATE("R5C",'Mapa riesgos'!$T$29),"")</f>
        <v/>
      </c>
      <c r="U40" s="52" t="str">
        <f>IF(AND('Mapa riesgos'!$AD$30="Baja",'Mapa riesgos'!$AF$30="Menor"),CONCATENATE("R5C",'Mapa riesgos'!$T$30),"")</f>
        <v/>
      </c>
      <c r="V40" s="50" t="str">
        <f>IF(AND('Mapa riesgos'!$AD$25="Baja",'Mapa riesgos'!$AF$25="Moderado"),CONCATENATE("R5C",'Mapa riesgos'!$T$25),"")</f>
        <v/>
      </c>
      <c r="W40" s="51" t="str">
        <f>IF(AND('Mapa riesgos'!$AD$26="Baja",'Mapa riesgos'!$AF$26="Moderado"),CONCATENATE("R5C",'Mapa riesgos'!$T$26),"")</f>
        <v/>
      </c>
      <c r="X40" s="51" t="str">
        <f>IF(AND('Mapa riesgos'!$AD$27="Baja",'Mapa riesgos'!$AF$27="Moderado"),CONCATENATE("R5C",'Mapa riesgos'!$T$27),"")</f>
        <v/>
      </c>
      <c r="Y40" s="51" t="str">
        <f>IF(AND('Mapa riesgos'!$AD$28="Baja",'Mapa riesgos'!$AF$28="Moderado"),CONCATENATE("R5C",'Mapa riesgos'!$T$28),"")</f>
        <v/>
      </c>
      <c r="Z40" s="51" t="str">
        <f>IF(AND('Mapa riesgos'!$AD$29="Baja",'Mapa riesgos'!$AF$29="Moderado"),CONCATENATE("R5C",'Mapa riesgos'!$T$29),"")</f>
        <v/>
      </c>
      <c r="AA40" s="52" t="str">
        <f>IF(AND('Mapa riesgos'!$AD$30="Baja",'Mapa riesgos'!$AF$30="Moderado"),CONCATENATE("R5C",'Mapa riesgos'!$T$30),"")</f>
        <v/>
      </c>
      <c r="AB40" s="35" t="str">
        <f>IF(AND('Mapa riesgos'!$AD$25="Baja",'Mapa riesgos'!$AF$25="Mayor"),CONCATENATE("R5C",'Mapa riesgos'!$T$25),"")</f>
        <v/>
      </c>
      <c r="AC40" s="36" t="str">
        <f>IF(AND('Mapa riesgos'!$AD$26="Baja",'Mapa riesgos'!$AF$26="Mayor"),CONCATENATE("R5C",'Mapa riesgos'!$T$26),"")</f>
        <v/>
      </c>
      <c r="AD40" s="36" t="str">
        <f>IF(AND('Mapa riesgos'!$AD$27="Baja",'Mapa riesgos'!$AF$27="Mayor"),CONCATENATE("R5C",'Mapa riesgos'!$T$27),"")</f>
        <v/>
      </c>
      <c r="AE40" s="36" t="str">
        <f>IF(AND('Mapa riesgos'!$AD$28="Baja",'Mapa riesgos'!$AF$28="Mayor"),CONCATENATE("R5C",'Mapa riesgos'!$T$28),"")</f>
        <v/>
      </c>
      <c r="AF40" s="36" t="str">
        <f>IF(AND('Mapa riesgos'!$AD$29="Baja",'Mapa riesgos'!$AF$29="Mayor"),CONCATENATE("R5C",'Mapa riesgos'!$T$29),"")</f>
        <v/>
      </c>
      <c r="AG40" s="37" t="str">
        <f>IF(AND('Mapa riesgos'!$AD$30="Baja",'Mapa riesgos'!$AF$30="Mayor"),CONCATENATE("R5C",'Mapa riesgos'!$T$30),"")</f>
        <v/>
      </c>
      <c r="AH40" s="38" t="str">
        <f>IF(AND('Mapa riesgos'!$AD$25="Baja",'Mapa riesgos'!$AF$25="Catastrófico"),CONCATENATE("R5C",'Mapa riesgos'!$T$25),"")</f>
        <v/>
      </c>
      <c r="AI40" s="39" t="str">
        <f>IF(AND('Mapa riesgos'!$AD$26="Baja",'Mapa riesgos'!$AF$26="Catastrófico"),CONCATENATE("R5C",'Mapa riesgos'!$T$26),"")</f>
        <v/>
      </c>
      <c r="AJ40" s="39" t="str">
        <f>IF(AND('Mapa riesgos'!$AD$27="Baja",'Mapa riesgos'!$AF$27="Catastrófico"),CONCATENATE("R5C",'Mapa riesgos'!$T$27),"")</f>
        <v/>
      </c>
      <c r="AK40" s="39" t="str">
        <f>IF(AND('Mapa riesgos'!$AD$28="Baja",'Mapa riesgos'!$AF$28="Catastrófico"),CONCATENATE("R5C",'Mapa riesgos'!$T$28),"")</f>
        <v/>
      </c>
      <c r="AL40" s="39" t="str">
        <f>IF(AND('Mapa riesgos'!$AD$29="Baja",'Mapa riesgos'!$AF$29="Catastrófico"),CONCATENATE("R5C",'Mapa riesgos'!$T$29),"")</f>
        <v/>
      </c>
      <c r="AM40" s="40" t="str">
        <f>IF(AND('Mapa riesgos'!$AD$30="Baja",'Mapa riesgos'!$AF$30="Catastrófico"),CONCATENATE("R5C",'Mapa riesgos'!$T$30),"")</f>
        <v/>
      </c>
      <c r="AN40" s="66"/>
      <c r="AO40" s="465"/>
      <c r="AP40" s="466"/>
      <c r="AQ40" s="466"/>
      <c r="AR40" s="466"/>
      <c r="AS40" s="466"/>
      <c r="AT40" s="467"/>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346"/>
      <c r="C41" s="346"/>
      <c r="D41" s="347"/>
      <c r="E41" s="445"/>
      <c r="F41" s="444"/>
      <c r="G41" s="444"/>
      <c r="H41" s="444"/>
      <c r="I41" s="444"/>
      <c r="J41" s="59" t="str">
        <f>IF(AND('Mapa riesgos'!$AD$31="Baja",'Mapa riesgos'!$AF$31="Leve"),CONCATENATE("R6C",'Mapa riesgos'!$T$31),"")</f>
        <v/>
      </c>
      <c r="K41" s="60" t="str">
        <f>IF(AND('Mapa riesgos'!$AD$32="Baja",'Mapa riesgos'!$AF$32="Leve"),CONCATENATE("R6C",'Mapa riesgos'!$T$32),"")</f>
        <v/>
      </c>
      <c r="L41" s="60" t="str">
        <f>IF(AND('Mapa riesgos'!$AD$33="Baja",'Mapa riesgos'!$AF$33="Leve"),CONCATENATE("R6C",'Mapa riesgos'!$T$33),"")</f>
        <v/>
      </c>
      <c r="M41" s="60" t="str">
        <f>IF(AND('Mapa riesgos'!$AD$34="Baja",'Mapa riesgos'!$AF$34="Leve"),CONCATENATE("R6C",'Mapa riesgos'!$T$34),"")</f>
        <v/>
      </c>
      <c r="N41" s="60" t="str">
        <f>IF(AND('Mapa riesgos'!$AD$35="Baja",'Mapa riesgos'!$AF$35="Leve"),CONCATENATE("R6C",'Mapa riesgos'!$T$35),"")</f>
        <v/>
      </c>
      <c r="O41" s="61" t="str">
        <f>IF(AND('Mapa riesgos'!$AD$36="Baja",'Mapa riesgos'!$AF$36="Leve"),CONCATENATE("R6C",'Mapa riesgos'!$T$36),"")</f>
        <v/>
      </c>
      <c r="P41" s="50" t="str">
        <f>IF(AND('Mapa riesgos'!$AD$31="Baja",'Mapa riesgos'!$AF$31="Menor"),CONCATENATE("R6C",'Mapa riesgos'!$T$31),"")</f>
        <v/>
      </c>
      <c r="Q41" s="51" t="str">
        <f>IF(AND('Mapa riesgos'!$AD$32="Baja",'Mapa riesgos'!$AF$32="Menor"),CONCATENATE("R6C",'Mapa riesgos'!$T$32),"")</f>
        <v/>
      </c>
      <c r="R41" s="51" t="str">
        <f>IF(AND('Mapa riesgos'!$AD$33="Baja",'Mapa riesgos'!$AF$33="Menor"),CONCATENATE("R6C",'Mapa riesgos'!$T$33),"")</f>
        <v/>
      </c>
      <c r="S41" s="51" t="str">
        <f>IF(AND('Mapa riesgos'!$AD$34="Baja",'Mapa riesgos'!$AF$34="Menor"),CONCATENATE("R6C",'Mapa riesgos'!$T$34),"")</f>
        <v/>
      </c>
      <c r="T41" s="51" t="str">
        <f>IF(AND('Mapa riesgos'!$AD$35="Baja",'Mapa riesgos'!$AF$35="Menor"),CONCATENATE("R6C",'Mapa riesgos'!$T$35),"")</f>
        <v/>
      </c>
      <c r="U41" s="52" t="str">
        <f>IF(AND('Mapa riesgos'!$AD$36="Baja",'Mapa riesgos'!$AF$36="Menor"),CONCATENATE("R6C",'Mapa riesgos'!$T$36),"")</f>
        <v/>
      </c>
      <c r="V41" s="50" t="str">
        <f>IF(AND('Mapa riesgos'!$AD$31="Baja",'Mapa riesgos'!$AF$31="Moderado"),CONCATENATE("R6C",'Mapa riesgos'!$T$31),"")</f>
        <v/>
      </c>
      <c r="W41" s="51" t="str">
        <f>IF(AND('Mapa riesgos'!$AD$32="Baja",'Mapa riesgos'!$AF$32="Moderado"),CONCATENATE("R6C",'Mapa riesgos'!$T$32),"")</f>
        <v/>
      </c>
      <c r="X41" s="51" t="str">
        <f>IF(AND('Mapa riesgos'!$AD$33="Baja",'Mapa riesgos'!$AF$33="Moderado"),CONCATENATE("R6C",'Mapa riesgos'!$T$33),"")</f>
        <v/>
      </c>
      <c r="Y41" s="51" t="str">
        <f>IF(AND('Mapa riesgos'!$AD$34="Baja",'Mapa riesgos'!$AF$34="Moderado"),CONCATENATE("R6C",'Mapa riesgos'!$T$34),"")</f>
        <v/>
      </c>
      <c r="Z41" s="51" t="str">
        <f>IF(AND('Mapa riesgos'!$AD$35="Baja",'Mapa riesgos'!$AF$35="Moderado"),CONCATENATE("R6C",'Mapa riesgos'!$T$35),"")</f>
        <v/>
      </c>
      <c r="AA41" s="52" t="str">
        <f>IF(AND('Mapa riesgos'!$AD$36="Baja",'Mapa riesgos'!$AF$36="Moderado"),CONCATENATE("R6C",'Mapa riesgos'!$T$36),"")</f>
        <v/>
      </c>
      <c r="AB41" s="35" t="str">
        <f>IF(AND('Mapa riesgos'!$AD$31="Baja",'Mapa riesgos'!$AF$31="Mayor"),CONCATENATE("R6C",'Mapa riesgos'!$T$31),"")</f>
        <v/>
      </c>
      <c r="AC41" s="36" t="str">
        <f>IF(AND('Mapa riesgos'!$AD$32="Baja",'Mapa riesgos'!$AF$32="Mayor"),CONCATENATE("R6C",'Mapa riesgos'!$T$32),"")</f>
        <v/>
      </c>
      <c r="AD41" s="36" t="str">
        <f>IF(AND('Mapa riesgos'!$AD$33="Baja",'Mapa riesgos'!$AF$33="Mayor"),CONCATENATE("R6C",'Mapa riesgos'!$T$33),"")</f>
        <v/>
      </c>
      <c r="AE41" s="36" t="str">
        <f>IF(AND('Mapa riesgos'!$AD$34="Baja",'Mapa riesgos'!$AF$34="Mayor"),CONCATENATE("R6C",'Mapa riesgos'!$T$34),"")</f>
        <v/>
      </c>
      <c r="AF41" s="36" t="str">
        <f>IF(AND('Mapa riesgos'!$AD$35="Baja",'Mapa riesgos'!$AF$35="Mayor"),CONCATENATE("R6C",'Mapa riesgos'!$T$35),"")</f>
        <v/>
      </c>
      <c r="AG41" s="37" t="str">
        <f>IF(AND('Mapa riesgos'!$AD$36="Baja",'Mapa riesgos'!$AF$36="Mayor"),CONCATENATE("R6C",'Mapa riesgos'!$T$36),"")</f>
        <v/>
      </c>
      <c r="AH41" s="38" t="str">
        <f>IF(AND('Mapa riesgos'!$AD$31="Baja",'Mapa riesgos'!$AF$31="Catastrófico"),CONCATENATE("R6C",'Mapa riesgos'!$T$31),"")</f>
        <v/>
      </c>
      <c r="AI41" s="39" t="str">
        <f>IF(AND('Mapa riesgos'!$AD$32="Baja",'Mapa riesgos'!$AF$32="Catastrófico"),CONCATENATE("R6C",'Mapa riesgos'!$T$32),"")</f>
        <v/>
      </c>
      <c r="AJ41" s="39" t="str">
        <f>IF(AND('Mapa riesgos'!$AD$33="Baja",'Mapa riesgos'!$AF$33="Catastrófico"),CONCATENATE("R6C",'Mapa riesgos'!$T$33),"")</f>
        <v/>
      </c>
      <c r="AK41" s="39" t="str">
        <f>IF(AND('Mapa riesgos'!$AD$34="Baja",'Mapa riesgos'!$AF$34="Catastrófico"),CONCATENATE("R6C",'Mapa riesgos'!$T$34),"")</f>
        <v/>
      </c>
      <c r="AL41" s="39" t="str">
        <f>IF(AND('Mapa riesgos'!$AD$35="Baja",'Mapa riesgos'!$AF$35="Catastrófico"),CONCATENATE("R6C",'Mapa riesgos'!$T$35),"")</f>
        <v/>
      </c>
      <c r="AM41" s="40" t="str">
        <f>IF(AND('Mapa riesgos'!$AD$36="Baja",'Mapa riesgos'!$AF$36="Catastrófico"),CONCATENATE("R6C",'Mapa riesgos'!$T$36),"")</f>
        <v/>
      </c>
      <c r="AN41" s="66"/>
      <c r="AO41" s="465"/>
      <c r="AP41" s="466"/>
      <c r="AQ41" s="466"/>
      <c r="AR41" s="466"/>
      <c r="AS41" s="466"/>
      <c r="AT41" s="467"/>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346"/>
      <c r="C42" s="346"/>
      <c r="D42" s="347"/>
      <c r="E42" s="445"/>
      <c r="F42" s="444"/>
      <c r="G42" s="444"/>
      <c r="H42" s="444"/>
      <c r="I42" s="444"/>
      <c r="J42" s="59" t="str">
        <f>IF(AND('Mapa riesgos'!$AD$37="Baja",'Mapa riesgos'!$AF$37="Leve"),CONCATENATE("R7C",'Mapa riesgos'!$T$37),"")</f>
        <v/>
      </c>
      <c r="K42" s="60" t="str">
        <f>IF(AND('Mapa riesgos'!$AD$38="Baja",'Mapa riesgos'!$AF$38="Leve"),CONCATENATE("R7C",'Mapa riesgos'!$T$38),"")</f>
        <v/>
      </c>
      <c r="L42" s="60" t="str">
        <f>IF(AND('Mapa riesgos'!$AD$39="Baja",'Mapa riesgos'!$AF$39="Leve"),CONCATENATE("R7C",'Mapa riesgos'!$T$39),"")</f>
        <v/>
      </c>
      <c r="M42" s="60" t="str">
        <f>IF(AND('Mapa riesgos'!$AD$40="Baja",'Mapa riesgos'!$AF$40="Leve"),CONCATENATE("R7C",'Mapa riesgos'!$T$40),"")</f>
        <v/>
      </c>
      <c r="N42" s="60" t="str">
        <f>IF(AND('Mapa riesgos'!$AD$41="Baja",'Mapa riesgos'!$AF$41="Leve"),CONCATENATE("R7C",'Mapa riesgos'!$T$41),"")</f>
        <v/>
      </c>
      <c r="O42" s="61" t="str">
        <f>IF(AND('Mapa riesgos'!$AD$42="Baja",'Mapa riesgos'!$AF$42="Leve"),CONCATENATE("R7C",'Mapa riesgos'!$T$42),"")</f>
        <v/>
      </c>
      <c r="P42" s="50" t="str">
        <f>IF(AND('Mapa riesgos'!$AD$37="Baja",'Mapa riesgos'!$AF$37="Menor"),CONCATENATE("R7C",'Mapa riesgos'!$T$37),"")</f>
        <v/>
      </c>
      <c r="Q42" s="51" t="str">
        <f>IF(AND('Mapa riesgos'!$AD$38="Baja",'Mapa riesgos'!$AF$38="Menor"),CONCATENATE("R7C",'Mapa riesgos'!$T$38),"")</f>
        <v/>
      </c>
      <c r="R42" s="51" t="str">
        <f>IF(AND('Mapa riesgos'!$AD$39="Baja",'Mapa riesgos'!$AF$39="Menor"),CONCATENATE("R7C",'Mapa riesgos'!$T$39),"")</f>
        <v/>
      </c>
      <c r="S42" s="51" t="str">
        <f>IF(AND('Mapa riesgos'!$AD$40="Baja",'Mapa riesgos'!$AF$40="Menor"),CONCATENATE("R7C",'Mapa riesgos'!$T$40),"")</f>
        <v/>
      </c>
      <c r="T42" s="51" t="str">
        <f>IF(AND('Mapa riesgos'!$AD$41="Baja",'Mapa riesgos'!$AF$41="Menor"),CONCATENATE("R7C",'Mapa riesgos'!$T$41),"")</f>
        <v/>
      </c>
      <c r="U42" s="52" t="str">
        <f>IF(AND('Mapa riesgos'!$AD$42="Baja",'Mapa riesgos'!$AF$42="Menor"),CONCATENATE("R7C",'Mapa riesgos'!$T$42),"")</f>
        <v/>
      </c>
      <c r="V42" s="50" t="str">
        <f>IF(AND('Mapa riesgos'!$AD$37="Baja",'Mapa riesgos'!$AF$37="Moderado"),CONCATENATE("R7C",'Mapa riesgos'!$T$37),"")</f>
        <v/>
      </c>
      <c r="W42" s="51" t="str">
        <f>IF(AND('Mapa riesgos'!$AD$38="Baja",'Mapa riesgos'!$AF$38="Moderado"),CONCATENATE("R7C",'Mapa riesgos'!$T$38),"")</f>
        <v/>
      </c>
      <c r="X42" s="51" t="str">
        <f>IF(AND('Mapa riesgos'!$AD$39="Baja",'Mapa riesgos'!$AF$39="Moderado"),CONCATENATE("R7C",'Mapa riesgos'!$T$39),"")</f>
        <v/>
      </c>
      <c r="Y42" s="51" t="str">
        <f>IF(AND('Mapa riesgos'!$AD$40="Baja",'Mapa riesgos'!$AF$40="Moderado"),CONCATENATE("R7C",'Mapa riesgos'!$T$40),"")</f>
        <v/>
      </c>
      <c r="Z42" s="51" t="str">
        <f>IF(AND('Mapa riesgos'!$AD$41="Baja",'Mapa riesgos'!$AF$41="Moderado"),CONCATENATE("R7C",'Mapa riesgos'!$T$41),"")</f>
        <v/>
      </c>
      <c r="AA42" s="52" t="str">
        <f>IF(AND('Mapa riesgos'!$AD$42="Baja",'Mapa riesgos'!$AF$42="Moderado"),CONCATENATE("R7C",'Mapa riesgos'!$T$42),"")</f>
        <v/>
      </c>
      <c r="AB42" s="35" t="str">
        <f>IF(AND('Mapa riesgos'!$AD$37="Baja",'Mapa riesgos'!$AF$37="Mayor"),CONCATENATE("R7C",'Mapa riesgos'!$T$37),"")</f>
        <v/>
      </c>
      <c r="AC42" s="36" t="str">
        <f>IF(AND('Mapa riesgos'!$AD$38="Baja",'Mapa riesgos'!$AF$38="Mayor"),CONCATENATE("R7C",'Mapa riesgos'!$T$38),"")</f>
        <v/>
      </c>
      <c r="AD42" s="36" t="str">
        <f>IF(AND('Mapa riesgos'!$AD$39="Baja",'Mapa riesgos'!$AF$39="Mayor"),CONCATENATE("R7C",'Mapa riesgos'!$T$39),"")</f>
        <v/>
      </c>
      <c r="AE42" s="36" t="str">
        <f>IF(AND('Mapa riesgos'!$AD$40="Baja",'Mapa riesgos'!$AF$40="Mayor"),CONCATENATE("R7C",'Mapa riesgos'!$T$40),"")</f>
        <v/>
      </c>
      <c r="AF42" s="36" t="str">
        <f>IF(AND('Mapa riesgos'!$AD$41="Baja",'Mapa riesgos'!$AF$41="Mayor"),CONCATENATE("R7C",'Mapa riesgos'!$T$41),"")</f>
        <v/>
      </c>
      <c r="AG42" s="37" t="str">
        <f>IF(AND('Mapa riesgos'!$AD$42="Baja",'Mapa riesgos'!$AF$42="Mayor"),CONCATENATE("R7C",'Mapa riesgos'!$T$42),"")</f>
        <v/>
      </c>
      <c r="AH42" s="38" t="str">
        <f>IF(AND('Mapa riesgos'!$AD$37="Baja",'Mapa riesgos'!$AF$37="Catastrófico"),CONCATENATE("R7C",'Mapa riesgos'!$T$37),"")</f>
        <v/>
      </c>
      <c r="AI42" s="39" t="str">
        <f>IF(AND('Mapa riesgos'!$AD$38="Baja",'Mapa riesgos'!$AF$38="Catastrófico"),CONCATENATE("R7C",'Mapa riesgos'!$T$38),"")</f>
        <v/>
      </c>
      <c r="AJ42" s="39" t="str">
        <f>IF(AND('Mapa riesgos'!$AD$39="Baja",'Mapa riesgos'!$AF$39="Catastrófico"),CONCATENATE("R7C",'Mapa riesgos'!$T$39),"")</f>
        <v/>
      </c>
      <c r="AK42" s="39" t="str">
        <f>IF(AND('Mapa riesgos'!$AD$40="Baja",'Mapa riesgos'!$AF$40="Catastrófico"),CONCATENATE("R7C",'Mapa riesgos'!$T$40),"")</f>
        <v/>
      </c>
      <c r="AL42" s="39" t="str">
        <f>IF(AND('Mapa riesgos'!$AD$41="Baja",'Mapa riesgos'!$AF$41="Catastrófico"),CONCATENATE("R7C",'Mapa riesgos'!$T$41),"")</f>
        <v/>
      </c>
      <c r="AM42" s="40" t="str">
        <f>IF(AND('Mapa riesgos'!$AD$42="Baja",'Mapa riesgos'!$AF$42="Catastrófico"),CONCATENATE("R7C",'Mapa riesgos'!$T$42),"")</f>
        <v/>
      </c>
      <c r="AN42" s="66"/>
      <c r="AO42" s="465"/>
      <c r="AP42" s="466"/>
      <c r="AQ42" s="466"/>
      <c r="AR42" s="466"/>
      <c r="AS42" s="466"/>
      <c r="AT42" s="467"/>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346"/>
      <c r="C43" s="346"/>
      <c r="D43" s="347"/>
      <c r="E43" s="445"/>
      <c r="F43" s="444"/>
      <c r="G43" s="444"/>
      <c r="H43" s="444"/>
      <c r="I43" s="444"/>
      <c r="J43" s="59" t="str">
        <f>IF(AND('Mapa riesgos'!$AD$43="Baja",'Mapa riesgos'!$AF$43="Leve"),CONCATENATE("R8C",'Mapa riesgos'!$T$43),"")</f>
        <v/>
      </c>
      <c r="K43" s="60" t="str">
        <f>IF(AND('Mapa riesgos'!$AD$44="Baja",'Mapa riesgos'!$AF$44="Leve"),CONCATENATE("R8C",'Mapa riesgos'!$T$44),"")</f>
        <v/>
      </c>
      <c r="L43" s="60" t="str">
        <f>IF(AND('Mapa riesgos'!$AD$45="Baja",'Mapa riesgos'!$AF$45="Leve"),CONCATENATE("R8C",'Mapa riesgos'!$T$45),"")</f>
        <v/>
      </c>
      <c r="M43" s="60" t="str">
        <f>IF(AND('Mapa riesgos'!$AD$46="Baja",'Mapa riesgos'!$AF$46="Leve"),CONCATENATE("R8C",'Mapa riesgos'!$T$46),"")</f>
        <v/>
      </c>
      <c r="N43" s="60" t="str">
        <f>IF(AND('Mapa riesgos'!$AD$47="Baja",'Mapa riesgos'!$AF$47="Leve"),CONCATENATE("R8C",'Mapa riesgos'!$T$47),"")</f>
        <v/>
      </c>
      <c r="O43" s="61" t="str">
        <f>IF(AND('Mapa riesgos'!$AD$48="Baja",'Mapa riesgos'!$AF$48="Leve"),CONCATENATE("R8C",'Mapa riesgos'!$T$48),"")</f>
        <v/>
      </c>
      <c r="P43" s="50" t="str">
        <f>IF(AND('Mapa riesgos'!$AD$43="Baja",'Mapa riesgos'!$AF$43="Menor"),CONCATENATE("R8C",'Mapa riesgos'!$T$43),"")</f>
        <v/>
      </c>
      <c r="Q43" s="51" t="str">
        <f>IF(AND('Mapa riesgos'!$AD$44="Baja",'Mapa riesgos'!$AF$44="Menor"),CONCATENATE("R8C",'Mapa riesgos'!$T$44),"")</f>
        <v/>
      </c>
      <c r="R43" s="51" t="str">
        <f>IF(AND('Mapa riesgos'!$AD$45="Baja",'Mapa riesgos'!$AF$45="Menor"),CONCATENATE("R8C",'Mapa riesgos'!$T$45),"")</f>
        <v/>
      </c>
      <c r="S43" s="51" t="str">
        <f>IF(AND('Mapa riesgos'!$AD$46="Baja",'Mapa riesgos'!$AF$46="Menor"),CONCATENATE("R8C",'Mapa riesgos'!$T$46),"")</f>
        <v/>
      </c>
      <c r="T43" s="51" t="str">
        <f>IF(AND('Mapa riesgos'!$AD$47="Baja",'Mapa riesgos'!$AF$47="Menor"),CONCATENATE("R8C",'Mapa riesgos'!$T$47),"")</f>
        <v/>
      </c>
      <c r="U43" s="52" t="str">
        <f>IF(AND('Mapa riesgos'!$AD$48="Baja",'Mapa riesgos'!$AF$48="Menor"),CONCATENATE("R8C",'Mapa riesgos'!$T$48),"")</f>
        <v/>
      </c>
      <c r="V43" s="50" t="str">
        <f>IF(AND('Mapa riesgos'!$AD$43="Baja",'Mapa riesgos'!$AF$43="Moderado"),CONCATENATE("R8C",'Mapa riesgos'!$T$43),"")</f>
        <v/>
      </c>
      <c r="W43" s="51" t="str">
        <f>IF(AND('Mapa riesgos'!$AD$44="Baja",'Mapa riesgos'!$AF$44="Moderado"),CONCATENATE("R8C",'Mapa riesgos'!$T$44),"")</f>
        <v/>
      </c>
      <c r="X43" s="51" t="str">
        <f>IF(AND('Mapa riesgos'!$AD$45="Baja",'Mapa riesgos'!$AF$45="Moderado"),CONCATENATE("R8C",'Mapa riesgos'!$T$45),"")</f>
        <v/>
      </c>
      <c r="Y43" s="51" t="str">
        <f>IF(AND('Mapa riesgos'!$AD$46="Baja",'Mapa riesgos'!$AF$46="Moderado"),CONCATENATE("R8C",'Mapa riesgos'!$T$46),"")</f>
        <v/>
      </c>
      <c r="Z43" s="51" t="str">
        <f>IF(AND('Mapa riesgos'!$AD$47="Baja",'Mapa riesgos'!$AF$47="Moderado"),CONCATENATE("R8C",'Mapa riesgos'!$T$47),"")</f>
        <v/>
      </c>
      <c r="AA43" s="52" t="str">
        <f>IF(AND('Mapa riesgos'!$AD$48="Baja",'Mapa riesgos'!$AF$48="Moderado"),CONCATENATE("R8C",'Mapa riesgos'!$T$48),"")</f>
        <v/>
      </c>
      <c r="AB43" s="35" t="str">
        <f>IF(AND('Mapa riesgos'!$AD$43="Baja",'Mapa riesgos'!$AF$43="Mayor"),CONCATENATE("R8C",'Mapa riesgos'!$T$43),"")</f>
        <v/>
      </c>
      <c r="AC43" s="36" t="str">
        <f>IF(AND('Mapa riesgos'!$AD$44="Baja",'Mapa riesgos'!$AF$44="Mayor"),CONCATENATE("R8C",'Mapa riesgos'!$T$44),"")</f>
        <v/>
      </c>
      <c r="AD43" s="36" t="str">
        <f>IF(AND('Mapa riesgos'!$AD$45="Baja",'Mapa riesgos'!$AF$45="Mayor"),CONCATENATE("R8C",'Mapa riesgos'!$T$45),"")</f>
        <v/>
      </c>
      <c r="AE43" s="36" t="str">
        <f>IF(AND('Mapa riesgos'!$AD$46="Baja",'Mapa riesgos'!$AF$46="Mayor"),CONCATENATE("R8C",'Mapa riesgos'!$T$46),"")</f>
        <v/>
      </c>
      <c r="AF43" s="36" t="str">
        <f>IF(AND('Mapa riesgos'!$AD$47="Baja",'Mapa riesgos'!$AF$47="Mayor"),CONCATENATE("R8C",'Mapa riesgos'!$T$47),"")</f>
        <v/>
      </c>
      <c r="AG43" s="37" t="str">
        <f>IF(AND('Mapa riesgos'!$AD$48="Baja",'Mapa riesgos'!$AF$48="Mayor"),CONCATENATE("R8C",'Mapa riesgos'!$T$48),"")</f>
        <v/>
      </c>
      <c r="AH43" s="38" t="str">
        <f>IF(AND('Mapa riesgos'!$AD$43="Baja",'Mapa riesgos'!$AF$43="Catastrófico"),CONCATENATE("R8C",'Mapa riesgos'!$T$43),"")</f>
        <v/>
      </c>
      <c r="AI43" s="39" t="str">
        <f>IF(AND('Mapa riesgos'!$AD$44="Baja",'Mapa riesgos'!$AF$44="Catastrófico"),CONCATENATE("R8C",'Mapa riesgos'!$T$44),"")</f>
        <v/>
      </c>
      <c r="AJ43" s="39" t="str">
        <f>IF(AND('Mapa riesgos'!$AD$45="Baja",'Mapa riesgos'!$AF$45="Catastrófico"),CONCATENATE("R8C",'Mapa riesgos'!$T$45),"")</f>
        <v/>
      </c>
      <c r="AK43" s="39" t="str">
        <f>IF(AND('Mapa riesgos'!$AD$46="Baja",'Mapa riesgos'!$AF$46="Catastrófico"),CONCATENATE("R8C",'Mapa riesgos'!$T$46),"")</f>
        <v/>
      </c>
      <c r="AL43" s="39" t="str">
        <f>IF(AND('Mapa riesgos'!$AD$47="Baja",'Mapa riesgos'!$AF$47="Catastrófico"),CONCATENATE("R8C",'Mapa riesgos'!$T$47),"")</f>
        <v/>
      </c>
      <c r="AM43" s="40" t="str">
        <f>IF(AND('Mapa riesgos'!$AD$48="Baja",'Mapa riesgos'!$AF$48="Catastrófico"),CONCATENATE("R8C",'Mapa riesgos'!$T$48),"")</f>
        <v/>
      </c>
      <c r="AN43" s="66"/>
      <c r="AO43" s="465"/>
      <c r="AP43" s="466"/>
      <c r="AQ43" s="466"/>
      <c r="AR43" s="466"/>
      <c r="AS43" s="466"/>
      <c r="AT43" s="467"/>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346"/>
      <c r="C44" s="346"/>
      <c r="D44" s="347"/>
      <c r="E44" s="445"/>
      <c r="F44" s="444"/>
      <c r="G44" s="444"/>
      <c r="H44" s="444"/>
      <c r="I44" s="444"/>
      <c r="J44" s="59" t="str">
        <f>IF(AND('Mapa riesgos'!$AD$49="Baja",'Mapa riesgos'!$AF$49="Leve"),CONCATENATE("R9C",'Mapa riesgos'!$T$49),"")</f>
        <v/>
      </c>
      <c r="K44" s="60" t="str">
        <f>IF(AND('Mapa riesgos'!$AD$50="Baja",'Mapa riesgos'!$AF$50="Leve"),CONCATENATE("R9C",'Mapa riesgos'!$T$50),"")</f>
        <v/>
      </c>
      <c r="L44" s="60" t="str">
        <f>IF(AND('Mapa riesgos'!$AD$51="Baja",'Mapa riesgos'!$AF$51="Leve"),CONCATENATE("R9C",'Mapa riesgos'!$T$51),"")</f>
        <v/>
      </c>
      <c r="M44" s="60" t="str">
        <f>IF(AND('Mapa riesgos'!$AD$52="Baja",'Mapa riesgos'!$AF$52="Leve"),CONCATENATE("R9C",'Mapa riesgos'!$T$52),"")</f>
        <v/>
      </c>
      <c r="N44" s="60" t="str">
        <f>IF(AND('Mapa riesgos'!$AD$53="Baja",'Mapa riesgos'!$AF$53="Leve"),CONCATENATE("R9C",'Mapa riesgos'!$T$53),"")</f>
        <v/>
      </c>
      <c r="O44" s="61" t="str">
        <f>IF(AND('Mapa riesgos'!$AD$54="Baja",'Mapa riesgos'!$AF$54="Leve"),CONCATENATE("R9C",'Mapa riesgos'!$T$54),"")</f>
        <v/>
      </c>
      <c r="P44" s="50" t="str">
        <f>IF(AND('Mapa riesgos'!$AD$49="Baja",'Mapa riesgos'!$AF$49="Menor"),CONCATENATE("R9C",'Mapa riesgos'!$T$49),"")</f>
        <v/>
      </c>
      <c r="Q44" s="51" t="str">
        <f>IF(AND('Mapa riesgos'!$AD$50="Baja",'Mapa riesgos'!$AF$50="Menor"),CONCATENATE("R9C",'Mapa riesgos'!$T$50),"")</f>
        <v/>
      </c>
      <c r="R44" s="51" t="str">
        <f>IF(AND('Mapa riesgos'!$AD$51="Baja",'Mapa riesgos'!$AF$51="Menor"),CONCATENATE("R9C",'Mapa riesgos'!$T$51),"")</f>
        <v/>
      </c>
      <c r="S44" s="51" t="str">
        <f>IF(AND('Mapa riesgos'!$AD$52="Baja",'Mapa riesgos'!$AF$52="Menor"),CONCATENATE("R9C",'Mapa riesgos'!$T$52),"")</f>
        <v/>
      </c>
      <c r="T44" s="51" t="str">
        <f>IF(AND('Mapa riesgos'!$AD$53="Baja",'Mapa riesgos'!$AF$53="Menor"),CONCATENATE("R9C",'Mapa riesgos'!$T$53),"")</f>
        <v/>
      </c>
      <c r="U44" s="52" t="str">
        <f>IF(AND('Mapa riesgos'!$AD$54="Baja",'Mapa riesgos'!$AF$54="Menor"),CONCATENATE("R9C",'Mapa riesgos'!$T$54),"")</f>
        <v/>
      </c>
      <c r="V44" s="50" t="str">
        <f>IF(AND('Mapa riesgos'!$AD$49="Baja",'Mapa riesgos'!$AF$49="Moderado"),CONCATENATE("R9C",'Mapa riesgos'!$T$49),"")</f>
        <v/>
      </c>
      <c r="W44" s="51" t="str">
        <f>IF(AND('Mapa riesgos'!$AD$50="Baja",'Mapa riesgos'!$AF$50="Moderado"),CONCATENATE("R9C",'Mapa riesgos'!$T$50),"")</f>
        <v/>
      </c>
      <c r="X44" s="51" t="str">
        <f>IF(AND('Mapa riesgos'!$AD$51="Baja",'Mapa riesgos'!$AF$51="Moderado"),CONCATENATE("R9C",'Mapa riesgos'!$T$51),"")</f>
        <v/>
      </c>
      <c r="Y44" s="51" t="str">
        <f>IF(AND('Mapa riesgos'!$AD$52="Baja",'Mapa riesgos'!$AF$52="Moderado"),CONCATENATE("R9C",'Mapa riesgos'!$T$52),"")</f>
        <v/>
      </c>
      <c r="Z44" s="51" t="str">
        <f>IF(AND('Mapa riesgos'!$AD$53="Baja",'Mapa riesgos'!$AF$53="Moderado"),CONCATENATE("R9C",'Mapa riesgos'!$T$53),"")</f>
        <v/>
      </c>
      <c r="AA44" s="52" t="str">
        <f>IF(AND('Mapa riesgos'!$AD$54="Baja",'Mapa riesgos'!$AF$54="Moderado"),CONCATENATE("R9C",'Mapa riesgos'!$T$54),"")</f>
        <v/>
      </c>
      <c r="AB44" s="35" t="str">
        <f>IF(AND('Mapa riesgos'!$AD$49="Baja",'Mapa riesgos'!$AF$49="Mayor"),CONCATENATE("R9C",'Mapa riesgos'!$T$49),"")</f>
        <v/>
      </c>
      <c r="AC44" s="36" t="str">
        <f>IF(AND('Mapa riesgos'!$AD$50="Baja",'Mapa riesgos'!$AF$50="Mayor"),CONCATENATE("R9C",'Mapa riesgos'!$T$50),"")</f>
        <v/>
      </c>
      <c r="AD44" s="36" t="str">
        <f>IF(AND('Mapa riesgos'!$AD$51="Baja",'Mapa riesgos'!$AF$51="Mayor"),CONCATENATE("R9C",'Mapa riesgos'!$T$51),"")</f>
        <v/>
      </c>
      <c r="AE44" s="36" t="str">
        <f>IF(AND('Mapa riesgos'!$AD$52="Baja",'Mapa riesgos'!$AF$52="Mayor"),CONCATENATE("R9C",'Mapa riesgos'!$T$52),"")</f>
        <v/>
      </c>
      <c r="AF44" s="36" t="str">
        <f>IF(AND('Mapa riesgos'!$AD$53="Baja",'Mapa riesgos'!$AF$53="Mayor"),CONCATENATE("R9C",'Mapa riesgos'!$T$53),"")</f>
        <v/>
      </c>
      <c r="AG44" s="37" t="str">
        <f>IF(AND('Mapa riesgos'!$AD$54="Baja",'Mapa riesgos'!$AF$54="Mayor"),CONCATENATE("R9C",'Mapa riesgos'!$T$54),"")</f>
        <v/>
      </c>
      <c r="AH44" s="38" t="str">
        <f>IF(AND('Mapa riesgos'!$AD$49="Baja",'Mapa riesgos'!$AF$49="Catastrófico"),CONCATENATE("R9C",'Mapa riesgos'!$T$49),"")</f>
        <v/>
      </c>
      <c r="AI44" s="39" t="str">
        <f>IF(AND('Mapa riesgos'!$AD$50="Baja",'Mapa riesgos'!$AF$50="Catastrófico"),CONCATENATE("R9C",'Mapa riesgos'!$T$50),"")</f>
        <v/>
      </c>
      <c r="AJ44" s="39" t="str">
        <f>IF(AND('Mapa riesgos'!$AD$51="Baja",'Mapa riesgos'!$AF$51="Catastrófico"),CONCATENATE("R9C",'Mapa riesgos'!$T$51),"")</f>
        <v/>
      </c>
      <c r="AK44" s="39" t="str">
        <f>IF(AND('Mapa riesgos'!$AD$52="Baja",'Mapa riesgos'!$AF$52="Catastrófico"),CONCATENATE("R9C",'Mapa riesgos'!$T$52),"")</f>
        <v/>
      </c>
      <c r="AL44" s="39" t="str">
        <f>IF(AND('Mapa riesgos'!$AD$53="Baja",'Mapa riesgos'!$AF$53="Catastrófico"),CONCATENATE("R9C",'Mapa riesgos'!$T$53),"")</f>
        <v/>
      </c>
      <c r="AM44" s="40" t="str">
        <f>IF(AND('Mapa riesgos'!$AD$54="Baja",'Mapa riesgos'!$AF$54="Catastrófico"),CONCATENATE("R9C",'Mapa riesgos'!$T$54),"")</f>
        <v/>
      </c>
      <c r="AN44" s="66"/>
      <c r="AO44" s="465"/>
      <c r="AP44" s="466"/>
      <c r="AQ44" s="466"/>
      <c r="AR44" s="466"/>
      <c r="AS44" s="466"/>
      <c r="AT44" s="467"/>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346"/>
      <c r="C45" s="346"/>
      <c r="D45" s="347"/>
      <c r="E45" s="446"/>
      <c r="F45" s="447"/>
      <c r="G45" s="447"/>
      <c r="H45" s="447"/>
      <c r="I45" s="447"/>
      <c r="J45" s="62" t="str">
        <f>IF(AND('Mapa riesgos'!$AD$55="Baja",'Mapa riesgos'!$AF$55="Leve"),CONCATENATE("R10C",'Mapa riesgos'!$T$55),"")</f>
        <v/>
      </c>
      <c r="K45" s="63" t="str">
        <f>IF(AND('Mapa riesgos'!$AD$56="Baja",'Mapa riesgos'!$AF$56="Leve"),CONCATENATE("R10C",'Mapa riesgos'!$T$56),"")</f>
        <v/>
      </c>
      <c r="L45" s="63" t="str">
        <f>IF(AND('Mapa riesgos'!$AD$57="Baja",'Mapa riesgos'!$AF$57="Leve"),CONCATENATE("R10C",'Mapa riesgos'!$T$57),"")</f>
        <v/>
      </c>
      <c r="M45" s="63" t="str">
        <f>IF(AND('Mapa riesgos'!$AD$58="Baja",'Mapa riesgos'!$AF$58="Leve"),CONCATENATE("R10C",'Mapa riesgos'!$T$58),"")</f>
        <v/>
      </c>
      <c r="N45" s="63" t="str">
        <f>IF(AND('Mapa riesgos'!$AD$59="Baja",'Mapa riesgos'!$AF$59="Leve"),CONCATENATE("R10C",'Mapa riesgos'!$T$59),"")</f>
        <v/>
      </c>
      <c r="O45" s="64" t="str">
        <f>IF(AND('Mapa riesgos'!$AD$60="Baja",'Mapa riesgos'!$AF$60="Leve"),CONCATENATE("R10C",'Mapa riesgos'!$T$60),"")</f>
        <v/>
      </c>
      <c r="P45" s="50" t="str">
        <f>IF(AND('Mapa riesgos'!$AD$55="Baja",'Mapa riesgos'!$AF$55="Menor"),CONCATENATE("R10C",'Mapa riesgos'!$T$55),"")</f>
        <v/>
      </c>
      <c r="Q45" s="51" t="str">
        <f>IF(AND('Mapa riesgos'!$AD$56="Baja",'Mapa riesgos'!$AF$56="Menor"),CONCATENATE("R10C",'Mapa riesgos'!$T$56),"")</f>
        <v/>
      </c>
      <c r="R45" s="51" t="str">
        <f>IF(AND('Mapa riesgos'!$AD$57="Baja",'Mapa riesgos'!$AF$57="Menor"),CONCATENATE("R10C",'Mapa riesgos'!$T$57),"")</f>
        <v/>
      </c>
      <c r="S45" s="51" t="str">
        <f>IF(AND('Mapa riesgos'!$AD$58="Baja",'Mapa riesgos'!$AF$58="Menor"),CONCATENATE("R10C",'Mapa riesgos'!$T$58),"")</f>
        <v/>
      </c>
      <c r="T45" s="51" t="str">
        <f>IF(AND('Mapa riesgos'!$AD$59="Baja",'Mapa riesgos'!$AF$59="Menor"),CONCATENATE("R10C",'Mapa riesgos'!$T$59),"")</f>
        <v/>
      </c>
      <c r="U45" s="52" t="str">
        <f>IF(AND('Mapa riesgos'!$AD$60="Baja",'Mapa riesgos'!$AF$60="Menor"),CONCATENATE("R10C",'Mapa riesgos'!$T$60),"")</f>
        <v/>
      </c>
      <c r="V45" s="53" t="str">
        <f>IF(AND('Mapa riesgos'!$AD$55="Baja",'Mapa riesgos'!$AF$55="Moderado"),CONCATENATE("R10C",'Mapa riesgos'!$T$55),"")</f>
        <v/>
      </c>
      <c r="W45" s="54" t="str">
        <f>IF(AND('Mapa riesgos'!$AD$56="Baja",'Mapa riesgos'!$AF$56="Moderado"),CONCATENATE("R10C",'Mapa riesgos'!$T$56),"")</f>
        <v/>
      </c>
      <c r="X45" s="54" t="str">
        <f>IF(AND('Mapa riesgos'!$AD$57="Baja",'Mapa riesgos'!$AF$57="Moderado"),CONCATENATE("R10C",'Mapa riesgos'!$T$57),"")</f>
        <v/>
      </c>
      <c r="Y45" s="54" t="str">
        <f>IF(AND('Mapa riesgos'!$AD$58="Baja",'Mapa riesgos'!$AF$58="Moderado"),CONCATENATE("R10C",'Mapa riesgos'!$T$58),"")</f>
        <v/>
      </c>
      <c r="Z45" s="54" t="str">
        <f>IF(AND('Mapa riesgos'!$AD$59="Baja",'Mapa riesgos'!$AF$59="Moderado"),CONCATENATE("R10C",'Mapa riesgos'!$T$59),"")</f>
        <v/>
      </c>
      <c r="AA45" s="55" t="str">
        <f>IF(AND('Mapa riesgos'!$AD$60="Baja",'Mapa riesgos'!$AF$60="Moderado"),CONCATENATE("R10C",'Mapa riesgos'!$T$60),"")</f>
        <v/>
      </c>
      <c r="AB45" s="41" t="str">
        <f>IF(AND('Mapa riesgos'!$AD$55="Baja",'Mapa riesgos'!$AF$55="Mayor"),CONCATENATE("R10C",'Mapa riesgos'!$T$55),"")</f>
        <v/>
      </c>
      <c r="AC45" s="42" t="str">
        <f>IF(AND('Mapa riesgos'!$AD$56="Baja",'Mapa riesgos'!$AF$56="Mayor"),CONCATENATE("R10C",'Mapa riesgos'!$T$56),"")</f>
        <v/>
      </c>
      <c r="AD45" s="42" t="str">
        <f>IF(AND('Mapa riesgos'!$AD$57="Baja",'Mapa riesgos'!$AF$57="Mayor"),CONCATENATE("R10C",'Mapa riesgos'!$T$57),"")</f>
        <v/>
      </c>
      <c r="AE45" s="42" t="str">
        <f>IF(AND('Mapa riesgos'!$AD$58="Baja",'Mapa riesgos'!$AF$58="Mayor"),CONCATENATE("R10C",'Mapa riesgos'!$T$58),"")</f>
        <v/>
      </c>
      <c r="AF45" s="42" t="str">
        <f>IF(AND('Mapa riesgos'!$AD$59="Baja",'Mapa riesgos'!$AF$59="Mayor"),CONCATENATE("R10C",'Mapa riesgos'!$T$59),"")</f>
        <v/>
      </c>
      <c r="AG45" s="43" t="str">
        <f>IF(AND('Mapa riesgos'!$AD$60="Baja",'Mapa riesgos'!$AF$60="Mayor"),CONCATENATE("R10C",'Mapa riesgos'!$T$60),"")</f>
        <v/>
      </c>
      <c r="AH45" s="44" t="str">
        <f>IF(AND('Mapa riesgos'!$AD$55="Baja",'Mapa riesgos'!$AF$55="Catastrófico"),CONCATENATE("R10C",'Mapa riesgos'!$T$55),"")</f>
        <v/>
      </c>
      <c r="AI45" s="45" t="str">
        <f>IF(AND('Mapa riesgos'!$AD$56="Baja",'Mapa riesgos'!$AF$56="Catastrófico"),CONCATENATE("R10C",'Mapa riesgos'!$T$56),"")</f>
        <v/>
      </c>
      <c r="AJ45" s="45" t="str">
        <f>IF(AND('Mapa riesgos'!$AD$57="Baja",'Mapa riesgos'!$AF$57="Catastrófico"),CONCATENATE("R10C",'Mapa riesgos'!$T$57),"")</f>
        <v/>
      </c>
      <c r="AK45" s="45" t="str">
        <f>IF(AND('Mapa riesgos'!$AD$58="Baja",'Mapa riesgos'!$AF$58="Catastrófico"),CONCATENATE("R10C",'Mapa riesgos'!$T$58),"")</f>
        <v/>
      </c>
      <c r="AL45" s="45" t="str">
        <f>IF(AND('Mapa riesgos'!$AD$59="Baja",'Mapa riesgos'!$AF$59="Catastrófico"),CONCATENATE("R10C",'Mapa riesgos'!$T$59),"")</f>
        <v/>
      </c>
      <c r="AM45" s="46" t="str">
        <f>IF(AND('Mapa riesgos'!$AD$60="Baja",'Mapa riesgos'!$AF$60="Catastrófico"),CONCATENATE("R10C",'Mapa riesgos'!$T$60),"")</f>
        <v/>
      </c>
      <c r="AN45" s="66"/>
      <c r="AO45" s="468"/>
      <c r="AP45" s="469"/>
      <c r="AQ45" s="469"/>
      <c r="AR45" s="469"/>
      <c r="AS45" s="469"/>
      <c r="AT45" s="470"/>
    </row>
    <row r="46" spans="1:80" ht="46.5" customHeight="1" x14ac:dyDescent="0.35">
      <c r="A46" s="66"/>
      <c r="B46" s="346"/>
      <c r="C46" s="346"/>
      <c r="D46" s="347"/>
      <c r="E46" s="441" t="s">
        <v>169</v>
      </c>
      <c r="F46" s="442"/>
      <c r="G46" s="442"/>
      <c r="H46" s="442"/>
      <c r="I46" s="459"/>
      <c r="J46" s="56" t="str">
        <f>IF(AND('Mapa riesgos'!$AD$13="Muy Baja",'Mapa riesgos'!$AF$13="Leve"),CONCATENATE("R1C",'Mapa riesgos'!$T$13),"")</f>
        <v/>
      </c>
      <c r="K46" s="57" t="str">
        <f>IF(AND('Mapa riesgos'!$AD$14="Muy Baja",'Mapa riesgos'!$AF$14="Leve"),CONCATENATE("R1C",'Mapa riesgos'!$T$14),"")</f>
        <v/>
      </c>
      <c r="L46" s="57" t="e">
        <f>IF(AND('Mapa riesgos'!#REF!="Muy Baja",'Mapa riesgos'!#REF!="Leve"),CONCATENATE("R1C",'Mapa riesgos'!#REF!),"")</f>
        <v>#REF!</v>
      </c>
      <c r="M46" s="57" t="e">
        <f>IF(AND('Mapa riesgos'!#REF!="Muy Baja",'Mapa riesgos'!#REF!="Leve"),CONCATENATE("R1C",'Mapa riesgos'!#REF!),"")</f>
        <v>#REF!</v>
      </c>
      <c r="N46" s="57" t="e">
        <f>IF(AND('Mapa riesgos'!#REF!="Muy Baja",'Mapa riesgos'!#REF!="Leve"),CONCATENATE("R1C",'Mapa riesgos'!#REF!),"")</f>
        <v>#REF!</v>
      </c>
      <c r="O46" s="58" t="e">
        <f>IF(AND('Mapa riesgos'!#REF!="Muy Baja",'Mapa riesgos'!#REF!="Leve"),CONCATENATE("R1C",'Mapa riesgos'!#REF!),"")</f>
        <v>#REF!</v>
      </c>
      <c r="P46" s="56" t="str">
        <f>IF(AND('Mapa riesgos'!$AD$13="Muy Baja",'Mapa riesgos'!$AF$13="Menor"),CONCATENATE("R1C",'Mapa riesgos'!$T$13),"")</f>
        <v/>
      </c>
      <c r="Q46" s="57" t="str">
        <f>IF(AND('Mapa riesgos'!$AD$14="Muy Baja",'Mapa riesgos'!$AF$14="Menor"),CONCATENATE("R1C",'Mapa riesgos'!$T$14),"")</f>
        <v/>
      </c>
      <c r="R46" s="57" t="e">
        <f>IF(AND('Mapa riesgos'!#REF!="Muy Baja",'Mapa riesgos'!#REF!="Menor"),CONCATENATE("R1C",'Mapa riesgos'!#REF!),"")</f>
        <v>#REF!</v>
      </c>
      <c r="S46" s="57" t="e">
        <f>IF(AND('Mapa riesgos'!#REF!="Muy Baja",'Mapa riesgos'!#REF!="Menor"),CONCATENATE("R1C",'Mapa riesgos'!#REF!),"")</f>
        <v>#REF!</v>
      </c>
      <c r="T46" s="57" t="e">
        <f>IF(AND('Mapa riesgos'!#REF!="Muy Baja",'Mapa riesgos'!#REF!="Menor"),CONCATENATE("R1C",'Mapa riesgos'!#REF!),"")</f>
        <v>#REF!</v>
      </c>
      <c r="U46" s="58" t="e">
        <f>IF(AND('Mapa riesgos'!#REF!="Muy Baja",'Mapa riesgos'!#REF!="Menor"),CONCATENATE("R1C",'Mapa riesgos'!#REF!),"")</f>
        <v>#REF!</v>
      </c>
      <c r="V46" s="47" t="str">
        <f>IF(AND('Mapa riesgos'!$AD$13="Muy Baja",'Mapa riesgos'!$AF$13="Moderado"),CONCATENATE("R1C",'Mapa riesgos'!$T$13),"")</f>
        <v/>
      </c>
      <c r="W46" s="65" t="str">
        <f>IF(AND('Mapa riesgos'!$AD$14="Muy Baja",'Mapa riesgos'!$AF$14="Moderado"),CONCATENATE("R1C",'Mapa riesgos'!$T$14),"")</f>
        <v/>
      </c>
      <c r="X46" s="48" t="e">
        <f>IF(AND('Mapa riesgos'!#REF!="Muy Baja",'Mapa riesgos'!#REF!="Moderado"),CONCATENATE("R1C",'Mapa riesgos'!#REF!),"")</f>
        <v>#REF!</v>
      </c>
      <c r="Y46" s="48" t="e">
        <f>IF(AND('Mapa riesgos'!#REF!="Muy Baja",'Mapa riesgos'!#REF!="Moderado"),CONCATENATE("R1C",'Mapa riesgos'!#REF!),"")</f>
        <v>#REF!</v>
      </c>
      <c r="Z46" s="48" t="e">
        <f>IF(AND('Mapa riesgos'!#REF!="Muy Baja",'Mapa riesgos'!#REF!="Moderado"),CONCATENATE("R1C",'Mapa riesgos'!#REF!),"")</f>
        <v>#REF!</v>
      </c>
      <c r="AA46" s="49" t="e">
        <f>IF(AND('Mapa riesgos'!#REF!="Muy Baja",'Mapa riesgos'!#REF!="Moderado"),CONCATENATE("R1C",'Mapa riesgos'!#REF!),"")</f>
        <v>#REF!</v>
      </c>
      <c r="AB46" s="29" t="str">
        <f>IF(AND('Mapa riesgos'!$AD$13="Muy Baja",'Mapa riesgos'!$AF$13="Mayor"),CONCATENATE("R1C",'Mapa riesgos'!$T$13),"")</f>
        <v/>
      </c>
      <c r="AC46" s="30" t="str">
        <f>IF(AND('Mapa riesgos'!$AD$14="Muy Baja",'Mapa riesgos'!$AF$14="Mayor"),CONCATENATE("R1C",'Mapa riesgos'!$T$14),"")</f>
        <v/>
      </c>
      <c r="AD46" s="30" t="e">
        <f>IF(AND('Mapa riesgos'!#REF!="Muy Baja",'Mapa riesgos'!#REF!="Mayor"),CONCATENATE("R1C",'Mapa riesgos'!#REF!),"")</f>
        <v>#REF!</v>
      </c>
      <c r="AE46" s="30" t="e">
        <f>IF(AND('Mapa riesgos'!#REF!="Muy Baja",'Mapa riesgos'!#REF!="Mayor"),CONCATENATE("R1C",'Mapa riesgos'!#REF!),"")</f>
        <v>#REF!</v>
      </c>
      <c r="AF46" s="30" t="e">
        <f>IF(AND('Mapa riesgos'!#REF!="Muy Baja",'Mapa riesgos'!#REF!="Mayor"),CONCATENATE("R1C",'Mapa riesgos'!#REF!),"")</f>
        <v>#REF!</v>
      </c>
      <c r="AG46" s="31" t="e">
        <f>IF(AND('Mapa riesgos'!#REF!="Muy Baja",'Mapa riesgos'!#REF!="Mayor"),CONCATENATE("R1C",'Mapa riesgos'!#REF!),"")</f>
        <v>#REF!</v>
      </c>
      <c r="AH46" s="32" t="str">
        <f>IF(AND('Mapa riesgos'!$AD$13="Muy Baja",'Mapa riesgos'!$AF$13="Catastrófico"),CONCATENATE("R1C",'Mapa riesgos'!$T$13),"")</f>
        <v/>
      </c>
      <c r="AI46" s="33" t="str">
        <f>IF(AND('Mapa riesgos'!$AD$14="Muy Baja",'Mapa riesgos'!$AF$14="Catastrófico"),CONCATENATE("R1C",'Mapa riesgos'!$T$14),"")</f>
        <v/>
      </c>
      <c r="AJ46" s="33" t="e">
        <f>IF(AND('Mapa riesgos'!#REF!="Muy Baja",'Mapa riesgos'!#REF!="Catastrófico"),CONCATENATE("R1C",'Mapa riesgos'!#REF!),"")</f>
        <v>#REF!</v>
      </c>
      <c r="AK46" s="33" t="e">
        <f>IF(AND('Mapa riesgos'!#REF!="Muy Baja",'Mapa riesgos'!#REF!="Catastrófico"),CONCATENATE("R1C",'Mapa riesgos'!#REF!),"")</f>
        <v>#REF!</v>
      </c>
      <c r="AL46" s="33" t="e">
        <f>IF(AND('Mapa riesgos'!#REF!="Muy Baja",'Mapa riesgos'!#REF!="Catastrófico"),CONCATENATE("R1C",'Mapa riesgos'!#REF!),"")</f>
        <v>#REF!</v>
      </c>
      <c r="AM46" s="34" t="e">
        <f>IF(AND('Mapa riesgos'!#REF!="Muy Baja",'Mapa riesgos'!#REF!="Catastrófico"),CONCATENATE("R1C",'Mapa riesgos'!#REF!),"")</f>
        <v>#REF!</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346"/>
      <c r="C47" s="346"/>
      <c r="D47" s="347"/>
      <c r="E47" s="443"/>
      <c r="F47" s="444"/>
      <c r="G47" s="444"/>
      <c r="H47" s="444"/>
      <c r="I47" s="460"/>
      <c r="J47" s="59" t="str">
        <f>IF(AND('Mapa riesgos'!$AD$15="Muy Baja",'Mapa riesgos'!$AF$15="Leve"),CONCATENATE("R2C",'Mapa riesgos'!$T$15),"")</f>
        <v/>
      </c>
      <c r="K47" s="60" t="str">
        <f>IF(AND('Mapa riesgos'!$AD$16="Muy Baja",'Mapa riesgos'!$AF$16="Leve"),CONCATENATE("R2C",'Mapa riesgos'!$T$16),"")</f>
        <v/>
      </c>
      <c r="L47" s="60" t="e">
        <f>IF(AND('Mapa riesgos'!#REF!="Muy Baja",'Mapa riesgos'!#REF!="Leve"),CONCATENATE("R2C",'Mapa riesgos'!#REF!),"")</f>
        <v>#REF!</v>
      </c>
      <c r="M47" s="60" t="e">
        <f>IF(AND('Mapa riesgos'!#REF!="Muy Baja",'Mapa riesgos'!#REF!="Leve"),CONCATENATE("R2C",'Mapa riesgos'!#REF!),"")</f>
        <v>#REF!</v>
      </c>
      <c r="N47" s="60" t="e">
        <f>IF(AND('Mapa riesgos'!#REF!="Muy Baja",'Mapa riesgos'!#REF!="Leve"),CONCATENATE("R2C",'Mapa riesgos'!#REF!),"")</f>
        <v>#REF!</v>
      </c>
      <c r="O47" s="61" t="e">
        <f>IF(AND('Mapa riesgos'!#REF!="Muy Baja",'Mapa riesgos'!#REF!="Leve"),CONCATENATE("R2C",'Mapa riesgos'!#REF!),"")</f>
        <v>#REF!</v>
      </c>
      <c r="P47" s="59" t="str">
        <f>IF(AND('Mapa riesgos'!$AD$15="Muy Baja",'Mapa riesgos'!$AF$15="Menor"),CONCATENATE("R2C",'Mapa riesgos'!$T$15),"")</f>
        <v/>
      </c>
      <c r="Q47" s="60" t="str">
        <f>IF(AND('Mapa riesgos'!$AD$16="Muy Baja",'Mapa riesgos'!$AF$16="Menor"),CONCATENATE("R2C",'Mapa riesgos'!$T$16),"")</f>
        <v/>
      </c>
      <c r="R47" s="60" t="e">
        <f>IF(AND('Mapa riesgos'!#REF!="Muy Baja",'Mapa riesgos'!#REF!="Menor"),CONCATENATE("R2C",'Mapa riesgos'!#REF!),"")</f>
        <v>#REF!</v>
      </c>
      <c r="S47" s="60" t="e">
        <f>IF(AND('Mapa riesgos'!#REF!="Muy Baja",'Mapa riesgos'!#REF!="Menor"),CONCATENATE("R2C",'Mapa riesgos'!#REF!),"")</f>
        <v>#REF!</v>
      </c>
      <c r="T47" s="60" t="e">
        <f>IF(AND('Mapa riesgos'!#REF!="Muy Baja",'Mapa riesgos'!#REF!="Menor"),CONCATENATE("R2C",'Mapa riesgos'!#REF!),"")</f>
        <v>#REF!</v>
      </c>
      <c r="U47" s="61" t="e">
        <f>IF(AND('Mapa riesgos'!#REF!="Muy Baja",'Mapa riesgos'!#REF!="Menor"),CONCATENATE("R2C",'Mapa riesgos'!#REF!),"")</f>
        <v>#REF!</v>
      </c>
      <c r="V47" s="50" t="str">
        <f>IF(AND('Mapa riesgos'!$AD$15="Muy Baja",'Mapa riesgos'!$AF$15="Moderado"),CONCATENATE("R2C",'Mapa riesgos'!$T$15),"")</f>
        <v/>
      </c>
      <c r="W47" s="51" t="str">
        <f>IF(AND('Mapa riesgos'!$AD$16="Muy Baja",'Mapa riesgos'!$AF$16="Moderado"),CONCATENATE("R2C",'Mapa riesgos'!$T$16),"")</f>
        <v/>
      </c>
      <c r="X47" s="51" t="e">
        <f>IF(AND('Mapa riesgos'!#REF!="Muy Baja",'Mapa riesgos'!#REF!="Moderado"),CONCATENATE("R2C",'Mapa riesgos'!#REF!),"")</f>
        <v>#REF!</v>
      </c>
      <c r="Y47" s="51" t="e">
        <f>IF(AND('Mapa riesgos'!#REF!="Muy Baja",'Mapa riesgos'!#REF!="Moderado"),CONCATENATE("R2C",'Mapa riesgos'!#REF!),"")</f>
        <v>#REF!</v>
      </c>
      <c r="Z47" s="51" t="e">
        <f>IF(AND('Mapa riesgos'!#REF!="Muy Baja",'Mapa riesgos'!#REF!="Moderado"),CONCATENATE("R2C",'Mapa riesgos'!#REF!),"")</f>
        <v>#REF!</v>
      </c>
      <c r="AA47" s="52" t="e">
        <f>IF(AND('Mapa riesgos'!#REF!="Muy Baja",'Mapa riesgos'!#REF!="Moderado"),CONCATENATE("R2C",'Mapa riesgos'!#REF!),"")</f>
        <v>#REF!</v>
      </c>
      <c r="AB47" s="35" t="str">
        <f>IF(AND('Mapa riesgos'!$AD$15="Muy Baja",'Mapa riesgos'!$AF$15="Mayor"),CONCATENATE("R2C",'Mapa riesgos'!$T$15),"")</f>
        <v/>
      </c>
      <c r="AC47" s="36" t="str">
        <f>IF(AND('Mapa riesgos'!$AD$16="Muy Baja",'Mapa riesgos'!$AF$16="Mayor"),CONCATENATE("R2C",'Mapa riesgos'!$T$16),"")</f>
        <v/>
      </c>
      <c r="AD47" s="36" t="e">
        <f>IF(AND('Mapa riesgos'!#REF!="Muy Baja",'Mapa riesgos'!#REF!="Mayor"),CONCATENATE("R2C",'Mapa riesgos'!#REF!),"")</f>
        <v>#REF!</v>
      </c>
      <c r="AE47" s="36" t="e">
        <f>IF(AND('Mapa riesgos'!#REF!="Muy Baja",'Mapa riesgos'!#REF!="Mayor"),CONCATENATE("R2C",'Mapa riesgos'!#REF!),"")</f>
        <v>#REF!</v>
      </c>
      <c r="AF47" s="36" t="e">
        <f>IF(AND('Mapa riesgos'!#REF!="Muy Baja",'Mapa riesgos'!#REF!="Mayor"),CONCATENATE("R2C",'Mapa riesgos'!#REF!),"")</f>
        <v>#REF!</v>
      </c>
      <c r="AG47" s="37" t="e">
        <f>IF(AND('Mapa riesgos'!#REF!="Muy Baja",'Mapa riesgos'!#REF!="Mayor"),CONCATENATE("R2C",'Mapa riesgos'!#REF!),"")</f>
        <v>#REF!</v>
      </c>
      <c r="AH47" s="38" t="str">
        <f>IF(AND('Mapa riesgos'!$AD$15="Muy Baja",'Mapa riesgos'!$AF$15="Catastrófico"),CONCATENATE("R2C",'Mapa riesgos'!$T$15),"")</f>
        <v/>
      </c>
      <c r="AI47" s="39" t="str">
        <f>IF(AND('Mapa riesgos'!$AD$16="Muy Baja",'Mapa riesgos'!$AF$16="Catastrófico"),CONCATENATE("R2C",'Mapa riesgos'!$T$16),"")</f>
        <v/>
      </c>
      <c r="AJ47" s="39" t="e">
        <f>IF(AND('Mapa riesgos'!#REF!="Muy Baja",'Mapa riesgos'!#REF!="Catastrófico"),CONCATENATE("R2C",'Mapa riesgos'!#REF!),"")</f>
        <v>#REF!</v>
      </c>
      <c r="AK47" s="39" t="e">
        <f>IF(AND('Mapa riesgos'!#REF!="Muy Baja",'Mapa riesgos'!#REF!="Catastrófico"),CONCATENATE("R2C",'Mapa riesgos'!#REF!),"")</f>
        <v>#REF!</v>
      </c>
      <c r="AL47" s="39" t="e">
        <f>IF(AND('Mapa riesgos'!#REF!="Muy Baja",'Mapa riesgos'!#REF!="Catastrófico"),CONCATENATE("R2C",'Mapa riesgos'!#REF!),"")</f>
        <v>#REF!</v>
      </c>
      <c r="AM47" s="40" t="e">
        <f>IF(AND('Mapa riesgos'!#REF!="Muy Baja",'Mapa riesgos'!#REF!="Catastrófico"),CONCATENATE("R2C",'Mapa riesgos'!#REF!),"")</f>
        <v>#REF!</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346"/>
      <c r="C48" s="346"/>
      <c r="D48" s="347"/>
      <c r="E48" s="443"/>
      <c r="F48" s="444"/>
      <c r="G48" s="444"/>
      <c r="H48" s="444"/>
      <c r="I48" s="460"/>
      <c r="J48" s="59" t="str">
        <f>IF(AND('Mapa riesgos'!$AD$17="Muy Baja",'Mapa riesgos'!$AF$17="Leve"),CONCATENATE("R3C",'Mapa riesgos'!$T$17),"")</f>
        <v/>
      </c>
      <c r="K48" s="60" t="str">
        <f>IF(AND('Mapa riesgos'!$AD$18="Muy Baja",'Mapa riesgos'!$AF$18="Leve"),CONCATENATE("R3C",'Mapa riesgos'!$T$18),"")</f>
        <v/>
      </c>
      <c r="L48" s="60" t="e">
        <f>IF(AND('Mapa riesgos'!#REF!="Muy Baja",'Mapa riesgos'!#REF!="Leve"),CONCATENATE("R3C",'Mapa riesgos'!#REF!),"")</f>
        <v>#REF!</v>
      </c>
      <c r="M48" s="60" t="e">
        <f>IF(AND('Mapa riesgos'!#REF!="Muy Baja",'Mapa riesgos'!#REF!="Leve"),CONCATENATE("R3C",'Mapa riesgos'!#REF!),"")</f>
        <v>#REF!</v>
      </c>
      <c r="N48" s="60" t="e">
        <f>IF(AND('Mapa riesgos'!#REF!="Muy Baja",'Mapa riesgos'!#REF!="Leve"),CONCATENATE("R3C",'Mapa riesgos'!#REF!),"")</f>
        <v>#REF!</v>
      </c>
      <c r="O48" s="61" t="e">
        <f>IF(AND('Mapa riesgos'!#REF!="Muy Baja",'Mapa riesgos'!#REF!="Leve"),CONCATENATE("R3C",'Mapa riesgos'!#REF!),"")</f>
        <v>#REF!</v>
      </c>
      <c r="P48" s="59" t="str">
        <f>IF(AND('Mapa riesgos'!$AD$17="Muy Baja",'Mapa riesgos'!$AF$17="Menor"),CONCATENATE("R3C",'Mapa riesgos'!$T$17),"")</f>
        <v/>
      </c>
      <c r="Q48" s="60" t="str">
        <f>IF(AND('Mapa riesgos'!$AD$18="Muy Baja",'Mapa riesgos'!$AF$18="Menor"),CONCATENATE("R3C",'Mapa riesgos'!$T$18),"")</f>
        <v/>
      </c>
      <c r="R48" s="60" t="e">
        <f>IF(AND('Mapa riesgos'!#REF!="Muy Baja",'Mapa riesgos'!#REF!="Menor"),CONCATENATE("R3C",'Mapa riesgos'!#REF!),"")</f>
        <v>#REF!</v>
      </c>
      <c r="S48" s="60" t="e">
        <f>IF(AND('Mapa riesgos'!#REF!="Muy Baja",'Mapa riesgos'!#REF!="Menor"),CONCATENATE("R3C",'Mapa riesgos'!#REF!),"")</f>
        <v>#REF!</v>
      </c>
      <c r="T48" s="60" t="e">
        <f>IF(AND('Mapa riesgos'!#REF!="Muy Baja",'Mapa riesgos'!#REF!="Menor"),CONCATENATE("R3C",'Mapa riesgos'!#REF!),"")</f>
        <v>#REF!</v>
      </c>
      <c r="U48" s="61" t="e">
        <f>IF(AND('Mapa riesgos'!#REF!="Muy Baja",'Mapa riesgos'!#REF!="Menor"),CONCATENATE("R3C",'Mapa riesgos'!#REF!),"")</f>
        <v>#REF!</v>
      </c>
      <c r="V48" s="50" t="str">
        <f>IF(AND('Mapa riesgos'!$AD$17="Muy Baja",'Mapa riesgos'!$AF$17="Moderado"),CONCATENATE("R3C",'Mapa riesgos'!$T$17),"")</f>
        <v/>
      </c>
      <c r="W48" s="51" t="str">
        <f>IF(AND('Mapa riesgos'!$AD$18="Muy Baja",'Mapa riesgos'!$AF$18="Moderado"),CONCATENATE("R3C",'Mapa riesgos'!$T$18),"")</f>
        <v/>
      </c>
      <c r="X48" s="51" t="e">
        <f>IF(AND('Mapa riesgos'!#REF!="Muy Baja",'Mapa riesgos'!#REF!="Moderado"),CONCATENATE("R3C",'Mapa riesgos'!#REF!),"")</f>
        <v>#REF!</v>
      </c>
      <c r="Y48" s="51" t="e">
        <f>IF(AND('Mapa riesgos'!#REF!="Muy Baja",'Mapa riesgos'!#REF!="Moderado"),CONCATENATE("R3C",'Mapa riesgos'!#REF!),"")</f>
        <v>#REF!</v>
      </c>
      <c r="Z48" s="51" t="e">
        <f>IF(AND('Mapa riesgos'!#REF!="Muy Baja",'Mapa riesgos'!#REF!="Moderado"),CONCATENATE("R3C",'Mapa riesgos'!#REF!),"")</f>
        <v>#REF!</v>
      </c>
      <c r="AA48" s="52" t="e">
        <f>IF(AND('Mapa riesgos'!#REF!="Muy Baja",'Mapa riesgos'!#REF!="Moderado"),CONCATENATE("R3C",'Mapa riesgos'!#REF!),"")</f>
        <v>#REF!</v>
      </c>
      <c r="AB48" s="35" t="str">
        <f>IF(AND('Mapa riesgos'!$AD$17="Muy Baja",'Mapa riesgos'!$AF$17="Mayor"),CONCATENATE("R3C",'Mapa riesgos'!$T$17),"")</f>
        <v/>
      </c>
      <c r="AC48" s="36" t="str">
        <f>IF(AND('Mapa riesgos'!$AD$18="Muy Baja",'Mapa riesgos'!$AF$18="Mayor"),CONCATENATE("R3C",'Mapa riesgos'!$T$18),"")</f>
        <v/>
      </c>
      <c r="AD48" s="36" t="e">
        <f>IF(AND('Mapa riesgos'!#REF!="Muy Baja",'Mapa riesgos'!#REF!="Mayor"),CONCATENATE("R3C",'Mapa riesgos'!#REF!),"")</f>
        <v>#REF!</v>
      </c>
      <c r="AE48" s="36" t="e">
        <f>IF(AND('Mapa riesgos'!#REF!="Muy Baja",'Mapa riesgos'!#REF!="Mayor"),CONCATENATE("R3C",'Mapa riesgos'!#REF!),"")</f>
        <v>#REF!</v>
      </c>
      <c r="AF48" s="36" t="e">
        <f>IF(AND('Mapa riesgos'!#REF!="Muy Baja",'Mapa riesgos'!#REF!="Mayor"),CONCATENATE("R3C",'Mapa riesgos'!#REF!),"")</f>
        <v>#REF!</v>
      </c>
      <c r="AG48" s="37" t="e">
        <f>IF(AND('Mapa riesgos'!#REF!="Muy Baja",'Mapa riesgos'!#REF!="Mayor"),CONCATENATE("R3C",'Mapa riesgos'!#REF!),"")</f>
        <v>#REF!</v>
      </c>
      <c r="AH48" s="38" t="str">
        <f>IF(AND('Mapa riesgos'!$AD$17="Muy Baja",'Mapa riesgos'!$AF$17="Catastrófico"),CONCATENATE("R3C",'Mapa riesgos'!$T$17),"")</f>
        <v/>
      </c>
      <c r="AI48" s="39" t="str">
        <f>IF(AND('Mapa riesgos'!$AD$18="Muy Baja",'Mapa riesgos'!$AF$18="Catastrófico"),CONCATENATE("R3C",'Mapa riesgos'!$T$18),"")</f>
        <v/>
      </c>
      <c r="AJ48" s="39" t="e">
        <f>IF(AND('Mapa riesgos'!#REF!="Muy Baja",'Mapa riesgos'!#REF!="Catastrófico"),CONCATENATE("R3C",'Mapa riesgos'!#REF!),"")</f>
        <v>#REF!</v>
      </c>
      <c r="AK48" s="39" t="e">
        <f>IF(AND('Mapa riesgos'!#REF!="Muy Baja",'Mapa riesgos'!#REF!="Catastrófico"),CONCATENATE("R3C",'Mapa riesgos'!#REF!),"")</f>
        <v>#REF!</v>
      </c>
      <c r="AL48" s="39" t="e">
        <f>IF(AND('Mapa riesgos'!#REF!="Muy Baja",'Mapa riesgos'!#REF!="Catastrófico"),CONCATENATE("R3C",'Mapa riesgos'!#REF!),"")</f>
        <v>#REF!</v>
      </c>
      <c r="AM48" s="40" t="e">
        <f>IF(AND('Mapa riesgos'!#REF!="Muy Baja",'Mapa riesgos'!#REF!="Catastrófico"),CONCATENATE("R3C",'Mapa riesgos'!#REF!),"")</f>
        <v>#REF!</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346"/>
      <c r="C49" s="346"/>
      <c r="D49" s="347"/>
      <c r="E49" s="445"/>
      <c r="F49" s="444"/>
      <c r="G49" s="444"/>
      <c r="H49" s="444"/>
      <c r="I49" s="460"/>
      <c r="J49" s="59" t="str">
        <f>IF(AND('Mapa riesgos'!$AD$19="Muy Baja",'Mapa riesgos'!$AF$19="Leve"),CONCATENATE("R4C",'Mapa riesgos'!$T$19),"")</f>
        <v/>
      </c>
      <c r="K49" s="60" t="str">
        <f>IF(AND('Mapa riesgos'!$AD$20="Muy Baja",'Mapa riesgos'!$AF$20="Leve"),CONCATENATE("R4C",'Mapa riesgos'!$T$20),"")</f>
        <v/>
      </c>
      <c r="L49" s="60" t="str">
        <f>IF(AND('Mapa riesgos'!$AD$21="Muy Baja",'Mapa riesgos'!$AF$21="Leve"),CONCATENATE("R4C",'Mapa riesgos'!$T$21),"")</f>
        <v/>
      </c>
      <c r="M49" s="60" t="str">
        <f>IF(AND('Mapa riesgos'!$AD$22="Muy Baja",'Mapa riesgos'!$AF$22="Leve"),CONCATENATE("R4C",'Mapa riesgos'!$T$22),"")</f>
        <v/>
      </c>
      <c r="N49" s="60" t="str">
        <f>IF(AND('Mapa riesgos'!$AD$23="Muy Baja",'Mapa riesgos'!$AF$23="Leve"),CONCATENATE("R4C",'Mapa riesgos'!$T$23),"")</f>
        <v/>
      </c>
      <c r="O49" s="61" t="str">
        <f>IF(AND('Mapa riesgos'!$AD$24="Muy Baja",'Mapa riesgos'!$AF$24="Leve"),CONCATENATE("R4C",'Mapa riesgos'!$T$24),"")</f>
        <v/>
      </c>
      <c r="P49" s="59" t="str">
        <f>IF(AND('Mapa riesgos'!$AD$19="Muy Baja",'Mapa riesgos'!$AF$19="Menor"),CONCATENATE("R4C",'Mapa riesgos'!$T$19),"")</f>
        <v/>
      </c>
      <c r="Q49" s="60" t="str">
        <f>IF(AND('Mapa riesgos'!$AD$20="Muy Baja",'Mapa riesgos'!$AF$20="Menor"),CONCATENATE("R4C",'Mapa riesgos'!$T$20),"")</f>
        <v/>
      </c>
      <c r="R49" s="60" t="str">
        <f>IF(AND('Mapa riesgos'!$AD$21="Muy Baja",'Mapa riesgos'!$AF$21="Menor"),CONCATENATE("R4C",'Mapa riesgos'!$T$21),"")</f>
        <v/>
      </c>
      <c r="S49" s="60" t="str">
        <f>IF(AND('Mapa riesgos'!$AD$22="Muy Baja",'Mapa riesgos'!$AF$22="Menor"),CONCATENATE("R4C",'Mapa riesgos'!$T$22),"")</f>
        <v/>
      </c>
      <c r="T49" s="60" t="str">
        <f>IF(AND('Mapa riesgos'!$AD$23="Muy Baja",'Mapa riesgos'!$AF$23="Menor"),CONCATENATE("R4C",'Mapa riesgos'!$T$23),"")</f>
        <v/>
      </c>
      <c r="U49" s="61" t="str">
        <f>IF(AND('Mapa riesgos'!$AD$24="Muy Baja",'Mapa riesgos'!$AF$24="Menor"),CONCATENATE("R4C",'Mapa riesgos'!$T$24),"")</f>
        <v/>
      </c>
      <c r="V49" s="50" t="str">
        <f>IF(AND('Mapa riesgos'!$AD$19="Muy Baja",'Mapa riesgos'!$AF$19="Moderado"),CONCATENATE("R4C",'Mapa riesgos'!$T$19),"")</f>
        <v/>
      </c>
      <c r="W49" s="51" t="str">
        <f>IF(AND('Mapa riesgos'!$AD$20="Muy Baja",'Mapa riesgos'!$AF$20="Moderado"),CONCATENATE("R4C",'Mapa riesgos'!$T$20),"")</f>
        <v/>
      </c>
      <c r="X49" s="51" t="str">
        <f>IF(AND('Mapa riesgos'!$AD$21="Muy Baja",'Mapa riesgos'!$AF$21="Moderado"),CONCATENATE("R4C",'Mapa riesgos'!$T$21),"")</f>
        <v/>
      </c>
      <c r="Y49" s="51" t="str">
        <f>IF(AND('Mapa riesgos'!$AD$22="Muy Baja",'Mapa riesgos'!$AF$22="Moderado"),CONCATENATE("R4C",'Mapa riesgos'!$T$22),"")</f>
        <v/>
      </c>
      <c r="Z49" s="51" t="str">
        <f>IF(AND('Mapa riesgos'!$AD$23="Muy Baja",'Mapa riesgos'!$AF$23="Moderado"),CONCATENATE("R4C",'Mapa riesgos'!$T$23),"")</f>
        <v/>
      </c>
      <c r="AA49" s="52" t="str">
        <f>IF(AND('Mapa riesgos'!$AD$24="Muy Baja",'Mapa riesgos'!$AF$24="Moderado"),CONCATENATE("R4C",'Mapa riesgos'!$T$24),"")</f>
        <v/>
      </c>
      <c r="AB49" s="35" t="str">
        <f>IF(AND('Mapa riesgos'!$AD$19="Muy Baja",'Mapa riesgos'!$AF$19="Mayor"),CONCATENATE("R4C",'Mapa riesgos'!$T$19),"")</f>
        <v/>
      </c>
      <c r="AC49" s="36" t="str">
        <f>IF(AND('Mapa riesgos'!$AD$20="Muy Baja",'Mapa riesgos'!$AF$20="Mayor"),CONCATENATE("R4C",'Mapa riesgos'!$T$20),"")</f>
        <v/>
      </c>
      <c r="AD49" s="36" t="str">
        <f>IF(AND('Mapa riesgos'!$AD$21="Muy Baja",'Mapa riesgos'!$AF$21="Mayor"),CONCATENATE("R4C",'Mapa riesgos'!$T$21),"")</f>
        <v/>
      </c>
      <c r="AE49" s="36" t="str">
        <f>IF(AND('Mapa riesgos'!$AD$22="Muy Baja",'Mapa riesgos'!$AF$22="Mayor"),CONCATENATE("R4C",'Mapa riesgos'!$T$22),"")</f>
        <v/>
      </c>
      <c r="AF49" s="36" t="str">
        <f>IF(AND('Mapa riesgos'!$AD$23="Muy Baja",'Mapa riesgos'!$AF$23="Mayor"),CONCATENATE("R4C",'Mapa riesgos'!$T$23),"")</f>
        <v/>
      </c>
      <c r="AG49" s="37" t="str">
        <f>IF(AND('Mapa riesgos'!$AD$24="Muy Baja",'Mapa riesgos'!$AF$24="Mayor"),CONCATENATE("R4C",'Mapa riesgos'!$T$24),"")</f>
        <v/>
      </c>
      <c r="AH49" s="38" t="str">
        <f>IF(AND('Mapa riesgos'!$AD$19="Muy Baja",'Mapa riesgos'!$AF$19="Catastrófico"),CONCATENATE("R4C",'Mapa riesgos'!$T$19),"")</f>
        <v/>
      </c>
      <c r="AI49" s="39" t="str">
        <f>IF(AND('Mapa riesgos'!$AD$20="Muy Baja",'Mapa riesgos'!$AF$20="Catastrófico"),CONCATENATE("R4C",'Mapa riesgos'!$T$20),"")</f>
        <v/>
      </c>
      <c r="AJ49" s="39" t="str">
        <f>IF(AND('Mapa riesgos'!$AD$21="Muy Baja",'Mapa riesgos'!$AF$21="Catastrófico"),CONCATENATE("R4C",'Mapa riesgos'!$T$21),"")</f>
        <v/>
      </c>
      <c r="AK49" s="39" t="str">
        <f>IF(AND('Mapa riesgos'!$AD$22="Muy Baja",'Mapa riesgos'!$AF$22="Catastrófico"),CONCATENATE("R4C",'Mapa riesgos'!$T$22),"")</f>
        <v/>
      </c>
      <c r="AL49" s="39" t="str">
        <f>IF(AND('Mapa riesgos'!$AD$23="Muy Baja",'Mapa riesgos'!$AF$23="Catastrófico"),CONCATENATE("R4C",'Mapa riesgos'!$T$23),"")</f>
        <v/>
      </c>
      <c r="AM49" s="40" t="str">
        <f>IF(AND('Mapa riesgos'!$AD$24="Muy Baja",'Mapa riesgos'!$AF$24="Catastrófico"),CONCATENATE("R4C",'Mapa riesgos'!$T$24),"")</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346"/>
      <c r="C50" s="346"/>
      <c r="D50" s="347"/>
      <c r="E50" s="445"/>
      <c r="F50" s="444"/>
      <c r="G50" s="444"/>
      <c r="H50" s="444"/>
      <c r="I50" s="460"/>
      <c r="J50" s="59" t="str">
        <f>IF(AND('Mapa riesgos'!$AD$25="Muy Baja",'Mapa riesgos'!$AF$25="Leve"),CONCATENATE("R5C",'Mapa riesgos'!$T$25),"")</f>
        <v/>
      </c>
      <c r="K50" s="60" t="str">
        <f>IF(AND('Mapa riesgos'!$AD$26="Muy Baja",'Mapa riesgos'!$AF$26="Leve"),CONCATENATE("R5C",'Mapa riesgos'!$T$26),"")</f>
        <v/>
      </c>
      <c r="L50" s="60" t="str">
        <f>IF(AND('Mapa riesgos'!$AD$27="Muy Baja",'Mapa riesgos'!$AF$27="Leve"),CONCATENATE("R5C",'Mapa riesgos'!$T$27),"")</f>
        <v/>
      </c>
      <c r="M50" s="60" t="str">
        <f>IF(AND('Mapa riesgos'!$AD$28="Muy Baja",'Mapa riesgos'!$AF$28="Leve"),CONCATENATE("R5C",'Mapa riesgos'!$T$28),"")</f>
        <v/>
      </c>
      <c r="N50" s="60" t="str">
        <f>IF(AND('Mapa riesgos'!$AD$29="Muy Baja",'Mapa riesgos'!$AF$29="Leve"),CONCATENATE("R5C",'Mapa riesgos'!$T$29),"")</f>
        <v/>
      </c>
      <c r="O50" s="61" t="str">
        <f>IF(AND('Mapa riesgos'!$AD$30="Muy Baja",'Mapa riesgos'!$AF$30="Leve"),CONCATENATE("R5C",'Mapa riesgos'!$T$30),"")</f>
        <v/>
      </c>
      <c r="P50" s="59" t="str">
        <f>IF(AND('Mapa riesgos'!$AD$25="Muy Baja",'Mapa riesgos'!$AF$25="Menor"),CONCATENATE("R5C",'Mapa riesgos'!$T$25),"")</f>
        <v/>
      </c>
      <c r="Q50" s="60" t="str">
        <f>IF(AND('Mapa riesgos'!$AD$26="Muy Baja",'Mapa riesgos'!$AF$26="Menor"),CONCATENATE("R5C",'Mapa riesgos'!$T$26),"")</f>
        <v/>
      </c>
      <c r="R50" s="60" t="str">
        <f>IF(AND('Mapa riesgos'!$AD$27="Muy Baja",'Mapa riesgos'!$AF$27="Menor"),CONCATENATE("R5C",'Mapa riesgos'!$T$27),"")</f>
        <v/>
      </c>
      <c r="S50" s="60" t="str">
        <f>IF(AND('Mapa riesgos'!$AD$28="Muy Baja",'Mapa riesgos'!$AF$28="Menor"),CONCATENATE("R5C",'Mapa riesgos'!$T$28),"")</f>
        <v/>
      </c>
      <c r="T50" s="60" t="str">
        <f>IF(AND('Mapa riesgos'!$AD$29="Muy Baja",'Mapa riesgos'!$AF$29="Menor"),CONCATENATE("R5C",'Mapa riesgos'!$T$29),"")</f>
        <v/>
      </c>
      <c r="U50" s="61" t="str">
        <f>IF(AND('Mapa riesgos'!$AD$30="Muy Baja",'Mapa riesgos'!$AF$30="Menor"),CONCATENATE("R5C",'Mapa riesgos'!$T$30),"")</f>
        <v/>
      </c>
      <c r="V50" s="50" t="str">
        <f>IF(AND('Mapa riesgos'!$AD$25="Muy Baja",'Mapa riesgos'!$AF$25="Moderado"),CONCATENATE("R5C",'Mapa riesgos'!$T$25),"")</f>
        <v/>
      </c>
      <c r="W50" s="51" t="str">
        <f>IF(AND('Mapa riesgos'!$AD$26="Muy Baja",'Mapa riesgos'!$AF$26="Moderado"),CONCATENATE("R5C",'Mapa riesgos'!$T$26),"")</f>
        <v/>
      </c>
      <c r="X50" s="51" t="str">
        <f>IF(AND('Mapa riesgos'!$AD$27="Muy Baja",'Mapa riesgos'!$AF$27="Moderado"),CONCATENATE("R5C",'Mapa riesgos'!$T$27),"")</f>
        <v/>
      </c>
      <c r="Y50" s="51" t="str">
        <f>IF(AND('Mapa riesgos'!$AD$28="Muy Baja",'Mapa riesgos'!$AF$28="Moderado"),CONCATENATE("R5C",'Mapa riesgos'!$T$28),"")</f>
        <v/>
      </c>
      <c r="Z50" s="51" t="str">
        <f>IF(AND('Mapa riesgos'!$AD$29="Muy Baja",'Mapa riesgos'!$AF$29="Moderado"),CONCATENATE("R5C",'Mapa riesgos'!$T$29),"")</f>
        <v/>
      </c>
      <c r="AA50" s="52" t="str">
        <f>IF(AND('Mapa riesgos'!$AD$30="Muy Baja",'Mapa riesgos'!$AF$30="Moderado"),CONCATENATE("R5C",'Mapa riesgos'!$T$30),"")</f>
        <v/>
      </c>
      <c r="AB50" s="35" t="str">
        <f>IF(AND('Mapa riesgos'!$AD$25="Muy Baja",'Mapa riesgos'!$AF$25="Mayor"),CONCATENATE("R5C",'Mapa riesgos'!$T$25),"")</f>
        <v/>
      </c>
      <c r="AC50" s="36" t="str">
        <f>IF(AND('Mapa riesgos'!$AD$26="Muy Baja",'Mapa riesgos'!$AF$26="Mayor"),CONCATENATE("R5C",'Mapa riesgos'!$T$26),"")</f>
        <v/>
      </c>
      <c r="AD50" s="36" t="str">
        <f>IF(AND('Mapa riesgos'!$AD$27="Muy Baja",'Mapa riesgos'!$AF$27="Mayor"),CONCATENATE("R5C",'Mapa riesgos'!$T$27),"")</f>
        <v/>
      </c>
      <c r="AE50" s="36" t="str">
        <f>IF(AND('Mapa riesgos'!$AD$28="Muy Baja",'Mapa riesgos'!$AF$28="Mayor"),CONCATENATE("R5C",'Mapa riesgos'!$T$28),"")</f>
        <v/>
      </c>
      <c r="AF50" s="36" t="str">
        <f>IF(AND('Mapa riesgos'!$AD$29="Muy Baja",'Mapa riesgos'!$AF$29="Mayor"),CONCATENATE("R5C",'Mapa riesgos'!$T$29),"")</f>
        <v/>
      </c>
      <c r="AG50" s="37" t="str">
        <f>IF(AND('Mapa riesgos'!$AD$30="Muy Baja",'Mapa riesgos'!$AF$30="Mayor"),CONCATENATE("R5C",'Mapa riesgos'!$T$30),"")</f>
        <v/>
      </c>
      <c r="AH50" s="38" t="str">
        <f>IF(AND('Mapa riesgos'!$AD$25="Muy Baja",'Mapa riesgos'!$AF$25="Catastrófico"),CONCATENATE("R5C",'Mapa riesgos'!$T$25),"")</f>
        <v/>
      </c>
      <c r="AI50" s="39" t="str">
        <f>IF(AND('Mapa riesgos'!$AD$26="Muy Baja",'Mapa riesgos'!$AF$26="Catastrófico"),CONCATENATE("R5C",'Mapa riesgos'!$T$26),"")</f>
        <v/>
      </c>
      <c r="AJ50" s="39" t="str">
        <f>IF(AND('Mapa riesgos'!$AD$27="Muy Baja",'Mapa riesgos'!$AF$27="Catastrófico"),CONCATENATE("R5C",'Mapa riesgos'!$T$27),"")</f>
        <v/>
      </c>
      <c r="AK50" s="39" t="str">
        <f>IF(AND('Mapa riesgos'!$AD$28="Muy Baja",'Mapa riesgos'!$AF$28="Catastrófico"),CONCATENATE("R5C",'Mapa riesgos'!$T$28),"")</f>
        <v/>
      </c>
      <c r="AL50" s="39" t="str">
        <f>IF(AND('Mapa riesgos'!$AD$29="Muy Baja",'Mapa riesgos'!$AF$29="Catastrófico"),CONCATENATE("R5C",'Mapa riesgos'!$T$29),"")</f>
        <v/>
      </c>
      <c r="AM50" s="40" t="str">
        <f>IF(AND('Mapa riesgos'!$AD$30="Muy Baja",'Mapa riesgos'!$AF$30="Catastrófico"),CONCATENATE("R5C",'Mapa riesgos'!$T$30),"")</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346"/>
      <c r="C51" s="346"/>
      <c r="D51" s="347"/>
      <c r="E51" s="445"/>
      <c r="F51" s="444"/>
      <c r="G51" s="444"/>
      <c r="H51" s="444"/>
      <c r="I51" s="460"/>
      <c r="J51" s="59" t="str">
        <f>IF(AND('Mapa riesgos'!$AD$31="Muy Baja",'Mapa riesgos'!$AF$31="Leve"),CONCATENATE("R6C",'Mapa riesgos'!$T$31),"")</f>
        <v/>
      </c>
      <c r="K51" s="60" t="str">
        <f>IF(AND('Mapa riesgos'!$AD$32="Muy Baja",'Mapa riesgos'!$AF$32="Leve"),CONCATENATE("R6C",'Mapa riesgos'!$T$32),"")</f>
        <v/>
      </c>
      <c r="L51" s="60" t="str">
        <f>IF(AND('Mapa riesgos'!$AD$33="Muy Baja",'Mapa riesgos'!$AF$33="Leve"),CONCATENATE("R6C",'Mapa riesgos'!$T$33),"")</f>
        <v/>
      </c>
      <c r="M51" s="60" t="str">
        <f>IF(AND('Mapa riesgos'!$AD$34="Muy Baja",'Mapa riesgos'!$AF$34="Leve"),CONCATENATE("R6C",'Mapa riesgos'!$T$34),"")</f>
        <v/>
      </c>
      <c r="N51" s="60" t="str">
        <f>IF(AND('Mapa riesgos'!$AD$35="Muy Baja",'Mapa riesgos'!$AF$35="Leve"),CONCATENATE("R6C",'Mapa riesgos'!$T$35),"")</f>
        <v/>
      </c>
      <c r="O51" s="61" t="str">
        <f>IF(AND('Mapa riesgos'!$AD$36="Muy Baja",'Mapa riesgos'!$AF$36="Leve"),CONCATENATE("R6C",'Mapa riesgos'!$T$36),"")</f>
        <v/>
      </c>
      <c r="P51" s="59" t="str">
        <f>IF(AND('Mapa riesgos'!$AD$31="Muy Baja",'Mapa riesgos'!$AF$31="Menor"),CONCATENATE("R6C",'Mapa riesgos'!$T$31),"")</f>
        <v/>
      </c>
      <c r="Q51" s="60" t="str">
        <f>IF(AND('Mapa riesgos'!$AD$32="Muy Baja",'Mapa riesgos'!$AF$32="Menor"),CONCATENATE("R6C",'Mapa riesgos'!$T$32),"")</f>
        <v/>
      </c>
      <c r="R51" s="60" t="str">
        <f>IF(AND('Mapa riesgos'!$AD$33="Muy Baja",'Mapa riesgos'!$AF$33="Menor"),CONCATENATE("R6C",'Mapa riesgos'!$T$33),"")</f>
        <v/>
      </c>
      <c r="S51" s="60" t="str">
        <f>IF(AND('Mapa riesgos'!$AD$34="Muy Baja",'Mapa riesgos'!$AF$34="Menor"),CONCATENATE("R6C",'Mapa riesgos'!$T$34),"")</f>
        <v/>
      </c>
      <c r="T51" s="60" t="str">
        <f>IF(AND('Mapa riesgos'!$AD$35="Muy Baja",'Mapa riesgos'!$AF$35="Menor"),CONCATENATE("R6C",'Mapa riesgos'!$T$35),"")</f>
        <v/>
      </c>
      <c r="U51" s="61" t="str">
        <f>IF(AND('Mapa riesgos'!$AD$36="Muy Baja",'Mapa riesgos'!$AF$36="Menor"),CONCATENATE("R6C",'Mapa riesgos'!$T$36),"")</f>
        <v/>
      </c>
      <c r="V51" s="50" t="str">
        <f>IF(AND('Mapa riesgos'!$AD$31="Muy Baja",'Mapa riesgos'!$AF$31="Moderado"),CONCATENATE("R6C",'Mapa riesgos'!$T$31),"")</f>
        <v/>
      </c>
      <c r="W51" s="51" t="str">
        <f>IF(AND('Mapa riesgos'!$AD$32="Muy Baja",'Mapa riesgos'!$AF$32="Moderado"),CONCATENATE("R6C",'Mapa riesgos'!$T$32),"")</f>
        <v/>
      </c>
      <c r="X51" s="51" t="str">
        <f>IF(AND('Mapa riesgos'!$AD$33="Muy Baja",'Mapa riesgos'!$AF$33="Moderado"),CONCATENATE("R6C",'Mapa riesgos'!$T$33),"")</f>
        <v/>
      </c>
      <c r="Y51" s="51" t="str">
        <f>IF(AND('Mapa riesgos'!$AD$34="Muy Baja",'Mapa riesgos'!$AF$34="Moderado"),CONCATENATE("R6C",'Mapa riesgos'!$T$34),"")</f>
        <v/>
      </c>
      <c r="Z51" s="51" t="str">
        <f>IF(AND('Mapa riesgos'!$AD$35="Muy Baja",'Mapa riesgos'!$AF$35="Moderado"),CONCATENATE("R6C",'Mapa riesgos'!$T$35),"")</f>
        <v/>
      </c>
      <c r="AA51" s="52" t="str">
        <f>IF(AND('Mapa riesgos'!$AD$36="Muy Baja",'Mapa riesgos'!$AF$36="Moderado"),CONCATENATE("R6C",'Mapa riesgos'!$T$36),"")</f>
        <v/>
      </c>
      <c r="AB51" s="35" t="str">
        <f>IF(AND('Mapa riesgos'!$AD$31="Muy Baja",'Mapa riesgos'!$AF$31="Mayor"),CONCATENATE("R6C",'Mapa riesgos'!$T$31),"")</f>
        <v/>
      </c>
      <c r="AC51" s="36" t="str">
        <f>IF(AND('Mapa riesgos'!$AD$32="Muy Baja",'Mapa riesgos'!$AF$32="Mayor"),CONCATENATE("R6C",'Mapa riesgos'!$T$32),"")</f>
        <v/>
      </c>
      <c r="AD51" s="36" t="str">
        <f>IF(AND('Mapa riesgos'!$AD$33="Muy Baja",'Mapa riesgos'!$AF$33="Mayor"),CONCATENATE("R6C",'Mapa riesgos'!$T$33),"")</f>
        <v/>
      </c>
      <c r="AE51" s="36" t="str">
        <f>IF(AND('Mapa riesgos'!$AD$34="Muy Baja",'Mapa riesgos'!$AF$34="Mayor"),CONCATENATE("R6C",'Mapa riesgos'!$T$34),"")</f>
        <v/>
      </c>
      <c r="AF51" s="36" t="str">
        <f>IF(AND('Mapa riesgos'!$AD$35="Muy Baja",'Mapa riesgos'!$AF$35="Mayor"),CONCATENATE("R6C",'Mapa riesgos'!$T$35),"")</f>
        <v/>
      </c>
      <c r="AG51" s="37" t="str">
        <f>IF(AND('Mapa riesgos'!$AD$36="Muy Baja",'Mapa riesgos'!$AF$36="Mayor"),CONCATENATE("R6C",'Mapa riesgos'!$T$36),"")</f>
        <v/>
      </c>
      <c r="AH51" s="38" t="str">
        <f>IF(AND('Mapa riesgos'!$AD$31="Muy Baja",'Mapa riesgos'!$AF$31="Catastrófico"),CONCATENATE("R6C",'Mapa riesgos'!$T$31),"")</f>
        <v/>
      </c>
      <c r="AI51" s="39" t="str">
        <f>IF(AND('Mapa riesgos'!$AD$32="Muy Baja",'Mapa riesgos'!$AF$32="Catastrófico"),CONCATENATE("R6C",'Mapa riesgos'!$T$32),"")</f>
        <v/>
      </c>
      <c r="AJ51" s="39" t="str">
        <f>IF(AND('Mapa riesgos'!$AD$33="Muy Baja",'Mapa riesgos'!$AF$33="Catastrófico"),CONCATENATE("R6C",'Mapa riesgos'!$T$33),"")</f>
        <v/>
      </c>
      <c r="AK51" s="39" t="str">
        <f>IF(AND('Mapa riesgos'!$AD$34="Muy Baja",'Mapa riesgos'!$AF$34="Catastrófico"),CONCATENATE("R6C",'Mapa riesgos'!$T$34),"")</f>
        <v/>
      </c>
      <c r="AL51" s="39" t="str">
        <f>IF(AND('Mapa riesgos'!$AD$35="Muy Baja",'Mapa riesgos'!$AF$35="Catastrófico"),CONCATENATE("R6C",'Mapa riesgos'!$T$35),"")</f>
        <v/>
      </c>
      <c r="AM51" s="40" t="str">
        <f>IF(AND('Mapa riesgos'!$AD$36="Muy Baja",'Mapa riesgos'!$AF$36="Catastrófico"),CONCATENATE("R6C",'Mapa riesgos'!$T$36),"")</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346"/>
      <c r="C52" s="346"/>
      <c r="D52" s="347"/>
      <c r="E52" s="445"/>
      <c r="F52" s="444"/>
      <c r="G52" s="444"/>
      <c r="H52" s="444"/>
      <c r="I52" s="460"/>
      <c r="J52" s="59" t="str">
        <f>IF(AND('Mapa riesgos'!$AD$37="Muy Baja",'Mapa riesgos'!$AF$37="Leve"),CONCATENATE("R7C",'Mapa riesgos'!$T$37),"")</f>
        <v/>
      </c>
      <c r="K52" s="60" t="str">
        <f>IF(AND('Mapa riesgos'!$AD$38="Muy Baja",'Mapa riesgos'!$AF$38="Leve"),CONCATENATE("R7C",'Mapa riesgos'!$T$38),"")</f>
        <v/>
      </c>
      <c r="L52" s="60" t="str">
        <f>IF(AND('Mapa riesgos'!$AD$39="Muy Baja",'Mapa riesgos'!$AF$39="Leve"),CONCATENATE("R7C",'Mapa riesgos'!$T$39),"")</f>
        <v/>
      </c>
      <c r="M52" s="60" t="str">
        <f>IF(AND('Mapa riesgos'!$AD$40="Muy Baja",'Mapa riesgos'!$AF$40="Leve"),CONCATENATE("R7C",'Mapa riesgos'!$T$40),"")</f>
        <v/>
      </c>
      <c r="N52" s="60" t="str">
        <f>IF(AND('Mapa riesgos'!$AD$41="Muy Baja",'Mapa riesgos'!$AF$41="Leve"),CONCATENATE("R7C",'Mapa riesgos'!$T$41),"")</f>
        <v/>
      </c>
      <c r="O52" s="61" t="str">
        <f>IF(AND('Mapa riesgos'!$AD$42="Muy Baja",'Mapa riesgos'!$AF$42="Leve"),CONCATENATE("R7C",'Mapa riesgos'!$T$42),"")</f>
        <v/>
      </c>
      <c r="P52" s="59" t="str">
        <f>IF(AND('Mapa riesgos'!$AD$37="Muy Baja",'Mapa riesgos'!$AF$37="Menor"),CONCATENATE("R7C",'Mapa riesgos'!$T$37),"")</f>
        <v/>
      </c>
      <c r="Q52" s="60" t="str">
        <f>IF(AND('Mapa riesgos'!$AD$38="Muy Baja",'Mapa riesgos'!$AF$38="Menor"),CONCATENATE("R7C",'Mapa riesgos'!$T$38),"")</f>
        <v/>
      </c>
      <c r="R52" s="60" t="str">
        <f>IF(AND('Mapa riesgos'!$AD$39="Muy Baja",'Mapa riesgos'!$AF$39="Menor"),CONCATENATE("R7C",'Mapa riesgos'!$T$39),"")</f>
        <v/>
      </c>
      <c r="S52" s="60" t="str">
        <f>IF(AND('Mapa riesgos'!$AD$40="Muy Baja",'Mapa riesgos'!$AF$40="Menor"),CONCATENATE("R7C",'Mapa riesgos'!$T$40),"")</f>
        <v/>
      </c>
      <c r="T52" s="60" t="str">
        <f>IF(AND('Mapa riesgos'!$AD$41="Muy Baja",'Mapa riesgos'!$AF$41="Menor"),CONCATENATE("R7C",'Mapa riesgos'!$T$41),"")</f>
        <v/>
      </c>
      <c r="U52" s="61" t="str">
        <f>IF(AND('Mapa riesgos'!$AD$42="Muy Baja",'Mapa riesgos'!$AF$42="Menor"),CONCATENATE("R7C",'Mapa riesgos'!$T$42),"")</f>
        <v/>
      </c>
      <c r="V52" s="50" t="str">
        <f>IF(AND('Mapa riesgos'!$AD$37="Muy Baja",'Mapa riesgos'!$AF$37="Moderado"),CONCATENATE("R7C",'Mapa riesgos'!$T$37),"")</f>
        <v/>
      </c>
      <c r="W52" s="51" t="str">
        <f>IF(AND('Mapa riesgos'!$AD$38="Muy Baja",'Mapa riesgos'!$AF$38="Moderado"),CONCATENATE("R7C",'Mapa riesgos'!$T$38),"")</f>
        <v/>
      </c>
      <c r="X52" s="51" t="str">
        <f>IF(AND('Mapa riesgos'!$AD$39="Muy Baja",'Mapa riesgos'!$AF$39="Moderado"),CONCATENATE("R7C",'Mapa riesgos'!$T$39),"")</f>
        <v/>
      </c>
      <c r="Y52" s="51" t="str">
        <f>IF(AND('Mapa riesgos'!$AD$40="Muy Baja",'Mapa riesgos'!$AF$40="Moderado"),CONCATENATE("R7C",'Mapa riesgos'!$T$40),"")</f>
        <v/>
      </c>
      <c r="Z52" s="51" t="str">
        <f>IF(AND('Mapa riesgos'!$AD$41="Muy Baja",'Mapa riesgos'!$AF$41="Moderado"),CONCATENATE("R7C",'Mapa riesgos'!$T$41),"")</f>
        <v/>
      </c>
      <c r="AA52" s="52" t="str">
        <f>IF(AND('Mapa riesgos'!$AD$42="Muy Baja",'Mapa riesgos'!$AF$42="Moderado"),CONCATENATE("R7C",'Mapa riesgos'!$T$42),"")</f>
        <v/>
      </c>
      <c r="AB52" s="35" t="str">
        <f>IF(AND('Mapa riesgos'!$AD$37="Muy Baja",'Mapa riesgos'!$AF$37="Mayor"),CONCATENATE("R7C",'Mapa riesgos'!$T$37),"")</f>
        <v/>
      </c>
      <c r="AC52" s="36" t="str">
        <f>IF(AND('Mapa riesgos'!$AD$38="Muy Baja",'Mapa riesgos'!$AF$38="Mayor"),CONCATENATE("R7C",'Mapa riesgos'!$T$38),"")</f>
        <v/>
      </c>
      <c r="AD52" s="36" t="str">
        <f>IF(AND('Mapa riesgos'!$AD$39="Muy Baja",'Mapa riesgos'!$AF$39="Mayor"),CONCATENATE("R7C",'Mapa riesgos'!$T$39),"")</f>
        <v/>
      </c>
      <c r="AE52" s="36" t="str">
        <f>IF(AND('Mapa riesgos'!$AD$40="Muy Baja",'Mapa riesgos'!$AF$40="Mayor"),CONCATENATE("R7C",'Mapa riesgos'!$T$40),"")</f>
        <v/>
      </c>
      <c r="AF52" s="36" t="str">
        <f>IF(AND('Mapa riesgos'!$AD$41="Muy Baja",'Mapa riesgos'!$AF$41="Mayor"),CONCATENATE("R7C",'Mapa riesgos'!$T$41),"")</f>
        <v/>
      </c>
      <c r="AG52" s="37" t="str">
        <f>IF(AND('Mapa riesgos'!$AD$42="Muy Baja",'Mapa riesgos'!$AF$42="Mayor"),CONCATENATE("R7C",'Mapa riesgos'!$T$42),"")</f>
        <v/>
      </c>
      <c r="AH52" s="38" t="str">
        <f>IF(AND('Mapa riesgos'!$AD$37="Muy Baja",'Mapa riesgos'!$AF$37="Catastrófico"),CONCATENATE("R7C",'Mapa riesgos'!$T$37),"")</f>
        <v/>
      </c>
      <c r="AI52" s="39" t="str">
        <f>IF(AND('Mapa riesgos'!$AD$38="Muy Baja",'Mapa riesgos'!$AF$38="Catastrófico"),CONCATENATE("R7C",'Mapa riesgos'!$T$38),"")</f>
        <v/>
      </c>
      <c r="AJ52" s="39" t="str">
        <f>IF(AND('Mapa riesgos'!$AD$39="Muy Baja",'Mapa riesgos'!$AF$39="Catastrófico"),CONCATENATE("R7C",'Mapa riesgos'!$T$39),"")</f>
        <v/>
      </c>
      <c r="AK52" s="39" t="str">
        <f>IF(AND('Mapa riesgos'!$AD$40="Muy Baja",'Mapa riesgos'!$AF$40="Catastrófico"),CONCATENATE("R7C",'Mapa riesgos'!$T$40),"")</f>
        <v/>
      </c>
      <c r="AL52" s="39" t="str">
        <f>IF(AND('Mapa riesgos'!$AD$41="Muy Baja",'Mapa riesgos'!$AF$41="Catastrófico"),CONCATENATE("R7C",'Mapa riesgos'!$T$41),"")</f>
        <v/>
      </c>
      <c r="AM52" s="40" t="str">
        <f>IF(AND('Mapa riesgos'!$AD$42="Muy Baja",'Mapa riesgos'!$AF$42="Catastrófico"),CONCATENATE("R7C",'Mapa riesgos'!$T$42),"")</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346"/>
      <c r="C53" s="346"/>
      <c r="D53" s="347"/>
      <c r="E53" s="445"/>
      <c r="F53" s="444"/>
      <c r="G53" s="444"/>
      <c r="H53" s="444"/>
      <c r="I53" s="460"/>
      <c r="J53" s="59" t="str">
        <f>IF(AND('Mapa riesgos'!$AD$43="Muy Baja",'Mapa riesgos'!$AF$43="Leve"),CONCATENATE("R8C",'Mapa riesgos'!$T$43),"")</f>
        <v/>
      </c>
      <c r="K53" s="60" t="str">
        <f>IF(AND('Mapa riesgos'!$AD$44="Muy Baja",'Mapa riesgos'!$AF$44="Leve"),CONCATENATE("R8C",'Mapa riesgos'!$T$44),"")</f>
        <v/>
      </c>
      <c r="L53" s="60" t="str">
        <f>IF(AND('Mapa riesgos'!$AD$45="Muy Baja",'Mapa riesgos'!$AF$45="Leve"),CONCATENATE("R8C",'Mapa riesgos'!$T$45),"")</f>
        <v/>
      </c>
      <c r="M53" s="60" t="str">
        <f>IF(AND('Mapa riesgos'!$AD$46="Muy Baja",'Mapa riesgos'!$AF$46="Leve"),CONCATENATE("R8C",'Mapa riesgos'!$T$46),"")</f>
        <v/>
      </c>
      <c r="N53" s="60" t="str">
        <f>IF(AND('Mapa riesgos'!$AD$47="Muy Baja",'Mapa riesgos'!$AF$47="Leve"),CONCATENATE("R8C",'Mapa riesgos'!$T$47),"")</f>
        <v/>
      </c>
      <c r="O53" s="61" t="str">
        <f>IF(AND('Mapa riesgos'!$AD$48="Muy Baja",'Mapa riesgos'!$AF$48="Leve"),CONCATENATE("R8C",'Mapa riesgos'!$T$48),"")</f>
        <v/>
      </c>
      <c r="P53" s="59" t="str">
        <f>IF(AND('Mapa riesgos'!$AD$43="Muy Baja",'Mapa riesgos'!$AF$43="Menor"),CONCATENATE("R8C",'Mapa riesgos'!$T$43),"")</f>
        <v/>
      </c>
      <c r="Q53" s="60" t="str">
        <f>IF(AND('Mapa riesgos'!$AD$44="Muy Baja",'Mapa riesgos'!$AF$44="Menor"),CONCATENATE("R8C",'Mapa riesgos'!$T$44),"")</f>
        <v/>
      </c>
      <c r="R53" s="60" t="str">
        <f>IF(AND('Mapa riesgos'!$AD$45="Muy Baja",'Mapa riesgos'!$AF$45="Menor"),CONCATENATE("R8C",'Mapa riesgos'!$T$45),"")</f>
        <v/>
      </c>
      <c r="S53" s="60" t="str">
        <f>IF(AND('Mapa riesgos'!$AD$46="Muy Baja",'Mapa riesgos'!$AF$46="Menor"),CONCATENATE("R8C",'Mapa riesgos'!$T$46),"")</f>
        <v/>
      </c>
      <c r="T53" s="60" t="str">
        <f>IF(AND('Mapa riesgos'!$AD$47="Muy Baja",'Mapa riesgos'!$AF$47="Menor"),CONCATENATE("R8C",'Mapa riesgos'!$T$47),"")</f>
        <v/>
      </c>
      <c r="U53" s="61" t="str">
        <f>IF(AND('Mapa riesgos'!$AD$48="Muy Baja",'Mapa riesgos'!$AF$48="Menor"),CONCATENATE("R8C",'Mapa riesgos'!$T$48),"")</f>
        <v/>
      </c>
      <c r="V53" s="50" t="str">
        <f>IF(AND('Mapa riesgos'!$AD$43="Muy Baja",'Mapa riesgos'!$AF$43="Moderado"),CONCATENATE("R8C",'Mapa riesgos'!$T$43),"")</f>
        <v/>
      </c>
      <c r="W53" s="51" t="str">
        <f>IF(AND('Mapa riesgos'!$AD$44="Muy Baja",'Mapa riesgos'!$AF$44="Moderado"),CONCATENATE("R8C",'Mapa riesgos'!$T$44),"")</f>
        <v/>
      </c>
      <c r="X53" s="51" t="str">
        <f>IF(AND('Mapa riesgos'!$AD$45="Muy Baja",'Mapa riesgos'!$AF$45="Moderado"),CONCATENATE("R8C",'Mapa riesgos'!$T$45),"")</f>
        <v/>
      </c>
      <c r="Y53" s="51" t="str">
        <f>IF(AND('Mapa riesgos'!$AD$46="Muy Baja",'Mapa riesgos'!$AF$46="Moderado"),CONCATENATE("R8C",'Mapa riesgos'!$T$46),"")</f>
        <v/>
      </c>
      <c r="Z53" s="51" t="str">
        <f>IF(AND('Mapa riesgos'!$AD$47="Muy Baja",'Mapa riesgos'!$AF$47="Moderado"),CONCATENATE("R8C",'Mapa riesgos'!$T$47),"")</f>
        <v/>
      </c>
      <c r="AA53" s="52" t="str">
        <f>IF(AND('Mapa riesgos'!$AD$48="Muy Baja",'Mapa riesgos'!$AF$48="Moderado"),CONCATENATE("R8C",'Mapa riesgos'!$T$48),"")</f>
        <v/>
      </c>
      <c r="AB53" s="35" t="str">
        <f>IF(AND('Mapa riesgos'!$AD$43="Muy Baja",'Mapa riesgos'!$AF$43="Mayor"),CONCATENATE("R8C",'Mapa riesgos'!$T$43),"")</f>
        <v/>
      </c>
      <c r="AC53" s="36" t="str">
        <f>IF(AND('Mapa riesgos'!$AD$44="Muy Baja",'Mapa riesgos'!$AF$44="Mayor"),CONCATENATE("R8C",'Mapa riesgos'!$T$44),"")</f>
        <v/>
      </c>
      <c r="AD53" s="36" t="str">
        <f>IF(AND('Mapa riesgos'!$AD$45="Muy Baja",'Mapa riesgos'!$AF$45="Mayor"),CONCATENATE("R8C",'Mapa riesgos'!$T$45),"")</f>
        <v/>
      </c>
      <c r="AE53" s="36" t="str">
        <f>IF(AND('Mapa riesgos'!$AD$46="Muy Baja",'Mapa riesgos'!$AF$46="Mayor"),CONCATENATE("R8C",'Mapa riesgos'!$T$46),"")</f>
        <v/>
      </c>
      <c r="AF53" s="36" t="str">
        <f>IF(AND('Mapa riesgos'!$AD$47="Muy Baja",'Mapa riesgos'!$AF$47="Mayor"),CONCATENATE("R8C",'Mapa riesgos'!$T$47),"")</f>
        <v/>
      </c>
      <c r="AG53" s="37" t="str">
        <f>IF(AND('Mapa riesgos'!$AD$48="Muy Baja",'Mapa riesgos'!$AF$48="Mayor"),CONCATENATE("R8C",'Mapa riesgos'!$T$48),"")</f>
        <v/>
      </c>
      <c r="AH53" s="38" t="str">
        <f>IF(AND('Mapa riesgos'!$AD$43="Muy Baja",'Mapa riesgos'!$AF$43="Catastrófico"),CONCATENATE("R8C",'Mapa riesgos'!$T$43),"")</f>
        <v/>
      </c>
      <c r="AI53" s="39" t="str">
        <f>IF(AND('Mapa riesgos'!$AD$44="Muy Baja",'Mapa riesgos'!$AF$44="Catastrófico"),CONCATENATE("R8C",'Mapa riesgos'!$T$44),"")</f>
        <v/>
      </c>
      <c r="AJ53" s="39" t="str">
        <f>IF(AND('Mapa riesgos'!$AD$45="Muy Baja",'Mapa riesgos'!$AF$45="Catastrófico"),CONCATENATE("R8C",'Mapa riesgos'!$T$45),"")</f>
        <v/>
      </c>
      <c r="AK53" s="39" t="str">
        <f>IF(AND('Mapa riesgos'!$AD$46="Muy Baja",'Mapa riesgos'!$AF$46="Catastrófico"),CONCATENATE("R8C",'Mapa riesgos'!$T$46),"")</f>
        <v/>
      </c>
      <c r="AL53" s="39" t="str">
        <f>IF(AND('Mapa riesgos'!$AD$47="Muy Baja",'Mapa riesgos'!$AF$47="Catastrófico"),CONCATENATE("R8C",'Mapa riesgos'!$T$47),"")</f>
        <v/>
      </c>
      <c r="AM53" s="40" t="str">
        <f>IF(AND('Mapa riesgos'!$AD$48="Muy Baja",'Mapa riesgos'!$AF$48="Catastrófico"),CONCATENATE("R8C",'Mapa riesgos'!$T$48),"")</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346"/>
      <c r="C54" s="346"/>
      <c r="D54" s="347"/>
      <c r="E54" s="445"/>
      <c r="F54" s="444"/>
      <c r="G54" s="444"/>
      <c r="H54" s="444"/>
      <c r="I54" s="460"/>
      <c r="J54" s="59" t="str">
        <f>IF(AND('Mapa riesgos'!$AD$49="Muy Baja",'Mapa riesgos'!$AF$49="Leve"),CONCATENATE("R9C",'Mapa riesgos'!$T$49),"")</f>
        <v/>
      </c>
      <c r="K54" s="60" t="str">
        <f>IF(AND('Mapa riesgos'!$AD$50="Muy Baja",'Mapa riesgos'!$AF$50="Leve"),CONCATENATE("R9C",'Mapa riesgos'!$T$50),"")</f>
        <v/>
      </c>
      <c r="L54" s="60" t="str">
        <f>IF(AND('Mapa riesgos'!$AD$51="Muy Baja",'Mapa riesgos'!$AF$51="Leve"),CONCATENATE("R9C",'Mapa riesgos'!$T$51),"")</f>
        <v/>
      </c>
      <c r="M54" s="60" t="str">
        <f>IF(AND('Mapa riesgos'!$AD$52="Muy Baja",'Mapa riesgos'!$AF$52="Leve"),CONCATENATE("R9C",'Mapa riesgos'!$T$52),"")</f>
        <v/>
      </c>
      <c r="N54" s="60" t="str">
        <f>IF(AND('Mapa riesgos'!$AD$53="Muy Baja",'Mapa riesgos'!$AF$53="Leve"),CONCATENATE("R9C",'Mapa riesgos'!$T$53),"")</f>
        <v/>
      </c>
      <c r="O54" s="61" t="str">
        <f>IF(AND('Mapa riesgos'!$AD$54="Muy Baja",'Mapa riesgos'!$AF$54="Leve"),CONCATENATE("R9C",'Mapa riesgos'!$T$54),"")</f>
        <v/>
      </c>
      <c r="P54" s="59" t="str">
        <f>IF(AND('Mapa riesgos'!$AD$49="Muy Baja",'Mapa riesgos'!$AF$49="Menor"),CONCATENATE("R9C",'Mapa riesgos'!$T$49),"")</f>
        <v/>
      </c>
      <c r="Q54" s="60" t="str">
        <f>IF(AND('Mapa riesgos'!$AD$50="Muy Baja",'Mapa riesgos'!$AF$50="Menor"),CONCATENATE("R9C",'Mapa riesgos'!$T$50),"")</f>
        <v/>
      </c>
      <c r="R54" s="60" t="str">
        <f>IF(AND('Mapa riesgos'!$AD$51="Muy Baja",'Mapa riesgos'!$AF$51="Menor"),CONCATENATE("R9C",'Mapa riesgos'!$T$51),"")</f>
        <v/>
      </c>
      <c r="S54" s="60" t="str">
        <f>IF(AND('Mapa riesgos'!$AD$52="Muy Baja",'Mapa riesgos'!$AF$52="Menor"),CONCATENATE("R9C",'Mapa riesgos'!$T$52),"")</f>
        <v/>
      </c>
      <c r="T54" s="60" t="str">
        <f>IF(AND('Mapa riesgos'!$AD$53="Muy Baja",'Mapa riesgos'!$AF$53="Menor"),CONCATENATE("R9C",'Mapa riesgos'!$T$53),"")</f>
        <v/>
      </c>
      <c r="U54" s="61" t="str">
        <f>IF(AND('Mapa riesgos'!$AD$54="Muy Baja",'Mapa riesgos'!$AF$54="Menor"),CONCATENATE("R9C",'Mapa riesgos'!$T$54),"")</f>
        <v/>
      </c>
      <c r="V54" s="50" t="str">
        <f>IF(AND('Mapa riesgos'!$AD$49="Muy Baja",'Mapa riesgos'!$AF$49="Moderado"),CONCATENATE("R9C",'Mapa riesgos'!$T$49),"")</f>
        <v/>
      </c>
      <c r="W54" s="51" t="str">
        <f>IF(AND('Mapa riesgos'!$AD$50="Muy Baja",'Mapa riesgos'!$AF$50="Moderado"),CONCATENATE("R9C",'Mapa riesgos'!$T$50),"")</f>
        <v/>
      </c>
      <c r="X54" s="51" t="str">
        <f>IF(AND('Mapa riesgos'!$AD$51="Muy Baja",'Mapa riesgos'!$AF$51="Moderado"),CONCATENATE("R9C",'Mapa riesgos'!$T$51),"")</f>
        <v/>
      </c>
      <c r="Y54" s="51" t="str">
        <f>IF(AND('Mapa riesgos'!$AD$52="Muy Baja",'Mapa riesgos'!$AF$52="Moderado"),CONCATENATE("R9C",'Mapa riesgos'!$T$52),"")</f>
        <v/>
      </c>
      <c r="Z54" s="51" t="str">
        <f>IF(AND('Mapa riesgos'!$AD$53="Muy Baja",'Mapa riesgos'!$AF$53="Moderado"),CONCATENATE("R9C",'Mapa riesgos'!$T$53),"")</f>
        <v/>
      </c>
      <c r="AA54" s="52" t="str">
        <f>IF(AND('Mapa riesgos'!$AD$54="Muy Baja",'Mapa riesgos'!$AF$54="Moderado"),CONCATENATE("R9C",'Mapa riesgos'!$T$54),"")</f>
        <v/>
      </c>
      <c r="AB54" s="35" t="str">
        <f>IF(AND('Mapa riesgos'!$AD$49="Muy Baja",'Mapa riesgos'!$AF$49="Mayor"),CONCATENATE("R9C",'Mapa riesgos'!$T$49),"")</f>
        <v/>
      </c>
      <c r="AC54" s="36" t="str">
        <f>IF(AND('Mapa riesgos'!$AD$50="Muy Baja",'Mapa riesgos'!$AF$50="Mayor"),CONCATENATE("R9C",'Mapa riesgos'!$T$50),"")</f>
        <v/>
      </c>
      <c r="AD54" s="36" t="str">
        <f>IF(AND('Mapa riesgos'!$AD$51="Muy Baja",'Mapa riesgos'!$AF$51="Mayor"),CONCATENATE("R9C",'Mapa riesgos'!$T$51),"")</f>
        <v/>
      </c>
      <c r="AE54" s="36" t="str">
        <f>IF(AND('Mapa riesgos'!$AD$52="Muy Baja",'Mapa riesgos'!$AF$52="Mayor"),CONCATENATE("R9C",'Mapa riesgos'!$T$52),"")</f>
        <v/>
      </c>
      <c r="AF54" s="36" t="str">
        <f>IF(AND('Mapa riesgos'!$AD$53="Muy Baja",'Mapa riesgos'!$AF$53="Mayor"),CONCATENATE("R9C",'Mapa riesgos'!$T$53),"")</f>
        <v/>
      </c>
      <c r="AG54" s="37" t="str">
        <f>IF(AND('Mapa riesgos'!$AD$54="Muy Baja",'Mapa riesgos'!$AF$54="Mayor"),CONCATENATE("R9C",'Mapa riesgos'!$T$54),"")</f>
        <v/>
      </c>
      <c r="AH54" s="38" t="str">
        <f>IF(AND('Mapa riesgos'!$AD$49="Muy Baja",'Mapa riesgos'!$AF$49="Catastrófico"),CONCATENATE("R9C",'Mapa riesgos'!$T$49),"")</f>
        <v/>
      </c>
      <c r="AI54" s="39" t="str">
        <f>IF(AND('Mapa riesgos'!$AD$50="Muy Baja",'Mapa riesgos'!$AF$50="Catastrófico"),CONCATENATE("R9C",'Mapa riesgos'!$T$50),"")</f>
        <v/>
      </c>
      <c r="AJ54" s="39" t="str">
        <f>IF(AND('Mapa riesgos'!$AD$51="Muy Baja",'Mapa riesgos'!$AF$51="Catastrófico"),CONCATENATE("R9C",'Mapa riesgos'!$T$51),"")</f>
        <v/>
      </c>
      <c r="AK54" s="39" t="str">
        <f>IF(AND('Mapa riesgos'!$AD$52="Muy Baja",'Mapa riesgos'!$AF$52="Catastrófico"),CONCATENATE("R9C",'Mapa riesgos'!$T$52),"")</f>
        <v/>
      </c>
      <c r="AL54" s="39" t="str">
        <f>IF(AND('Mapa riesgos'!$AD$53="Muy Baja",'Mapa riesgos'!$AF$53="Catastrófico"),CONCATENATE("R9C",'Mapa riesgos'!$T$53),"")</f>
        <v/>
      </c>
      <c r="AM54" s="40" t="str">
        <f>IF(AND('Mapa riesgos'!$AD$54="Muy Baja",'Mapa riesgos'!$AF$54="Catastrófico"),CONCATENATE("R9C",'Mapa riesgos'!$T$54),"")</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346"/>
      <c r="C55" s="346"/>
      <c r="D55" s="347"/>
      <c r="E55" s="446"/>
      <c r="F55" s="447"/>
      <c r="G55" s="447"/>
      <c r="H55" s="447"/>
      <c r="I55" s="461"/>
      <c r="J55" s="62" t="str">
        <f>IF(AND('Mapa riesgos'!$AD$55="Muy Baja",'Mapa riesgos'!$AF$55="Leve"),CONCATENATE("R10C",'Mapa riesgos'!$T$55),"")</f>
        <v/>
      </c>
      <c r="K55" s="63" t="str">
        <f>IF(AND('Mapa riesgos'!$AD$56="Muy Baja",'Mapa riesgos'!$AF$56="Leve"),CONCATENATE("R10C",'Mapa riesgos'!$T$56),"")</f>
        <v/>
      </c>
      <c r="L55" s="63" t="str">
        <f>IF(AND('Mapa riesgos'!$AD$57="Muy Baja",'Mapa riesgos'!$AF$57="Leve"),CONCATENATE("R10C",'Mapa riesgos'!$T$57),"")</f>
        <v/>
      </c>
      <c r="M55" s="63" t="str">
        <f>IF(AND('Mapa riesgos'!$AD$58="Muy Baja",'Mapa riesgos'!$AF$58="Leve"),CONCATENATE("R10C",'Mapa riesgos'!$T$58),"")</f>
        <v/>
      </c>
      <c r="N55" s="63" t="str">
        <f>IF(AND('Mapa riesgos'!$AD$59="Muy Baja",'Mapa riesgos'!$AF$59="Leve"),CONCATENATE("R10C",'Mapa riesgos'!$T$59),"")</f>
        <v/>
      </c>
      <c r="O55" s="64" t="str">
        <f>IF(AND('Mapa riesgos'!$AD$60="Muy Baja",'Mapa riesgos'!$AF$60="Leve"),CONCATENATE("R10C",'Mapa riesgos'!$T$60),"")</f>
        <v/>
      </c>
      <c r="P55" s="62" t="str">
        <f>IF(AND('Mapa riesgos'!$AD$55="Muy Baja",'Mapa riesgos'!$AF$55="Menor"),CONCATENATE("R10C",'Mapa riesgos'!$T$55),"")</f>
        <v/>
      </c>
      <c r="Q55" s="63" t="str">
        <f>IF(AND('Mapa riesgos'!$AD$56="Muy Baja",'Mapa riesgos'!$AF$56="Menor"),CONCATENATE("R10C",'Mapa riesgos'!$T$56),"")</f>
        <v/>
      </c>
      <c r="R55" s="63" t="str">
        <f>IF(AND('Mapa riesgos'!$AD$57="Muy Baja",'Mapa riesgos'!$AF$57="Menor"),CONCATENATE("R10C",'Mapa riesgos'!$T$57),"")</f>
        <v/>
      </c>
      <c r="S55" s="63" t="str">
        <f>IF(AND('Mapa riesgos'!$AD$58="Muy Baja",'Mapa riesgos'!$AF$58="Menor"),CONCATENATE("R10C",'Mapa riesgos'!$T$58),"")</f>
        <v/>
      </c>
      <c r="T55" s="63" t="str">
        <f>IF(AND('Mapa riesgos'!$AD$59="Muy Baja",'Mapa riesgos'!$AF$59="Menor"),CONCATENATE("R10C",'Mapa riesgos'!$T$59),"")</f>
        <v/>
      </c>
      <c r="U55" s="64" t="str">
        <f>IF(AND('Mapa riesgos'!$AD$60="Muy Baja",'Mapa riesgos'!$AF$60="Menor"),CONCATENATE("R10C",'Mapa riesgos'!$T$60),"")</f>
        <v/>
      </c>
      <c r="V55" s="53" t="str">
        <f>IF(AND('Mapa riesgos'!$AD$55="Muy Baja",'Mapa riesgos'!$AF$55="Moderado"),CONCATENATE("R10C",'Mapa riesgos'!$T$55),"")</f>
        <v/>
      </c>
      <c r="W55" s="54" t="str">
        <f>IF(AND('Mapa riesgos'!$AD$56="Muy Baja",'Mapa riesgos'!$AF$56="Moderado"),CONCATENATE("R10C",'Mapa riesgos'!$T$56),"")</f>
        <v/>
      </c>
      <c r="X55" s="54" t="str">
        <f>IF(AND('Mapa riesgos'!$AD$57="Muy Baja",'Mapa riesgos'!$AF$57="Moderado"),CONCATENATE("R10C",'Mapa riesgos'!$T$57),"")</f>
        <v/>
      </c>
      <c r="Y55" s="54" t="str">
        <f>IF(AND('Mapa riesgos'!$AD$58="Muy Baja",'Mapa riesgos'!$AF$58="Moderado"),CONCATENATE("R10C",'Mapa riesgos'!$T$58),"")</f>
        <v/>
      </c>
      <c r="Z55" s="54" t="str">
        <f>IF(AND('Mapa riesgos'!$AD$59="Muy Baja",'Mapa riesgos'!$AF$59="Moderado"),CONCATENATE("R10C",'Mapa riesgos'!$T$59),"")</f>
        <v/>
      </c>
      <c r="AA55" s="55" t="str">
        <f>IF(AND('Mapa riesgos'!$AD$60="Muy Baja",'Mapa riesgos'!$AF$60="Moderado"),CONCATENATE("R10C",'Mapa riesgos'!$T$60),"")</f>
        <v/>
      </c>
      <c r="AB55" s="41" t="str">
        <f>IF(AND('Mapa riesgos'!$AD$55="Muy Baja",'Mapa riesgos'!$AF$55="Mayor"),CONCATENATE("R10C",'Mapa riesgos'!$T$55),"")</f>
        <v/>
      </c>
      <c r="AC55" s="42" t="str">
        <f>IF(AND('Mapa riesgos'!$AD$56="Muy Baja",'Mapa riesgos'!$AF$56="Mayor"),CONCATENATE("R10C",'Mapa riesgos'!$T$56),"")</f>
        <v/>
      </c>
      <c r="AD55" s="42" t="str">
        <f>IF(AND('Mapa riesgos'!$AD$57="Muy Baja",'Mapa riesgos'!$AF$57="Mayor"),CONCATENATE("R10C",'Mapa riesgos'!$T$57),"")</f>
        <v/>
      </c>
      <c r="AE55" s="42" t="str">
        <f>IF(AND('Mapa riesgos'!$AD$58="Muy Baja",'Mapa riesgos'!$AF$58="Mayor"),CONCATENATE("R10C",'Mapa riesgos'!$T$58),"")</f>
        <v/>
      </c>
      <c r="AF55" s="42" t="str">
        <f>IF(AND('Mapa riesgos'!$AD$59="Muy Baja",'Mapa riesgos'!$AF$59="Mayor"),CONCATENATE("R10C",'Mapa riesgos'!$T$59),"")</f>
        <v/>
      </c>
      <c r="AG55" s="43" t="str">
        <f>IF(AND('Mapa riesgos'!$AD$60="Muy Baja",'Mapa riesgos'!$AF$60="Mayor"),CONCATENATE("R10C",'Mapa riesgos'!$T$60),"")</f>
        <v/>
      </c>
      <c r="AH55" s="44" t="str">
        <f>IF(AND('Mapa riesgos'!$AD$55="Muy Baja",'Mapa riesgos'!$AF$55="Catastrófico"),CONCATENATE("R10C",'Mapa riesgos'!$T$55),"")</f>
        <v/>
      </c>
      <c r="AI55" s="45" t="str">
        <f>IF(AND('Mapa riesgos'!$AD$56="Muy Baja",'Mapa riesgos'!$AF$56="Catastrófico"),CONCATENATE("R10C",'Mapa riesgos'!$T$56),"")</f>
        <v/>
      </c>
      <c r="AJ55" s="45" t="str">
        <f>IF(AND('Mapa riesgos'!$AD$57="Muy Baja",'Mapa riesgos'!$AF$57="Catastrófico"),CONCATENATE("R10C",'Mapa riesgos'!$T$57),"")</f>
        <v/>
      </c>
      <c r="AK55" s="45" t="str">
        <f>IF(AND('Mapa riesgos'!$AD$58="Muy Baja",'Mapa riesgos'!$AF$58="Catastrófico"),CONCATENATE("R10C",'Mapa riesgos'!$T$58),"")</f>
        <v/>
      </c>
      <c r="AL55" s="45" t="str">
        <f>IF(AND('Mapa riesgos'!$AD$59="Muy Baja",'Mapa riesgos'!$AF$59="Catastrófico"),CONCATENATE("R10C",'Mapa riesgos'!$T$59),"")</f>
        <v/>
      </c>
      <c r="AM55" s="46" t="str">
        <f>IF(AND('Mapa riesgos'!$AD$60="Muy Baja",'Mapa riesgos'!$AF$60="Catastrófico"),CONCATENATE("R10C",'Mapa riesgos'!$T$60),"")</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41" t="s">
        <v>170</v>
      </c>
      <c r="K56" s="442"/>
      <c r="L56" s="442"/>
      <c r="M56" s="442"/>
      <c r="N56" s="442"/>
      <c r="O56" s="459"/>
      <c r="P56" s="441" t="s">
        <v>171</v>
      </c>
      <c r="Q56" s="442"/>
      <c r="R56" s="442"/>
      <c r="S56" s="442"/>
      <c r="T56" s="442"/>
      <c r="U56" s="459"/>
      <c r="V56" s="441" t="s">
        <v>172</v>
      </c>
      <c r="W56" s="442"/>
      <c r="X56" s="442"/>
      <c r="Y56" s="442"/>
      <c r="Z56" s="442"/>
      <c r="AA56" s="459"/>
      <c r="AB56" s="441" t="s">
        <v>173</v>
      </c>
      <c r="AC56" s="480"/>
      <c r="AD56" s="442"/>
      <c r="AE56" s="442"/>
      <c r="AF56" s="442"/>
      <c r="AG56" s="459"/>
      <c r="AH56" s="441" t="s">
        <v>174</v>
      </c>
      <c r="AI56" s="442"/>
      <c r="AJ56" s="442"/>
      <c r="AK56" s="442"/>
      <c r="AL56" s="442"/>
      <c r="AM56" s="459"/>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445"/>
      <c r="K57" s="444"/>
      <c r="L57" s="444"/>
      <c r="M57" s="444"/>
      <c r="N57" s="444"/>
      <c r="O57" s="460"/>
      <c r="P57" s="445"/>
      <c r="Q57" s="444"/>
      <c r="R57" s="444"/>
      <c r="S57" s="444"/>
      <c r="T57" s="444"/>
      <c r="U57" s="460"/>
      <c r="V57" s="445"/>
      <c r="W57" s="444"/>
      <c r="X57" s="444"/>
      <c r="Y57" s="444"/>
      <c r="Z57" s="444"/>
      <c r="AA57" s="460"/>
      <c r="AB57" s="445"/>
      <c r="AC57" s="444"/>
      <c r="AD57" s="444"/>
      <c r="AE57" s="444"/>
      <c r="AF57" s="444"/>
      <c r="AG57" s="460"/>
      <c r="AH57" s="445"/>
      <c r="AI57" s="444"/>
      <c r="AJ57" s="444"/>
      <c r="AK57" s="444"/>
      <c r="AL57" s="444"/>
      <c r="AM57" s="460"/>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445"/>
      <c r="K58" s="444"/>
      <c r="L58" s="444"/>
      <c r="M58" s="444"/>
      <c r="N58" s="444"/>
      <c r="O58" s="460"/>
      <c r="P58" s="445"/>
      <c r="Q58" s="444"/>
      <c r="R58" s="444"/>
      <c r="S58" s="444"/>
      <c r="T58" s="444"/>
      <c r="U58" s="460"/>
      <c r="V58" s="445"/>
      <c r="W58" s="444"/>
      <c r="X58" s="444"/>
      <c r="Y58" s="444"/>
      <c r="Z58" s="444"/>
      <c r="AA58" s="460"/>
      <c r="AB58" s="445"/>
      <c r="AC58" s="444"/>
      <c r="AD58" s="444"/>
      <c r="AE58" s="444"/>
      <c r="AF58" s="444"/>
      <c r="AG58" s="460"/>
      <c r="AH58" s="445"/>
      <c r="AI58" s="444"/>
      <c r="AJ58" s="444"/>
      <c r="AK58" s="444"/>
      <c r="AL58" s="444"/>
      <c r="AM58" s="460"/>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445"/>
      <c r="K59" s="444"/>
      <c r="L59" s="444"/>
      <c r="M59" s="444"/>
      <c r="N59" s="444"/>
      <c r="O59" s="460"/>
      <c r="P59" s="445"/>
      <c r="Q59" s="444"/>
      <c r="R59" s="444"/>
      <c r="S59" s="444"/>
      <c r="T59" s="444"/>
      <c r="U59" s="460"/>
      <c r="V59" s="445"/>
      <c r="W59" s="444"/>
      <c r="X59" s="444"/>
      <c r="Y59" s="444"/>
      <c r="Z59" s="444"/>
      <c r="AA59" s="460"/>
      <c r="AB59" s="445"/>
      <c r="AC59" s="444"/>
      <c r="AD59" s="444"/>
      <c r="AE59" s="444"/>
      <c r="AF59" s="444"/>
      <c r="AG59" s="460"/>
      <c r="AH59" s="445"/>
      <c r="AI59" s="444"/>
      <c r="AJ59" s="444"/>
      <c r="AK59" s="444"/>
      <c r="AL59" s="444"/>
      <c r="AM59" s="460"/>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445"/>
      <c r="K60" s="444"/>
      <c r="L60" s="444"/>
      <c r="M60" s="444"/>
      <c r="N60" s="444"/>
      <c r="O60" s="460"/>
      <c r="P60" s="445"/>
      <c r="Q60" s="444"/>
      <c r="R60" s="444"/>
      <c r="S60" s="444"/>
      <c r="T60" s="444"/>
      <c r="U60" s="460"/>
      <c r="V60" s="445"/>
      <c r="W60" s="444"/>
      <c r="X60" s="444"/>
      <c r="Y60" s="444"/>
      <c r="Z60" s="444"/>
      <c r="AA60" s="460"/>
      <c r="AB60" s="445"/>
      <c r="AC60" s="444"/>
      <c r="AD60" s="444"/>
      <c r="AE60" s="444"/>
      <c r="AF60" s="444"/>
      <c r="AG60" s="460"/>
      <c r="AH60" s="445"/>
      <c r="AI60" s="444"/>
      <c r="AJ60" s="444"/>
      <c r="AK60" s="444"/>
      <c r="AL60" s="444"/>
      <c r="AM60" s="460"/>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446"/>
      <c r="K61" s="447"/>
      <c r="L61" s="447"/>
      <c r="M61" s="447"/>
      <c r="N61" s="447"/>
      <c r="O61" s="461"/>
      <c r="P61" s="446"/>
      <c r="Q61" s="447"/>
      <c r="R61" s="447"/>
      <c r="S61" s="447"/>
      <c r="T61" s="447"/>
      <c r="U61" s="461"/>
      <c r="V61" s="446"/>
      <c r="W61" s="447"/>
      <c r="X61" s="447"/>
      <c r="Y61" s="447"/>
      <c r="Z61" s="447"/>
      <c r="AA61" s="461"/>
      <c r="AB61" s="446"/>
      <c r="AC61" s="447"/>
      <c r="AD61" s="447"/>
      <c r="AE61" s="447"/>
      <c r="AF61" s="447"/>
      <c r="AG61" s="461"/>
      <c r="AH61" s="446"/>
      <c r="AI61" s="447"/>
      <c r="AJ61" s="447"/>
      <c r="AK61" s="447"/>
      <c r="AL61" s="447"/>
      <c r="AM61" s="461"/>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481" t="s">
        <v>176</v>
      </c>
      <c r="C1" s="481"/>
      <c r="D1" s="481"/>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177</v>
      </c>
      <c r="D3" s="4" t="s">
        <v>160</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178</v>
      </c>
      <c r="C4" s="6" t="s">
        <v>179</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180</v>
      </c>
      <c r="C5" s="9" t="s">
        <v>181</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182</v>
      </c>
      <c r="C6" s="9" t="s">
        <v>183</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184</v>
      </c>
      <c r="C7" s="9" t="s">
        <v>185</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186</v>
      </c>
      <c r="C8" s="9" t="s">
        <v>187</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3"/>
  <sheetViews>
    <sheetView zoomScale="50" zoomScaleNormal="50" workbookViewId="0">
      <selection activeCell="G8" sqref="G8"/>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56" customFormat="1" ht="45.75" customHeight="1" x14ac:dyDescent="0.25">
      <c r="A2" s="154"/>
      <c r="B2" s="482" t="s">
        <v>188</v>
      </c>
      <c r="C2" s="482"/>
      <c r="D2" s="482"/>
      <c r="E2" s="482"/>
      <c r="F2" s="155"/>
      <c r="G2" s="154"/>
      <c r="H2" s="154"/>
      <c r="I2" s="154"/>
      <c r="J2" s="154"/>
      <c r="K2" s="154"/>
      <c r="L2" s="154"/>
      <c r="M2" s="154"/>
      <c r="N2" s="154"/>
      <c r="O2" s="154"/>
      <c r="P2" s="154"/>
      <c r="Q2" s="154"/>
      <c r="R2" s="154"/>
      <c r="S2" s="154"/>
      <c r="T2" s="154"/>
      <c r="U2" s="154"/>
    </row>
    <row r="3" spans="1:21" s="156" customFormat="1" ht="18.75" customHeight="1" x14ac:dyDescent="0.25">
      <c r="A3" s="154"/>
      <c r="B3" s="157"/>
      <c r="C3" s="154"/>
      <c r="D3" s="154"/>
      <c r="E3" s="154"/>
      <c r="F3" s="155"/>
      <c r="G3" s="154"/>
      <c r="H3" s="154"/>
      <c r="I3" s="154"/>
      <c r="J3" s="154"/>
      <c r="K3" s="154"/>
      <c r="L3" s="154"/>
      <c r="M3" s="154"/>
      <c r="N3" s="154"/>
      <c r="O3" s="154"/>
      <c r="P3" s="154"/>
      <c r="Q3" s="154"/>
      <c r="R3" s="154"/>
      <c r="S3" s="154"/>
      <c r="T3" s="154"/>
      <c r="U3" s="154"/>
    </row>
    <row r="4" spans="1:21" ht="67.5" customHeight="1" x14ac:dyDescent="0.25">
      <c r="A4" s="66"/>
      <c r="B4" s="106"/>
      <c r="C4" s="21" t="s">
        <v>189</v>
      </c>
      <c r="D4" s="21" t="s">
        <v>190</v>
      </c>
      <c r="E4" s="21" t="s">
        <v>378</v>
      </c>
      <c r="F4" s="112"/>
      <c r="G4" s="66"/>
      <c r="H4" s="66"/>
      <c r="I4" s="66"/>
      <c r="J4" s="66"/>
      <c r="K4" s="66"/>
      <c r="L4" s="66"/>
      <c r="M4" s="66"/>
      <c r="N4" s="66"/>
      <c r="O4" s="66"/>
      <c r="P4" s="66"/>
      <c r="Q4" s="66"/>
      <c r="R4" s="66"/>
      <c r="S4" s="66"/>
      <c r="T4" s="66"/>
      <c r="U4" s="66"/>
    </row>
    <row r="5" spans="1:21" ht="67.5" customHeight="1" x14ac:dyDescent="0.25">
      <c r="A5" s="86" t="s">
        <v>191</v>
      </c>
      <c r="B5" s="22" t="s">
        <v>192</v>
      </c>
      <c r="C5" s="27" t="s">
        <v>193</v>
      </c>
      <c r="D5" s="104" t="s">
        <v>194</v>
      </c>
      <c r="E5" s="203">
        <f>908526*130</f>
        <v>118108380</v>
      </c>
      <c r="F5" s="66"/>
      <c r="G5" s="66"/>
      <c r="H5" s="66"/>
      <c r="I5" s="66"/>
      <c r="J5" s="66"/>
      <c r="K5" s="66"/>
      <c r="L5" s="66"/>
      <c r="M5" s="66"/>
      <c r="N5" s="66"/>
      <c r="O5" s="66"/>
      <c r="P5" s="66"/>
      <c r="Q5" s="66"/>
      <c r="R5" s="66"/>
      <c r="S5" s="66"/>
      <c r="T5" s="66"/>
      <c r="U5" s="66"/>
    </row>
    <row r="6" spans="1:21" ht="129" customHeight="1" x14ac:dyDescent="0.25">
      <c r="A6" s="86" t="s">
        <v>195</v>
      </c>
      <c r="B6" s="23" t="s">
        <v>196</v>
      </c>
      <c r="C6" s="28" t="s">
        <v>197</v>
      </c>
      <c r="D6" s="105" t="s">
        <v>198</v>
      </c>
      <c r="E6" s="203">
        <f>908526*650</f>
        <v>590541900</v>
      </c>
      <c r="F6" s="66"/>
      <c r="G6" s="66"/>
      <c r="H6" s="66"/>
      <c r="I6" s="66"/>
      <c r="J6" s="66"/>
      <c r="K6" s="66"/>
      <c r="L6" s="66"/>
      <c r="M6" s="66"/>
      <c r="N6" s="66"/>
      <c r="O6" s="66"/>
      <c r="P6" s="66"/>
      <c r="Q6" s="66"/>
      <c r="R6" s="66"/>
      <c r="S6" s="66"/>
      <c r="T6" s="66"/>
      <c r="U6" s="66"/>
    </row>
    <row r="7" spans="1:21" ht="101.25" x14ac:dyDescent="0.25">
      <c r="A7" s="86" t="s">
        <v>166</v>
      </c>
      <c r="B7" s="24" t="s">
        <v>199</v>
      </c>
      <c r="C7" s="28" t="s">
        <v>200</v>
      </c>
      <c r="D7" s="105" t="s">
        <v>201</v>
      </c>
      <c r="E7" s="203">
        <f>908526*1300</f>
        <v>1181083800</v>
      </c>
      <c r="F7" s="66"/>
      <c r="G7" s="66"/>
      <c r="H7" s="66"/>
      <c r="I7" s="66"/>
      <c r="J7" s="66"/>
      <c r="K7" s="66"/>
      <c r="L7" s="66"/>
      <c r="M7" s="66"/>
      <c r="N7" s="66"/>
      <c r="O7" s="66"/>
      <c r="P7" s="66"/>
      <c r="Q7" s="66"/>
      <c r="R7" s="66"/>
      <c r="S7" s="66"/>
      <c r="T7" s="66"/>
      <c r="U7" s="66"/>
    </row>
    <row r="8" spans="1:21" ht="135" x14ac:dyDescent="0.25">
      <c r="A8" s="86" t="s">
        <v>202</v>
      </c>
      <c r="B8" s="25" t="s">
        <v>203</v>
      </c>
      <c r="C8" s="28" t="s">
        <v>204</v>
      </c>
      <c r="D8" s="105" t="s">
        <v>205</v>
      </c>
      <c r="E8" s="203">
        <f>908526*6500</f>
        <v>5905419000</v>
      </c>
      <c r="F8" s="66"/>
      <c r="G8" s="66"/>
      <c r="H8" s="66"/>
      <c r="I8" s="66"/>
      <c r="J8" s="66"/>
      <c r="K8" s="66"/>
      <c r="L8" s="66"/>
      <c r="M8" s="66"/>
      <c r="N8" s="66"/>
      <c r="O8" s="66"/>
      <c r="P8" s="66"/>
      <c r="Q8" s="66"/>
      <c r="R8" s="66"/>
      <c r="S8" s="66"/>
      <c r="T8" s="66"/>
      <c r="U8" s="66"/>
    </row>
    <row r="9" spans="1:21" ht="101.25" x14ac:dyDescent="0.25">
      <c r="A9" s="86" t="s">
        <v>206</v>
      </c>
      <c r="B9" s="26" t="s">
        <v>207</v>
      </c>
      <c r="C9" s="28" t="s">
        <v>208</v>
      </c>
      <c r="D9" s="105" t="s">
        <v>209</v>
      </c>
      <c r="E9" s="203"/>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210</v>
      </c>
      <c r="C12" s="108" t="s">
        <v>211</v>
      </c>
      <c r="D12" s="108" t="s">
        <v>212</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213</v>
      </c>
      <c r="C13" s="108" t="s">
        <v>214</v>
      </c>
      <c r="D13" s="108" t="s">
        <v>215</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216</v>
      </c>
      <c r="D14" s="108" t="s">
        <v>139</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217</v>
      </c>
      <c r="D15" s="108" t="s">
        <v>218</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219</v>
      </c>
      <c r="D16" s="108" t="s">
        <v>220</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166</v>
      </c>
    </row>
    <row r="209" spans="1:8" x14ac:dyDescent="0.25">
      <c r="A209" s="66"/>
      <c r="B209" s="15"/>
      <c r="C209" s="15"/>
      <c r="D209" s="15"/>
      <c r="F209" s="114" t="s">
        <v>202</v>
      </c>
    </row>
    <row r="210" spans="1:8" ht="20.25" x14ac:dyDescent="0.25">
      <c r="A210" s="66"/>
      <c r="B210" s="16" t="s">
        <v>221</v>
      </c>
      <c r="C210" s="16" t="s">
        <v>222</v>
      </c>
      <c r="D210" s="19" t="s">
        <v>221</v>
      </c>
      <c r="E210" s="19" t="s">
        <v>222</v>
      </c>
      <c r="F210" s="114" t="s">
        <v>223</v>
      </c>
    </row>
    <row r="211" spans="1:8" ht="21" x14ac:dyDescent="0.35">
      <c r="A211" s="66"/>
      <c r="B211" s="17" t="s">
        <v>224</v>
      </c>
      <c r="C211" s="117" t="s">
        <v>225</v>
      </c>
      <c r="D211" s="116" t="s">
        <v>224</v>
      </c>
      <c r="F211" s="114" t="str">
        <f>IF(NOT(ISBLANK(D211)),D211,IF(NOT(ISBLANK(E211)),"     "&amp;E211,FALSE))</f>
        <v>Afectación Económica o presupuestal</v>
      </c>
      <c r="G211" t="s">
        <v>224</v>
      </c>
      <c r="H211" t="str">
        <f>IF(NOT(ISERROR(MATCH(G211,_xlfn.ANCHORARRAY(B222),0))),F224&amp;"Por favor no seleccionar los criterios de impacto",G211)</f>
        <v>❌Por favor no seleccionar los criterios de impacto</v>
      </c>
    </row>
    <row r="212" spans="1:8" ht="21" x14ac:dyDescent="0.35">
      <c r="A212" s="66"/>
      <c r="B212" s="17" t="s">
        <v>224</v>
      </c>
      <c r="C212" s="117" t="s">
        <v>197</v>
      </c>
      <c r="E212" t="s">
        <v>225</v>
      </c>
      <c r="F212" s="114" t="str">
        <f t="shared" ref="F212:F222" si="0">IF(NOT(ISBLANK(D212)),D212,IF(NOT(ISBLANK(E212)),"     "&amp;E212,FALSE))</f>
        <v xml:space="preserve">     Afectación menor a 130 SMLMV .</v>
      </c>
    </row>
    <row r="213" spans="1:8" ht="21" x14ac:dyDescent="0.35">
      <c r="A213" s="66"/>
      <c r="B213" s="17" t="s">
        <v>224</v>
      </c>
      <c r="C213" s="117" t="s">
        <v>200</v>
      </c>
      <c r="E213" t="s">
        <v>197</v>
      </c>
      <c r="F213" s="114" t="str">
        <f t="shared" si="0"/>
        <v xml:space="preserve">     Entre 130 y 650 SMLMV </v>
      </c>
    </row>
    <row r="214" spans="1:8" ht="21" x14ac:dyDescent="0.35">
      <c r="A214" s="66"/>
      <c r="B214" s="17" t="s">
        <v>224</v>
      </c>
      <c r="C214" s="117" t="s">
        <v>204</v>
      </c>
      <c r="E214" t="s">
        <v>200</v>
      </c>
      <c r="F214" s="114" t="str">
        <f t="shared" si="0"/>
        <v xml:space="preserve">     Entre 650 y 1300 SMLMV </v>
      </c>
    </row>
    <row r="215" spans="1:8" ht="21" x14ac:dyDescent="0.35">
      <c r="A215" s="66"/>
      <c r="B215" s="17" t="s">
        <v>224</v>
      </c>
      <c r="C215" s="117" t="s">
        <v>208</v>
      </c>
      <c r="E215" t="s">
        <v>204</v>
      </c>
      <c r="F215" s="114" t="str">
        <f t="shared" si="0"/>
        <v xml:space="preserve">     Entre 1300 y 6500 SMLMV </v>
      </c>
    </row>
    <row r="216" spans="1:8" ht="21" x14ac:dyDescent="0.35">
      <c r="A216" s="66"/>
      <c r="B216" s="17" t="s">
        <v>190</v>
      </c>
      <c r="C216" s="117" t="s">
        <v>194</v>
      </c>
      <c r="E216" t="s">
        <v>208</v>
      </c>
      <c r="F216" s="114" t="str">
        <f t="shared" si="0"/>
        <v xml:space="preserve">     Mayor a 6500 SMLMV </v>
      </c>
    </row>
    <row r="217" spans="1:8" ht="63" x14ac:dyDescent="0.35">
      <c r="A217" s="66"/>
      <c r="B217" s="17" t="s">
        <v>190</v>
      </c>
      <c r="C217" s="117" t="s">
        <v>198</v>
      </c>
      <c r="D217" s="116" t="s">
        <v>190</v>
      </c>
      <c r="F217" s="114" t="str">
        <f t="shared" si="0"/>
        <v>Pérdida Reputacional</v>
      </c>
    </row>
    <row r="218" spans="1:8" ht="42" x14ac:dyDescent="0.35">
      <c r="A218" s="66"/>
      <c r="B218" s="17" t="s">
        <v>190</v>
      </c>
      <c r="C218" s="117" t="s">
        <v>201</v>
      </c>
      <c r="D218" s="116"/>
      <c r="E218" s="118" t="s">
        <v>194</v>
      </c>
      <c r="F218" s="114" t="str">
        <f t="shared" si="0"/>
        <v xml:space="preserve">     El riesgo afecta la imagen de alguna área de la organización</v>
      </c>
    </row>
    <row r="219" spans="1:8" ht="63" x14ac:dyDescent="0.35">
      <c r="A219" s="66"/>
      <c r="B219" s="17" t="s">
        <v>190</v>
      </c>
      <c r="C219" s="117" t="s">
        <v>226</v>
      </c>
      <c r="D219" s="116"/>
      <c r="E219" s="118" t="s">
        <v>198</v>
      </c>
      <c r="F219" s="114" t="str">
        <f t="shared" si="0"/>
        <v xml:space="preserve">     El riesgo afecta la imagen de la entidad internamente, de conocimiento general, nivel interno, de junta dircetiva y accionistas y/o de provedores</v>
      </c>
    </row>
    <row r="220" spans="1:8" ht="45" x14ac:dyDescent="0.35">
      <c r="A220" s="66"/>
      <c r="B220" s="17" t="s">
        <v>190</v>
      </c>
      <c r="C220" s="117" t="s">
        <v>209</v>
      </c>
      <c r="D220" s="116"/>
      <c r="E220" s="118" t="s">
        <v>201</v>
      </c>
      <c r="F220" s="114" t="str">
        <f t="shared" si="0"/>
        <v xml:space="preserve">     El riesgo afecta la imagen de la entidad con algunos usuarios de relevancia frente al logro de los objetivos</v>
      </c>
    </row>
    <row r="221" spans="1:8" ht="45" x14ac:dyDescent="0.25">
      <c r="A221" s="66"/>
      <c r="B221" s="18"/>
      <c r="C221" s="18"/>
      <c r="D221" s="116"/>
      <c r="E221" s="118" t="s">
        <v>226</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209</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227</v>
      </c>
    </row>
    <row r="225" spans="2:6" x14ac:dyDescent="0.25">
      <c r="B225" s="14"/>
      <c r="C225" s="14"/>
      <c r="F225" s="115" t="s">
        <v>228</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formula1>$F$211:$F$222</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6"/>
  <sheetViews>
    <sheetView zoomScaleNormal="100" zoomScaleSheetLayoutView="90" workbookViewId="0">
      <selection activeCell="E5" sqref="E5:F23"/>
    </sheetView>
  </sheetViews>
  <sheetFormatPr baseColWidth="10" defaultColWidth="11.42578125" defaultRowHeight="14.25" x14ac:dyDescent="0.25"/>
  <cols>
    <col min="1" max="1" width="2.140625" style="126" customWidth="1"/>
    <col min="2" max="2" width="11.42578125" style="126"/>
    <col min="3" max="3" width="34.28515625" style="126" customWidth="1"/>
    <col min="4" max="4" width="36.42578125" style="126" customWidth="1"/>
    <col min="5" max="6" width="13.85546875" style="126" customWidth="1"/>
    <col min="7" max="7" width="1.28515625" style="126" customWidth="1"/>
    <col min="8" max="16384" width="11.42578125" style="126"/>
  </cols>
  <sheetData>
    <row r="1" spans="2:6" ht="11.25" customHeight="1" thickBot="1" x14ac:dyDescent="0.3"/>
    <row r="2" spans="2:6" ht="18.75" customHeight="1" thickBot="1" x14ac:dyDescent="0.3">
      <c r="B2" s="490" t="s">
        <v>229</v>
      </c>
      <c r="C2" s="491"/>
      <c r="D2" s="491"/>
      <c r="E2" s="491"/>
      <c r="F2" s="492"/>
    </row>
    <row r="3" spans="2:6" ht="31.9" customHeight="1" x14ac:dyDescent="0.25">
      <c r="B3" s="493" t="s">
        <v>230</v>
      </c>
      <c r="C3" s="495" t="s">
        <v>231</v>
      </c>
      <c r="D3" s="495"/>
      <c r="E3" s="495" t="s">
        <v>232</v>
      </c>
      <c r="F3" s="497"/>
    </row>
    <row r="4" spans="2:6" ht="28.15" customHeight="1" thickBot="1" x14ac:dyDescent="0.3">
      <c r="B4" s="494"/>
      <c r="C4" s="496"/>
      <c r="D4" s="496"/>
      <c r="E4" s="136" t="s">
        <v>233</v>
      </c>
      <c r="F4" s="137" t="s">
        <v>234</v>
      </c>
    </row>
    <row r="5" spans="2:6" ht="23.25" customHeight="1" x14ac:dyDescent="0.25">
      <c r="B5" s="127">
        <v>1</v>
      </c>
      <c r="C5" s="498" t="s">
        <v>235</v>
      </c>
      <c r="D5" s="498"/>
      <c r="E5" s="150"/>
      <c r="F5" s="151"/>
    </row>
    <row r="6" spans="2:6" ht="33" customHeight="1" x14ac:dyDescent="0.25">
      <c r="B6" s="128">
        <v>2</v>
      </c>
      <c r="C6" s="487" t="s">
        <v>236</v>
      </c>
      <c r="D6" s="487"/>
      <c r="E6" s="152"/>
      <c r="F6" s="153"/>
    </row>
    <row r="7" spans="2:6" ht="39" customHeight="1" x14ac:dyDescent="0.25">
      <c r="B7" s="128">
        <v>3</v>
      </c>
      <c r="C7" s="487" t="s">
        <v>237</v>
      </c>
      <c r="D7" s="487"/>
      <c r="E7" s="152"/>
      <c r="F7" s="153"/>
    </row>
    <row r="8" spans="2:6" ht="24.75" customHeight="1" x14ac:dyDescent="0.25">
      <c r="B8" s="128">
        <v>4</v>
      </c>
      <c r="C8" s="487" t="s">
        <v>238</v>
      </c>
      <c r="D8" s="487"/>
      <c r="E8" s="152"/>
      <c r="F8" s="153"/>
    </row>
    <row r="9" spans="2:6" ht="23.25" customHeight="1" x14ac:dyDescent="0.25">
      <c r="B9" s="128">
        <v>5</v>
      </c>
      <c r="C9" s="487" t="s">
        <v>239</v>
      </c>
      <c r="D9" s="487"/>
      <c r="E9" s="152"/>
      <c r="F9" s="153"/>
    </row>
    <row r="10" spans="2:6" ht="23.25" customHeight="1" x14ac:dyDescent="0.25">
      <c r="B10" s="128">
        <v>6</v>
      </c>
      <c r="C10" s="487" t="s">
        <v>240</v>
      </c>
      <c r="D10" s="487"/>
      <c r="E10" s="152"/>
      <c r="F10" s="153"/>
    </row>
    <row r="11" spans="2:6" ht="23.25" customHeight="1" x14ac:dyDescent="0.25">
      <c r="B11" s="128">
        <v>7</v>
      </c>
      <c r="C11" s="487" t="s">
        <v>241</v>
      </c>
      <c r="D11" s="487"/>
      <c r="E11" s="152"/>
      <c r="F11" s="153"/>
    </row>
    <row r="12" spans="2:6" ht="25.5" customHeight="1" x14ac:dyDescent="0.25">
      <c r="B12" s="128">
        <v>8</v>
      </c>
      <c r="C12" s="487" t="s">
        <v>242</v>
      </c>
      <c r="D12" s="487"/>
      <c r="E12" s="129"/>
      <c r="F12" s="130"/>
    </row>
    <row r="13" spans="2:6" ht="23.25" customHeight="1" x14ac:dyDescent="0.25">
      <c r="B13" s="128">
        <v>9</v>
      </c>
      <c r="C13" s="487" t="s">
        <v>243</v>
      </c>
      <c r="D13" s="487"/>
      <c r="E13" s="129"/>
      <c r="F13" s="130"/>
    </row>
    <row r="14" spans="2:6" ht="23.25" customHeight="1" x14ac:dyDescent="0.25">
      <c r="B14" s="128">
        <v>10</v>
      </c>
      <c r="C14" s="487" t="s">
        <v>244</v>
      </c>
      <c r="D14" s="487"/>
      <c r="E14" s="129"/>
      <c r="F14" s="130"/>
    </row>
    <row r="15" spans="2:6" ht="23.25" customHeight="1" x14ac:dyDescent="0.25">
      <c r="B15" s="128">
        <v>11</v>
      </c>
      <c r="C15" s="487" t="s">
        <v>245</v>
      </c>
      <c r="D15" s="487"/>
      <c r="E15" s="129"/>
      <c r="F15" s="130"/>
    </row>
    <row r="16" spans="2:6" ht="23.25" customHeight="1" x14ac:dyDescent="0.25">
      <c r="B16" s="128">
        <v>12</v>
      </c>
      <c r="C16" s="487" t="s">
        <v>246</v>
      </c>
      <c r="D16" s="487"/>
      <c r="E16" s="129"/>
      <c r="F16" s="130"/>
    </row>
    <row r="17" spans="2:6" ht="23.25" customHeight="1" x14ac:dyDescent="0.25">
      <c r="B17" s="128">
        <v>13</v>
      </c>
      <c r="C17" s="487" t="s">
        <v>247</v>
      </c>
      <c r="D17" s="487"/>
      <c r="E17" s="129"/>
      <c r="F17" s="130"/>
    </row>
    <row r="18" spans="2:6" ht="23.25" customHeight="1" x14ac:dyDescent="0.25">
      <c r="B18" s="128">
        <v>14</v>
      </c>
      <c r="C18" s="487" t="s">
        <v>248</v>
      </c>
      <c r="D18" s="487"/>
      <c r="E18" s="129"/>
      <c r="F18" s="130"/>
    </row>
    <row r="19" spans="2:6" ht="23.25" customHeight="1" x14ac:dyDescent="0.25">
      <c r="B19" s="128">
        <v>15</v>
      </c>
      <c r="C19" s="487" t="s">
        <v>249</v>
      </c>
      <c r="D19" s="487"/>
      <c r="E19" s="129"/>
      <c r="F19" s="130"/>
    </row>
    <row r="20" spans="2:6" ht="23.25" customHeight="1" x14ac:dyDescent="0.25">
      <c r="B20" s="128">
        <v>16</v>
      </c>
      <c r="C20" s="487" t="s">
        <v>250</v>
      </c>
      <c r="D20" s="487"/>
      <c r="E20" s="129"/>
      <c r="F20" s="130"/>
    </row>
    <row r="21" spans="2:6" ht="23.25" customHeight="1" x14ac:dyDescent="0.25">
      <c r="B21" s="128">
        <v>17</v>
      </c>
      <c r="C21" s="487" t="s">
        <v>251</v>
      </c>
      <c r="D21" s="487"/>
      <c r="E21" s="129"/>
      <c r="F21" s="130"/>
    </row>
    <row r="22" spans="2:6" ht="23.25" customHeight="1" x14ac:dyDescent="0.25">
      <c r="B22" s="128">
        <v>18</v>
      </c>
      <c r="C22" s="488" t="s">
        <v>252</v>
      </c>
      <c r="D22" s="488"/>
      <c r="E22" s="129"/>
      <c r="F22" s="130"/>
    </row>
    <row r="23" spans="2:6" ht="23.25" customHeight="1" thickBot="1" x14ac:dyDescent="0.3">
      <c r="B23" s="128">
        <v>19</v>
      </c>
      <c r="C23" s="487" t="s">
        <v>253</v>
      </c>
      <c r="D23" s="487"/>
      <c r="E23" s="129"/>
      <c r="F23" s="130"/>
    </row>
    <row r="24" spans="2:6" ht="15.75" customHeight="1" thickBot="1" x14ac:dyDescent="0.3">
      <c r="B24" s="489" t="s">
        <v>254</v>
      </c>
      <c r="C24" s="483"/>
      <c r="D24" s="483"/>
      <c r="E24" s="483">
        <f>COUNTIF(E5:E23,"X")</f>
        <v>0</v>
      </c>
      <c r="F24" s="484"/>
    </row>
    <row r="25" spans="2:6" ht="45.75" customHeight="1" x14ac:dyDescent="0.25">
      <c r="B25" s="485" t="s">
        <v>255</v>
      </c>
      <c r="C25" s="485"/>
      <c r="D25" s="485"/>
      <c r="E25" s="485"/>
      <c r="F25" s="485"/>
    </row>
    <row r="26" spans="2:6" ht="9.75" customHeight="1" x14ac:dyDescent="0.25">
      <c r="B26" s="486"/>
      <c r="C26" s="486"/>
      <c r="D26" s="486"/>
      <c r="E26" s="486"/>
      <c r="F26" s="486"/>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499" t="s">
        <v>137</v>
      </c>
      <c r="C3" s="133" t="s">
        <v>256</v>
      </c>
      <c r="D3" s="131" t="s">
        <v>257</v>
      </c>
      <c r="AX3" t="s">
        <v>137</v>
      </c>
    </row>
    <row r="4" spans="2:50" ht="48.75" thickBot="1" x14ac:dyDescent="0.3">
      <c r="B4" s="500"/>
      <c r="C4" s="134" t="s">
        <v>258</v>
      </c>
      <c r="D4" s="132" t="s">
        <v>259</v>
      </c>
      <c r="AX4" t="s">
        <v>148</v>
      </c>
    </row>
    <row r="5" spans="2:50" ht="48.75" thickBot="1" x14ac:dyDescent="0.3">
      <c r="B5" s="500"/>
      <c r="C5" s="134" t="s">
        <v>260</v>
      </c>
      <c r="D5" s="132" t="s">
        <v>261</v>
      </c>
      <c r="AX5" t="s">
        <v>150</v>
      </c>
    </row>
    <row r="6" spans="2:50" ht="36.75" thickBot="1" x14ac:dyDescent="0.3">
      <c r="B6" s="501"/>
      <c r="C6" s="134" t="s">
        <v>262</v>
      </c>
      <c r="D6" s="132" t="s">
        <v>263</v>
      </c>
    </row>
    <row r="7" spans="2:50" ht="36.75" thickBot="1" x14ac:dyDescent="0.3">
      <c r="B7" s="499" t="s">
        <v>148</v>
      </c>
      <c r="C7" s="134" t="s">
        <v>264</v>
      </c>
      <c r="D7" s="132" t="s">
        <v>265</v>
      </c>
    </row>
    <row r="8" spans="2:50" ht="96.75" thickBot="1" x14ac:dyDescent="0.3">
      <c r="B8" s="500"/>
      <c r="C8" s="134" t="s">
        <v>266</v>
      </c>
      <c r="D8" s="132" t="s">
        <v>267</v>
      </c>
    </row>
    <row r="9" spans="2:50" ht="48.75" thickBot="1" x14ac:dyDescent="0.3">
      <c r="B9" s="501"/>
      <c r="C9" s="134" t="s">
        <v>268</v>
      </c>
      <c r="D9" s="132" t="s">
        <v>269</v>
      </c>
    </row>
    <row r="10" spans="2:50" x14ac:dyDescent="0.25">
      <c r="B10" s="499" t="s">
        <v>150</v>
      </c>
      <c r="C10" s="135"/>
      <c r="D10" s="502" t="s">
        <v>270</v>
      </c>
    </row>
    <row r="11" spans="2:50" x14ac:dyDescent="0.25">
      <c r="B11" s="500"/>
      <c r="C11" s="135" t="s">
        <v>151</v>
      </c>
      <c r="D11" s="503"/>
    </row>
    <row r="12" spans="2:50" ht="15.75" thickBot="1" x14ac:dyDescent="0.3">
      <c r="B12" s="500"/>
      <c r="C12" s="134"/>
      <c r="D12" s="504"/>
    </row>
    <row r="13" spans="2:50" ht="22.5" customHeight="1" x14ac:dyDescent="0.25">
      <c r="B13" s="500"/>
      <c r="C13" s="135"/>
      <c r="D13" s="502" t="s">
        <v>271</v>
      </c>
    </row>
    <row r="14" spans="2:50" ht="22.5" customHeight="1" x14ac:dyDescent="0.25">
      <c r="B14" s="500"/>
      <c r="C14" s="135" t="s">
        <v>272</v>
      </c>
      <c r="D14" s="503"/>
    </row>
    <row r="15" spans="2:50" ht="22.5" customHeight="1" thickBot="1" x14ac:dyDescent="0.3">
      <c r="B15" s="500"/>
      <c r="C15" s="134"/>
      <c r="D15" s="504"/>
    </row>
    <row r="16" spans="2:50" ht="25.5" customHeight="1" x14ac:dyDescent="0.25">
      <c r="B16" s="500"/>
      <c r="C16" s="135"/>
      <c r="D16" s="502" t="s">
        <v>273</v>
      </c>
    </row>
    <row r="17" spans="2:4" ht="25.5" customHeight="1" x14ac:dyDescent="0.25">
      <c r="B17" s="500"/>
      <c r="C17" s="135" t="s">
        <v>155</v>
      </c>
      <c r="D17" s="503"/>
    </row>
    <row r="18" spans="2:4" ht="25.5" customHeight="1" thickBot="1" x14ac:dyDescent="0.3">
      <c r="B18" s="501"/>
      <c r="C18" s="134"/>
      <c r="D18" s="504"/>
    </row>
  </sheetData>
  <mergeCells count="6">
    <mergeCell ref="B3:B6"/>
    <mergeCell ref="B7:B9"/>
    <mergeCell ref="B10:B18"/>
    <mergeCell ref="D10:D12"/>
    <mergeCell ref="D13:D15"/>
    <mergeCell ref="D16:D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57a5a33-542c-4c16-8cab-0804d5be0eec">
      <UserInfo>
        <DisplayName>Stefany Ospino Cuellar</DisplayName>
        <AccountId>1659</AccountId>
        <AccountType/>
      </UserInfo>
      <UserInfo>
        <DisplayName>German Andres Hernandez Matiz</DisplayName>
        <AccountId>571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20FF2C54902FD4CBEB197C540F94179" ma:contentTypeVersion="11" ma:contentTypeDescription="Crear nuevo documento." ma:contentTypeScope="" ma:versionID="3262ea46c77b165caeb0ee96915622a6">
  <xsd:schema xmlns:xsd="http://www.w3.org/2001/XMLSchema" xmlns:xs="http://www.w3.org/2001/XMLSchema" xmlns:p="http://schemas.microsoft.com/office/2006/metadata/properties" xmlns:ns3="6569d880-e43b-41e7-97fc-3bf293a84d94" xmlns:ns4="b57a5a33-542c-4c16-8cab-0804d5be0eec" targetNamespace="http://schemas.microsoft.com/office/2006/metadata/properties" ma:root="true" ma:fieldsID="229bc4d3b79c2d16efefe5a5cc1a234a" ns3:_="" ns4:_="">
    <xsd:import namespace="6569d880-e43b-41e7-97fc-3bf293a84d94"/>
    <xsd:import namespace="b57a5a33-542c-4c16-8cab-0804d5be0ee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69d880-e43b-41e7-97fc-3bf293a8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7a5a33-542c-4c16-8cab-0804d5be0ee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D3D5E4EF-2809-49C9-8DCF-B2E4E5208101}">
  <ds:schemaRefs>
    <ds:schemaRef ds:uri="http://purl.org/dc/dcmitype/"/>
    <ds:schemaRef ds:uri="6569d880-e43b-41e7-97fc-3bf293a84d94"/>
    <ds:schemaRef ds:uri="http://purl.org/dc/elements/1.1/"/>
    <ds:schemaRef ds:uri="http://schemas.microsoft.com/office/2006/documentManagement/types"/>
    <ds:schemaRef ds:uri="b57a5a33-542c-4c16-8cab-0804d5be0eec"/>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118B945C-4C02-4ACE-B5D4-E453F37C2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69d880-e43b-41e7-97fc-3bf293a84d94"/>
    <ds:schemaRef ds:uri="b57a5a33-542c-4c16-8cab-0804d5be0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vt:i4>
      </vt:variant>
    </vt:vector>
  </HeadingPairs>
  <TitlesOfParts>
    <vt:vector size="19" baseType="lpstr">
      <vt:lpstr>Intructivo</vt:lpstr>
      <vt:lpstr>DOFA </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Angela Maria Correa Covelli</cp:lastModifiedBy>
  <cp:revision/>
  <dcterms:created xsi:type="dcterms:W3CDTF">2020-03-24T23:12:47Z</dcterms:created>
  <dcterms:modified xsi:type="dcterms:W3CDTF">2022-03-29T17:22:25Z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0x010100620FF2C54902FD4CBEB197C540F94179</vt:lpwstr>
  </property>
</Properties>
</file>