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E:\UMV\Riesgos 2023\"/>
    </mc:Choice>
  </mc:AlternateContent>
  <xr:revisionPtr revIDLastSave="0" documentId="13_ncr:1_{BC70D47F-9710-460F-BB27-86D21623B9EA}" xr6:coauthVersionLast="47" xr6:coauthVersionMax="47" xr10:uidLastSave="{00000000-0000-0000-0000-000000000000}"/>
  <bookViews>
    <workbookView xWindow="720" yWindow="780" windowWidth="13335" windowHeight="15165" tabRatio="933" firstSheet="5" activeTab="8" xr2:uid="{00000000-000D-0000-FFFF-FFFF00000000}"/>
  </bookViews>
  <sheets>
    <sheet name="Intructiv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de Corrupción" sheetId="31" r:id="rId7"/>
    <sheet name="Impacto Corrupción " sheetId="22" r:id="rId8"/>
    <sheet name="Riesgos de Seguridad" sheetId="32" r:id="rId9"/>
    <sheet name="Tabla probabilidad" sheetId="12" r:id="rId10"/>
    <sheet name="Tabla Impacto" sheetId="13" r:id="rId11"/>
    <sheet name="Tipo de riesgos" sheetId="23" r:id="rId12"/>
    <sheet name="Amenazas" sheetId="28" r:id="rId13"/>
    <sheet name="Ejemplos de riesgos" sheetId="26" r:id="rId14"/>
    <sheet name="Tabla Valoración controles" sheetId="15" r:id="rId15"/>
    <sheet name="Hoja1" sheetId="11" state="hidden" r:id="rId16"/>
  </sheets>
  <externalReferences>
    <externalReference r:id="rId17"/>
    <externalReference r:id="rId18"/>
  </externalReferences>
  <definedNames>
    <definedName name="_xlnm.Print_Area" localSheetId="7">'Impacto Corrupción '!$A$1:$G$26</definedName>
    <definedName name="_xlnm.Print_Area" localSheetId="6">'Riesgos de Corrupción'!$A$1:$AR$66</definedName>
    <definedName name="_xlnm.Print_Area" localSheetId="3">'Riesgos de Gestión'!$A$1:$AR$76</definedName>
    <definedName name="_xlnm.Print_Area" localSheetId="8">'Riesgos de Seguridad'!$A$1:$AV$24</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7">#REF!</definedName>
    <definedName name="impactoco">#REF!</definedName>
    <definedName name="infraestructura">#REF!</definedName>
    <definedName name="interno">#REF!</definedName>
    <definedName name="macroprocesos">#REF!</definedName>
    <definedName name="medio_ambientales">#REF!</definedName>
    <definedName name="opciondelriesgo" localSheetId="7">[1]FORMULAS!$K$4:$K$7</definedName>
    <definedName name="opciondelriesgo">[2]FORMULAS!$K$4:$K$7</definedName>
    <definedName name="personal">#REF!</definedName>
    <definedName name="políticos">#REF!</definedName>
    <definedName name="probabilidad" localSheetId="7">#REF!</definedName>
    <definedName name="probabilidad">[2]FORMULAS!$G$4:$G$8</definedName>
    <definedName name="proceso">#REF!</definedName>
    <definedName name="procesos" localSheetId="7">#REF!</definedName>
    <definedName name="procesos">[2]FORMULAS!$B$4:$B$21</definedName>
    <definedName name="sociales">#REF!</definedName>
    <definedName name="tecnología">#REF!</definedName>
    <definedName name="tecnológicos">#REF!</definedName>
    <definedName name="tipo_de_amenaza" localSheetId="7">[1]FORMULAS!$E$4:$E$11</definedName>
    <definedName name="tipo_de_amenaza">[2]FORMULAS!$E$4:$E$11</definedName>
    <definedName name="tipo_de_riesgos" localSheetId="7">[1]FORMULAS!$C$4:$C$6</definedName>
    <definedName name="tipo_de_riesgos">[2]FORMULAS!$C$4:$C$6</definedName>
    <definedName name="_xlnm.Print_Titles" localSheetId="6">'Riesgos de Corrupción'!$1:$8</definedName>
    <definedName name="_xlnm.Print_Titles" localSheetId="3">'Riesgos de Gestión'!$1:$8</definedName>
    <definedName name="_xlnm.Print_Titles" localSheetId="8">'Riesgos de Seguridad'!$1:$8</definedName>
  </definedNames>
  <calcPr calcId="191028"/>
  <pivotCaches>
    <pivotCache cacheId="7" r:id="rId1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3" i="32" l="1"/>
  <c r="AE72" i="32"/>
  <c r="AB72" i="32"/>
  <c r="AI72" i="32" s="1"/>
  <c r="V72" i="32"/>
  <c r="AE71" i="32"/>
  <c r="AB71" i="32"/>
  <c r="AM72" i="32" s="1"/>
  <c r="AL72" i="32" s="1"/>
  <c r="V71" i="32"/>
  <c r="AE70" i="32"/>
  <c r="AB70" i="32"/>
  <c r="AM71" i="32" s="1"/>
  <c r="AL71" i="32" s="1"/>
  <c r="V70" i="32"/>
  <c r="AE69" i="32"/>
  <c r="AB69" i="32"/>
  <c r="V69" i="32"/>
  <c r="AM68" i="32"/>
  <c r="AL68" i="32" s="1"/>
  <c r="AE68" i="32"/>
  <c r="AB68" i="32"/>
  <c r="AM69" i="32" s="1"/>
  <c r="AL69" i="32" s="1"/>
  <c r="V68" i="32"/>
  <c r="AE67" i="32"/>
  <c r="AB67" i="32"/>
  <c r="AI68" i="32" s="1"/>
  <c r="V67" i="32"/>
  <c r="W67" i="32" s="1"/>
  <c r="Y67" i="32" s="1"/>
  <c r="T67" i="32"/>
  <c r="S67" i="32"/>
  <c r="AE66" i="32"/>
  <c r="AB66" i="32"/>
  <c r="V66" i="32"/>
  <c r="AE65" i="32"/>
  <c r="AB65" i="32"/>
  <c r="AM66" i="32" s="1"/>
  <c r="AL66" i="32" s="1"/>
  <c r="V65" i="32"/>
  <c r="AE64" i="32"/>
  <c r="AB64" i="32"/>
  <c r="AI65" i="32" s="1"/>
  <c r="V64" i="32"/>
  <c r="AM63" i="32"/>
  <c r="AL63" i="32" s="1"/>
  <c r="AE63" i="32"/>
  <c r="AB63" i="32"/>
  <c r="V63" i="32"/>
  <c r="AE62" i="32"/>
  <c r="AB62" i="32"/>
  <c r="AI63" i="32" s="1"/>
  <c r="V62" i="32"/>
  <c r="AE61" i="32"/>
  <c r="AB61" i="32"/>
  <c r="AM62" i="32" s="1"/>
  <c r="AL62" i="32" s="1"/>
  <c r="V61" i="32"/>
  <c r="W61" i="32" s="1"/>
  <c r="X61" i="32" s="1"/>
  <c r="S61" i="32"/>
  <c r="AE60" i="32"/>
  <c r="AB60" i="32"/>
  <c r="V60" i="32"/>
  <c r="AE59" i="32"/>
  <c r="AB59" i="32"/>
  <c r="AI60" i="32" s="1"/>
  <c r="V59" i="32"/>
  <c r="AE58" i="32"/>
  <c r="AB58" i="32"/>
  <c r="V58" i="32"/>
  <c r="AE57" i="32"/>
  <c r="AB57" i="32"/>
  <c r="AM58" i="32" s="1"/>
  <c r="AL58" i="32" s="1"/>
  <c r="V57" i="32"/>
  <c r="AE56" i="32"/>
  <c r="AB56" i="32"/>
  <c r="V56" i="32"/>
  <c r="AI55" i="32"/>
  <c r="AK55" i="32" s="1"/>
  <c r="AE55" i="32"/>
  <c r="AB55" i="32"/>
  <c r="AM55" i="32" s="1"/>
  <c r="AL55" i="32" s="1"/>
  <c r="W55" i="32"/>
  <c r="X55" i="32" s="1"/>
  <c r="V55" i="32"/>
  <c r="S55" i="32"/>
  <c r="Y55" i="32" s="1"/>
  <c r="AI54" i="32"/>
  <c r="AK54" i="32" s="1"/>
  <c r="AE54" i="32"/>
  <c r="AB54" i="32"/>
  <c r="V54" i="32"/>
  <c r="AE53" i="32"/>
  <c r="AB53" i="32"/>
  <c r="AM54" i="32" s="1"/>
  <c r="AL54" i="32" s="1"/>
  <c r="V53" i="32"/>
  <c r="AE52" i="32"/>
  <c r="AB52" i="32"/>
  <c r="AI53" i="32" s="1"/>
  <c r="AK53" i="32" s="1"/>
  <c r="V52" i="32"/>
  <c r="AE51" i="32"/>
  <c r="AB51" i="32"/>
  <c r="AM52" i="32" s="1"/>
  <c r="AL52" i="32" s="1"/>
  <c r="V51" i="32"/>
  <c r="AE50" i="32"/>
  <c r="AB50" i="32"/>
  <c r="AI51" i="32" s="1"/>
  <c r="V50" i="32"/>
  <c r="AM49" i="32"/>
  <c r="AL49" i="32" s="1"/>
  <c r="AE49" i="32"/>
  <c r="AB49" i="32"/>
  <c r="V49" i="32"/>
  <c r="W49" i="32" s="1"/>
  <c r="S49" i="32"/>
  <c r="T49" i="32" s="1"/>
  <c r="AM48" i="32"/>
  <c r="AL48" i="32" s="1"/>
  <c r="AE48" i="32"/>
  <c r="AB48" i="32"/>
  <c r="V48" i="32"/>
  <c r="AM47" i="32"/>
  <c r="AL47" i="32" s="1"/>
  <c r="AE47" i="32"/>
  <c r="AB47" i="32"/>
  <c r="AI48" i="32" s="1"/>
  <c r="V47" i="32"/>
  <c r="AM46" i="32"/>
  <c r="AL46" i="32" s="1"/>
  <c r="AE46" i="32"/>
  <c r="AB46" i="32"/>
  <c r="V46" i="32"/>
  <c r="AE45" i="32"/>
  <c r="AB45" i="32"/>
  <c r="AI46" i="32" s="1"/>
  <c r="V45" i="32"/>
  <c r="AE44" i="32"/>
  <c r="AB44" i="32"/>
  <c r="AM45" i="32" s="1"/>
  <c r="AL45" i="32" s="1"/>
  <c r="V44" i="32"/>
  <c r="AE43" i="32"/>
  <c r="AB43" i="32"/>
  <c r="AI43" i="32" s="1"/>
  <c r="AJ43" i="32" s="1"/>
  <c r="V43" i="32"/>
  <c r="W43" i="32" s="1"/>
  <c r="X43" i="32" s="1"/>
  <c r="S43" i="32"/>
  <c r="AE42" i="32"/>
  <c r="AB42" i="32"/>
  <c r="V42" i="32"/>
  <c r="AE41" i="32"/>
  <c r="AB41" i="32"/>
  <c r="V41" i="32"/>
  <c r="AE40" i="32"/>
  <c r="AB40" i="32"/>
  <c r="AM41" i="32" s="1"/>
  <c r="AL41" i="32" s="1"/>
  <c r="V40" i="32"/>
  <c r="AI39" i="32"/>
  <c r="AK39" i="32" s="1"/>
  <c r="AE39" i="32"/>
  <c r="AB39" i="32"/>
  <c r="V39" i="32"/>
  <c r="AE38" i="32"/>
  <c r="AB38" i="32"/>
  <c r="AI38" i="32" s="1"/>
  <c r="V38" i="32"/>
  <c r="AE37" i="32"/>
  <c r="AB37" i="32"/>
  <c r="AI37" i="32" s="1"/>
  <c r="V37" i="32"/>
  <c r="W37" i="32" s="1"/>
  <c r="X37" i="32" s="1"/>
  <c r="S37" i="32"/>
  <c r="T37" i="32" s="1"/>
  <c r="AM36" i="32"/>
  <c r="AL36" i="32" s="1"/>
  <c r="AE36" i="32"/>
  <c r="AB36" i="32"/>
  <c r="V36" i="32"/>
  <c r="AI35" i="32"/>
  <c r="AK35" i="32" s="1"/>
  <c r="AE35" i="32"/>
  <c r="AB35" i="32"/>
  <c r="AI36" i="32" s="1"/>
  <c r="AK36" i="32" s="1"/>
  <c r="V35" i="32"/>
  <c r="AE34" i="32"/>
  <c r="AB34" i="32"/>
  <c r="V34" i="32"/>
  <c r="AE33" i="32"/>
  <c r="AB33" i="32"/>
  <c r="AM34" i="32" s="1"/>
  <c r="AL34" i="32" s="1"/>
  <c r="V33" i="32"/>
  <c r="AE32" i="32"/>
  <c r="AB32" i="32"/>
  <c r="AI33" i="32" s="1"/>
  <c r="V32" i="32"/>
  <c r="AE31" i="32"/>
  <c r="AB31" i="32"/>
  <c r="AM31" i="32" s="1"/>
  <c r="AL31" i="32" s="1"/>
  <c r="W31" i="32"/>
  <c r="X31" i="32" s="1"/>
  <c r="V31" i="32"/>
  <c r="T31" i="32"/>
  <c r="S31" i="32"/>
  <c r="Y31" i="32" s="1"/>
  <c r="AE30" i="32"/>
  <c r="AB30" i="32"/>
  <c r="V30" i="32"/>
  <c r="AE29" i="32"/>
  <c r="AB29" i="32"/>
  <c r="AM30" i="32" s="1"/>
  <c r="AL30" i="32" s="1"/>
  <c r="V29" i="32"/>
  <c r="AE28" i="32"/>
  <c r="AB28" i="32"/>
  <c r="AM29" i="32" s="1"/>
  <c r="AL29" i="32" s="1"/>
  <c r="V28" i="32"/>
  <c r="AE27" i="32"/>
  <c r="AB27" i="32"/>
  <c r="AM28" i="32" s="1"/>
  <c r="AL28" i="32" s="1"/>
  <c r="V27" i="32"/>
  <c r="AE26" i="32"/>
  <c r="AB26" i="32"/>
  <c r="AM27" i="32" s="1"/>
  <c r="AL27" i="32" s="1"/>
  <c r="V26" i="32"/>
  <c r="AE25" i="32"/>
  <c r="AB25" i="32"/>
  <c r="AM26" i="32" s="1"/>
  <c r="AL26" i="32" s="1"/>
  <c r="V25" i="32"/>
  <c r="W25" i="32" s="1"/>
  <c r="X25" i="32" s="1"/>
  <c r="S25" i="32"/>
  <c r="AE24" i="32"/>
  <c r="AB24" i="32"/>
  <c r="V24" i="32"/>
  <c r="AE23" i="32"/>
  <c r="AB23" i="32"/>
  <c r="AM24" i="32" s="1"/>
  <c r="AL24" i="32" s="1"/>
  <c r="V23" i="32"/>
  <c r="AE22" i="32"/>
  <c r="AB22" i="32"/>
  <c r="V22" i="32"/>
  <c r="AE21" i="32"/>
  <c r="AB21" i="32"/>
  <c r="V21" i="32"/>
  <c r="AE20" i="32"/>
  <c r="AB20" i="32"/>
  <c r="V20" i="32"/>
  <c r="AE19" i="32"/>
  <c r="AB19" i="32"/>
  <c r="V19" i="32"/>
  <c r="W19" i="32" s="1"/>
  <c r="S19" i="32"/>
  <c r="T19" i="32" s="1"/>
  <c r="AE18" i="32"/>
  <c r="AB18" i="32"/>
  <c r="V18" i="32"/>
  <c r="AE17" i="32"/>
  <c r="AB17" i="32"/>
  <c r="AM18" i="32" s="1"/>
  <c r="AL18" i="32" s="1"/>
  <c r="V17" i="32"/>
  <c r="AE16" i="32"/>
  <c r="AB16" i="32"/>
  <c r="AM17" i="32" s="1"/>
  <c r="AL17" i="32" s="1"/>
  <c r="V16" i="32"/>
  <c r="AM15" i="32"/>
  <c r="AL15" i="32" s="1"/>
  <c r="AE15" i="32"/>
  <c r="AB15" i="32"/>
  <c r="V15" i="32"/>
  <c r="AE14" i="32"/>
  <c r="AB14" i="32"/>
  <c r="AI15" i="32" s="1"/>
  <c r="V14" i="32"/>
  <c r="AE13" i="32"/>
  <c r="AB13" i="32"/>
  <c r="V13" i="32"/>
  <c r="W13" i="32" s="1"/>
  <c r="X13" i="32" s="1"/>
  <c r="S13" i="32"/>
  <c r="AA72" i="31"/>
  <c r="X72" i="31"/>
  <c r="R72" i="31"/>
  <c r="AA71" i="31"/>
  <c r="X71" i="31"/>
  <c r="AE72" i="31" s="1"/>
  <c r="R71" i="31"/>
  <c r="AA70" i="31"/>
  <c r="X70" i="31"/>
  <c r="R70" i="31"/>
  <c r="AE69" i="31"/>
  <c r="AG69" i="31" s="1"/>
  <c r="AA69" i="31"/>
  <c r="X69" i="31"/>
  <c r="AI70" i="31" s="1"/>
  <c r="AH70" i="31" s="1"/>
  <c r="R69" i="31"/>
  <c r="AE68" i="31"/>
  <c r="AF68" i="31" s="1"/>
  <c r="AA68" i="31"/>
  <c r="X68" i="31"/>
  <c r="AI69" i="31" s="1"/>
  <c r="AH69" i="31" s="1"/>
  <c r="R68" i="31"/>
  <c r="AI67" i="31"/>
  <c r="AH67" i="31" s="1"/>
  <c r="AG67" i="31"/>
  <c r="AE67" i="31"/>
  <c r="AF67" i="31" s="1"/>
  <c r="AA67" i="31"/>
  <c r="X67" i="31"/>
  <c r="R67" i="31"/>
  <c r="S67" i="31" s="1"/>
  <c r="T67" i="31" s="1"/>
  <c r="O67" i="31"/>
  <c r="P67" i="31" s="1"/>
  <c r="AE66" i="31"/>
  <c r="AG66" i="31" s="1"/>
  <c r="AA66" i="31"/>
  <c r="X66" i="31"/>
  <c r="R66" i="31"/>
  <c r="AA65" i="31"/>
  <c r="X65" i="31"/>
  <c r="R65" i="31"/>
  <c r="AI64" i="31"/>
  <c r="AH64" i="31" s="1"/>
  <c r="AA64" i="31"/>
  <c r="X64" i="31"/>
  <c r="AE65" i="31" s="1"/>
  <c r="AF65" i="31" s="1"/>
  <c r="R64" i="31"/>
  <c r="AA63" i="31"/>
  <c r="X63" i="31"/>
  <c r="AE64" i="31" s="1"/>
  <c r="R63" i="31"/>
  <c r="AA62" i="31"/>
  <c r="X62" i="31"/>
  <c r="AI63" i="31" s="1"/>
  <c r="AH63" i="31" s="1"/>
  <c r="R62" i="31"/>
  <c r="AA61" i="31"/>
  <c r="X61" i="31"/>
  <c r="AE62" i="31" s="1"/>
  <c r="R61" i="31"/>
  <c r="S61" i="31" s="1"/>
  <c r="O61" i="31"/>
  <c r="P61" i="31" s="1"/>
  <c r="AA60" i="31"/>
  <c r="X60" i="31"/>
  <c r="R60" i="31"/>
  <c r="AA59" i="31"/>
  <c r="X59" i="31"/>
  <c r="AI60" i="31" s="1"/>
  <c r="AH60" i="31" s="1"/>
  <c r="R59" i="31"/>
  <c r="AI58" i="31"/>
  <c r="AH58" i="31" s="1"/>
  <c r="AA58" i="31"/>
  <c r="X58" i="31"/>
  <c r="R58" i="31"/>
  <c r="AA57" i="31"/>
  <c r="X57" i="31"/>
  <c r="AE58" i="31" s="1"/>
  <c r="R57" i="31"/>
  <c r="AA56" i="31"/>
  <c r="X56" i="31"/>
  <c r="AI57" i="31" s="1"/>
  <c r="AH57" i="31" s="1"/>
  <c r="R56" i="31"/>
  <c r="AA55" i="31"/>
  <c r="X55" i="31"/>
  <c r="R55" i="31"/>
  <c r="S55" i="31" s="1"/>
  <c r="T55" i="31" s="1"/>
  <c r="O55" i="31"/>
  <c r="AA54" i="31"/>
  <c r="X54" i="31"/>
  <c r="R54" i="31"/>
  <c r="AA53" i="31"/>
  <c r="X53" i="31"/>
  <c r="R53" i="31"/>
  <c r="AE52" i="31"/>
  <c r="AG52" i="31" s="1"/>
  <c r="AA52" i="31"/>
  <c r="X52" i="31"/>
  <c r="R52" i="31"/>
  <c r="AA51" i="31"/>
  <c r="X51" i="31"/>
  <c r="AI52" i="31" s="1"/>
  <c r="AH52" i="31" s="1"/>
  <c r="R51" i="31"/>
  <c r="AA50" i="31"/>
  <c r="X50" i="31"/>
  <c r="AE51" i="31" s="1"/>
  <c r="AF51" i="31" s="1"/>
  <c r="R50" i="31"/>
  <c r="AE49" i="31"/>
  <c r="AG49" i="31" s="1"/>
  <c r="AA49" i="31"/>
  <c r="X49" i="31"/>
  <c r="AI49" i="31" s="1"/>
  <c r="AH49" i="31" s="1"/>
  <c r="R49" i="31"/>
  <c r="S49" i="31" s="1"/>
  <c r="T49" i="31" s="1"/>
  <c r="O49" i="31"/>
  <c r="P49" i="31" s="1"/>
  <c r="AA48" i="31"/>
  <c r="X48" i="31"/>
  <c r="AI48" i="31" s="1"/>
  <c r="AH48" i="31" s="1"/>
  <c r="R48" i="31"/>
  <c r="AI47" i="31"/>
  <c r="AH47" i="31" s="1"/>
  <c r="AA47" i="31"/>
  <c r="X47" i="31"/>
  <c r="AE48" i="31" s="1"/>
  <c r="AF48" i="31" s="1"/>
  <c r="R47" i="31"/>
  <c r="AA46" i="31"/>
  <c r="X46" i="31"/>
  <c r="AE46" i="31" s="1"/>
  <c r="R46" i="31"/>
  <c r="AI45" i="31"/>
  <c r="AH45" i="31" s="1"/>
  <c r="AA45" i="31"/>
  <c r="X45" i="31"/>
  <c r="R45" i="31"/>
  <c r="AA44" i="31"/>
  <c r="X44" i="31"/>
  <c r="R44" i="31"/>
  <c r="AA43" i="31"/>
  <c r="X43" i="31"/>
  <c r="AI43" i="31" s="1"/>
  <c r="AH43" i="31" s="1"/>
  <c r="R43" i="31"/>
  <c r="S43" i="31" s="1"/>
  <c r="O43" i="31"/>
  <c r="P43" i="31" s="1"/>
  <c r="AA42" i="31"/>
  <c r="X42" i="31"/>
  <c r="AI42" i="31" s="1"/>
  <c r="AH42" i="31" s="1"/>
  <c r="R42" i="31"/>
  <c r="AI41" i="31"/>
  <c r="AH41" i="31" s="1"/>
  <c r="AA41" i="31"/>
  <c r="X41" i="31"/>
  <c r="R41" i="31"/>
  <c r="AA40" i="31"/>
  <c r="X40" i="31"/>
  <c r="AE41" i="31" s="1"/>
  <c r="R40" i="31"/>
  <c r="AA39" i="31"/>
  <c r="X39" i="31"/>
  <c r="AI40" i="31" s="1"/>
  <c r="AH40" i="31" s="1"/>
  <c r="R39" i="31"/>
  <c r="AA38" i="31"/>
  <c r="X38" i="31"/>
  <c r="R38" i="31"/>
  <c r="AA37" i="31"/>
  <c r="X37" i="31"/>
  <c r="AI38" i="31" s="1"/>
  <c r="AH38" i="31" s="1"/>
  <c r="R37" i="31"/>
  <c r="S37" i="31" s="1"/>
  <c r="T37" i="31" s="1"/>
  <c r="O37" i="31"/>
  <c r="AA36" i="31"/>
  <c r="X36" i="31"/>
  <c r="R36" i="31"/>
  <c r="AA35" i="31"/>
  <c r="X35" i="31"/>
  <c r="AI36" i="31" s="1"/>
  <c r="AH36" i="31" s="1"/>
  <c r="R35" i="31"/>
  <c r="AA34" i="31"/>
  <c r="X34" i="31"/>
  <c r="AE35" i="31" s="1"/>
  <c r="AG35" i="31" s="1"/>
  <c r="R34" i="31"/>
  <c r="AA33" i="31"/>
  <c r="X33" i="31"/>
  <c r="AI34" i="31" s="1"/>
  <c r="AH34" i="31" s="1"/>
  <c r="R33" i="31"/>
  <c r="AA32" i="31"/>
  <c r="X32" i="31"/>
  <c r="AE33" i="31" s="1"/>
  <c r="R32" i="31"/>
  <c r="AI31" i="31"/>
  <c r="AH31" i="31" s="1"/>
  <c r="AA31" i="31"/>
  <c r="X31" i="31"/>
  <c r="AE31" i="31" s="1"/>
  <c r="R31" i="31"/>
  <c r="S31" i="31" s="1"/>
  <c r="T31" i="31" s="1"/>
  <c r="O31" i="31"/>
  <c r="P31" i="31" s="1"/>
  <c r="AE30" i="31"/>
  <c r="AG30" i="31" s="1"/>
  <c r="AA30" i="31"/>
  <c r="X30" i="31"/>
  <c r="R30" i="31"/>
  <c r="AA29" i="31"/>
  <c r="X29" i="31"/>
  <c r="AE29" i="31" s="1"/>
  <c r="AG29" i="31" s="1"/>
  <c r="R29" i="31"/>
  <c r="AI28" i="31"/>
  <c r="AH28" i="31" s="1"/>
  <c r="AA28" i="31"/>
  <c r="X28" i="31"/>
  <c r="R28" i="31"/>
  <c r="AA27" i="31"/>
  <c r="X27" i="31"/>
  <c r="AI27" i="31" s="1"/>
  <c r="AH27" i="31" s="1"/>
  <c r="R27" i="31"/>
  <c r="AA26" i="31"/>
  <c r="X26" i="31"/>
  <c r="R26" i="31"/>
  <c r="AA25" i="31"/>
  <c r="X25" i="31"/>
  <c r="AI26" i="31" s="1"/>
  <c r="AH26" i="31" s="1"/>
  <c r="R25" i="31"/>
  <c r="S25" i="31" s="1"/>
  <c r="O25" i="31"/>
  <c r="P25" i="31" s="1"/>
  <c r="AA24" i="31"/>
  <c r="X24" i="31"/>
  <c r="R24" i="31"/>
  <c r="AA23" i="31"/>
  <c r="X23" i="31"/>
  <c r="AE24" i="31" s="1"/>
  <c r="R23" i="31"/>
  <c r="AA22" i="31"/>
  <c r="X22" i="31"/>
  <c r="R22" i="31"/>
  <c r="AA21" i="31"/>
  <c r="X21" i="31"/>
  <c r="AI22" i="31" s="1"/>
  <c r="AH22" i="31" s="1"/>
  <c r="R21" i="31"/>
  <c r="AE20" i="31"/>
  <c r="AF20" i="31" s="1"/>
  <c r="AA20" i="31"/>
  <c r="X20" i="31"/>
  <c r="R20" i="31"/>
  <c r="AA19" i="31"/>
  <c r="X19" i="31"/>
  <c r="AI19" i="31" s="1"/>
  <c r="AH19" i="31" s="1"/>
  <c r="R19" i="31"/>
  <c r="S19" i="31" s="1"/>
  <c r="T19" i="31" s="1"/>
  <c r="O19" i="31"/>
  <c r="P19" i="31" s="1"/>
  <c r="AA18" i="31"/>
  <c r="X18" i="31"/>
  <c r="AE18" i="31" s="1"/>
  <c r="R18" i="31"/>
  <c r="AA17" i="31"/>
  <c r="X17" i="31"/>
  <c r="R17" i="31"/>
  <c r="AA16" i="31"/>
  <c r="X16" i="31"/>
  <c r="R16" i="31"/>
  <c r="AA15" i="31"/>
  <c r="X15" i="31"/>
  <c r="AI16" i="31" s="1"/>
  <c r="AH16" i="31" s="1"/>
  <c r="R15" i="31"/>
  <c r="AA14" i="31"/>
  <c r="X14" i="31"/>
  <c r="R14" i="31"/>
  <c r="AA13" i="31"/>
  <c r="X13" i="31"/>
  <c r="R13" i="31"/>
  <c r="S13" i="31" s="1"/>
  <c r="O13" i="31"/>
  <c r="P13" i="31" s="1"/>
  <c r="Y19" i="32" l="1"/>
  <c r="AG33" i="31"/>
  <c r="AF33" i="31"/>
  <c r="AG64" i="31"/>
  <c r="AF64" i="31"/>
  <c r="AG46" i="31"/>
  <c r="AF46" i="31"/>
  <c r="AE50" i="31"/>
  <c r="AE60" i="31"/>
  <c r="AI21" i="31"/>
  <c r="AH21" i="31" s="1"/>
  <c r="AI23" i="31"/>
  <c r="AH23" i="31" s="1"/>
  <c r="AI24" i="31"/>
  <c r="AH24" i="31" s="1"/>
  <c r="AI30" i="31"/>
  <c r="AH30" i="31" s="1"/>
  <c r="AE34" i="31"/>
  <c r="AF34" i="31" s="1"/>
  <c r="AJ34" i="31" s="1"/>
  <c r="AE38" i="31"/>
  <c r="AG38" i="31" s="1"/>
  <c r="AE42" i="31"/>
  <c r="AE45" i="31"/>
  <c r="AI53" i="31"/>
  <c r="AH53" i="31" s="1"/>
  <c r="AI61" i="31"/>
  <c r="AH61" i="31" s="1"/>
  <c r="AE63" i="31"/>
  <c r="AF49" i="31"/>
  <c r="AI50" i="31"/>
  <c r="AH50" i="31" s="1"/>
  <c r="AI18" i="31"/>
  <c r="AH18" i="31" s="1"/>
  <c r="AE32" i="31"/>
  <c r="AI56" i="31"/>
  <c r="AH56" i="31" s="1"/>
  <c r="AI59" i="31"/>
  <c r="AH59" i="31" s="1"/>
  <c r="AI66" i="31"/>
  <c r="AH66" i="31" s="1"/>
  <c r="AI33" i="31"/>
  <c r="AH33" i="31" s="1"/>
  <c r="AE37" i="31"/>
  <c r="AF37" i="31" s="1"/>
  <c r="AE47" i="31"/>
  <c r="AI54" i="31"/>
  <c r="AH54" i="31" s="1"/>
  <c r="AI62" i="31"/>
  <c r="AH62" i="31" s="1"/>
  <c r="AI71" i="31"/>
  <c r="AH71" i="31" s="1"/>
  <c r="AI72" i="31"/>
  <c r="AH72" i="31" s="1"/>
  <c r="AE17" i="31"/>
  <c r="AF17" i="31" s="1"/>
  <c r="AE19" i="31"/>
  <c r="AF19" i="31" s="1"/>
  <c r="AE28" i="31"/>
  <c r="AE55" i="31"/>
  <c r="AG55" i="31" s="1"/>
  <c r="AE59" i="31"/>
  <c r="AE21" i="31"/>
  <c r="AG21" i="31" s="1"/>
  <c r="AE27" i="31"/>
  <c r="AI35" i="31"/>
  <c r="AH35" i="31" s="1"/>
  <c r="AI39" i="31"/>
  <c r="AH39" i="31" s="1"/>
  <c r="AI44" i="31"/>
  <c r="AH44" i="31" s="1"/>
  <c r="AE61" i="31"/>
  <c r="AF29" i="31"/>
  <c r="AF30" i="31"/>
  <c r="U13" i="31"/>
  <c r="Y49" i="32"/>
  <c r="X49" i="32"/>
  <c r="AK68" i="32"/>
  <c r="AJ68" i="32"/>
  <c r="AN68" i="32" s="1"/>
  <c r="AK51" i="32"/>
  <c r="AJ51" i="32"/>
  <c r="AK48" i="32"/>
  <c r="AJ48" i="32"/>
  <c r="AN48" i="32" s="1"/>
  <c r="AK65" i="32"/>
  <c r="AJ65" i="32"/>
  <c r="AK38" i="32"/>
  <c r="AJ38" i="32"/>
  <c r="AI71" i="32"/>
  <c r="AI17" i="32"/>
  <c r="AI18" i="32"/>
  <c r="AI34" i="32"/>
  <c r="AJ35" i="32"/>
  <c r="AM39" i="32"/>
  <c r="AL39" i="32" s="1"/>
  <c r="AI47" i="32"/>
  <c r="AJ47" i="32" s="1"/>
  <c r="AN47" i="32" s="1"/>
  <c r="AJ54" i="32"/>
  <c r="AN54" i="32" s="1"/>
  <c r="AJ55" i="32"/>
  <c r="AN55" i="32" s="1"/>
  <c r="AI20" i="32"/>
  <c r="AK20" i="32" s="1"/>
  <c r="AI19" i="32"/>
  <c r="AI23" i="32"/>
  <c r="AJ23" i="32" s="1"/>
  <c r="AI25" i="32"/>
  <c r="AJ25" i="32" s="1"/>
  <c r="AM32" i="32"/>
  <c r="AL32" i="32" s="1"/>
  <c r="AM23" i="32"/>
  <c r="AL23" i="32" s="1"/>
  <c r="AM25" i="32"/>
  <c r="AL25" i="32" s="1"/>
  <c r="T55" i="32"/>
  <c r="AM67" i="32"/>
  <c r="AL67" i="32" s="1"/>
  <c r="AI24" i="32"/>
  <c r="AJ24" i="32" s="1"/>
  <c r="AN24" i="32" s="1"/>
  <c r="AI29" i="32"/>
  <c r="AK29" i="32" s="1"/>
  <c r="Y43" i="32"/>
  <c r="AM57" i="32"/>
  <c r="AL57" i="32" s="1"/>
  <c r="AM70" i="32"/>
  <c r="AL70" i="32" s="1"/>
  <c r="AI70" i="32"/>
  <c r="AK70" i="32" s="1"/>
  <c r="AM51" i="32"/>
  <c r="AL51" i="32" s="1"/>
  <c r="AN51" i="32" s="1"/>
  <c r="AI57" i="32"/>
  <c r="AI22" i="32"/>
  <c r="AJ22" i="32" s="1"/>
  <c r="AI40" i="32"/>
  <c r="AK40" i="32" s="1"/>
  <c r="AM59" i="32"/>
  <c r="AL59" i="32" s="1"/>
  <c r="AM60" i="32"/>
  <c r="AL60" i="32" s="1"/>
  <c r="AM65" i="32"/>
  <c r="AL65" i="32" s="1"/>
  <c r="AN65" i="32" s="1"/>
  <c r="AM16" i="32"/>
  <c r="AL16" i="32" s="1"/>
  <c r="AI16" i="32"/>
  <c r="AK16" i="32" s="1"/>
  <c r="AM37" i="32"/>
  <c r="AL37" i="32" s="1"/>
  <c r="AM40" i="32"/>
  <c r="AL40" i="32" s="1"/>
  <c r="AI50" i="32"/>
  <c r="AI52" i="32"/>
  <c r="AI56" i="32"/>
  <c r="AK56" i="32" s="1"/>
  <c r="AI64" i="32"/>
  <c r="AK64" i="32" s="1"/>
  <c r="AI66" i="32"/>
  <c r="AI69" i="32"/>
  <c r="AI21" i="32"/>
  <c r="AI26" i="32"/>
  <c r="AJ26" i="32" s="1"/>
  <c r="AN26" i="32" s="1"/>
  <c r="AI30" i="32"/>
  <c r="AK30" i="32" s="1"/>
  <c r="AM33" i="32"/>
  <c r="AL33" i="32" s="1"/>
  <c r="AM42" i="32"/>
  <c r="AL42" i="32" s="1"/>
  <c r="AM44" i="32"/>
  <c r="AL44" i="32" s="1"/>
  <c r="AI67" i="32"/>
  <c r="AE16" i="31"/>
  <c r="AG16" i="31" s="1"/>
  <c r="Y13" i="32"/>
  <c r="Y25" i="32"/>
  <c r="AK46" i="32"/>
  <c r="AJ46" i="32"/>
  <c r="AN46" i="32" s="1"/>
  <c r="AK50" i="32"/>
  <c r="AJ50" i="32"/>
  <c r="Y61" i="32"/>
  <c r="AK33" i="32"/>
  <c r="AJ33" i="32"/>
  <c r="Y37" i="32"/>
  <c r="AK60" i="32"/>
  <c r="AJ60" i="32"/>
  <c r="AJ34" i="32"/>
  <c r="AN34" i="32" s="1"/>
  <c r="AK34" i="32"/>
  <c r="AK47" i="32"/>
  <c r="AK15" i="32"/>
  <c r="AJ15" i="32"/>
  <c r="AN15" i="32" s="1"/>
  <c r="AJ37" i="32"/>
  <c r="AK37" i="32"/>
  <c r="AK63" i="32"/>
  <c r="AJ63" i="32"/>
  <c r="AN63" i="32" s="1"/>
  <c r="AK72" i="32"/>
  <c r="AJ72" i="32"/>
  <c r="AN72" i="32" s="1"/>
  <c r="AJ29" i="32"/>
  <c r="AN29" i="32" s="1"/>
  <c r="AM50" i="32"/>
  <c r="AL50" i="32" s="1"/>
  <c r="AJ53" i="32"/>
  <c r="AJ56" i="32"/>
  <c r="AM64" i="32"/>
  <c r="AL64" i="32" s="1"/>
  <c r="X67" i="32"/>
  <c r="AJ70" i="32"/>
  <c r="T25" i="32"/>
  <c r="AJ40" i="32"/>
  <c r="T13" i="32"/>
  <c r="AI13" i="32" s="1"/>
  <c r="AI28" i="32"/>
  <c r="AI31" i="32"/>
  <c r="AM35" i="32"/>
  <c r="AL35" i="32" s="1"/>
  <c r="AN35" i="32" s="1"/>
  <c r="AM38" i="32"/>
  <c r="AL38" i="32" s="1"/>
  <c r="AN38" i="32" s="1"/>
  <c r="AI42" i="32"/>
  <c r="AK43" i="32"/>
  <c r="AI45" i="32"/>
  <c r="AI59" i="32"/>
  <c r="T61" i="32"/>
  <c r="AI62" i="32"/>
  <c r="AI27" i="32"/>
  <c r="AI32" i="32"/>
  <c r="AI49" i="32"/>
  <c r="AM53" i="32"/>
  <c r="AL53" i="32" s="1"/>
  <c r="AM56" i="32"/>
  <c r="AL56" i="32" s="1"/>
  <c r="AJ36" i="32"/>
  <c r="AN36" i="32" s="1"/>
  <c r="AJ39" i="32"/>
  <c r="AN39" i="32" s="1"/>
  <c r="AK25" i="32"/>
  <c r="T43" i="32"/>
  <c r="AI61" i="32"/>
  <c r="AM43" i="32"/>
  <c r="AL43" i="32" s="1"/>
  <c r="AN43" i="32" s="1"/>
  <c r="AI41" i="32"/>
  <c r="AI44" i="32"/>
  <c r="AM13" i="32"/>
  <c r="AM61" i="32"/>
  <c r="AL61" i="32" s="1"/>
  <c r="X19" i="32"/>
  <c r="AM19" i="32" s="1"/>
  <c r="AI58" i="32"/>
  <c r="AJ33" i="31"/>
  <c r="U61" i="31"/>
  <c r="T61" i="31"/>
  <c r="T43" i="31"/>
  <c r="U43" i="31"/>
  <c r="AJ49" i="31"/>
  <c r="AJ67" i="31"/>
  <c r="U49" i="31"/>
  <c r="U31" i="31"/>
  <c r="U37" i="31"/>
  <c r="AJ48" i="31"/>
  <c r="AJ64" i="31"/>
  <c r="T13" i="31"/>
  <c r="AI13" i="31" s="1"/>
  <c r="AG42" i="31"/>
  <c r="AF42" i="31"/>
  <c r="AJ42" i="31" s="1"/>
  <c r="AG72" i="31"/>
  <c r="AF72" i="31"/>
  <c r="AG59" i="31"/>
  <c r="AF59" i="31"/>
  <c r="AJ59" i="31" s="1"/>
  <c r="AG27" i="31"/>
  <c r="AF27" i="31"/>
  <c r="AJ27" i="31" s="1"/>
  <c r="U25" i="31"/>
  <c r="T25" i="31"/>
  <c r="AG31" i="31"/>
  <c r="AF31" i="31"/>
  <c r="AJ31" i="31" s="1"/>
  <c r="AG18" i="31"/>
  <c r="AF18" i="31"/>
  <c r="AJ18" i="31" s="1"/>
  <c r="AJ19" i="31"/>
  <c r="AJ30" i="31"/>
  <c r="AG45" i="31"/>
  <c r="AF45" i="31"/>
  <c r="AJ45" i="31" s="1"/>
  <c r="U67" i="31"/>
  <c r="AG58" i="31"/>
  <c r="AF58" i="31"/>
  <c r="AJ58" i="31" s="1"/>
  <c r="AG24" i="31"/>
  <c r="AF24" i="31"/>
  <c r="AJ24" i="31" s="1"/>
  <c r="AG41" i="31"/>
  <c r="AF41" i="31"/>
  <c r="AJ41" i="31" s="1"/>
  <c r="AG62" i="31"/>
  <c r="AF62" i="31"/>
  <c r="AJ62" i="31" s="1"/>
  <c r="U19" i="31"/>
  <c r="AG28" i="31"/>
  <c r="AF28" i="31"/>
  <c r="AJ28" i="31" s="1"/>
  <c r="U55" i="31"/>
  <c r="P37" i="31"/>
  <c r="AG20" i="31"/>
  <c r="AF21" i="31"/>
  <c r="AJ21" i="31" s="1"/>
  <c r="AE22" i="31"/>
  <c r="AE25" i="31"/>
  <c r="AI29" i="31"/>
  <c r="AH29" i="31" s="1"/>
  <c r="AJ29" i="31" s="1"/>
  <c r="AI32" i="31"/>
  <c r="AH32" i="31" s="1"/>
  <c r="AF35" i="31"/>
  <c r="AE36" i="31"/>
  <c r="AG37" i="31"/>
  <c r="AF38" i="31"/>
  <c r="AJ38" i="31" s="1"/>
  <c r="AE39" i="31"/>
  <c r="AI46" i="31"/>
  <c r="AH46" i="31" s="1"/>
  <c r="AJ46" i="31" s="1"/>
  <c r="AG48" i="31"/>
  <c r="AG51" i="31"/>
  <c r="AF52" i="31"/>
  <c r="AJ52" i="31" s="1"/>
  <c r="AE53" i="31"/>
  <c r="P55" i="31"/>
  <c r="AF55" i="31"/>
  <c r="AE56" i="31"/>
  <c r="AG65" i="31"/>
  <c r="AF66" i="31"/>
  <c r="AJ66" i="31" s="1"/>
  <c r="AG68" i="31"/>
  <c r="AF69" i="31"/>
  <c r="AJ69" i="31" s="1"/>
  <c r="AE70" i="31"/>
  <c r="AE23" i="31"/>
  <c r="AE26" i="31"/>
  <c r="AE40" i="31"/>
  <c r="AE43" i="31"/>
  <c r="AE54" i="31"/>
  <c r="AE57" i="31"/>
  <c r="AE71" i="31"/>
  <c r="AE13" i="31"/>
  <c r="AI17" i="31"/>
  <c r="AH17" i="31" s="1"/>
  <c r="AI20" i="31"/>
  <c r="AH20" i="31" s="1"/>
  <c r="AJ20" i="31" s="1"/>
  <c r="AI37" i="31"/>
  <c r="AH37" i="31" s="1"/>
  <c r="AJ37" i="31" s="1"/>
  <c r="AE44" i="31"/>
  <c r="AI51" i="31"/>
  <c r="AH51" i="31" s="1"/>
  <c r="AJ51" i="31" s="1"/>
  <c r="AI65" i="31"/>
  <c r="AH65" i="31" s="1"/>
  <c r="AJ65" i="31" s="1"/>
  <c r="AI68" i="31"/>
  <c r="AH68" i="31" s="1"/>
  <c r="AJ68" i="31" s="1"/>
  <c r="AI55" i="31"/>
  <c r="AH55" i="31" s="1"/>
  <c r="AI25" i="31"/>
  <c r="AH25" i="31" s="1"/>
  <c r="O13" i="1"/>
  <c r="P13" i="1" s="1"/>
  <c r="X13" i="1"/>
  <c r="AA13" i="1"/>
  <c r="X14" i="1"/>
  <c r="AA14" i="1"/>
  <c r="X15" i="1"/>
  <c r="AA15" i="1"/>
  <c r="X16" i="1"/>
  <c r="AA16" i="1"/>
  <c r="X17" i="1"/>
  <c r="AA17" i="1"/>
  <c r="X18" i="1"/>
  <c r="AA18" i="1"/>
  <c r="R17" i="1"/>
  <c r="R15" i="1"/>
  <c r="R16" i="1"/>
  <c r="R14" i="1"/>
  <c r="R18" i="1"/>
  <c r="AL19" i="32" l="1"/>
  <c r="AM20" i="32"/>
  <c r="AK23" i="32"/>
  <c r="AJ35" i="31"/>
  <c r="AJ72" i="31"/>
  <c r="AJ17" i="31"/>
  <c r="AG17" i="31"/>
  <c r="AG60" i="31"/>
  <c r="AF60" i="31"/>
  <c r="AJ60" i="31" s="1"/>
  <c r="AG34" i="31"/>
  <c r="AG19" i="31"/>
  <c r="AG32" i="31"/>
  <c r="AF32" i="31"/>
  <c r="AJ32" i="31" s="1"/>
  <c r="AG50" i="31"/>
  <c r="AF50" i="31"/>
  <c r="AJ50" i="31" s="1"/>
  <c r="AG47" i="31"/>
  <c r="AF47" i="31"/>
  <c r="AJ47" i="31" s="1"/>
  <c r="AF61" i="31"/>
  <c r="AJ61" i="31" s="1"/>
  <c r="AG61" i="31"/>
  <c r="AF63" i="31"/>
  <c r="AJ63" i="31" s="1"/>
  <c r="AG63" i="31"/>
  <c r="AF16" i="31"/>
  <c r="AJ16" i="31" s="1"/>
  <c r="AN40" i="32"/>
  <c r="AN60" i="32"/>
  <c r="AN70" i="32"/>
  <c r="AK26" i="32"/>
  <c r="AJ30" i="32"/>
  <c r="AN30" i="32" s="1"/>
  <c r="AK24" i="32"/>
  <c r="AJ20" i="32"/>
  <c r="AK22" i="32"/>
  <c r="AJ16" i="32"/>
  <c r="AN16" i="32" s="1"/>
  <c r="AH13" i="31"/>
  <c r="AI14" i="31"/>
  <c r="AH14" i="31" s="1"/>
  <c r="AI15" i="31"/>
  <c r="AH15" i="31" s="1"/>
  <c r="AJ21" i="32"/>
  <c r="AK21" i="32"/>
  <c r="AK57" i="32"/>
  <c r="AJ57" i="32"/>
  <c r="AN57" i="32" s="1"/>
  <c r="AK19" i="32"/>
  <c r="AJ19" i="32"/>
  <c r="AN19" i="32" s="1"/>
  <c r="AJ18" i="32"/>
  <c r="AN18" i="32" s="1"/>
  <c r="AK18" i="32"/>
  <c r="AN33" i="32"/>
  <c r="AJ69" i="32"/>
  <c r="AN69" i="32" s="1"/>
  <c r="AK69" i="32"/>
  <c r="AK17" i="32"/>
  <c r="AJ17" i="32"/>
  <c r="AN17" i="32" s="1"/>
  <c r="AK71" i="32"/>
  <c r="AJ71" i="32"/>
  <c r="AN71" i="32" s="1"/>
  <c r="AJ66" i="32"/>
  <c r="AN66" i="32" s="1"/>
  <c r="AK66" i="32"/>
  <c r="AN37" i="32"/>
  <c r="AK67" i="32"/>
  <c r="AJ67" i="32"/>
  <c r="AN67" i="32" s="1"/>
  <c r="AJ64" i="32"/>
  <c r="AJ52" i="32"/>
  <c r="AN52" i="32" s="1"/>
  <c r="AK52" i="32"/>
  <c r="AN25" i="32"/>
  <c r="AN23" i="32"/>
  <c r="AK13" i="32"/>
  <c r="AI14" i="32" s="1"/>
  <c r="AJ13" i="32"/>
  <c r="AN13" i="32" s="1"/>
  <c r="AK45" i="32"/>
  <c r="AJ45" i="32"/>
  <c r="AN45" i="32" s="1"/>
  <c r="AK61" i="32"/>
  <c r="AJ61" i="32"/>
  <c r="AN61" i="32" s="1"/>
  <c r="AN56" i="32"/>
  <c r="AN50" i="32"/>
  <c r="AK58" i="32"/>
  <c r="AJ58" i="32"/>
  <c r="AN58" i="32" s="1"/>
  <c r="AK49" i="32"/>
  <c r="AJ49" i="32"/>
  <c r="AN49" i="32" s="1"/>
  <c r="AK42" i="32"/>
  <c r="AJ42" i="32"/>
  <c r="AN42" i="32" s="1"/>
  <c r="AN53" i="32"/>
  <c r="AK32" i="32"/>
  <c r="AJ32" i="32"/>
  <c r="AN32" i="32" s="1"/>
  <c r="AK62" i="32"/>
  <c r="AJ62" i="32"/>
  <c r="AN62" i="32" s="1"/>
  <c r="AK31" i="32"/>
  <c r="AJ31" i="32"/>
  <c r="AN31" i="32" s="1"/>
  <c r="AM14" i="32"/>
  <c r="AL14" i="32" s="1"/>
  <c r="AK44" i="32"/>
  <c r="AJ44" i="32"/>
  <c r="AN44" i="32" s="1"/>
  <c r="AN64" i="32"/>
  <c r="AK27" i="32"/>
  <c r="AJ27" i="32"/>
  <c r="AN27" i="32" s="1"/>
  <c r="AK28" i="32"/>
  <c r="AJ28" i="32"/>
  <c r="AN28" i="32" s="1"/>
  <c r="AK41" i="32"/>
  <c r="AJ41" i="32"/>
  <c r="AN41" i="32" s="1"/>
  <c r="AK59" i="32"/>
  <c r="AJ59" i="32"/>
  <c r="AN59" i="32" s="1"/>
  <c r="AG40" i="31"/>
  <c r="AF40" i="31"/>
  <c r="AJ40" i="31" s="1"/>
  <c r="AG56" i="31"/>
  <c r="AF56" i="31"/>
  <c r="AJ56" i="31" s="1"/>
  <c r="AG39" i="31"/>
  <c r="AF39" i="31"/>
  <c r="AJ39" i="31" s="1"/>
  <c r="AG25" i="31"/>
  <c r="AF25" i="31"/>
  <c r="AJ25" i="31" s="1"/>
  <c r="AG44" i="31"/>
  <c r="AF44" i="31"/>
  <c r="AJ44" i="31" s="1"/>
  <c r="AG22" i="31"/>
  <c r="AF22" i="31"/>
  <c r="AJ22" i="31" s="1"/>
  <c r="AG26" i="31"/>
  <c r="AF26" i="31"/>
  <c r="AJ26" i="31" s="1"/>
  <c r="AJ55" i="31"/>
  <c r="AG23" i="31"/>
  <c r="AF23" i="31"/>
  <c r="AJ23" i="31" s="1"/>
  <c r="AG57" i="31"/>
  <c r="AF57" i="31"/>
  <c r="AJ57" i="31" s="1"/>
  <c r="AG13" i="31"/>
  <c r="AE14" i="31" s="1"/>
  <c r="AF13" i="31"/>
  <c r="AG70" i="31"/>
  <c r="AF70" i="31"/>
  <c r="AJ70" i="31" s="1"/>
  <c r="AG53" i="31"/>
  <c r="AF53" i="31"/>
  <c r="AJ53" i="31" s="1"/>
  <c r="AG36" i="31"/>
  <c r="AF36" i="31"/>
  <c r="AJ36" i="31" s="1"/>
  <c r="AG54" i="31"/>
  <c r="AF54" i="31"/>
  <c r="AJ54" i="31" s="1"/>
  <c r="AG43" i="31"/>
  <c r="AF43" i="31"/>
  <c r="AJ43" i="31" s="1"/>
  <c r="AG71" i="31"/>
  <c r="AF71" i="31"/>
  <c r="AJ71" i="31" s="1"/>
  <c r="AE17" i="1"/>
  <c r="AF17" i="1" s="1"/>
  <c r="AI18" i="1"/>
  <c r="AH18" i="1" s="1"/>
  <c r="AE18" i="1"/>
  <c r="AG18" i="1" s="1"/>
  <c r="AI16" i="1"/>
  <c r="AH16" i="1" s="1"/>
  <c r="AE13" i="1"/>
  <c r="AG13" i="1" s="1"/>
  <c r="AE14" i="1" s="1"/>
  <c r="AI17" i="1"/>
  <c r="AH17" i="1" s="1"/>
  <c r="AE16" i="1"/>
  <c r="AL20" i="32" l="1"/>
  <c r="AN20" i="32" s="1"/>
  <c r="AM21" i="32"/>
  <c r="AJ13" i="31"/>
  <c r="AK14" i="32"/>
  <c r="AJ14" i="32"/>
  <c r="AN14" i="32" s="1"/>
  <c r="AG14" i="31"/>
  <c r="AE15" i="31" s="1"/>
  <c r="AF14" i="31"/>
  <c r="AJ14" i="31" s="1"/>
  <c r="AG17" i="1"/>
  <c r="AF18" i="1"/>
  <c r="AJ18" i="1" s="1"/>
  <c r="AI15" i="1"/>
  <c r="AH15" i="1" s="1"/>
  <c r="AF13" i="1"/>
  <c r="AF14" i="1"/>
  <c r="AG14" i="1"/>
  <c r="AE15" i="1" s="1"/>
  <c r="AF15" i="1" s="1"/>
  <c r="AF16" i="1"/>
  <c r="AJ16" i="1" s="1"/>
  <c r="AG16" i="1"/>
  <c r="AJ17" i="1"/>
  <c r="AL21" i="32" l="1"/>
  <c r="AN21" i="32" s="1"/>
  <c r="AM22" i="32"/>
  <c r="AL22" i="32" s="1"/>
  <c r="AN22" i="32" s="1"/>
  <c r="AG15" i="31"/>
  <c r="AF15" i="31"/>
  <c r="AJ15" i="31" s="1"/>
  <c r="AJ15" i="1"/>
  <c r="AG15" i="1"/>
  <c r="O55" i="1" l="1"/>
  <c r="X19" i="1" l="1"/>
  <c r="X20" i="1"/>
  <c r="AI20" i="1" l="1"/>
  <c r="AI19" i="1"/>
  <c r="E24" i="22"/>
  <c r="E8" i="13"/>
  <c r="E7" i="13"/>
  <c r="E6" i="13"/>
  <c r="E5" i="13"/>
  <c r="R22" i="1"/>
  <c r="R71" i="1"/>
  <c r="R38" i="1"/>
  <c r="R54" i="1"/>
  <c r="R20" i="1"/>
  <c r="R35" i="1"/>
  <c r="R32" i="1"/>
  <c r="R42" i="1"/>
  <c r="R47" i="1"/>
  <c r="R59" i="1"/>
  <c r="R64" i="1"/>
  <c r="R40" i="1"/>
  <c r="R70" i="1"/>
  <c r="R45" i="1"/>
  <c r="R30" i="1"/>
  <c r="R63" i="1"/>
  <c r="R28" i="1"/>
  <c r="R29" i="1"/>
  <c r="R57" i="1"/>
  <c r="R24" i="1"/>
  <c r="R58" i="1"/>
  <c r="R62" i="1"/>
  <c r="R69" i="1"/>
  <c r="R68" i="1"/>
  <c r="R21" i="1"/>
  <c r="R46" i="1"/>
  <c r="R44" i="1"/>
  <c r="R53" i="1"/>
  <c r="R50" i="1"/>
  <c r="R36" i="1"/>
  <c r="R39" i="1"/>
  <c r="R23" i="1"/>
  <c r="R51" i="1"/>
  <c r="R41" i="1"/>
  <c r="R72" i="1"/>
  <c r="R27" i="1"/>
  <c r="R26" i="1"/>
  <c r="R65" i="1"/>
  <c r="R48" i="1"/>
  <c r="R56" i="1"/>
  <c r="R33" i="1"/>
  <c r="R60" i="1"/>
  <c r="R34" i="1"/>
  <c r="R52" i="1"/>
  <c r="R66" i="1"/>
  <c r="F222" i="13" l="1"/>
  <c r="F212" i="13"/>
  <c r="F213" i="13"/>
  <c r="F214" i="13"/>
  <c r="F215" i="13"/>
  <c r="F216" i="13"/>
  <c r="F217" i="13"/>
  <c r="F218" i="13"/>
  <c r="F219" i="13"/>
  <c r="F220" i="13"/>
  <c r="F221" i="13"/>
  <c r="F211" i="13"/>
  <c r="B222" i="13" a="1"/>
  <c r="B222" i="13" l="1"/>
  <c r="R13" i="1" s="1"/>
  <c r="S13" i="1" s="1"/>
  <c r="X55" i="1"/>
  <c r="X50" i="1"/>
  <c r="X44" i="1"/>
  <c r="AI55" i="1" l="1"/>
  <c r="T13" i="1"/>
  <c r="AI13" i="1" s="1"/>
  <c r="U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H13" i="1" l="1"/>
  <c r="AJ13" i="1" s="1"/>
  <c r="AI14" i="1"/>
  <c r="AH14" i="1" s="1"/>
  <c r="AJ14" i="1" s="1"/>
  <c r="AA72" i="1"/>
  <c r="X72" i="1"/>
  <c r="AA71" i="1"/>
  <c r="X71" i="1"/>
  <c r="AA70" i="1"/>
  <c r="X70" i="1"/>
  <c r="AA69" i="1"/>
  <c r="X69" i="1"/>
  <c r="AA68" i="1"/>
  <c r="X68" i="1"/>
  <c r="AA67" i="1"/>
  <c r="X67" i="1"/>
  <c r="O67" i="1"/>
  <c r="P67" i="1" s="1"/>
  <c r="AA66" i="1"/>
  <c r="X66" i="1"/>
  <c r="AA65" i="1"/>
  <c r="X65" i="1"/>
  <c r="AA64" i="1"/>
  <c r="X64" i="1"/>
  <c r="AA63" i="1"/>
  <c r="X63" i="1"/>
  <c r="AA62" i="1"/>
  <c r="X62" i="1"/>
  <c r="AA61" i="1"/>
  <c r="X61" i="1"/>
  <c r="O61" i="1"/>
  <c r="P61" i="1" s="1"/>
  <c r="AA60" i="1"/>
  <c r="X60" i="1"/>
  <c r="AA59" i="1"/>
  <c r="X59" i="1"/>
  <c r="AA58" i="1"/>
  <c r="X58" i="1"/>
  <c r="AA57" i="1"/>
  <c r="X57" i="1"/>
  <c r="AA56" i="1"/>
  <c r="X56" i="1"/>
  <c r="AA55" i="1"/>
  <c r="P55" i="1"/>
  <c r="AA54" i="1"/>
  <c r="X54" i="1"/>
  <c r="AA53" i="1"/>
  <c r="X53" i="1"/>
  <c r="AA52" i="1"/>
  <c r="X52" i="1"/>
  <c r="AA51" i="1"/>
  <c r="X51" i="1"/>
  <c r="AA50" i="1"/>
  <c r="AA49" i="1"/>
  <c r="X49" i="1"/>
  <c r="O49" i="1"/>
  <c r="P49" i="1" s="1"/>
  <c r="AA48" i="1"/>
  <c r="X48" i="1"/>
  <c r="AA47" i="1"/>
  <c r="X47" i="1"/>
  <c r="AA46" i="1"/>
  <c r="X46" i="1"/>
  <c r="AA45" i="1"/>
  <c r="X45" i="1"/>
  <c r="AA44" i="1"/>
  <c r="AA43" i="1"/>
  <c r="X43" i="1"/>
  <c r="O43" i="1"/>
  <c r="P43" i="1" s="1"/>
  <c r="AA42" i="1"/>
  <c r="X42" i="1"/>
  <c r="AA41" i="1"/>
  <c r="X41" i="1"/>
  <c r="AA40" i="1"/>
  <c r="X40" i="1"/>
  <c r="AA39" i="1"/>
  <c r="X39" i="1"/>
  <c r="AA38" i="1"/>
  <c r="X38" i="1"/>
  <c r="AA37" i="1"/>
  <c r="X37" i="1"/>
  <c r="O37" i="1"/>
  <c r="AA36" i="1"/>
  <c r="X36" i="1"/>
  <c r="AA35" i="1"/>
  <c r="X35" i="1"/>
  <c r="AA34" i="1"/>
  <c r="X34" i="1"/>
  <c r="AA33" i="1"/>
  <c r="X33" i="1"/>
  <c r="AA32" i="1"/>
  <c r="X32" i="1"/>
  <c r="AA31" i="1"/>
  <c r="X31" i="1"/>
  <c r="O31" i="1"/>
  <c r="P31" i="1" s="1"/>
  <c r="AA30" i="1"/>
  <c r="X30" i="1"/>
  <c r="AA29" i="1"/>
  <c r="X29" i="1"/>
  <c r="AA28" i="1"/>
  <c r="X28" i="1"/>
  <c r="AA27" i="1"/>
  <c r="X27" i="1"/>
  <c r="AA26" i="1"/>
  <c r="X26" i="1"/>
  <c r="AA25" i="1"/>
  <c r="X25" i="1"/>
  <c r="O25" i="1"/>
  <c r="P25" i="1" s="1"/>
  <c r="O19" i="1"/>
  <c r="AA24" i="1"/>
  <c r="X24" i="1"/>
  <c r="AA23" i="1"/>
  <c r="X23" i="1"/>
  <c r="AA22" i="1"/>
  <c r="X22" i="1"/>
  <c r="AA21" i="1"/>
  <c r="X21" i="1"/>
  <c r="AA20" i="1"/>
  <c r="AA19" i="1"/>
  <c r="P37" i="1" l="1"/>
  <c r="AI29" i="1"/>
  <c r="AI40" i="1"/>
  <c r="AI48" i="1"/>
  <c r="AI60" i="1"/>
  <c r="AI71" i="1"/>
  <c r="AI23" i="1"/>
  <c r="AI30" i="1"/>
  <c r="AI41" i="1"/>
  <c r="AI36" i="1"/>
  <c r="AI63" i="1"/>
  <c r="AI64" i="1"/>
  <c r="AI34" i="1"/>
  <c r="AI65" i="1"/>
  <c r="AI28" i="1"/>
  <c r="AI39" i="1"/>
  <c r="AI47" i="1"/>
  <c r="AI59" i="1"/>
  <c r="AI70" i="1"/>
  <c r="AI33" i="1"/>
  <c r="AI53" i="1"/>
  <c r="AH53" i="1" s="1"/>
  <c r="AI72" i="1"/>
  <c r="AI31" i="1"/>
  <c r="AI32" i="1"/>
  <c r="AI22" i="1"/>
  <c r="AI21" i="1"/>
  <c r="AI44" i="1"/>
  <c r="AI43" i="1"/>
  <c r="AI26" i="1"/>
  <c r="AI25" i="1"/>
  <c r="AI57" i="1"/>
  <c r="AI56" i="1"/>
  <c r="AI68" i="1"/>
  <c r="AI67" i="1"/>
  <c r="AI52" i="1"/>
  <c r="AI51" i="1"/>
  <c r="AI24" i="1"/>
  <c r="AI27" i="1"/>
  <c r="AI38" i="1"/>
  <c r="AI37" i="1"/>
  <c r="AI42" i="1"/>
  <c r="AI46" i="1"/>
  <c r="AI45" i="1"/>
  <c r="AI54" i="1"/>
  <c r="AH54" i="1" s="1"/>
  <c r="AI58" i="1"/>
  <c r="AI69" i="1"/>
  <c r="AI35" i="1"/>
  <c r="AI50" i="1"/>
  <c r="AI49" i="1"/>
  <c r="AI62" i="1"/>
  <c r="AI61" i="1"/>
  <c r="AI66" i="1"/>
  <c r="P19" i="1"/>
  <c r="AE19" i="1" s="1"/>
  <c r="AE67" i="1"/>
  <c r="AE61" i="1"/>
  <c r="AE55" i="1"/>
  <c r="AE49" i="1"/>
  <c r="AE53" i="1"/>
  <c r="AE54" i="1"/>
  <c r="AE43" i="1"/>
  <c r="AE37" i="1"/>
  <c r="AE31" i="1"/>
  <c r="AE25" i="1"/>
  <c r="AF67" i="1" l="1"/>
  <c r="AG67" i="1"/>
  <c r="AE68" i="1" s="1"/>
  <c r="AF68" i="1" s="1"/>
  <c r="AF61" i="1"/>
  <c r="AG61" i="1"/>
  <c r="AE62" i="1" s="1"/>
  <c r="AG62" i="1" s="1"/>
  <c r="AE63" i="1" s="1"/>
  <c r="AF55" i="1"/>
  <c r="AG55" i="1"/>
  <c r="AE56" i="1" s="1"/>
  <c r="AG56" i="1" s="1"/>
  <c r="AE57" i="1" s="1"/>
  <c r="AF54" i="1"/>
  <c r="AG54" i="1"/>
  <c r="AF53" i="1"/>
  <c r="AG53" i="1"/>
  <c r="AF49" i="1"/>
  <c r="AG49" i="1"/>
  <c r="AF43" i="1"/>
  <c r="AG43" i="1"/>
  <c r="AE44" i="1" s="1"/>
  <c r="AG44" i="1" s="1"/>
  <c r="AE45" i="1" s="1"/>
  <c r="AF37" i="1"/>
  <c r="AG37" i="1"/>
  <c r="AF31" i="1"/>
  <c r="AG31" i="1"/>
  <c r="AE32" i="1" s="1"/>
  <c r="AG32" i="1" s="1"/>
  <c r="AE33" i="1" s="1"/>
  <c r="AF33" i="1" s="1"/>
  <c r="AF25" i="1"/>
  <c r="AG25" i="1"/>
  <c r="AE26" i="1" s="1"/>
  <c r="AF26" i="1" s="1"/>
  <c r="AF19" i="1"/>
  <c r="AG19" i="1"/>
  <c r="AE20" i="1" s="1"/>
  <c r="AF62" i="1" l="1"/>
  <c r="AF56" i="1"/>
  <c r="AG26" i="1"/>
  <c r="AE27" i="1" s="1"/>
  <c r="AF27" i="1" s="1"/>
  <c r="AF44" i="1"/>
  <c r="AF32" i="1"/>
  <c r="AF45" i="1"/>
  <c r="AG45" i="1"/>
  <c r="AG63" i="1"/>
  <c r="AE64" i="1" s="1"/>
  <c r="AF63" i="1"/>
  <c r="AG57" i="1"/>
  <c r="AE58" i="1" s="1"/>
  <c r="AF57" i="1"/>
  <c r="AG68" i="1"/>
  <c r="AE69" i="1" s="1"/>
  <c r="AE38" i="1"/>
  <c r="AE50" i="1"/>
  <c r="AG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J53" i="1"/>
  <c r="AJ54" i="1"/>
  <c r="AF64" i="1" l="1"/>
  <c r="AG64" i="1"/>
  <c r="AF58" i="1"/>
  <c r="AG58" i="1"/>
  <c r="AE59" i="1" s="1"/>
  <c r="AG27" i="1"/>
  <c r="AE28" i="1" s="1"/>
  <c r="AG28" i="1" s="1"/>
  <c r="AF69" i="1"/>
  <c r="AG69" i="1"/>
  <c r="AE70" i="1" s="1"/>
  <c r="AF50" i="1"/>
  <c r="AG50" i="1"/>
  <c r="AE51" i="1" s="1"/>
  <c r="AF51" i="1" s="1"/>
  <c r="AE46" i="1"/>
  <c r="AF38" i="1"/>
  <c r="AG38" i="1"/>
  <c r="AE39" i="1" s="1"/>
  <c r="AF39" i="1" s="1"/>
  <c r="AE35" i="1"/>
  <c r="AF35" i="1" s="1"/>
  <c r="AE34" i="1"/>
  <c r="AF20" i="1"/>
  <c r="AG20" i="1"/>
  <c r="AE21" i="1" s="1"/>
  <c r="AF21" i="1" s="1"/>
  <c r="AG51" i="1" l="1"/>
  <c r="AE52" i="1" s="1"/>
  <c r="AF52" i="1" s="1"/>
  <c r="AG39" i="1"/>
  <c r="AE40" i="1" s="1"/>
  <c r="AG40" i="1" s="1"/>
  <c r="AE41" i="1" s="1"/>
  <c r="AF59" i="1"/>
  <c r="AG59" i="1"/>
  <c r="AE60" i="1" s="1"/>
  <c r="AE65" i="1"/>
  <c r="AE66" i="1"/>
  <c r="AF28" i="1"/>
  <c r="AF46" i="1"/>
  <c r="AG46" i="1"/>
  <c r="AE47" i="1" s="1"/>
  <c r="AF47" i="1" s="1"/>
  <c r="AE29" i="1"/>
  <c r="AG70" i="1"/>
  <c r="AF70" i="1"/>
  <c r="AF34" i="1"/>
  <c r="AG34" i="1"/>
  <c r="AG35" i="1"/>
  <c r="AE36" i="1" s="1"/>
  <c r="AG21" i="1"/>
  <c r="AE22" i="1" s="1"/>
  <c r="AF22" i="1" s="1"/>
  <c r="AG52" i="1" l="1"/>
  <c r="AF40" i="1"/>
  <c r="AF66" i="1"/>
  <c r="AG66" i="1"/>
  <c r="AF65" i="1"/>
  <c r="AG65" i="1"/>
  <c r="AF60" i="1"/>
  <c r="AG60" i="1"/>
  <c r="AE71" i="1"/>
  <c r="AE72" i="1"/>
  <c r="AG47" i="1"/>
  <c r="AE48" i="1" s="1"/>
  <c r="AF48" i="1" s="1"/>
  <c r="AG41" i="1"/>
  <c r="AE42" i="1" s="1"/>
  <c r="AF41" i="1"/>
  <c r="AF29" i="1"/>
  <c r="AG29" i="1"/>
  <c r="AE30" i="1" s="1"/>
  <c r="AF30" i="1" s="1"/>
  <c r="AF36" i="1"/>
  <c r="AG36" i="1"/>
  <c r="AG22" i="1"/>
  <c r="AE23" i="1" s="1"/>
  <c r="AG23" i="1" s="1"/>
  <c r="AE24" i="1" s="1"/>
  <c r="AF72" i="1" l="1"/>
  <c r="AG72" i="1"/>
  <c r="AF71" i="1"/>
  <c r="AG71" i="1"/>
  <c r="AF42" i="1"/>
  <c r="AG42" i="1"/>
  <c r="AG48" i="1"/>
  <c r="AG30" i="1"/>
  <c r="AF23" i="1"/>
  <c r="AF24" i="1"/>
  <c r="AG24" i="1"/>
  <c r="R43" i="1" l="1"/>
  <c r="S43" i="1" s="1"/>
  <c r="R31" i="1"/>
  <c r="S31" i="1" s="1"/>
  <c r="R25" i="1"/>
  <c r="S25" i="1" s="1"/>
  <c r="R55" i="1"/>
  <c r="S55" i="1" s="1"/>
  <c r="R49" i="1"/>
  <c r="S49" i="1" s="1"/>
  <c r="R37" i="1"/>
  <c r="S37" i="1" s="1"/>
  <c r="AD40" i="18" s="1"/>
  <c r="R67" i="1"/>
  <c r="S67" i="1" s="1"/>
  <c r="R61" i="1"/>
  <c r="S61" i="1" s="1"/>
  <c r="R19" i="1"/>
  <c r="S19" i="1" s="1"/>
  <c r="Z42" i="18" l="1"/>
  <c r="N42" i="18"/>
  <c r="AF26" i="18"/>
  <c r="N26" i="18"/>
  <c r="AF18" i="18"/>
  <c r="T10" i="18"/>
  <c r="N34" i="18"/>
  <c r="T34" i="18"/>
  <c r="T18" i="18"/>
  <c r="Z18" i="18"/>
  <c r="Z10" i="18"/>
  <c r="AL18" i="18"/>
  <c r="Z26" i="18"/>
  <c r="U61" i="1"/>
  <c r="T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55" i="1"/>
  <c r="AJ42" i="18"/>
  <c r="AJ18" i="18"/>
  <c r="AD26" i="18"/>
  <c r="L10" i="18"/>
  <c r="AD10" i="18"/>
  <c r="X18" i="18"/>
  <c r="AD42" i="18"/>
  <c r="L18" i="18"/>
  <c r="R10" i="18"/>
  <c r="U55" i="1"/>
  <c r="T67" i="1"/>
  <c r="AB36" i="18"/>
  <c r="AH12" i="18"/>
  <c r="P28" i="18"/>
  <c r="AH20" i="18"/>
  <c r="P36" i="18"/>
  <c r="V12" i="18"/>
  <c r="AH28" i="18"/>
  <c r="AB20" i="18"/>
  <c r="J12" i="18"/>
  <c r="J20" i="18"/>
  <c r="U67" i="1"/>
  <c r="P44" i="18"/>
  <c r="AB44" i="18"/>
  <c r="V28" i="18"/>
  <c r="V36" i="18"/>
  <c r="J28" i="18"/>
  <c r="AH36" i="18"/>
  <c r="J44" i="18"/>
  <c r="P12" i="18"/>
  <c r="AB12" i="18"/>
  <c r="V44" i="18"/>
  <c r="AH44" i="18"/>
  <c r="V20" i="18"/>
  <c r="P20" i="18"/>
  <c r="J36" i="18"/>
  <c r="AB28" i="18"/>
  <c r="T38" i="18"/>
  <c r="AF22" i="18"/>
  <c r="N38" i="18"/>
  <c r="AF30" i="18"/>
  <c r="AL6" i="18"/>
  <c r="Z6" i="18"/>
  <c r="U25" i="1"/>
  <c r="T14" i="18"/>
  <c r="T22" i="18"/>
  <c r="N6" i="18"/>
  <c r="AL30" i="18"/>
  <c r="Z22" i="18"/>
  <c r="Z14" i="18"/>
  <c r="T25" i="1"/>
  <c r="Z30" i="18"/>
  <c r="AL38" i="18"/>
  <c r="AL14" i="18"/>
  <c r="AF6" i="18"/>
  <c r="AL22" i="18"/>
  <c r="T30" i="18"/>
  <c r="Z38" i="18"/>
  <c r="AF14" i="18"/>
  <c r="N30" i="18"/>
  <c r="N14" i="18"/>
  <c r="N22" i="18"/>
  <c r="AF38" i="18"/>
  <c r="T6" i="18"/>
  <c r="T37" i="1"/>
  <c r="X32" i="18"/>
  <c r="AD32" i="18"/>
  <c r="AJ8" i="18"/>
  <c r="L16" i="18"/>
  <c r="R32" i="18"/>
  <c r="AJ32" i="18"/>
  <c r="U37" i="1"/>
  <c r="R40" i="18"/>
  <c r="AJ40" i="18"/>
  <c r="AD24" i="18"/>
  <c r="AJ24" i="18"/>
  <c r="R24" i="18"/>
  <c r="AJ16" i="18"/>
  <c r="AD8" i="18"/>
  <c r="L32" i="18"/>
  <c r="L40" i="18"/>
  <c r="R16" i="18"/>
  <c r="L24" i="18"/>
  <c r="AD16" i="18"/>
  <c r="L8" i="18"/>
  <c r="R8" i="18"/>
  <c r="X40" i="18"/>
  <c r="X8" i="18"/>
  <c r="X16" i="18"/>
  <c r="X24" i="18"/>
  <c r="T31" i="1"/>
  <c r="J40" i="18"/>
  <c r="J16" i="18"/>
  <c r="P16" i="18"/>
  <c r="V8" i="18"/>
  <c r="J8" i="18"/>
  <c r="J24" i="18"/>
  <c r="AH16" i="18"/>
  <c r="AB16" i="18"/>
  <c r="AB40" i="18"/>
  <c r="P32" i="18"/>
  <c r="P40" i="18"/>
  <c r="AH24" i="18"/>
  <c r="AB32" i="18"/>
  <c r="J32" i="18"/>
  <c r="V16" i="18"/>
  <c r="V40" i="18"/>
  <c r="AH32" i="18"/>
  <c r="V24" i="18"/>
  <c r="V32" i="18"/>
  <c r="AH8" i="18"/>
  <c r="AB8" i="18"/>
  <c r="P8" i="18"/>
  <c r="U31" i="1"/>
  <c r="AH40" i="18"/>
  <c r="AB24" i="18"/>
  <c r="P24" i="18"/>
  <c r="AD38" i="18"/>
  <c r="L30" i="18"/>
  <c r="AD30" i="18"/>
  <c r="AJ6" i="18"/>
  <c r="L14" i="18"/>
  <c r="L22" i="18"/>
  <c r="X6" i="18"/>
  <c r="L6" i="18"/>
  <c r="U19" i="1"/>
  <c r="R38" i="18"/>
  <c r="AJ38" i="18"/>
  <c r="L38" i="18"/>
  <c r="AD6" i="18"/>
  <c r="R6" i="18"/>
  <c r="AJ30" i="18"/>
  <c r="R30" i="18"/>
  <c r="AD22" i="18"/>
  <c r="AJ14" i="18"/>
  <c r="AJ22" i="18"/>
  <c r="AD14" i="18"/>
  <c r="X38" i="18"/>
  <c r="X14" i="18"/>
  <c r="R22" i="18"/>
  <c r="X22" i="18"/>
  <c r="T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49" i="1"/>
  <c r="AH34" i="18"/>
  <c r="AH42" i="18"/>
  <c r="AH18" i="18"/>
  <c r="AB10" i="18"/>
  <c r="J26" i="18"/>
  <c r="V18" i="18"/>
  <c r="V42" i="18"/>
  <c r="J42" i="18"/>
  <c r="P10" i="18"/>
  <c r="AB26" i="18"/>
  <c r="J34" i="18"/>
  <c r="J18" i="18"/>
  <c r="AH10" i="18"/>
  <c r="AB34" i="18"/>
  <c r="P26" i="18"/>
  <c r="P34" i="18"/>
  <c r="V34" i="18"/>
  <c r="AH26" i="18"/>
  <c r="J10" i="18"/>
  <c r="U49" i="1"/>
  <c r="P18" i="18"/>
  <c r="AB42" i="18"/>
  <c r="V10" i="18"/>
  <c r="AB18" i="18"/>
  <c r="P42" i="18"/>
  <c r="V26" i="18"/>
  <c r="Z32" i="18"/>
  <c r="N24" i="18"/>
  <c r="AL32" i="18"/>
  <c r="AL40" i="18"/>
  <c r="N8" i="18"/>
  <c r="AF24" i="18"/>
  <c r="Z40" i="18"/>
  <c r="Z16" i="18"/>
  <c r="N32" i="18"/>
  <c r="T32" i="18"/>
  <c r="N40" i="18"/>
  <c r="T8" i="18"/>
  <c r="T43" i="1"/>
  <c r="AF32" i="18"/>
  <c r="AL8" i="18"/>
  <c r="T24" i="18"/>
  <c r="N16" i="18"/>
  <c r="T16" i="18"/>
  <c r="Z24" i="18"/>
  <c r="AF16" i="18"/>
  <c r="U43" i="1"/>
  <c r="T40" i="18"/>
  <c r="AF8" i="18"/>
  <c r="AL24" i="18"/>
  <c r="Z8" i="18"/>
  <c r="AF40" i="18"/>
  <c r="AL16" i="18"/>
  <c r="AH31" i="1" l="1"/>
  <c r="AH67" i="1"/>
  <c r="AH43" i="1"/>
  <c r="AH55" i="1"/>
  <c r="AH19" i="1"/>
  <c r="AH25" i="1"/>
  <c r="AH49" i="1"/>
  <c r="AH37" i="1"/>
  <c r="AH50" i="1" l="1"/>
  <c r="AH56" i="1"/>
  <c r="AH62" i="1"/>
  <c r="AH38" i="1"/>
  <c r="AH44" i="1"/>
  <c r="AH32" i="1"/>
  <c r="AH26" i="1"/>
  <c r="J40" i="19"/>
  <c r="V30" i="19"/>
  <c r="AH20" i="19"/>
  <c r="J30" i="19"/>
  <c r="V20" i="19"/>
  <c r="AH10" i="19"/>
  <c r="P10" i="19"/>
  <c r="AB50" i="19"/>
  <c r="J50" i="19"/>
  <c r="AB40" i="19"/>
  <c r="P30" i="19"/>
  <c r="V50" i="19"/>
  <c r="P50" i="19"/>
  <c r="AB10" i="19"/>
  <c r="AH30" i="19"/>
  <c r="AH40" i="19"/>
  <c r="J10" i="19"/>
  <c r="AB20" i="19"/>
  <c r="AH50" i="19"/>
  <c r="AJ37" i="1"/>
  <c r="V10" i="19"/>
  <c r="P20" i="19"/>
  <c r="J20" i="19"/>
  <c r="P40" i="19"/>
  <c r="V40" i="19"/>
  <c r="AB30" i="19"/>
  <c r="J11" i="19"/>
  <c r="V11" i="19"/>
  <c r="AB21" i="19"/>
  <c r="P31" i="19"/>
  <c r="J31" i="19"/>
  <c r="AB41" i="19"/>
  <c r="AJ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J67" i="1"/>
  <c r="P25" i="19"/>
  <c r="V55" i="19"/>
  <c r="J15" i="19"/>
  <c r="AB15" i="19"/>
  <c r="J35" i="19"/>
  <c r="AB35" i="19"/>
  <c r="J55" i="19"/>
  <c r="AB25" i="19"/>
  <c r="P35" i="19"/>
  <c r="P55" i="19"/>
  <c r="AB45" i="19"/>
  <c r="P15" i="19"/>
  <c r="J47" i="19"/>
  <c r="V27" i="19"/>
  <c r="AH7" i="19"/>
  <c r="P47" i="19"/>
  <c r="AB27" i="19"/>
  <c r="J17" i="19"/>
  <c r="V47" i="19"/>
  <c r="J37" i="19"/>
  <c r="AJ19" i="1"/>
  <c r="AB37" i="19"/>
  <c r="J27" i="19"/>
  <c r="V7" i="19"/>
  <c r="AH37" i="19"/>
  <c r="P27" i="19"/>
  <c r="AB7" i="19"/>
  <c r="P17" i="19"/>
  <c r="V17" i="19"/>
  <c r="AH47" i="19"/>
  <c r="P37" i="19"/>
  <c r="AB17" i="19"/>
  <c r="J7" i="19"/>
  <c r="V37" i="19"/>
  <c r="AH17" i="19"/>
  <c r="P7" i="19"/>
  <c r="AH27" i="19"/>
  <c r="AB47" i="19"/>
  <c r="AJ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61" i="1"/>
  <c r="AJ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J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H45" i="1"/>
  <c r="V32" i="19"/>
  <c r="P42" i="19"/>
  <c r="J12" i="19"/>
  <c r="J32" i="19"/>
  <c r="AB52" i="19"/>
  <c r="AJ49" i="1"/>
  <c r="J22" i="19"/>
  <c r="V22" i="19"/>
  <c r="J52" i="19"/>
  <c r="AH12" i="19"/>
  <c r="J42" i="19"/>
  <c r="AH42" i="19"/>
  <c r="P32" i="19"/>
  <c r="AB12" i="19"/>
  <c r="AH32" i="19"/>
  <c r="AB32" i="19"/>
  <c r="AB42" i="19"/>
  <c r="V42" i="19"/>
  <c r="V12" i="19"/>
  <c r="V52" i="19"/>
  <c r="AB22" i="19"/>
  <c r="AH52" i="19"/>
  <c r="AH22" i="19"/>
  <c r="P22" i="19"/>
  <c r="P12" i="19"/>
  <c r="P52" i="19"/>
  <c r="AH51" i="1"/>
  <c r="AH20" i="1"/>
  <c r="AH68" i="1" l="1"/>
  <c r="K45" i="19" s="1"/>
  <c r="AH52" i="1"/>
  <c r="S12" i="19" s="1"/>
  <c r="W37" i="19"/>
  <c r="AI7" i="19"/>
  <c r="W17" i="19"/>
  <c r="W27" i="19"/>
  <c r="Q47" i="19"/>
  <c r="W7" i="19"/>
  <c r="AI17" i="19"/>
  <c r="K47" i="19"/>
  <c r="AI47" i="19"/>
  <c r="Q27" i="19"/>
  <c r="AC27" i="19"/>
  <c r="AC47" i="19"/>
  <c r="AC37" i="19"/>
  <c r="AI37" i="19"/>
  <c r="AJ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J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J44" i="1"/>
  <c r="P54" i="19"/>
  <c r="AH14" i="19"/>
  <c r="AB14" i="19"/>
  <c r="AH34" i="19"/>
  <c r="AB54" i="19"/>
  <c r="AH54" i="19"/>
  <c r="AJ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J51" i="1"/>
  <c r="AD12" i="19"/>
  <c r="AD32" i="19"/>
  <c r="AD22" i="19"/>
  <c r="X52" i="19"/>
  <c r="AD52" i="19"/>
  <c r="L42" i="19"/>
  <c r="R42" i="19"/>
  <c r="AJ21" i="19"/>
  <c r="AD31" i="19"/>
  <c r="R21" i="19"/>
  <c r="AD41" i="19"/>
  <c r="AJ11" i="19"/>
  <c r="AJ51" i="19"/>
  <c r="AJ45" i="1"/>
  <c r="L41" i="19"/>
  <c r="AD11" i="19"/>
  <c r="L21" i="19"/>
  <c r="L11" i="19"/>
  <c r="X51" i="19"/>
  <c r="X21" i="19"/>
  <c r="R11" i="19"/>
  <c r="R31" i="19"/>
  <c r="AJ41" i="19"/>
  <c r="L31" i="19"/>
  <c r="R51" i="19"/>
  <c r="X31" i="19"/>
  <c r="X11" i="19"/>
  <c r="X41" i="19"/>
  <c r="AJ31" i="19"/>
  <c r="AD51" i="19"/>
  <c r="R41" i="19"/>
  <c r="AD21" i="19"/>
  <c r="L51" i="19"/>
  <c r="AH21" i="1"/>
  <c r="AH33" i="1"/>
  <c r="AH57" i="1"/>
  <c r="K42" i="19"/>
  <c r="AC32" i="19"/>
  <c r="W42" i="19"/>
  <c r="AI52" i="19"/>
  <c r="K22" i="19"/>
  <c r="Q32" i="19"/>
  <c r="AI12" i="19"/>
  <c r="AC52" i="19"/>
  <c r="Q42" i="19"/>
  <c r="AC42" i="19"/>
  <c r="K12" i="19"/>
  <c r="Q22" i="19"/>
  <c r="W52" i="19"/>
  <c r="AI42" i="19"/>
  <c r="W32" i="19"/>
  <c r="AI22" i="19"/>
  <c r="W12" i="19"/>
  <c r="AI32" i="19"/>
  <c r="AC12" i="19"/>
  <c r="Q12" i="19"/>
  <c r="Q52" i="19"/>
  <c r="AJ50" i="1"/>
  <c r="K32" i="19"/>
  <c r="W22" i="19"/>
  <c r="K52" i="19"/>
  <c r="AC22" i="19"/>
  <c r="AC40" i="19"/>
  <c r="W10" i="19"/>
  <c r="AC50" i="19"/>
  <c r="Q10" i="19"/>
  <c r="Q30" i="19"/>
  <c r="W50" i="19"/>
  <c r="K40" i="19"/>
  <c r="Q50" i="19"/>
  <c r="W20" i="19"/>
  <c r="AJ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H63" i="1"/>
  <c r="K39" i="19"/>
  <c r="AC39" i="19"/>
  <c r="W29" i="19"/>
  <c r="AI49" i="19"/>
  <c r="W9" i="19"/>
  <c r="AC19" i="19"/>
  <c r="Q49" i="19"/>
  <c r="W49" i="19"/>
  <c r="AC9" i="19"/>
  <c r="AI9" i="19"/>
  <c r="Q29" i="19"/>
  <c r="W39" i="19"/>
  <c r="Q39" i="19"/>
  <c r="AJ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J56" i="1"/>
  <c r="Q33" i="19"/>
  <c r="AI23" i="19"/>
  <c r="K53" i="19"/>
  <c r="AC23" i="19"/>
  <c r="AC13" i="19"/>
  <c r="W23" i="19"/>
  <c r="W33" i="19"/>
  <c r="Q13" i="19"/>
  <c r="W13" i="19"/>
  <c r="AI13" i="19"/>
  <c r="Q43" i="19"/>
  <c r="Q23" i="19"/>
  <c r="W53" i="19"/>
  <c r="AK42" i="19"/>
  <c r="AE32" i="19"/>
  <c r="AJ52" i="1"/>
  <c r="Y52" i="19"/>
  <c r="S22" i="19"/>
  <c r="AK52" i="19"/>
  <c r="M22" i="19"/>
  <c r="AK32" i="19"/>
  <c r="AE22" i="19"/>
  <c r="AE42" i="19"/>
  <c r="S42" i="19"/>
  <c r="AH46" i="1"/>
  <c r="AH48" i="1"/>
  <c r="AH47" i="1"/>
  <c r="AH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J26" i="1"/>
  <c r="M12" i="19" l="1"/>
  <c r="S52" i="19"/>
  <c r="AK22" i="19"/>
  <c r="AK12" i="19"/>
  <c r="AE52" i="19"/>
  <c r="Y42" i="19"/>
  <c r="Q55" i="19"/>
  <c r="Y22" i="19"/>
  <c r="Y32" i="19"/>
  <c r="AE12" i="19"/>
  <c r="M52" i="19"/>
  <c r="Y12" i="19"/>
  <c r="S32" i="19"/>
  <c r="M32" i="19"/>
  <c r="M42" i="19"/>
  <c r="W45" i="19"/>
  <c r="K25" i="19"/>
  <c r="W55" i="19"/>
  <c r="AI25" i="19"/>
  <c r="AI45" i="19"/>
  <c r="Q25" i="19"/>
  <c r="AJ68" i="1"/>
  <c r="AC35" i="19"/>
  <c r="AI15" i="19"/>
  <c r="Q35" i="19"/>
  <c r="W25" i="19"/>
  <c r="AC25" i="19"/>
  <c r="AI55" i="19"/>
  <c r="K15" i="19"/>
  <c r="Q15" i="19"/>
  <c r="K35" i="19"/>
  <c r="W35" i="19"/>
  <c r="W15" i="19"/>
  <c r="AC15" i="19"/>
  <c r="Q45" i="19"/>
  <c r="AC55" i="19"/>
  <c r="K55" i="19"/>
  <c r="AC45" i="19"/>
  <c r="AI35" i="19"/>
  <c r="AH69" i="1"/>
  <c r="AH27" i="1"/>
  <c r="R18" i="19" s="1"/>
  <c r="R40" i="19"/>
  <c r="AD10" i="19"/>
  <c r="X40" i="19"/>
  <c r="AJ10" i="19"/>
  <c r="R50" i="19"/>
  <c r="X10" i="19"/>
  <c r="R30" i="19"/>
  <c r="AJ39" i="1"/>
  <c r="L10" i="19"/>
  <c r="L50" i="19"/>
  <c r="AJ20" i="19"/>
  <c r="AJ40" i="19"/>
  <c r="AD30" i="19"/>
  <c r="R20" i="19"/>
  <c r="AD50" i="19"/>
  <c r="AJ30" i="19"/>
  <c r="AJ50" i="19"/>
  <c r="X30" i="19"/>
  <c r="AD20" i="19"/>
  <c r="L40" i="19"/>
  <c r="X50" i="19"/>
  <c r="X20" i="19"/>
  <c r="AD40" i="19"/>
  <c r="R10" i="19"/>
  <c r="L30" i="19"/>
  <c r="L20" i="19"/>
  <c r="AH58" i="1"/>
  <c r="AH72" i="1"/>
  <c r="AD47" i="19"/>
  <c r="AJ27" i="19"/>
  <c r="AD27" i="19"/>
  <c r="AJ7" i="19"/>
  <c r="AJ37" i="19"/>
  <c r="L27" i="19"/>
  <c r="AD17" i="19"/>
  <c r="L37" i="19"/>
  <c r="R17" i="19"/>
  <c r="AJ17" i="19"/>
  <c r="X7" i="19"/>
  <c r="X47" i="19"/>
  <c r="L7" i="19"/>
  <c r="L17" i="19"/>
  <c r="R27" i="19"/>
  <c r="X27" i="19"/>
  <c r="R7" i="19"/>
  <c r="X17" i="19"/>
  <c r="AJ47" i="19"/>
  <c r="L47" i="19"/>
  <c r="R37" i="19"/>
  <c r="AD7" i="19"/>
  <c r="X37" i="19"/>
  <c r="AJ21" i="1"/>
  <c r="R47" i="19"/>
  <c r="AD37" i="19"/>
  <c r="AH29" i="1"/>
  <c r="AH28" i="1"/>
  <c r="AH30" i="1"/>
  <c r="AJ43" i="19"/>
  <c r="AD33" i="19"/>
  <c r="X33" i="19"/>
  <c r="X13" i="19"/>
  <c r="AD43" i="19"/>
  <c r="L43" i="19"/>
  <c r="AJ57" i="1"/>
  <c r="X23" i="19"/>
  <c r="R33" i="19"/>
  <c r="R43" i="19"/>
  <c r="AD53" i="19"/>
  <c r="AJ13" i="19"/>
  <c r="R23" i="19"/>
  <c r="R13" i="19"/>
  <c r="AJ53" i="19"/>
  <c r="L33" i="19"/>
  <c r="L23" i="19"/>
  <c r="X43" i="19"/>
  <c r="X53" i="19"/>
  <c r="AD13" i="19"/>
  <c r="L53" i="19"/>
  <c r="L13" i="19"/>
  <c r="AD23" i="19"/>
  <c r="AJ33" i="19"/>
  <c r="AJ23" i="19"/>
  <c r="R53" i="19"/>
  <c r="AH22" i="1"/>
  <c r="Z11" i="19"/>
  <c r="AF31" i="19"/>
  <c r="T51" i="19"/>
  <c r="N51" i="19"/>
  <c r="Z41" i="19"/>
  <c r="AF21" i="19"/>
  <c r="AL31" i="19"/>
  <c r="T31" i="19"/>
  <c r="Z31" i="19"/>
  <c r="N21" i="19"/>
  <c r="N31" i="19"/>
  <c r="AL11" i="19"/>
  <c r="T11" i="19"/>
  <c r="AF11" i="19"/>
  <c r="AL41" i="19"/>
  <c r="T21" i="19"/>
  <c r="Z21" i="19"/>
  <c r="AL51" i="19"/>
  <c r="N11" i="19"/>
  <c r="AF51" i="19"/>
  <c r="N41" i="19"/>
  <c r="Z51" i="19"/>
  <c r="AJ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J48" i="1"/>
  <c r="AG11" i="19"/>
  <c r="AM41" i="19"/>
  <c r="AA21" i="19"/>
  <c r="AA51" i="19"/>
  <c r="U51" i="19"/>
  <c r="U31" i="19"/>
  <c r="AA11" i="19"/>
  <c r="AG21" i="19"/>
  <c r="O31" i="19"/>
  <c r="AH64" i="1"/>
  <c r="AH34" i="1"/>
  <c r="AH35" i="1"/>
  <c r="AH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H40" i="1"/>
  <c r="AE11" i="19"/>
  <c r="Y41" i="19"/>
  <c r="M41" i="19"/>
  <c r="Y21" i="19"/>
  <c r="AK41" i="19"/>
  <c r="S31" i="19"/>
  <c r="M31" i="19"/>
  <c r="M51" i="19"/>
  <c r="Y51" i="19"/>
  <c r="AK21" i="19"/>
  <c r="AK31" i="19"/>
  <c r="Y11" i="19"/>
  <c r="AE41" i="19"/>
  <c r="AE21" i="19"/>
  <c r="S51" i="19"/>
  <c r="AE51" i="19"/>
  <c r="AK51" i="19"/>
  <c r="M21" i="19"/>
  <c r="AE31" i="19"/>
  <c r="AJ46" i="1"/>
  <c r="S41" i="19"/>
  <c r="AK11" i="19"/>
  <c r="S11" i="19"/>
  <c r="Y31" i="19"/>
  <c r="S21" i="19"/>
  <c r="M11" i="19"/>
  <c r="L54" i="19"/>
  <c r="AJ14" i="19"/>
  <c r="AD44" i="19"/>
  <c r="X54" i="19"/>
  <c r="R14" i="19"/>
  <c r="AD24" i="19"/>
  <c r="AD34" i="19"/>
  <c r="R54" i="19"/>
  <c r="L34" i="19"/>
  <c r="AJ34" i="19"/>
  <c r="X24" i="19"/>
  <c r="AJ24" i="19"/>
  <c r="X44" i="19"/>
  <c r="R24" i="19"/>
  <c r="AJ63" i="1"/>
  <c r="X34" i="19"/>
  <c r="L14" i="19"/>
  <c r="AD14" i="19"/>
  <c r="L44" i="19"/>
  <c r="R44" i="19"/>
  <c r="AD54" i="19"/>
  <c r="X14" i="19"/>
  <c r="AJ44" i="19"/>
  <c r="R34" i="19"/>
  <c r="AJ54" i="19"/>
  <c r="L24" i="19"/>
  <c r="AD29" i="19"/>
  <c r="AD19" i="19"/>
  <c r="R39" i="19"/>
  <c r="R9" i="19"/>
  <c r="X49" i="19"/>
  <c r="X9" i="19"/>
  <c r="AD39" i="19"/>
  <c r="R29" i="19"/>
  <c r="L49" i="19"/>
  <c r="X19" i="19"/>
  <c r="X29" i="19"/>
  <c r="X39" i="19"/>
  <c r="L9" i="19"/>
  <c r="AJ33" i="1"/>
  <c r="AD9" i="19"/>
  <c r="AJ49" i="19"/>
  <c r="L39" i="19"/>
  <c r="R19" i="19"/>
  <c r="AJ39" i="19"/>
  <c r="AJ29" i="19"/>
  <c r="AJ19" i="19"/>
  <c r="AJ9" i="19"/>
  <c r="AD49" i="19"/>
  <c r="L19" i="19"/>
  <c r="L29" i="19"/>
  <c r="R49" i="19"/>
  <c r="R15" i="19" l="1"/>
  <c r="R55" i="19"/>
  <c r="AD25" i="19"/>
  <c r="L55" i="19"/>
  <c r="AJ35" i="19"/>
  <c r="X55" i="19"/>
  <c r="X35" i="19"/>
  <c r="AJ69" i="1"/>
  <c r="AD15" i="19"/>
  <c r="X25" i="19"/>
  <c r="X45" i="19"/>
  <c r="L35" i="19"/>
  <c r="R35" i="19"/>
  <c r="AJ15" i="19"/>
  <c r="L15" i="19"/>
  <c r="AJ25" i="19"/>
  <c r="AJ55" i="19"/>
  <c r="L45" i="19"/>
  <c r="AD35" i="19"/>
  <c r="R25" i="19"/>
  <c r="AD45" i="19"/>
  <c r="R45" i="19"/>
  <c r="AD55" i="19"/>
  <c r="X15" i="19"/>
  <c r="L25" i="19"/>
  <c r="AJ45" i="19"/>
  <c r="AH71" i="1"/>
  <c r="Z35" i="19" s="1"/>
  <c r="AH70" i="1"/>
  <c r="AJ48" i="19"/>
  <c r="L18" i="19"/>
  <c r="AD8" i="19"/>
  <c r="AJ8" i="19"/>
  <c r="AJ28" i="19"/>
  <c r="R48" i="19"/>
  <c r="X48" i="19"/>
  <c r="L8" i="19"/>
  <c r="AD28" i="19"/>
  <c r="X38" i="19"/>
  <c r="AJ27" i="1"/>
  <c r="X8" i="19"/>
  <c r="L48" i="19"/>
  <c r="AD48" i="19"/>
  <c r="AD38" i="19"/>
  <c r="X18" i="19"/>
  <c r="R38" i="19"/>
  <c r="R8" i="19"/>
  <c r="L38" i="19"/>
  <c r="R28" i="19"/>
  <c r="AJ38" i="19"/>
  <c r="AD18" i="19"/>
  <c r="L28" i="19"/>
  <c r="AJ18" i="19"/>
  <c r="X28" i="19"/>
  <c r="AH41" i="1"/>
  <c r="AH42" i="1"/>
  <c r="AG39" i="19"/>
  <c r="AG29" i="19"/>
  <c r="AM19" i="19"/>
  <c r="O39" i="19"/>
  <c r="AJ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J64" i="1"/>
  <c r="AE24" i="19"/>
  <c r="S14" i="19"/>
  <c r="AK17" i="19"/>
  <c r="S27" i="19"/>
  <c r="S37" i="19"/>
  <c r="AE27" i="19"/>
  <c r="Y47" i="19"/>
  <c r="S7" i="19"/>
  <c r="M17" i="19"/>
  <c r="AE17" i="19"/>
  <c r="AK27" i="19"/>
  <c r="Y7" i="19"/>
  <c r="Y37" i="19"/>
  <c r="AE37" i="19"/>
  <c r="Y27" i="19"/>
  <c r="M47" i="19"/>
  <c r="AJ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J28" i="1"/>
  <c r="AE28" i="19"/>
  <c r="AA55" i="19"/>
  <c r="O45" i="19"/>
  <c r="AA15" i="19"/>
  <c r="AM55" i="19"/>
  <c r="O55" i="19"/>
  <c r="AG35" i="19"/>
  <c r="AM25" i="19"/>
  <c r="AM35" i="19"/>
  <c r="AA25" i="19"/>
  <c r="AM45" i="19"/>
  <c r="AG25" i="19"/>
  <c r="AA35" i="19"/>
  <c r="O25" i="19"/>
  <c r="U25" i="19"/>
  <c r="AG45" i="19"/>
  <c r="U35" i="19"/>
  <c r="AA45" i="19"/>
  <c r="AM15" i="19"/>
  <c r="U45" i="19"/>
  <c r="O35" i="19"/>
  <c r="O15" i="19"/>
  <c r="AJ72" i="1"/>
  <c r="AG15" i="19"/>
  <c r="U15" i="19"/>
  <c r="AG55" i="19"/>
  <c r="U55" i="19"/>
  <c r="AE40" i="19"/>
  <c r="Y30" i="19"/>
  <c r="M20" i="19"/>
  <c r="AJ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J35" i="1"/>
  <c r="T19" i="19"/>
  <c r="AL49" i="19"/>
  <c r="T29" i="19"/>
  <c r="AF29" i="19"/>
  <c r="T18" i="19"/>
  <c r="N48" i="19"/>
  <c r="N8" i="19"/>
  <c r="T28" i="19"/>
  <c r="AF38" i="19"/>
  <c r="Z28" i="19"/>
  <c r="Z18" i="19"/>
  <c r="AF8" i="19"/>
  <c r="AJ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J34" i="1"/>
  <c r="M9" i="19"/>
  <c r="Y29" i="19"/>
  <c r="AH59" i="1"/>
  <c r="AH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H65" i="1"/>
  <c r="AH66" i="1"/>
  <c r="AH24" i="1"/>
  <c r="AH23" i="1"/>
  <c r="O8" i="19"/>
  <c r="AA48" i="19"/>
  <c r="AM38" i="19"/>
  <c r="U48" i="19"/>
  <c r="AA18" i="19"/>
  <c r="AG18" i="19"/>
  <c r="AG48" i="19"/>
  <c r="AM18" i="19"/>
  <c r="AA28" i="19"/>
  <c r="AG28" i="19"/>
  <c r="AA8" i="19"/>
  <c r="U18" i="19"/>
  <c r="AG38" i="19"/>
  <c r="U38" i="19"/>
  <c r="AM8" i="19"/>
  <c r="AA38" i="19"/>
  <c r="AM48" i="19"/>
  <c r="U28" i="19"/>
  <c r="O38" i="19"/>
  <c r="U8" i="19"/>
  <c r="AG8" i="19"/>
  <c r="AJ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J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J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J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J66" i="1"/>
  <c r="AA14" i="19"/>
  <c r="O54" i="19"/>
  <c r="U44" i="19"/>
  <c r="U43" i="19"/>
  <c r="U13" i="19"/>
  <c r="AM53" i="19"/>
  <c r="AA53" i="19"/>
  <c r="AA43" i="19"/>
  <c r="O53" i="19"/>
  <c r="O23" i="19"/>
  <c r="O13" i="19"/>
  <c r="AG43" i="19"/>
  <c r="U33" i="19"/>
  <c r="U23" i="19"/>
  <c r="AM13" i="19"/>
  <c r="AM23" i="19"/>
  <c r="AG13" i="19"/>
  <c r="AA23" i="19"/>
  <c r="AG33" i="19"/>
  <c r="AA33" i="19"/>
  <c r="AM33" i="19"/>
  <c r="AA13" i="19"/>
  <c r="AJ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J65" i="1"/>
  <c r="AF53" i="19"/>
  <c r="T43" i="19"/>
  <c r="Z53" i="19"/>
  <c r="N43" i="19"/>
  <c r="T23" i="19"/>
  <c r="AF43" i="19"/>
  <c r="Z13" i="19"/>
  <c r="Z43" i="19"/>
  <c r="AF23" i="19"/>
  <c r="AL13" i="19"/>
  <c r="Z23" i="19"/>
  <c r="AL43" i="19"/>
  <c r="AF13" i="19"/>
  <c r="AL23" i="19"/>
  <c r="N13" i="19"/>
  <c r="T33" i="19"/>
  <c r="AL53" i="19"/>
  <c r="N23" i="19"/>
  <c r="N53" i="19"/>
  <c r="AF33" i="19"/>
  <c r="N33" i="19"/>
  <c r="AJ59" i="1"/>
  <c r="T53" i="19"/>
  <c r="AL33" i="19"/>
  <c r="T13" i="19"/>
  <c r="Z33" i="19"/>
  <c r="Z47" i="19"/>
  <c r="T7" i="19"/>
  <c r="AL37" i="19"/>
  <c r="T17" i="19"/>
  <c r="Z17" i="19"/>
  <c r="AF7" i="19"/>
  <c r="AF37" i="19"/>
  <c r="N17" i="19"/>
  <c r="AF27" i="19"/>
  <c r="AJ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J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J24" i="1"/>
  <c r="AA17" i="19"/>
  <c r="O7" i="19"/>
  <c r="AA37" i="19"/>
  <c r="AA27" i="19"/>
  <c r="AM27" i="19"/>
  <c r="U17" i="19"/>
  <c r="U47" i="19"/>
  <c r="AG17" i="19"/>
  <c r="O47" i="19"/>
  <c r="Z40" i="19"/>
  <c r="AJ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<sst xmlns="http://schemas.openxmlformats.org/spreadsheetml/2006/main" count="871" uniqueCount="505">
  <si>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</si>
  <si>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</si>
  <si>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</si>
  <si>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</si>
  <si>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</si>
  <si>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</si>
  <si>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</si>
  <si>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</si>
  <si>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</si>
  <si>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</si>
  <si>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</si>
  <si>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</si>
  <si>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</si>
  <si>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</si>
  <si>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</si>
  <si>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</si>
  <si>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</si>
  <si>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</si>
  <si>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</si>
  <si>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</si>
  <si>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</si>
  <si>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</si>
  <si>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</si>
  <si>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</si>
  <si>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</si>
  <si>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</si>
  <si>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</si>
  <si>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</si>
  <si>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</si>
  <si>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</si>
  <si>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</si>
  <si>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</si>
  <si>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</si>
  <si>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</si>
  <si>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</si>
  <si>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</si>
  <si>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</si>
  <si>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</si>
  <si>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</si>
  <si>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</si>
  <si>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</si>
  <si>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</si>
  <si>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</si>
  <si>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</si>
  <si>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</si>
  <si>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</si>
  <si>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</si>
  <si>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</si>
  <si>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</si>
  <si>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</si>
  <si>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</si>
  <si>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</si>
  <si>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</si>
  <si>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</si>
  <si>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</si>
  <si>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</si>
  <si>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</si>
  <si>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</si>
  <si>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</si>
  <si>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</si>
  <si>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 xml:space="preserve">Control de cambios </t>
  </si>
  <si>
    <t>el registra la actualización de los riesgos a partir de 2023</t>
  </si>
  <si>
    <t>Versión inicial</t>
  </si>
  <si>
    <t>tipo de riesgos</t>
  </si>
  <si>
    <t>Fecha de cambio</t>
  </si>
  <si>
    <t>Aspecto(s) que cambiaron</t>
  </si>
  <si>
    <t>Descripción de los cambios efectuados</t>
  </si>
  <si>
    <t>2023 -v1</t>
  </si>
  <si>
    <t>na</t>
  </si>
  <si>
    <t>2023 -v2</t>
  </si>
  <si>
    <t>gestión</t>
  </si>
  <si>
    <t>interno</t>
  </si>
  <si>
    <t>se incorporo una nueva por el covid 2+</t>
  </si>
  <si>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</si>
  <si>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</si>
  <si>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</si>
  <si>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</si>
  <si>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</si>
  <si>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</si>
  <si>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</si>
  <si>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</si>
  <si>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</si>
  <si>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</si>
  <si>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</si>
  <si>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</si>
  <si>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</si>
  <si>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</si>
  <si>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</si>
  <si>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</si>
  <si>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</si>
  <si>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CONTEXTO  DE PROCESO</t>
  </si>
  <si>
    <t>FACTORES INTERNOS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</si>
  <si>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</si>
  <si>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</si>
  <si>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</si>
  <si>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</si>
  <si>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</si>
  <si>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</si>
  <si>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</si>
  <si>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</si>
  <si>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</si>
  <si>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</si>
  <si>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Aceptar</t>
  </si>
  <si>
    <t>Económico</t>
  </si>
  <si>
    <t>Evitar</t>
  </si>
  <si>
    <t>Reputacional</t>
  </si>
  <si>
    <t>Reducir (compartir)</t>
  </si>
  <si>
    <t>Económico y Reputacional</t>
  </si>
  <si>
    <t>Reducir (mitigar)</t>
  </si>
  <si>
    <t xml:space="preserve">Riesgo estrategico </t>
  </si>
  <si>
    <t>Objetivo Intitucional asociado</t>
  </si>
  <si>
    <t>Plan de accion (solo para la opción reducir)</t>
  </si>
  <si>
    <t>Si</t>
  </si>
  <si>
    <t>1. Lograr mecanismos de financiación que permitan incrementar los recursos propios de la entidad.</t>
  </si>
  <si>
    <t>Finalizado</t>
  </si>
  <si>
    <t>No</t>
  </si>
  <si>
    <t>2. Diseñar e implementar una estrategia de innovación que permita hacer más eficiente la gestión de la Unidad.</t>
  </si>
  <si>
    <t>En curso</t>
  </si>
  <si>
    <t xml:space="preserve">3.Mejorar el estado de la malla vial local, intermedia, rural, y de la ciclo-infraestructura de Bogotá D.C., </t>
  </si>
  <si>
    <t>4.Mejorar las condiciones de Infraestructura que permitan el uso y disfrute del espacio público en Bogotá D.C.</t>
  </si>
  <si>
    <t xml:space="preserve">Gestión </t>
  </si>
  <si>
    <t>Relaciones Laborales</t>
  </si>
  <si>
    <t>NA</t>
  </si>
  <si>
    <t>Daños Activos Fisicos</t>
  </si>
  <si>
    <t>Proyecto de inversión</t>
  </si>
  <si>
    <t>Ejecucion y Administracion de procesos</t>
  </si>
  <si>
    <t>7858 Conservación de la Malla Vial Distrital y Cicloinfraestructura de Bogotá</t>
  </si>
  <si>
    <t>Fallas Tecnologicas</t>
  </si>
  <si>
    <t xml:space="preserve">7859 Fortalecimiento Institucional </t>
  </si>
  <si>
    <t>Usuarios, productos y practicas , organizacionales</t>
  </si>
  <si>
    <t>7860 Fortalecimiento de los componentes de TI para la transformación digital</t>
  </si>
  <si>
    <t>Corrupción</t>
  </si>
  <si>
    <t>Fraude Externo</t>
  </si>
  <si>
    <t>7903 Apoyo a la adecuación y conservación del espacio público de Bogotá</t>
  </si>
  <si>
    <t>Fraude Interno</t>
  </si>
  <si>
    <t>Soborno</t>
  </si>
  <si>
    <t>seguridad</t>
  </si>
  <si>
    <t xml:space="preserve">Pérdida de la integridad </t>
  </si>
  <si>
    <t xml:space="preserve">Pérdida de la confidencialidad </t>
  </si>
  <si>
    <t xml:space="preserve">Pérdida de la disponibilidad </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</si>
  <si>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</si>
  <si>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</si>
  <si>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</si>
  <si>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</si>
  <si>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</si>
  <si>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</si>
  <si>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</si>
  <si>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</si>
  <si>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</si>
  <si>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</si>
  <si>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</si>
  <si>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</si>
  <si>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</si>
  <si>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</si>
  <si>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</si>
  <si>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</si>
  <si>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</si>
  <si>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</si>
  <si>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</si>
  <si>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</si>
  <si>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</si>
  <si>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</si>
  <si>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</si>
  <si>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</si>
  <si>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</si>
  <si>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</si>
  <si>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</si>
  <si>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</si>
  <si>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</si>
  <si>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</si>
  <si>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</si>
  <si>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</si>
  <si>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</si>
  <si>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</si>
  <si>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</si>
  <si>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</si>
  <si>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</si>
  <si>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</si>
  <si>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</si>
  <si>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</si>
  <si>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</si>
  <si>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</si>
  <si>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</si>
  <si>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</si>
  <si>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</si>
  <si>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</si>
  <si>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</si>
  <si>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</si>
  <si>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</si>
  <si>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</si>
  <si>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</si>
  <si>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</si>
  <si>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Incumplimiento en la disponibilidad del personal </t>
  </si>
  <si>
    <t>FORMATO MAPA RIESGOS DE PROCESO</t>
  </si>
  <si>
    <t>CÓDIGO: DESI-FM-018</t>
  </si>
  <si>
    <t>VERSIÓN: 11</t>
  </si>
  <si>
    <t>Proceso:</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</si>
  <si>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</si>
  <si>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</si>
  <si>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</si>
  <si>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</si>
  <si>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</si>
  <si>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</si>
  <si>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</si>
  <si>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</si>
  <si>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</si>
  <si>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ACCION DE CONTINGENCIA</t>
  </si>
  <si>
    <t xml:space="preserve">Referencia </t>
  </si>
  <si>
    <t xml:space="preserve">Actividad clave o fase del proyecto </t>
  </si>
  <si>
    <t>Internas</t>
  </si>
  <si>
    <t>Externas</t>
  </si>
  <si>
    <t>Efectos (Consecuencias)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</si>
  <si>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</si>
  <si>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</si>
  <si>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</si>
  <si>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</si>
  <si>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</si>
  <si>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</si>
  <si>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</si>
  <si>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</si>
  <si>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</si>
  <si>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</si>
  <si>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</si>
  <si>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</si>
  <si>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</si>
  <si>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</si>
  <si>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</si>
  <si>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</si>
  <si>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</si>
  <si>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</si>
  <si>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</si>
  <si>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 xml:space="preserve">Proyecto de Inversión asociado </t>
  </si>
  <si>
    <t>Tipo</t>
  </si>
  <si>
    <t>Implementación</t>
  </si>
  <si>
    <t>Calificación</t>
  </si>
  <si>
    <t>Documentación</t>
  </si>
  <si>
    <t>Frecuencia</t>
  </si>
  <si>
    <t>Evidencia</t>
  </si>
  <si>
    <t xml:space="preserve">     El riesgo afecta la imagen de la entidad con algunos usuarios de relevancia frente al logro de los objetivos</t>
  </si>
  <si>
    <t>Preventivo</t>
  </si>
  <si>
    <t>Manual</t>
  </si>
  <si>
    <t>Documentado</t>
  </si>
  <si>
    <t>Continua</t>
  </si>
  <si>
    <t>Con Registro</t>
  </si>
  <si>
    <t>Detectivo</t>
  </si>
  <si>
    <t>Sin Documentar</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</si>
  <si>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</si>
  <si>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</si>
  <si>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</si>
  <si>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</si>
  <si>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</si>
  <si>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</si>
  <si>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</si>
  <si>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</si>
  <si>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</si>
  <si>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</si>
  <si>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</si>
  <si>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</si>
  <si>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</si>
  <si>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</si>
  <si>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</si>
  <si>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</si>
  <si>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</si>
  <si>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</si>
  <si>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</si>
  <si>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Actividad clave o fase del proyecto</t>
  </si>
  <si>
    <t>Correctivo</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</si>
  <si>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</si>
  <si>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</si>
  <si>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</si>
  <si>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</si>
  <si>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</si>
  <si>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</si>
  <si>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</si>
  <si>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</si>
  <si>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</si>
  <si>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</si>
  <si>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</si>
  <si>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</si>
  <si>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</si>
  <si>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</si>
  <si>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</si>
  <si>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</si>
  <si>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</si>
  <si>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</si>
  <si>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</si>
  <si>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</si>
  <si>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</si>
  <si>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</si>
  <si>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</si>
  <si>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</si>
  <si>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</si>
  <si>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</si>
  <si>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</si>
  <si>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Tipo de activo</t>
  </si>
  <si>
    <t>Activo de información</t>
  </si>
  <si>
    <t>Tipo de amenaza</t>
  </si>
  <si>
    <t>Amenaza</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</si>
  <si>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</si>
  <si>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</si>
  <si>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</si>
  <si>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</si>
  <si>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</si>
  <si>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</si>
  <si>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</si>
  <si>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</si>
  <si>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</si>
  <si>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</si>
  <si>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</si>
  <si>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</si>
  <si>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</si>
  <si>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</si>
  <si>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</si>
  <si>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</si>
  <si>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</si>
  <si>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</si>
  <si>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</si>
  <si>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</si>
  <si>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</si>
  <si>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</si>
  <si>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</si>
  <si>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</si>
  <si>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</si>
  <si>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</si>
  <si>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</si>
  <si>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</si>
  <si>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</si>
  <si>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</si>
  <si>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</si>
  <si>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</si>
  <si>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</si>
  <si>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</si>
  <si>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</si>
  <si>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</si>
  <si>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</si>
  <si>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</si>
  <si>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</si>
  <si>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</si>
  <si>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</si>
  <si>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</si>
  <si>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</si>
  <si>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</si>
  <si>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</si>
  <si>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</si>
  <si>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</si>
  <si>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</si>
  <si>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</si>
  <si>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</si>
  <si>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</si>
  <si>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</si>
  <si>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</si>
  <si>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</si>
  <si>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</si>
  <si>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</si>
  <si>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</si>
  <si>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</si>
  <si>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</si>
  <si>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</si>
  <si>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</si>
  <si>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Seguridad Digital</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</si>
  <si>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</si>
  <si>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</si>
  <si>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</si>
  <si>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</si>
  <si>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</si>
  <si>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</si>
  <si>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</si>
  <si>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</si>
  <si>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</si>
  <si>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</si>
  <si>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</si>
  <si>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</si>
  <si>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SOFTWARE</t>
  </si>
  <si>
    <t>HARDWARE</t>
  </si>
  <si>
    <t>INSTALACIONES</t>
  </si>
  <si>
    <t>PROCESOS</t>
  </si>
  <si>
    <t>RECURSOS HUMANOS</t>
  </si>
  <si>
    <t>RED</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</si>
  <si>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</si>
  <si>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</si>
  <si>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</si>
  <si>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</si>
  <si>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</si>
  <si>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</si>
  <si>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</si>
  <si>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</si>
  <si>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</si>
  <si>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</si>
  <si>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</si>
  <si>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</si>
  <si>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</si>
  <si>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</si>
  <si>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</si>
  <si>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</si>
  <si>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</si>
  <si>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</si>
  <si>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</si>
  <si>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</si>
  <si>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</si>
  <si>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</si>
  <si>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</si>
  <si>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</si>
  <si>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</si>
  <si>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</si>
  <si>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</si>
  <si>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</si>
  <si>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</si>
  <si>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FECHA DE APLICACIÓN: NOVIEMBRE 2022</t>
  </si>
  <si>
    <t xml:space="preserve">Tratamiento del riesgo -Plan de acción </t>
  </si>
  <si>
    <t xml:space="preserve">Acción de Contigencia </t>
  </si>
  <si>
    <t>Objetivo Institucional  asociado</t>
  </si>
  <si>
    <t>Pérdida de la información por falla en el servidor de Código Fuente</t>
  </si>
  <si>
    <t>Fallo en el sistema
Explotación de Vulnerabilidades</t>
  </si>
  <si>
    <t>Posibilidad afectación Económica y Reputacional  por Pérdida de la información por falla en el servidor de Código Fuente debido a un Fallo en el sistema.</t>
  </si>
  <si>
    <t>1. Sigma Código Fuente
2. Calíope Código Fuente
3. Orfeo Código Fuente
4. SI Capital Código Fuente</t>
  </si>
  <si>
    <t>Ataque cibernéticos.
Evento no controlado en la nube.</t>
  </si>
  <si>
    <t>El Líder Técnico del grupo de infraestructura y su equipo, semanalmente deben verificar la disponibilidad de los servicios relacionados con GITLAB , comprobando que el acceso no tenga cortes o indisponibilidad estén cumpliendo con los parámetros contratados. Mediante el Diligenciamiento de la Bitácora de Infraestructura.
En caso de presentarse algún evento del servicio, deberá informar de forma inmediata al grupo de desarrollo quién realizara copia de seguridad del código fuente de la aplicación vía correo electrónico.
Evidencia: Instrumento de seguimiento, correo electrónico cuando aplique.</t>
  </si>
  <si>
    <t>El Líder Técnico del grupo de Desarrollo y su equipo, cuatrimestralmente deben verificar la existencia de nuevas versiones de GITLAB , revisando si hay vulnerabilidades criticas a corregir.  Mediante el Diligenciamiento de la Bitácora de Infraestructura.</t>
  </si>
  <si>
    <t>Realizar copias de seguridad mensualmente del código fuente de la aplicación</t>
  </si>
  <si>
    <t>Verificar el funcionamiento de la nueva versión.</t>
  </si>
  <si>
    <t>Grupo de Infraestructura</t>
  </si>
  <si>
    <t>Líder de Desarrollo</t>
  </si>
  <si>
    <t>Bitácora de Seguimiento de Infraestructura</t>
  </si>
  <si>
    <t>Correo electrónico</t>
  </si>
  <si>
    <t>Cuando exista una nueva versión para su respectiva instalación</t>
  </si>
  <si>
    <t>Mensual</t>
  </si>
  <si>
    <t>Restauración Copia de Seguridad.</t>
  </si>
  <si>
    <t>EGTI-FM-001 Formato Control de Cambios</t>
  </si>
  <si>
    <t>Gestión de Servicios e Infraestructura Tecnológica</t>
  </si>
  <si>
    <t>Incumplimiento al proyecto de inversión para la generación del fortalecimiento de las tecnologías de la información</t>
  </si>
  <si>
    <t>Imposibilidad de Contratar el recurso adecuado.
Falta de recursos financieros.</t>
  </si>
  <si>
    <t>Posibilidad de Afectación Económica y Reputacional  por Incumplimiento al proyecto de inversión para la generación del fortalecimiento de las tecnologías de la información debido a la Imposibilidad de Contratar el recurso adecuado y por Falta de recursos financieros.</t>
  </si>
  <si>
    <t>El especialista de Arquitectura Empresarial, trimestralmente debe revisar el avance de los proyectos del mapa de ruta con cada uno de los líderes de proyecto, por medio del diligenciamiento de EGTI-FM-008 Formato Seguimiento al Plan Estratégico de Tecnologías de Información -PETI, monitoreando la ejecución de los proyectos contemplados dentro del mapa de ruta.
En caso de que alguno de los proyectos del mapa de ruta, no aporte valor para el cumplimiento de metas y/o objetivos estratégicos o no cuente con los recursos necesarios para su ejecución, se escalará con el Comité Institucional de Gestión y Desempeño vía correo electrónico, donde se tomarán las acciones correspondientes.
Evidencia: EGTI-FM-008 Formato Seguimiento al Plan Estratégico de Tecnologías de Información -PETI Diligenciado, Correo electrónico según corresponda.</t>
  </si>
  <si>
    <t>En caso de que la estrategia de la entidad haya cambiado se ajusta el mapa de ruta para las vigencias próximas según el proyecto de inversión y la necesidades de la entidad a través del escalamiento al CIGD mediante PETI.</t>
  </si>
  <si>
    <t>Arquitecto Empresarial</t>
  </si>
  <si>
    <t>Priorización de Proyectos 
Asignación al Mapa de Ruta.</t>
  </si>
  <si>
    <t>Anual</t>
  </si>
  <si>
    <t>Control de Cambios de los Proyectos del PETI</t>
  </si>
  <si>
    <t>Líderes de Proyecto</t>
  </si>
  <si>
    <t>Actualización del PETI</t>
  </si>
  <si>
    <t>PETI Actualizado</t>
  </si>
  <si>
    <t>Pérdida reputacional y sanciones normativas por inconsistencias en la calidad de la información</t>
  </si>
  <si>
    <t>Accesos no autorizados que modifique la actualización y publicación de la Política Calidad de Datos y Plan de Calidad de la Información.
Fallos en el sistema debido a explotación de Vulnerabilidades que ocasionen modificaciones no autorizadas sobre la  Política Calidad de Datos y Plan de Calidad de la Información.</t>
  </si>
  <si>
    <t>Posibilidad de Pérdida reputacional y sanciones normativas por inconsistencias en la calidad de la información debido  Accesos no autorizado a la actualización y publicación de la Política Calidad de Datos y Plan de Calidad de la Información, ocasionando modificaciones y por Fallos en el sistema debido a explotación de Vulnerabilidades que ocasionen modificaciones no autorizadas sobre la  Política Calidad de Datos y Plan de Calidad de la Información.</t>
  </si>
  <si>
    <t>1. Política Calidad de Datos y Plan de Calidad de la Información
2. Documento para la formulación del plan de territorios inteligentes
3. Plan de datos abiertos
4. Roles y Responsabilidades Gobierno Componentes de Información</t>
  </si>
  <si>
    <t>Manipulación por Hardware
Manipulación por Software</t>
  </si>
  <si>
    <t>El grupo de Desarrollo cada 3 meses debe verificar la calidad de la información de las fuentes de datos a través de la consolidación de las incidencias de mesa de ayuda relacionada con problemas de datos generando un plan de acción sobre los temas repetitivos producto de la consolidación. 
Evidencia: Consolidado de Incidencias, Planes de Acción</t>
  </si>
  <si>
    <t>El Líder de Infraestructura y el Especialista de Servidores cada 2 meses deben verificar la actualización del Sistema Operativo que aloja el servicio WEB a través del diligenciamiento de la bitácora de infraestructura. En caso de existir alguna actualización del sistema operativo, se realizan las pruebas correspondientes en ambiente test para comprobar en  funcionamiento de la actualización, si las pruebas determinan que se debe realizar un reinicio de la máquina se realizará un control de cambios donde se establece una ventana de mantenimiento para lanzar la actualización.
Como evidencia de esta actividad se encuentra la bitácora de infraestructura, formato Control de Cambios y correo electrónico al Líder de Infraestructura en caso de ser necesario.</t>
  </si>
  <si>
    <t>El WEB Master debe verificar trimestralmente los intentos fallidos de acceso al administrador del sitio WEB y bloqueos a nivel seguridad a través de un reporte general donde se manifieste los bloqueos realizados. En caso de presentarse una alerta concurrente, se identifica IP y se realiza bloqueo permanente de la IP
Evidencia: Reporte Trimestral y Bloqueo de IP en caso de ser necesario.</t>
  </si>
  <si>
    <t>Reporte de Monitoreo</t>
  </si>
  <si>
    <t>Trimestral</t>
  </si>
  <si>
    <t>Especialista Servidores</t>
  </si>
  <si>
    <t>WEB Master</t>
  </si>
  <si>
    <t>Restablecer el Backup del Servidor que aloja el Servicio WEB
/
Bloqueo a nivel de usuario y escalamiento a instancias correspondientes</t>
  </si>
  <si>
    <t>Formato Control de Cambios</t>
  </si>
  <si>
    <t>Líder de Infraestructura y Especialista de Servidores.</t>
  </si>
  <si>
    <t>Cuando exista desviaciones de los planes de acción definidos</t>
  </si>
  <si>
    <t xml:space="preserve">FORTALEZAS:
- Se dispone de un modelo estratégico y de gobierno de TI en evolución constante
OPORTUNIDADES:
- La generación de políticas publicas y normativas que permiten apoyar la definición del horizonte tecnológico de la entidad y la aplicación de practicas estandarizadas
- El fortalecimiento en la adaptación y adopción de mejores prácticas en gestión de TI </t>
  </si>
  <si>
    <t>DEBILIDADES
- La compleja identificación de las acciones de mejora continua de los procesos 
AMENAZAS
- Las reglas de negocio segmentadas para soportar el modelo de seguridad y privacidad de la información</t>
  </si>
  <si>
    <t>La segmentación de las reglas de negocio para la implementación del Modelo de Seguridad de la Información, genera restrasos en su respectiva aplicación.</t>
  </si>
  <si>
    <t>FORTALEZAS:
- Los proyectos e inversiones de transformación digital, son planeados y soportados según las necesidades de la entidad y el fortalecimiento de las tecnologías de la información
- Se aborda constantemente la automatización y sistematización de los procesos de la entidad con el objeto de generar valor constante</t>
  </si>
  <si>
    <t xml:space="preserve">AMENAZAS
- Carencia de compromiso de los gestores funcionales de proyectos de tecnología por parte de los procesos
- El nivel de resistencia al cambio de los diferentes grupos de interés, afecta el cumplimiento de los objetivos de los procesos de TI y la adopción de las herramientas tecnológicas. </t>
  </si>
  <si>
    <t>Las acciones adelantadas desde TI, comprenden la aplicación de apropiación de estos cambios, toda vez que son indispensables para el correcto funcionamiento y cumplimiento de los objetivos inherentes del proceso, sin embargo, se presenta resistencia en la acogencia de las medidas dispuestas por la entidad, limitando su eficacia.</t>
  </si>
  <si>
    <t>FORTALEZAS:
- Se cuenta con una infraestructura de servidores flexible en la nube
- Se dispone de recursos presupuestales razonables para la inversión de TI
- Se desarrollan sistemas de información a la medida e innovadores, para soportar con calidad los procesos de transformación y sistematización de la entidad.
OPORTUNIDADES:
- La generación de servicios con tecnologías de la cuarta revolución
- La adquisición de bienes y servicios estandarizados a través de los mecanismos de Colombia compra Eficiente</t>
  </si>
  <si>
    <t>DEBILIDADES 
- Sistemas de información heredados de difícil actualización y soporte
AMENAZAS
- La especificación de los recursos presupuestales de funcionamiento que deben ser comprometidos por la entidad y se llevan sobre el presupuesto de inversión
- La adquisición de bienes y servicios personalizados a través de los mecanismos de Colombia compra Eficiente</t>
  </si>
  <si>
    <t>Acciones de adquisición de elementos tecnológicos Especializados a través de Colombia Compra Eficiente, se ve limitado por la falta de estos por parte de los proveedores.</t>
  </si>
  <si>
    <t>FORTALEZAS:
- Se adaptan y adoptan las mejores prácticas de TI aplicables desde la concesión de la política de gobierno digital y MIPG
- Existe un alto grado de administración, operación, mantenimiento y/o soporte de la infraestructura tecnológica
- Se posee una cultura de gestión de proyectos adoptada y adaptada a las necesidades de los procesos de TI
OPORTUNIDADES:</t>
  </si>
  <si>
    <t>DEBILIDADES 
- Ausencia de subprocesos y procedimientos documentados que se ejecutan</t>
  </si>
  <si>
    <t>La existencia de subprocesos y procedimientos no documentados generan posibles errores en la ejecución de estos.</t>
  </si>
  <si>
    <t>FORTALEZAS:
- Existe un equipo de trabajo especializado y con un alto nivel de experiencia que apoya la consecución de los objetivos de TI y las metas estratégicas de la entidad 
OPORTUNIDADES:
- El carácter estratégico que el distrito desea darle a los procesos de TI de la UAERMV</t>
  </si>
  <si>
    <t>DEBILIDADES 
- La mayor parte del Talento Humano del grupo de TI es contratista (aproximadamente un 92%), esto dificulta la gestión del conocimiento ante la frecuente rotación de personal y cambio de administración. Adicional a esto, dificulta la cadena de mando organizacional por las brechas entre talento humano de planta que corresponde al 8% y el contratista.
- La estructura organizacional de TI no es acorde a las necesidades de la entidad, dada la falencia de una Oficina de TI establecida y estratégica para la UAERMV
- La modalidad de contratación de prestación de servicios con obligaciones especificas que limita el apoyo de la gestión y las necesidades de TI a las obligaciones del contratista
- Recursos y roles complementarios a las labores especializadas de TI.
AMENAZAS
- Variación de las prioridades y lineamientos institucionales para la ejecución de los proyectos y el soporte operativo de TI
- La dificultad en la comunicación y participación en los niveles superiores por parte de los procesos de TI</t>
  </si>
  <si>
    <t>La mayor parte del Talento Humano del grupo de TI es contratista (aproximadamente un 90%), esto dificulta la gestión del conocimiento ante la frecuente rotación de personal y cambio de administración. Adicional a esto, dificulta la cadena de mando organizacional por las brechas entre talento humano de planta y contratista. 
Debido a la alta rotación del personal, se pueden presentar fallas en los servicios y/o dispositivos del centro de datos y no contar con el recurso humano calificado para realizar las correcciones pertinentes, lo anterior puede ocasionar posible pérdida de información.</t>
  </si>
  <si>
    <t>FORTALEZAS:
- El catalogo de servicios de TI, es continuamente actualizalizado y es acorde a las necesidades de la entidad.</t>
  </si>
  <si>
    <t>AMENAZAS
- Carencia del seguimiento a las políticas de TI y lineamientos por parte de los procesos externos, respecto a la adquisición de los elementos de tecnología, seguridad de la información y calidad de la información</t>
  </si>
  <si>
    <t>Debido a la resistencia al cambio en los procesos externos, con respecto a los linemientos emitidos por TI, se generan brechas de seguridad que pueden generar eventos y/o incidentes de seguridad de la información.</t>
  </si>
  <si>
    <t>FORTALEZAS:
OPORTUNIDADES:</t>
  </si>
  <si>
    <t>AMENAZAS
- Los ataques cibernéticos deliberados a las entidades publicas por personal interno y externo</t>
  </si>
  <si>
    <t>El incremento de los continuos ataques cibernéticos a entidades públicas se puede presentar de manera externa como interno, toda vez que es necesario seguir los lineamientos emitidos por el proceso en pro de la protección de los activos de información de la entidad.</t>
  </si>
  <si>
    <t>OPORTUNIDADES:
- El apoyo de entidades externas que brindan soporte y lineamientos en temas regulatorios y normativos
- La cooperación con entidades del orden distrital para brindar servicios más completos y robustos</t>
  </si>
  <si>
    <t>AMENAZAS
- La insuficiente oferta en el mercado del recurso humano especializado para el desarrollo de software
- La gestión de los acuerdos con entidades del orden nacional y distrital por falencias en su ejecución</t>
  </si>
  <si>
    <t>Las actividades y/o alianzas estratégicas con otras entidades permiten aunar esfuerzos y contribuir al mejoramiento de la entidad, sin embargo, se presentan falencias y/o retrasos en su ejecución.</t>
  </si>
  <si>
    <t>ANALISIS</t>
  </si>
  <si>
    <t>Fortalecer las capacidades tecnológicas de la UAERMV, facilitando el cumplimiento de sus objetivos institucionales mediante la aplicación de gestión de proyectos, diseño, desarrollo e implementación de Sistemas de Información,  gestión y seguridad de la información,  mantenimiento de la Arquitectura Empresarial, y Uso y Apropiación Tecnológica.</t>
  </si>
  <si>
    <t>El proceso de "Estrategia y Gobierno de TI" inicia con la elaboración del Plan Estratégico de Tecnologías de la Información (PETI), acorde con la normatividad vigente y las necesidades de la entidad, se desarrolla mediante la ejecución de proyectos, diseño de políticas  y finaliza con el cierre de los diferentes proyectos de TI (Tecnologías de la Información) y con la nueva actualización del PETI.</t>
  </si>
  <si>
    <t>Determinar las acciones  correctivas y de mejora
Implementar el plan de contingencia para la materialización de riesgos</t>
  </si>
  <si>
    <t>Los ataques cibernéticos deliberados a las entidades publicas por personal interno y externo</t>
  </si>
  <si>
    <t>Existe un equipo de trabajo especializado y con un alto nivel de experiencia que apoya la consecución de los objetivos de TI y las metas estratégicas de la entidad
El carácter estratégico que el distrito desea darle a los procesos de TI de la UAERMV
Existe un alto grado de administración, operación, mantenimiento y/o soporte de la infraestructura tecnológica</t>
  </si>
  <si>
    <t>Fuga de Información Código Fuente
Perdida de tiempo y recursos financieron en la restauración de los repositorios.</t>
  </si>
  <si>
    <t>Elaborar y actualizar Plan Estratégico de Tecnologías de la Información (PETI).
Desarrollar proyectos de TI relacionados con actualización, generación, implementación y/o adquisición de Sistemas de Información.
Realizar la implementación, desarrollo y actualización de la Arquitectura Empresarial.</t>
  </si>
  <si>
    <t xml:space="preserve">Se dispone de un modelo estratégico y de gobierno de TI en evolución constante
Los proyectos e inversiones de transformación digital, son planeados y soportados según las necesidades de la entidad y el fortalecimiento de las tecnologías de la información
Se dispone de recursos presupuestales razonables para la inversión de TI
La adquisición de bienes y servicios estandarizados a través de los mecanismos de Colombia compra Eficiente
</t>
  </si>
  <si>
    <t>La compleja identificación de las acciones de mejora continua de los procesos 
Carencia de compromiso de los gestores funcionales de proyectos de tecnología por parte de los procesos
El nivel de resistencia al cambio de los diferentes grupos de interés, afecta el cumplimiento de los objetivos de los procesos de TI y la adopción de las herramientas tecnológicas. 
La especificación de los recursos presupuestales de funcionamiento que deben ser comprometidos por la entidad y se llevan sobre el presupuesto de inversión
La adquisición de bienes y servicios personalizados a través de los mecanismos de Colombia compra Eficiente
La estructura organizacional de TI no es acorde a las necesidades de la entidad, dada la falencia de una Oficina de TI establecida y estratégica para la UAERMV
Variación de las prioridades y lineamientos institucionales para la ejecución de los proyectos y el soporte operativo de TI
La insuficiente oferta en el mercado del recurso humano especializado para el desarrollo de software</t>
  </si>
  <si>
    <t>Incumplimiento al Plan de Desarrollo.
Reducción de recursos financieros por incumplimiento al Plan de Inversión.</t>
  </si>
  <si>
    <t xml:space="preserve">Se dispone de un modelo estratégico y de gobierno de TI en evolución constante
Se adaptan y adoptan las mejores prácticas de TI aplicables desde la concesión de la política de gobierno digital y MIPG
Existe un equipo de trabajo especializado y con un alto nivel de experiencia que apoya la consecución de los objetivos de TI y las metas estratégicas de la entidad
</t>
  </si>
  <si>
    <t>Generación de Información inadecuada y errónea hacia los grupos de interes.
Perdida de credibilidad.</t>
  </si>
  <si>
    <t>El nivel de resistencia al cambio de los diferentes grupos de interés, afecta el cumplimiento de los objetivos de los procesos de TI y la adopción de las herramientas tecnológicas. 
Los ataques cibernéticos deliberados a las entidades publicas por personal interno y externo</t>
  </si>
  <si>
    <t>Arquitecto de Información.</t>
  </si>
  <si>
    <t>Reporte de las acciones de mejora identificadas de los planes.</t>
  </si>
  <si>
    <r>
      <t xml:space="preserve">El Arquitecto de Información trimestralmente debe verificar el cumplimiento de las acciones definidas en los planes a través de un reporte de avance de las acciones propuestas </t>
    </r>
    <r>
      <rPr>
        <b/>
        <sz val="12"/>
        <rFont val="Arial"/>
        <family val="2"/>
      </rPr>
      <t>(Documento para la formulación del plan de territorios inteligentes, Plan de datos abiertos, Roles y Responsabilidades Gobierno Componentes de Información),</t>
    </r>
    <r>
      <rPr>
        <sz val="12"/>
        <rFont val="Arial"/>
        <family val="2"/>
      </rPr>
      <t xml:space="preserve"> en caso de desviación en la ejecución de las actividades planteadas, se definen las acciones de mejoras a través del reporte de avance.
Como evidencia de esta actividad se encuentra el reporte de avance y las acciones de mejoras en caso de presentarse.</t>
    </r>
  </si>
  <si>
    <t>Elaborar y actualizar Plan Estratégico de Tecnologías de la Información (PETI).
Elaborar y actualizar Plan de Datos Abiertos de la entidad.
Publicar los Datos Abiertos que se definan en los portales de datos Nacional y Distrital.
Realizar la implementación, desarrollo y actualización de la Arquitectura Empresarial.
Desarrollar el Plan de Datos Abiertos de la entidad.
Gestionar la publicación los datos abiertos que se definan en los portales de datos Nacional y Distrital. 
Realizar seguimiento al PETI
Realizar seguimiento al desarrollo del plan y monitorear  las estadísticas de las plataformas de Datos Abiertos donde fueron publicados.
Gestionar que se habilite y analice  encuestas y comentarios de los usuarios de datos abiertos.</t>
  </si>
  <si>
    <t>Reportar al Equipo de Infraestructura las direcciones IP identificadas y Bloqueadas para realizar bloqueo a nivel de dispositivos.</t>
  </si>
  <si>
    <t>Correo Electrónico</t>
  </si>
  <si>
    <t>Ajustar a la Priorización de las necesidades para vigencias futuras para la actualización del PETI</t>
  </si>
  <si>
    <t>Monitorear los planes de acción identificados</t>
  </si>
  <si>
    <t>Monitorear las acciones de mejora identificadas durante el seguimiento de los planes.</t>
  </si>
  <si>
    <t>Realizar seguimiento del funcionamiento del S.O con las actualizaciones instaladas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</si>
</sst>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89"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2"/>
      <color theme="1"/>
      <name val="Arial"/>
      <family val="2"/>
    </font>
    <font>
      <b/>
      <sz val="22"/>
      <color theme="1"/>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sz val="12"/>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3" tint="0.59999389629810485"/>
        <bgColor indexed="64"/>
      </patternFill>
    </fill>
  </fills>
  <borders count="11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s>
  <cellStyleXfs count="7">
    <xf numFmtId="0" fontId="0" fillId="0" borderId="0"/>
    <xf numFmtId="9" fontId="12" fillId="0" borderId="0" applyFont="0" applyFill="0" applyBorder="0" applyAlignment="0" applyProtection="0"/>
    <xf numFmtId="0" fontId="42" fillId="0" borderId="0"/>
    <xf numFmtId="0" fontId="43" fillId="0" borderId="0"/>
    <xf numFmtId="0" fontId="4" fillId="0" borderId="0"/>
    <xf numFmtId="44" fontId="12" fillId="0" borderId="0" applyFont="0" applyFill="0" applyBorder="0" applyAlignment="0" applyProtection="0"/>
    <xf numFmtId="44" fontId="12" fillId="0" borderId="0" applyFont="0" applyFill="0" applyBorder="0" applyAlignment="0" applyProtection="0"/>
  </cellStyleXfs>
  <cellXfs count="561">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8" fillId="6" borderId="0" xfId="0" applyFont="1" applyFill="1" applyAlignment="1">
      <alignment horizontal="center" vertical="center" wrapText="1" readingOrder="1"/>
    </xf>
    <xf numFmtId="0" fontId="29" fillId="5" borderId="4" xfId="0" applyFont="1" applyFill="1" applyBorder="1" applyAlignment="1">
      <alignment horizontal="center" vertical="center" wrapText="1" readingOrder="1"/>
    </xf>
    <xf numFmtId="0" fontId="29" fillId="7" borderId="1" xfId="0" applyFont="1" applyFill="1" applyBorder="1" applyAlignment="1">
      <alignment horizontal="center" vertical="center" wrapText="1" readingOrder="1"/>
    </xf>
    <xf numFmtId="0" fontId="29" fillId="4" borderId="1" xfId="0" applyFont="1" applyFill="1" applyBorder="1" applyAlignment="1">
      <alignment horizontal="center" vertical="center" wrapText="1" readingOrder="1"/>
    </xf>
    <xf numFmtId="0" fontId="29" fillId="8" borderId="1" xfId="0" applyFont="1" applyFill="1" applyBorder="1" applyAlignment="1">
      <alignment horizontal="center" vertical="center" wrapText="1" readingOrder="1"/>
    </xf>
    <xf numFmtId="0" fontId="30" fillId="9" borderId="1" xfId="0" applyFont="1" applyFill="1" applyBorder="1" applyAlignment="1">
      <alignment horizontal="center" vertical="center" wrapText="1" readingOrder="1"/>
    </xf>
    <xf numFmtId="0" fontId="29" fillId="0" borderId="4" xfId="0" applyFont="1" applyBorder="1" applyAlignment="1">
      <alignment horizontal="center" vertical="center" wrapText="1" readingOrder="1"/>
    </xf>
    <xf numFmtId="0" fontId="29"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4" fillId="3" borderId="40" xfId="2" applyFont="1" applyFill="1" applyBorder="1"/>
    <xf numFmtId="0" fontId="44" fillId="3" borderId="41" xfId="2" applyFont="1" applyFill="1" applyBorder="1"/>
    <xf numFmtId="0" fontId="44" fillId="3" borderId="42" xfId="2" applyFont="1" applyFill="1" applyBorder="1"/>
    <xf numFmtId="0" fontId="14" fillId="3" borderId="0" xfId="0" applyFont="1" applyFill="1" applyAlignment="1">
      <alignment vertical="center"/>
    </xf>
    <xf numFmtId="0" fontId="4" fillId="3" borderId="0" xfId="0" applyFont="1" applyFill="1"/>
    <xf numFmtId="0" fontId="32" fillId="3" borderId="0" xfId="0" applyFont="1" applyFill="1"/>
    <xf numFmtId="0" fontId="33" fillId="3" borderId="23" xfId="0" applyFont="1" applyFill="1" applyBorder="1" applyAlignment="1">
      <alignment horizontal="center" vertical="center" wrapText="1" readingOrder="1"/>
    </xf>
    <xf numFmtId="0" fontId="34" fillId="3" borderId="23" xfId="0" applyFont="1" applyFill="1" applyBorder="1" applyAlignment="1">
      <alignment horizontal="justify" vertical="center" wrapText="1" readingOrder="1"/>
    </xf>
    <xf numFmtId="9" fontId="33" fillId="3" borderId="32" xfId="0" applyNumberFormat="1"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4" fillId="3" borderId="22" xfId="0" applyFont="1" applyFill="1" applyBorder="1" applyAlignment="1">
      <alignment horizontal="justify" vertical="center" wrapText="1" readingOrder="1"/>
    </xf>
    <xf numFmtId="9" fontId="33" fillId="3" borderId="27" xfId="0" applyNumberFormat="1"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0" fontId="34" fillId="3" borderId="29" xfId="0" applyFont="1" applyFill="1" applyBorder="1" applyAlignment="1">
      <alignment horizontal="justify" vertical="center" wrapText="1" readingOrder="1"/>
    </xf>
    <xf numFmtId="0" fontId="34" fillId="3" borderId="30" xfId="0" applyFont="1" applyFill="1" applyBorder="1" applyAlignment="1">
      <alignment horizontal="center" vertical="center" wrapText="1" readingOrder="1"/>
    </xf>
    <xf numFmtId="0" fontId="41" fillId="3" borderId="0" xfId="0" applyFont="1" applyFill="1"/>
    <xf numFmtId="0" fontId="33" fillId="15" borderId="34" xfId="0" applyFont="1" applyFill="1" applyBorder="1" applyAlignment="1">
      <alignment horizontal="center" vertical="center" wrapText="1" readingOrder="1"/>
    </xf>
    <xf numFmtId="0" fontId="33"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4" fillId="3" borderId="7" xfId="2" applyFont="1" applyFill="1" applyBorder="1"/>
    <xf numFmtId="0" fontId="49" fillId="3" borderId="0" xfId="0" applyFont="1" applyFill="1" applyAlignment="1">
      <alignment horizontal="left" vertical="center" wrapText="1"/>
    </xf>
    <xf numFmtId="0" fontId="50" fillId="3" borderId="0" xfId="0" applyFont="1" applyFill="1" applyAlignment="1">
      <alignment horizontal="left" vertical="top" wrapText="1"/>
    </xf>
    <xf numFmtId="0" fontId="44" fillId="3" borderId="0" xfId="2" applyFont="1" applyFill="1"/>
    <xf numFmtId="0" fontId="44" fillId="3" borderId="8" xfId="2" applyFont="1" applyFill="1" applyBorder="1"/>
    <xf numFmtId="0" fontId="44" fillId="3" borderId="9" xfId="2" applyFont="1" applyFill="1" applyBorder="1"/>
    <xf numFmtId="0" fontId="44" fillId="3" borderId="11" xfId="2" applyFont="1" applyFill="1" applyBorder="1"/>
    <xf numFmtId="0" fontId="44" fillId="3" borderId="10" xfId="2" applyFont="1" applyFill="1" applyBorder="1"/>
    <xf numFmtId="0" fontId="48" fillId="3" borderId="0" xfId="2" applyFont="1" applyFill="1" applyAlignment="1">
      <alignment horizontal="left" vertical="center" wrapText="1"/>
    </xf>
    <xf numFmtId="0" fontId="44" fillId="3" borderId="0" xfId="2" applyFont="1" applyFill="1" applyAlignment="1">
      <alignment horizontal="left" vertical="center" wrapText="1"/>
    </xf>
    <xf numFmtId="0" fontId="44" fillId="3" borderId="0" xfId="2" quotePrefix="1" applyFont="1" applyFill="1" applyAlignment="1">
      <alignment horizontal="left" vertical="center" wrapText="1"/>
    </xf>
    <xf numFmtId="0" fontId="46" fillId="3" borderId="7" xfId="2" quotePrefix="1" applyFont="1" applyFill="1" applyBorder="1" applyAlignment="1">
      <alignment horizontal="left" vertical="top" wrapText="1"/>
    </xf>
    <xf numFmtId="0" fontId="47" fillId="3" borderId="0" xfId="2" quotePrefix="1" applyFont="1" applyFill="1" applyAlignment="1">
      <alignment horizontal="left" vertical="top" wrapText="1"/>
    </xf>
    <xf numFmtId="0" fontId="47" fillId="3" borderId="8" xfId="2" quotePrefix="1" applyFont="1" applyFill="1" applyBorder="1" applyAlignment="1">
      <alignment horizontal="left" vertical="top" wrapText="1"/>
    </xf>
    <xf numFmtId="0" fontId="29" fillId="0" borderId="64" xfId="0" applyFont="1" applyBorder="1" applyAlignment="1">
      <alignment horizontal="justify" vertical="center" wrapText="1" readingOrder="1"/>
    </xf>
    <xf numFmtId="0" fontId="29" fillId="0" borderId="65" xfId="0" applyFont="1" applyBorder="1" applyAlignment="1">
      <alignment horizontal="justify" vertical="center" wrapText="1" readingOrder="1"/>
    </xf>
    <xf numFmtId="165" fontId="27"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4" fillId="3" borderId="0" xfId="0" applyFont="1" applyFill="1"/>
    <xf numFmtId="0" fontId="55" fillId="3" borderId="0" xfId="0" applyFont="1" applyFill="1" applyAlignment="1">
      <alignment horizontal="justify" vertical="center" wrapText="1" readingOrder="1"/>
    </xf>
    <xf numFmtId="0" fontId="54" fillId="0" borderId="0" xfId="0" applyFont="1"/>
    <xf numFmtId="0" fontId="56" fillId="3" borderId="0" xfId="0" applyFont="1" applyFill="1" applyAlignment="1">
      <alignment vertical="center"/>
    </xf>
    <xf numFmtId="44" fontId="0" fillId="3" borderId="0" xfId="5" applyFont="1" applyFill="1" applyAlignment="1">
      <alignment horizontal="left" vertical="center"/>
    </xf>
    <xf numFmtId="44" fontId="54" fillId="3" borderId="0" xfId="5" applyFont="1" applyFill="1" applyAlignment="1">
      <alignment horizontal="left" vertical="center"/>
    </xf>
    <xf numFmtId="44" fontId="0" fillId="0" borderId="0" xfId="5" applyFont="1" applyAlignment="1">
      <alignment horizontal="left" vertical="center"/>
    </xf>
    <xf numFmtId="44" fontId="26"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7" fillId="0" borderId="0" xfId="0" applyFont="1"/>
    <xf numFmtId="0" fontId="58" fillId="0" borderId="0" xfId="0" applyFont="1"/>
    <xf numFmtId="0" fontId="59" fillId="0" borderId="0" xfId="0" applyFont="1"/>
    <xf numFmtId="0" fontId="60" fillId="0" borderId="0" xfId="0" applyFont="1" applyAlignment="1">
      <alignment wrapText="1"/>
    </xf>
    <xf numFmtId="0" fontId="59" fillId="0" borderId="0" xfId="0" applyFont="1" applyAlignment="1">
      <alignment wrapText="1"/>
    </xf>
    <xf numFmtId="0" fontId="57" fillId="0" borderId="8" xfId="0" applyFont="1" applyBorder="1"/>
    <xf numFmtId="0" fontId="62" fillId="0" borderId="8" xfId="0" applyFont="1" applyBorder="1"/>
    <xf numFmtId="0" fontId="63" fillId="19" borderId="67" xfId="0" applyFont="1" applyFill="1" applyBorder="1" applyAlignment="1">
      <alignment horizontal="center" vertical="center" wrapText="1"/>
    </xf>
    <xf numFmtId="0" fontId="64" fillId="19" borderId="10" xfId="0" applyFont="1" applyFill="1" applyBorder="1" applyAlignment="1">
      <alignment horizontal="center" vertical="center" wrapText="1"/>
    </xf>
    <xf numFmtId="0" fontId="62" fillId="0" borderId="0" xfId="0" applyFont="1"/>
    <xf numFmtId="0" fontId="63" fillId="19" borderId="67" xfId="0" applyFont="1" applyFill="1" applyBorder="1" applyAlignment="1">
      <alignment horizontal="center" vertical="center" textRotation="90" wrapText="1"/>
    </xf>
    <xf numFmtId="0" fontId="63" fillId="19" borderId="66" xfId="0" applyFont="1" applyFill="1" applyBorder="1" applyAlignment="1">
      <alignment horizontal="center" vertical="center" textRotation="90" wrapText="1"/>
    </xf>
    <xf numFmtId="0" fontId="63" fillId="19" borderId="69" xfId="0" applyFont="1" applyFill="1" applyBorder="1" applyAlignment="1">
      <alignment horizontal="center" vertical="center" textRotation="90" wrapText="1"/>
    </xf>
    <xf numFmtId="0" fontId="63" fillId="19" borderId="6" xfId="0" applyFont="1" applyFill="1" applyBorder="1" applyAlignment="1">
      <alignment horizontal="center" vertical="center" textRotation="90" wrapText="1"/>
    </xf>
    <xf numFmtId="0" fontId="63" fillId="19" borderId="36" xfId="0" applyFont="1" applyFill="1" applyBorder="1" applyAlignment="1">
      <alignment horizontal="center" vertical="center" textRotation="90" wrapText="1"/>
    </xf>
    <xf numFmtId="0" fontId="65" fillId="0" borderId="8" xfId="0" applyFont="1" applyBorder="1"/>
    <xf numFmtId="0" fontId="66" fillId="20" borderId="6" xfId="0" applyFont="1" applyFill="1" applyBorder="1" applyAlignment="1">
      <alignment horizontal="center" vertical="center" textRotation="90" wrapText="1"/>
    </xf>
    <xf numFmtId="0" fontId="65" fillId="0" borderId="0" xfId="0" applyFont="1"/>
    <xf numFmtId="0" fontId="65" fillId="20" borderId="36" xfId="0" applyFont="1" applyFill="1" applyBorder="1"/>
    <xf numFmtId="0" fontId="64" fillId="0" borderId="0" xfId="0" applyFont="1" applyAlignment="1">
      <alignment horizontal="center" vertical="center"/>
    </xf>
    <xf numFmtId="0" fontId="63" fillId="0" borderId="0" xfId="0" applyFont="1" applyAlignment="1">
      <alignment horizontal="center" vertical="center"/>
    </xf>
    <xf numFmtId="0" fontId="60" fillId="0" borderId="0" xfId="0" applyFont="1"/>
    <xf numFmtId="0" fontId="67" fillId="0" borderId="0" xfId="0" applyFont="1" applyAlignment="1">
      <alignment vertical="center" wrapText="1"/>
    </xf>
    <xf numFmtId="0" fontId="67" fillId="0" borderId="71" xfId="0" applyFont="1" applyBorder="1" applyAlignment="1">
      <alignment horizontal="center" vertical="center" wrapText="1"/>
    </xf>
    <xf numFmtId="0" fontId="67" fillId="0" borderId="26" xfId="0" applyFont="1" applyBorder="1" applyAlignment="1">
      <alignment horizontal="center" vertical="center" wrapText="1"/>
    </xf>
    <xf numFmtId="0" fontId="67" fillId="0" borderId="22" xfId="0" applyFont="1" applyBorder="1" applyAlignment="1">
      <alignment vertical="center" wrapText="1"/>
    </xf>
    <xf numFmtId="0" fontId="67" fillId="0" borderId="27" xfId="0" applyFont="1" applyBorder="1" applyAlignment="1">
      <alignment vertical="center" wrapText="1"/>
    </xf>
    <xf numFmtId="0" fontId="72" fillId="0" borderId="75" xfId="0" applyFont="1" applyBorder="1" applyAlignment="1">
      <alignment horizontal="justify" vertical="center" wrapText="1"/>
    </xf>
    <xf numFmtId="0" fontId="72" fillId="0" borderId="77" xfId="0" applyFont="1" applyBorder="1" applyAlignment="1">
      <alignment horizontal="justify" vertical="center" wrapText="1"/>
    </xf>
    <xf numFmtId="0" fontId="71" fillId="16" borderId="75" xfId="0" applyFont="1" applyFill="1" applyBorder="1" applyAlignment="1">
      <alignment horizontal="center" vertical="center" wrapText="1"/>
    </xf>
    <xf numFmtId="0" fontId="71" fillId="16" borderId="77" xfId="0" applyFont="1" applyFill="1" applyBorder="1" applyAlignment="1">
      <alignment horizontal="center" vertical="center" wrapText="1"/>
    </xf>
    <xf numFmtId="0" fontId="71" fillId="16" borderId="79"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30" xfId="0" applyFont="1" applyFill="1" applyBorder="1" applyAlignment="1">
      <alignment horizontal="center" vertical="center" wrapText="1"/>
    </xf>
    <xf numFmtId="0" fontId="71" fillId="19" borderId="67" xfId="0" applyFont="1" applyFill="1" applyBorder="1" applyAlignment="1">
      <alignment horizontal="center" vertical="center" wrapText="1"/>
    </xf>
    <xf numFmtId="0" fontId="71" fillId="19" borderId="36" xfId="0" applyFont="1" applyFill="1" applyBorder="1" applyAlignment="1">
      <alignment horizontal="center" vertical="center" wrapText="1"/>
    </xf>
    <xf numFmtId="0" fontId="72" fillId="0" borderId="10" xfId="0" applyFont="1" applyBorder="1" applyAlignment="1">
      <alignment horizontal="justify" vertical="center" wrapText="1"/>
    </xf>
    <xf numFmtId="0" fontId="74" fillId="24" borderId="84" xfId="0" applyFont="1" applyFill="1" applyBorder="1" applyAlignment="1">
      <alignment horizontal="left" vertical="center" wrapText="1" readingOrder="1"/>
    </xf>
    <xf numFmtId="0" fontId="74" fillId="25" borderId="84" xfId="0" applyFont="1" applyFill="1" applyBorder="1" applyAlignment="1">
      <alignment horizontal="left" vertical="center" wrapText="1" readingOrder="1"/>
    </xf>
    <xf numFmtId="0" fontId="80" fillId="0" borderId="82" xfId="0" applyFont="1" applyBorder="1" applyAlignment="1">
      <alignment vertical="center" wrapText="1"/>
    </xf>
    <xf numFmtId="0" fontId="79" fillId="0" borderId="82" xfId="0" applyFont="1" applyBorder="1" applyAlignment="1">
      <alignment vertical="center"/>
    </xf>
    <xf numFmtId="0" fontId="79" fillId="0" borderId="82" xfId="0" applyFont="1" applyBorder="1" applyAlignment="1">
      <alignment vertical="center" wrapText="1"/>
    </xf>
    <xf numFmtId="0" fontId="79" fillId="26" borderId="0" xfId="0" applyFont="1" applyFill="1" applyAlignment="1">
      <alignment horizontal="center" vertical="center"/>
    </xf>
    <xf numFmtId="0" fontId="71" fillId="26" borderId="67" xfId="0" applyFont="1" applyFill="1" applyBorder="1" applyAlignment="1">
      <alignment horizontal="center" vertical="center" wrapText="1"/>
    </xf>
    <xf numFmtId="0" fontId="71" fillId="26" borderId="36" xfId="0" applyFont="1" applyFill="1" applyBorder="1" applyAlignment="1">
      <alignment horizontal="center" vertical="center" wrapText="1"/>
    </xf>
    <xf numFmtId="0" fontId="67" fillId="0" borderId="72" xfId="0" applyFont="1" applyBorder="1" applyAlignment="1">
      <alignment horizontal="center" vertical="center" wrapText="1"/>
    </xf>
    <xf numFmtId="0" fontId="67" fillId="0" borderId="73" xfId="0" applyFont="1" applyBorder="1" applyAlignment="1">
      <alignment horizontal="center" vertical="center" wrapText="1"/>
    </xf>
    <xf numFmtId="0" fontId="67" fillId="0" borderId="22" xfId="0" applyFont="1" applyBorder="1" applyAlignment="1">
      <alignment horizontal="center" vertical="center" wrapText="1"/>
    </xf>
    <xf numFmtId="0" fontId="67" fillId="0" borderId="27"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3" fillId="3" borderId="0" xfId="5" applyFont="1" applyFill="1" applyAlignment="1">
      <alignment vertical="top"/>
    </xf>
    <xf numFmtId="0" fontId="76" fillId="0" borderId="85" xfId="0" applyFont="1" applyBorder="1" applyAlignment="1" applyProtection="1">
      <alignment horizontal="center" vertical="center" wrapText="1"/>
      <protection locked="0"/>
    </xf>
    <xf numFmtId="0" fontId="76" fillId="0" borderId="85" xfId="0" applyFont="1" applyBorder="1" applyAlignment="1" applyProtection="1">
      <alignment horizontal="justify" vertical="center" wrapText="1"/>
      <protection locked="0"/>
    </xf>
    <xf numFmtId="0" fontId="76" fillId="0" borderId="85" xfId="0" applyFont="1" applyBorder="1" applyAlignment="1" applyProtection="1">
      <alignment horizontal="justify" vertical="center"/>
      <protection locked="0"/>
    </xf>
    <xf numFmtId="0" fontId="76" fillId="0" borderId="85" xfId="0" applyFont="1" applyBorder="1" applyAlignment="1" applyProtection="1">
      <alignment horizontal="center" vertical="center"/>
      <protection hidden="1"/>
    </xf>
    <xf numFmtId="0" fontId="76" fillId="0" borderId="85" xfId="0" applyFont="1" applyBorder="1" applyAlignment="1" applyProtection="1">
      <alignment horizontal="center" vertical="center" textRotation="90"/>
      <protection locked="0"/>
    </xf>
    <xf numFmtId="9" fontId="76" fillId="0" borderId="85" xfId="0" applyNumberFormat="1" applyFont="1" applyBorder="1" applyAlignment="1" applyProtection="1">
      <alignment horizontal="center" vertical="center"/>
      <protection hidden="1"/>
    </xf>
    <xf numFmtId="164" fontId="76" fillId="0" borderId="85" xfId="1" applyNumberFormat="1" applyFont="1" applyFill="1" applyBorder="1" applyAlignment="1">
      <alignment horizontal="center" vertical="center"/>
    </xf>
    <xf numFmtId="0" fontId="77" fillId="0" borderId="85" xfId="0" applyFont="1" applyBorder="1" applyAlignment="1" applyProtection="1">
      <alignment horizontal="center" vertical="center" textRotation="90" wrapText="1"/>
      <protection hidden="1"/>
    </xf>
    <xf numFmtId="0" fontId="77" fillId="0" borderId="85" xfId="0" applyFont="1" applyBorder="1" applyAlignment="1" applyProtection="1">
      <alignment horizontal="center" vertical="center" textRotation="90"/>
      <protection hidden="1"/>
    </xf>
    <xf numFmtId="0" fontId="76" fillId="0" borderId="85" xfId="0" applyFont="1" applyBorder="1" applyAlignment="1" applyProtection="1">
      <alignment horizontal="center" vertical="center" textRotation="90" wrapText="1"/>
      <protection locked="0"/>
    </xf>
    <xf numFmtId="0" fontId="76" fillId="0" borderId="85" xfId="0" applyFont="1" applyBorder="1" applyAlignment="1" applyProtection="1">
      <alignment horizontal="center" vertical="center"/>
      <protection locked="0"/>
    </xf>
    <xf numFmtId="14" fontId="76" fillId="0" borderId="85" xfId="0" applyNumberFormat="1" applyFont="1" applyBorder="1" applyAlignment="1" applyProtection="1">
      <alignment horizontal="center" vertical="center"/>
      <protection locked="0"/>
    </xf>
    <xf numFmtId="0" fontId="76" fillId="0" borderId="0" xfId="0" applyFont="1"/>
    <xf numFmtId="0" fontId="76" fillId="0" borderId="85" xfId="0" applyFont="1" applyBorder="1" applyAlignment="1" applyProtection="1">
      <alignment horizontal="justify" vertical="top" wrapText="1"/>
      <protection locked="0"/>
    </xf>
    <xf numFmtId="0" fontId="81" fillId="3" borderId="0" xfId="0" applyFont="1" applyFill="1"/>
    <xf numFmtId="0" fontId="81" fillId="0" borderId="0" xfId="0" applyFont="1"/>
    <xf numFmtId="0" fontId="76" fillId="3" borderId="0" xfId="0" applyFont="1" applyFill="1" applyAlignment="1">
      <alignment horizontal="center" vertical="center"/>
    </xf>
    <xf numFmtId="0" fontId="76" fillId="3" borderId="0" xfId="0" applyFont="1" applyFill="1" applyAlignment="1">
      <alignment horizontal="left" vertical="center"/>
    </xf>
    <xf numFmtId="0" fontId="76" fillId="3" borderId="0" xfId="0" applyFont="1" applyFill="1"/>
    <xf numFmtId="0" fontId="76" fillId="3" borderId="0" xfId="0" applyFont="1" applyFill="1" applyAlignment="1">
      <alignment horizontal="center"/>
    </xf>
    <xf numFmtId="0" fontId="77" fillId="0" borderId="0" xfId="0" applyFont="1" applyAlignment="1">
      <alignment horizontal="left" vertical="center"/>
    </xf>
    <xf numFmtId="0" fontId="76" fillId="0" borderId="0" xfId="0" applyFont="1" applyAlignment="1" applyProtection="1">
      <alignment horizontal="left" vertical="center" wrapText="1"/>
      <protection locked="0"/>
    </xf>
    <xf numFmtId="0" fontId="77" fillId="0" borderId="0" xfId="0" applyFont="1"/>
    <xf numFmtId="0" fontId="76" fillId="0" borderId="0" xfId="0" applyFont="1" applyAlignment="1">
      <alignment horizontal="left" wrapText="1"/>
    </xf>
    <xf numFmtId="0" fontId="77" fillId="16" borderId="85" xfId="0" applyFont="1" applyFill="1" applyBorder="1" applyAlignment="1">
      <alignment horizontal="center" vertical="center" textRotation="90"/>
    </xf>
    <xf numFmtId="0" fontId="77" fillId="3" borderId="0" xfId="0" applyFont="1" applyFill="1" applyAlignment="1">
      <alignment horizontal="center" vertical="center"/>
    </xf>
    <xf numFmtId="0" fontId="77" fillId="0" borderId="0" xfId="0" applyFont="1" applyAlignment="1">
      <alignment horizontal="center" vertical="center"/>
    </xf>
    <xf numFmtId="0" fontId="77" fillId="2" borderId="0" xfId="0" applyFont="1" applyFill="1" applyAlignment="1">
      <alignment horizontal="center" vertical="center"/>
    </xf>
    <xf numFmtId="0" fontId="76" fillId="0" borderId="85" xfId="0" applyFont="1" applyBorder="1" applyAlignment="1">
      <alignment horizontal="center" vertical="center"/>
    </xf>
    <xf numFmtId="0" fontId="76" fillId="0" borderId="0" xfId="0" applyFont="1" applyAlignment="1">
      <alignment vertical="center"/>
    </xf>
    <xf numFmtId="0" fontId="76" fillId="0" borderId="3" xfId="0" applyFont="1" applyBorder="1" applyAlignment="1">
      <alignment horizontal="center" vertical="center"/>
    </xf>
    <xf numFmtId="0" fontId="76" fillId="0" borderId="0" xfId="0" applyFont="1" applyAlignment="1">
      <alignment wrapText="1"/>
    </xf>
    <xf numFmtId="0" fontId="76" fillId="0" borderId="0" xfId="0" applyFont="1" applyAlignment="1">
      <alignment horizontal="center" vertical="center"/>
    </xf>
    <xf numFmtId="0" fontId="76" fillId="0" borderId="0" xfId="0" applyFont="1" applyAlignment="1">
      <alignment horizontal="center"/>
    </xf>
    <xf numFmtId="166" fontId="29" fillId="0" borderId="64" xfId="0" applyNumberFormat="1" applyFont="1" applyBorder="1" applyAlignment="1">
      <alignment horizontal="center" vertical="center" wrapText="1" readingOrder="1"/>
    </xf>
    <xf numFmtId="0" fontId="76" fillId="0" borderId="86" xfId="0" applyFont="1" applyBorder="1" applyAlignment="1" applyProtection="1">
      <alignment horizontal="center" vertical="center" wrapText="1"/>
      <protection locked="0"/>
    </xf>
    <xf numFmtId="0" fontId="76" fillId="0" borderId="94" xfId="0" applyFont="1" applyBorder="1" applyAlignment="1" applyProtection="1">
      <alignment horizontal="center" vertical="center" wrapText="1"/>
      <protection locked="0"/>
    </xf>
    <xf numFmtId="0" fontId="76" fillId="0" borderId="87" xfId="0" applyFont="1" applyBorder="1" applyAlignment="1" applyProtection="1">
      <alignment horizontal="center" vertical="center" wrapText="1"/>
      <protection locked="0"/>
    </xf>
    <xf numFmtId="0" fontId="77" fillId="16" borderId="87" xfId="0" applyFont="1" applyFill="1" applyBorder="1" applyAlignment="1">
      <alignment vertical="center"/>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7" borderId="7" xfId="0" applyFill="1" applyBorder="1"/>
    <xf numFmtId="0" fontId="0" fillId="27" borderId="0" xfId="0" applyFill="1"/>
    <xf numFmtId="0" fontId="0" fillId="27" borderId="9" xfId="0" applyFill="1" applyBorder="1"/>
    <xf numFmtId="0" fontId="0" fillId="27" borderId="11" xfId="0" applyFill="1" applyBorder="1"/>
    <xf numFmtId="0" fontId="0" fillId="0" borderId="11" xfId="0" applyBorder="1"/>
    <xf numFmtId="0" fontId="0" fillId="0" borderId="10" xfId="0" applyBorder="1"/>
    <xf numFmtId="0" fontId="79" fillId="0" borderId="24" xfId="0" applyFont="1" applyBorder="1"/>
    <xf numFmtId="0" fontId="79" fillId="0" borderId="25" xfId="0" applyFont="1" applyBorder="1"/>
    <xf numFmtId="0" fontId="0" fillId="0" borderId="25" xfId="0" applyBorder="1"/>
    <xf numFmtId="0" fontId="0" fillId="0" borderId="36" xfId="0" applyBorder="1"/>
    <xf numFmtId="0" fontId="82" fillId="0" borderId="85" xfId="0" applyFont="1" applyBorder="1" applyAlignment="1" applyProtection="1">
      <alignment horizontal="justify" vertical="center" wrapText="1"/>
      <protection locked="0"/>
    </xf>
    <xf numFmtId="0" fontId="83" fillId="28" borderId="104" xfId="0" applyFont="1" applyFill="1" applyBorder="1" applyAlignment="1" applyProtection="1">
      <alignment horizontal="center" vertical="center" wrapText="1"/>
      <protection hidden="1"/>
    </xf>
    <xf numFmtId="0" fontId="83" fillId="28" borderId="105" xfId="0" applyFont="1" applyFill="1" applyBorder="1" applyAlignment="1" applyProtection="1">
      <alignment horizontal="center" vertical="center" wrapText="1"/>
      <protection hidden="1"/>
    </xf>
    <xf numFmtId="0" fontId="83" fillId="28" borderId="106"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67" fillId="0" borderId="0" xfId="0" applyFont="1" applyAlignment="1">
      <alignment vertical="center"/>
    </xf>
    <xf numFmtId="0" fontId="79" fillId="0" borderId="68" xfId="0" applyFont="1" applyBorder="1" applyAlignment="1">
      <alignment vertical="center"/>
    </xf>
    <xf numFmtId="0" fontId="79" fillId="3" borderId="0" xfId="0" applyFont="1" applyFill="1"/>
    <xf numFmtId="0" fontId="77" fillId="21" borderId="87" xfId="0" applyFont="1" applyFill="1" applyBorder="1" applyAlignment="1">
      <alignment horizontal="center" vertical="center" wrapText="1"/>
    </xf>
    <xf numFmtId="0" fontId="77" fillId="21" borderId="86" xfId="0" applyFont="1" applyFill="1" applyBorder="1" applyAlignment="1">
      <alignment horizontal="center" vertical="center" wrapText="1"/>
    </xf>
    <xf numFmtId="0" fontId="75" fillId="0" borderId="0" xfId="0" applyFont="1" applyAlignment="1">
      <alignment vertical="center"/>
    </xf>
    <xf numFmtId="0" fontId="85" fillId="0" borderId="0" xfId="0" applyFont="1" applyAlignment="1">
      <alignment vertical="center"/>
    </xf>
    <xf numFmtId="0" fontId="76" fillId="3" borderId="0" xfId="0" applyFont="1" applyFill="1" applyAlignment="1">
      <alignment wrapText="1"/>
    </xf>
    <xf numFmtId="0" fontId="76" fillId="0" borderId="0" xfId="0" applyFont="1" applyAlignment="1" applyProtection="1">
      <alignment vertical="center"/>
      <protection locked="0"/>
    </xf>
    <xf numFmtId="0" fontId="76" fillId="3" borderId="0" xfId="0" applyFont="1" applyFill="1" applyAlignment="1" applyProtection="1">
      <alignment vertical="center" wrapText="1"/>
      <protection locked="0"/>
    </xf>
    <xf numFmtId="0" fontId="77" fillId="3" borderId="0" xfId="0" applyFont="1" applyFill="1"/>
    <xf numFmtId="0" fontId="76" fillId="23" borderId="0" xfId="0" applyFont="1" applyFill="1" applyAlignment="1">
      <alignment horizontal="center" vertical="center"/>
    </xf>
    <xf numFmtId="0" fontId="76" fillId="23" borderId="0" xfId="0" applyFont="1" applyFill="1"/>
    <xf numFmtId="0" fontId="76" fillId="23" borderId="0" xfId="0" applyFont="1" applyFill="1" applyAlignment="1">
      <alignment horizontal="center"/>
    </xf>
    <xf numFmtId="0" fontId="76" fillId="23" borderId="0" xfId="0" applyFont="1" applyFill="1" applyAlignment="1">
      <alignment wrapText="1"/>
    </xf>
    <xf numFmtId="14" fontId="76" fillId="0" borderId="85" xfId="0" applyNumberFormat="1" applyFont="1" applyBorder="1" applyAlignment="1" applyProtection="1">
      <alignment horizontal="center" vertical="center" wrapText="1"/>
      <protection locked="0"/>
    </xf>
    <xf numFmtId="0" fontId="82" fillId="0" borderId="85" xfId="0" applyFont="1" applyBorder="1" applyAlignment="1" applyProtection="1">
      <alignment horizontal="justify" vertical="center"/>
      <protection locked="0"/>
    </xf>
    <xf numFmtId="0" fontId="76" fillId="0" borderId="85" xfId="0" applyFont="1" applyBorder="1" applyAlignment="1" applyProtection="1">
      <alignment horizontal="justify" vertical="top"/>
      <protection locked="0"/>
    </xf>
    <xf numFmtId="0" fontId="76" fillId="0" borderId="85" xfId="0" applyFont="1" applyBorder="1" applyAlignment="1" applyProtection="1">
      <alignment vertical="center" wrapText="1"/>
      <protection locked="0"/>
    </xf>
    <xf numFmtId="0" fontId="60" fillId="3" borderId="66" xfId="0" applyFont="1" applyFill="1" applyBorder="1" applyAlignment="1">
      <alignment horizontal="justify" vertical="center" wrapText="1"/>
    </xf>
    <xf numFmtId="0" fontId="62" fillId="0" borderId="82" xfId="0" applyFont="1" applyBorder="1" applyAlignment="1">
      <alignment vertical="center" wrapText="1"/>
    </xf>
    <xf numFmtId="0" fontId="62" fillId="0" borderId="83" xfId="0" applyFont="1" applyBorder="1" applyAlignment="1">
      <alignment horizontal="center" vertical="center" wrapText="1"/>
    </xf>
    <xf numFmtId="0" fontId="62" fillId="0" borderId="83" xfId="0" applyFont="1" applyBorder="1" applyAlignment="1">
      <alignment vertical="center" wrapText="1"/>
    </xf>
    <xf numFmtId="0" fontId="60" fillId="3" borderId="67" xfId="0" applyFont="1" applyFill="1" applyBorder="1" applyAlignment="1">
      <alignment horizontal="justify" vertical="center" wrapText="1"/>
    </xf>
    <xf numFmtId="0" fontId="63" fillId="19" borderId="24" xfId="0" applyFont="1" applyFill="1" applyBorder="1" applyAlignment="1">
      <alignment horizontal="center" vertical="center" wrapText="1"/>
    </xf>
    <xf numFmtId="0" fontId="45" fillId="23" borderId="37" xfId="2" applyFont="1" applyFill="1" applyBorder="1" applyAlignment="1">
      <alignment horizontal="center" vertical="center" wrapText="1"/>
    </xf>
    <xf numFmtId="0" fontId="45" fillId="23" borderId="38" xfId="2" applyFont="1" applyFill="1" applyBorder="1" applyAlignment="1">
      <alignment horizontal="center" vertical="center" wrapText="1"/>
    </xf>
    <xf numFmtId="0" fontId="45" fillId="23" borderId="39" xfId="2" applyFont="1" applyFill="1" applyBorder="1" applyAlignment="1">
      <alignment horizontal="center" vertical="center" wrapText="1"/>
    </xf>
    <xf numFmtId="0" fontId="44" fillId="0" borderId="7" xfId="2" quotePrefix="1" applyFont="1" applyBorder="1" applyAlignment="1">
      <alignment horizontal="left" vertical="center" wrapText="1"/>
    </xf>
    <xf numFmtId="0" fontId="44" fillId="0" borderId="0" xfId="2" quotePrefix="1" applyFont="1" applyAlignment="1">
      <alignment horizontal="left" vertical="center" wrapText="1"/>
    </xf>
    <xf numFmtId="0" fontId="44" fillId="0" borderId="8" xfId="2" quotePrefix="1" applyFont="1" applyBorder="1" applyAlignment="1">
      <alignment horizontal="left" vertical="center" wrapText="1"/>
    </xf>
    <xf numFmtId="0" fontId="44" fillId="0" borderId="57" xfId="2" quotePrefix="1" applyFont="1" applyBorder="1" applyAlignment="1">
      <alignment horizontal="left" vertical="center" wrapText="1"/>
    </xf>
    <xf numFmtId="0" fontId="44" fillId="0" borderId="58" xfId="2" quotePrefix="1" applyFont="1" applyBorder="1" applyAlignment="1">
      <alignment horizontal="left" vertical="center" wrapText="1"/>
    </xf>
    <xf numFmtId="0" fontId="44" fillId="0" borderId="59" xfId="2" quotePrefix="1" applyFont="1" applyBorder="1" applyAlignment="1">
      <alignment horizontal="left" vertical="center" wrapText="1"/>
    </xf>
    <xf numFmtId="0" fontId="46" fillId="3" borderId="40" xfId="2" quotePrefix="1" applyFont="1" applyFill="1" applyBorder="1" applyAlignment="1">
      <alignment horizontal="left" vertical="top" wrapText="1"/>
    </xf>
    <xf numFmtId="0" fontId="47" fillId="3" borderId="41" xfId="2" quotePrefix="1" applyFont="1" applyFill="1" applyBorder="1" applyAlignment="1">
      <alignment horizontal="left" vertical="top" wrapText="1"/>
    </xf>
    <xf numFmtId="0" fontId="47" fillId="3" borderId="42" xfId="2" quotePrefix="1" applyFont="1" applyFill="1" applyBorder="1" applyAlignment="1">
      <alignment horizontal="left" vertical="top" wrapText="1"/>
    </xf>
    <xf numFmtId="0" fontId="44" fillId="0" borderId="7" xfId="2" quotePrefix="1" applyFont="1" applyBorder="1" applyAlignment="1">
      <alignment horizontal="left" vertical="top" wrapText="1"/>
    </xf>
    <xf numFmtId="0" fontId="44" fillId="0" borderId="0" xfId="2" quotePrefix="1" applyFont="1" applyAlignment="1">
      <alignment horizontal="left" vertical="top" wrapText="1"/>
    </xf>
    <xf numFmtId="0" fontId="44" fillId="0" borderId="8" xfId="2" quotePrefix="1" applyFont="1" applyBorder="1" applyAlignment="1">
      <alignment horizontal="left" vertical="top" wrapText="1"/>
    </xf>
    <xf numFmtId="0" fontId="49" fillId="14" borderId="43" xfId="3" applyFont="1" applyFill="1" applyBorder="1" applyAlignment="1">
      <alignment horizontal="center" vertical="center" wrapText="1"/>
    </xf>
    <xf numFmtId="0" fontId="49" fillId="14" borderId="44" xfId="3" applyFont="1" applyFill="1" applyBorder="1" applyAlignment="1">
      <alignment horizontal="center" vertical="center" wrapText="1"/>
    </xf>
    <xf numFmtId="0" fontId="49" fillId="14" borderId="45" xfId="2" applyFont="1" applyFill="1" applyBorder="1" applyAlignment="1">
      <alignment horizontal="center" vertical="center"/>
    </xf>
    <xf numFmtId="0" fontId="49"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49" fillId="3" borderId="47" xfId="3" applyFont="1" applyFill="1" applyBorder="1" applyAlignment="1">
      <alignment horizontal="left" vertical="top" wrapText="1" readingOrder="1"/>
    </xf>
    <xf numFmtId="0" fontId="49" fillId="3" borderId="48" xfId="3" applyFont="1" applyFill="1" applyBorder="1" applyAlignment="1">
      <alignment horizontal="left" vertical="top" wrapText="1" readingOrder="1"/>
    </xf>
    <xf numFmtId="0" fontId="50" fillId="3" borderId="49" xfId="2" applyFont="1" applyFill="1" applyBorder="1" applyAlignment="1">
      <alignment horizontal="justify" vertical="center" wrapText="1"/>
    </xf>
    <xf numFmtId="0" fontId="50" fillId="3" borderId="50" xfId="2" applyFont="1" applyFill="1" applyBorder="1" applyAlignment="1">
      <alignment horizontal="justify" vertical="center" wrapText="1"/>
    </xf>
    <xf numFmtId="0" fontId="49" fillId="3" borderId="51"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0" fillId="3" borderId="53" xfId="2" applyFont="1" applyFill="1" applyBorder="1" applyAlignment="1">
      <alignment horizontal="justify" vertical="center" wrapText="1"/>
    </xf>
    <xf numFmtId="0" fontId="50" fillId="3" borderId="54" xfId="2" applyFont="1" applyFill="1" applyBorder="1" applyAlignment="1">
      <alignment horizontal="justify" vertical="center" wrapText="1"/>
    </xf>
    <xf numFmtId="0" fontId="44" fillId="3" borderId="7" xfId="2" applyFont="1" applyFill="1" applyBorder="1" applyAlignment="1">
      <alignment horizontal="left" vertical="top" wrapText="1"/>
    </xf>
    <xf numFmtId="0" fontId="44" fillId="3" borderId="0" xfId="2" applyFont="1" applyFill="1" applyAlignment="1">
      <alignment horizontal="left" vertical="top" wrapText="1"/>
    </xf>
    <xf numFmtId="0" fontId="44" fillId="3" borderId="8" xfId="2" applyFont="1" applyFill="1" applyBorder="1" applyAlignment="1">
      <alignment horizontal="left" vertical="top" wrapText="1"/>
    </xf>
    <xf numFmtId="0" fontId="49" fillId="3" borderId="60" xfId="0" applyFont="1" applyFill="1" applyBorder="1" applyAlignment="1">
      <alignment horizontal="left" vertical="center" wrapText="1"/>
    </xf>
    <xf numFmtId="0" fontId="49" fillId="3" borderId="61" xfId="0" applyFont="1" applyFill="1" applyBorder="1" applyAlignment="1">
      <alignment horizontal="left" vertical="center" wrapText="1"/>
    </xf>
    <xf numFmtId="0" fontId="49" fillId="3" borderId="62" xfId="0" applyFont="1" applyFill="1" applyBorder="1" applyAlignment="1">
      <alignment horizontal="left" vertical="center" wrapText="1"/>
    </xf>
    <xf numFmtId="0" fontId="49" fillId="3" borderId="63" xfId="0" applyFont="1" applyFill="1" applyBorder="1" applyAlignment="1">
      <alignment horizontal="left" vertical="center" wrapText="1"/>
    </xf>
    <xf numFmtId="0" fontId="50" fillId="3" borderId="55" xfId="0" applyFont="1" applyFill="1" applyBorder="1" applyAlignment="1">
      <alignment horizontal="justify" vertical="center" wrapText="1"/>
    </xf>
    <xf numFmtId="0" fontId="50" fillId="3" borderId="56" xfId="0" applyFont="1" applyFill="1" applyBorder="1" applyAlignment="1">
      <alignment horizontal="justify" vertical="center" wrapText="1"/>
    </xf>
    <xf numFmtId="0" fontId="61" fillId="17" borderId="24" xfId="0" applyFont="1" applyFill="1" applyBorder="1" applyAlignment="1">
      <alignment horizontal="center" vertical="center" wrapText="1"/>
    </xf>
    <xf numFmtId="0" fontId="61" fillId="17" borderId="25" xfId="0" applyFont="1" applyFill="1" applyBorder="1" applyAlignment="1">
      <alignment horizontal="center" vertical="center" wrapText="1"/>
    </xf>
    <xf numFmtId="0" fontId="61" fillId="17" borderId="36" xfId="0" applyFont="1" applyFill="1" applyBorder="1" applyAlignment="1">
      <alignment horizontal="center" vertical="center" wrapText="1"/>
    </xf>
    <xf numFmtId="0" fontId="61" fillId="18" borderId="66" xfId="0" applyFont="1" applyFill="1" applyBorder="1" applyAlignment="1">
      <alignment horizontal="center" vertical="center" textRotation="90"/>
    </xf>
    <xf numFmtId="0" fontId="61" fillId="18" borderId="68" xfId="0" applyFont="1" applyFill="1" applyBorder="1" applyAlignment="1">
      <alignment horizontal="center" vertical="center" textRotation="90"/>
    </xf>
    <xf numFmtId="0" fontId="61" fillId="18" borderId="70" xfId="0" applyFont="1" applyFill="1" applyBorder="1" applyAlignment="1">
      <alignment horizontal="center" vertical="center" textRotation="90"/>
    </xf>
    <xf numFmtId="0" fontId="73" fillId="22" borderId="66" xfId="0" applyFont="1" applyFill="1" applyBorder="1" applyAlignment="1">
      <alignment horizontal="center" vertical="center"/>
    </xf>
    <xf numFmtId="0" fontId="73" fillId="22" borderId="70" xfId="0" applyFont="1" applyFill="1" applyBorder="1" applyAlignment="1">
      <alignment horizontal="center" vertical="center"/>
    </xf>
    <xf numFmtId="0" fontId="71" fillId="0" borderId="69" xfId="0" applyFont="1" applyBorder="1" applyAlignment="1">
      <alignment horizontal="center" vertical="center" wrapText="1"/>
    </xf>
    <xf numFmtId="0" fontId="71" fillId="0" borderId="68" xfId="0" applyFont="1" applyBorder="1" applyAlignment="1">
      <alignment horizontal="center" vertical="center" wrapText="1"/>
    </xf>
    <xf numFmtId="0" fontId="71" fillId="0" borderId="81" xfId="0" applyFont="1" applyBorder="1" applyAlignment="1">
      <alignment horizontal="center" vertical="center" wrapText="1"/>
    </xf>
    <xf numFmtId="0" fontId="71" fillId="0" borderId="66" xfId="0" applyFont="1" applyBorder="1" applyAlignment="1">
      <alignment horizontal="center" vertical="center" wrapText="1"/>
    </xf>
    <xf numFmtId="0" fontId="77" fillId="16" borderId="87" xfId="0" applyFont="1" applyFill="1" applyBorder="1" applyAlignment="1">
      <alignment horizontal="center" vertical="center"/>
    </xf>
    <xf numFmtId="9" fontId="76" fillId="0" borderId="85" xfId="0" applyNumberFormat="1" applyFont="1" applyBorder="1" applyAlignment="1" applyProtection="1">
      <alignment horizontal="center" vertical="center" wrapText="1"/>
      <protection locked="0"/>
    </xf>
    <xf numFmtId="9" fontId="76" fillId="0" borderId="85" xfId="0" applyNumberFormat="1" applyFont="1" applyBorder="1" applyAlignment="1" applyProtection="1">
      <alignment horizontal="center" vertical="center" wrapText="1"/>
      <protection hidden="1"/>
    </xf>
    <xf numFmtId="0" fontId="77" fillId="0" borderId="85" xfId="0" applyFont="1" applyBorder="1" applyAlignment="1" applyProtection="1">
      <alignment horizontal="center" vertical="center" wrapText="1"/>
      <protection hidden="1"/>
    </xf>
    <xf numFmtId="0" fontId="76" fillId="0" borderId="85" xfId="0" applyFont="1" applyBorder="1" applyAlignment="1" applyProtection="1">
      <alignment horizontal="center" vertical="center"/>
      <protection locked="0"/>
    </xf>
    <xf numFmtId="0" fontId="77" fillId="21" borderId="107" xfId="0" applyFont="1" applyFill="1" applyBorder="1" applyAlignment="1">
      <alignment horizontal="center" vertical="center" wrapText="1"/>
    </xf>
    <xf numFmtId="0" fontId="77" fillId="21" borderId="88" xfId="0" applyFont="1" applyFill="1" applyBorder="1" applyAlignment="1">
      <alignment horizontal="center" vertical="center" wrapText="1"/>
    </xf>
    <xf numFmtId="0" fontId="77" fillId="16" borderId="101" xfId="0" applyFont="1" applyFill="1" applyBorder="1" applyAlignment="1">
      <alignment horizontal="center" vertical="center"/>
    </xf>
    <xf numFmtId="0" fontId="77" fillId="16" borderId="102" xfId="0" applyFont="1" applyFill="1" applyBorder="1" applyAlignment="1">
      <alignment horizontal="center" vertical="center"/>
    </xf>
    <xf numFmtId="0" fontId="77" fillId="16" borderId="103" xfId="0" applyFont="1" applyFill="1" applyBorder="1" applyAlignment="1">
      <alignment horizontal="center" vertical="center"/>
    </xf>
    <xf numFmtId="0" fontId="76" fillId="0" borderId="86" xfId="0" applyFont="1" applyBorder="1" applyAlignment="1" applyProtection="1">
      <alignment horizontal="center" vertical="center" wrapText="1"/>
      <protection locked="0"/>
    </xf>
    <xf numFmtId="0" fontId="76" fillId="0" borderId="94" xfId="0" applyFont="1" applyBorder="1" applyAlignment="1" applyProtection="1">
      <alignment horizontal="center" vertical="center" wrapText="1"/>
      <protection locked="0"/>
    </xf>
    <xf numFmtId="0" fontId="76" fillId="0" borderId="87" xfId="0" applyFont="1" applyBorder="1" applyAlignment="1" applyProtection="1">
      <alignment horizontal="center" vertical="center" wrapText="1"/>
      <protection locked="0"/>
    </xf>
    <xf numFmtId="0" fontId="77" fillId="16" borderId="85" xfId="0" applyFont="1" applyFill="1" applyBorder="1" applyAlignment="1">
      <alignment horizontal="center" vertical="center" wrapText="1"/>
    </xf>
    <xf numFmtId="0" fontId="77" fillId="16" borderId="85" xfId="0" applyFont="1" applyFill="1" applyBorder="1" applyAlignment="1">
      <alignment horizontal="center" vertical="center"/>
    </xf>
    <xf numFmtId="0" fontId="77" fillId="0" borderId="85" xfId="0" applyFont="1" applyBorder="1" applyAlignment="1" applyProtection="1">
      <alignment horizontal="center" vertical="center"/>
      <protection hidden="1"/>
    </xf>
    <xf numFmtId="0" fontId="77" fillId="29" borderId="101" xfId="0" applyFont="1" applyFill="1" applyBorder="1" applyAlignment="1">
      <alignment horizontal="center" vertical="center"/>
    </xf>
    <xf numFmtId="0" fontId="77" fillId="29" borderId="102" xfId="0" applyFont="1" applyFill="1" applyBorder="1" applyAlignment="1">
      <alignment horizontal="center" vertical="center"/>
    </xf>
    <xf numFmtId="0" fontId="77" fillId="29" borderId="103" xfId="0" applyFont="1" applyFill="1" applyBorder="1" applyAlignment="1">
      <alignment horizontal="center" vertical="center"/>
    </xf>
    <xf numFmtId="0" fontId="77" fillId="16" borderId="85" xfId="0" applyFont="1" applyFill="1" applyBorder="1" applyAlignment="1">
      <alignment horizontal="center" vertical="center" textRotation="90" wrapText="1"/>
    </xf>
    <xf numFmtId="0" fontId="77" fillId="0" borderId="85" xfId="0" applyFont="1" applyBorder="1" applyAlignment="1">
      <alignment horizontal="center" vertical="center"/>
    </xf>
    <xf numFmtId="0" fontId="76" fillId="0" borderId="85" xfId="0" applyFont="1" applyBorder="1" applyAlignment="1" applyProtection="1">
      <alignment horizontal="center" vertical="center" wrapText="1"/>
      <protection locked="0"/>
    </xf>
    <xf numFmtId="0" fontId="76" fillId="0" borderId="85" xfId="0" applyFont="1" applyBorder="1" applyAlignment="1" applyProtection="1">
      <alignment horizontal="justify" vertical="center" wrapText="1"/>
      <protection locked="0"/>
    </xf>
    <xf numFmtId="0" fontId="88" fillId="0" borderId="85" xfId="0" applyFont="1" applyBorder="1" applyAlignment="1" applyProtection="1">
      <alignment horizontal="center" vertical="top" wrapText="1"/>
      <protection locked="0"/>
    </xf>
    <xf numFmtId="0" fontId="76" fillId="0" borderId="85" xfId="0" applyFont="1" applyBorder="1" applyAlignment="1" applyProtection="1">
      <alignment horizontal="center" vertical="top" wrapText="1"/>
      <protection locked="0"/>
    </xf>
    <xf numFmtId="0" fontId="76" fillId="0" borderId="85" xfId="0" applyFont="1" applyBorder="1" applyAlignment="1" applyProtection="1">
      <alignment horizontal="left" vertical="center" wrapText="1"/>
      <protection locked="0"/>
    </xf>
    <xf numFmtId="0" fontId="76" fillId="0" borderId="2" xfId="0" applyFont="1" applyBorder="1" applyAlignment="1">
      <alignment horizontal="left" vertical="center" wrapText="1"/>
    </xf>
    <xf numFmtId="0" fontId="76" fillId="0" borderId="21" xfId="0" applyFont="1" applyBorder="1" applyAlignment="1">
      <alignment horizontal="left" vertical="center" wrapText="1"/>
    </xf>
    <xf numFmtId="0" fontId="75" fillId="0" borderId="0" xfId="0" applyFont="1" applyAlignment="1">
      <alignment horizontal="center" vertical="center"/>
    </xf>
    <xf numFmtId="0" fontId="75" fillId="0" borderId="0" xfId="0" applyFont="1" applyAlignment="1">
      <alignment horizontal="left" vertical="center"/>
    </xf>
    <xf numFmtId="0" fontId="77" fillId="3" borderId="0" xfId="0" applyFont="1" applyFill="1" applyAlignment="1">
      <alignment horizontal="left" vertical="center"/>
    </xf>
    <xf numFmtId="0" fontId="87" fillId="0" borderId="24" xfId="0" applyFont="1" applyBorder="1" applyAlignment="1" applyProtection="1">
      <alignment horizontal="center" vertical="center"/>
      <protection locked="0"/>
    </xf>
    <xf numFmtId="0" fontId="87" fillId="0" borderId="25" xfId="0" applyFont="1" applyBorder="1" applyAlignment="1" applyProtection="1">
      <alignment horizontal="center" vertical="center"/>
      <protection locked="0"/>
    </xf>
    <xf numFmtId="0" fontId="87" fillId="0" borderId="36" xfId="0" applyFont="1" applyBorder="1" applyAlignment="1" applyProtection="1">
      <alignment horizontal="center" vertical="center"/>
      <protection locked="0"/>
    </xf>
    <xf numFmtId="0" fontId="76" fillId="3" borderId="24" xfId="0" applyFont="1" applyFill="1" applyBorder="1" applyAlignment="1" applyProtection="1">
      <alignment horizontal="center" vertical="center" wrapText="1"/>
      <protection locked="0"/>
    </xf>
    <xf numFmtId="0" fontId="76" fillId="3" borderId="25" xfId="0" applyFont="1" applyFill="1" applyBorder="1" applyAlignment="1" applyProtection="1">
      <alignment horizontal="center" vertical="center" wrapText="1"/>
      <protection locked="0"/>
    </xf>
    <xf numFmtId="0" fontId="76" fillId="3" borderId="36" xfId="0" applyFont="1" applyFill="1" applyBorder="1" applyAlignment="1" applyProtection="1">
      <alignment horizontal="center" vertical="center" wrapText="1"/>
      <protection locked="0"/>
    </xf>
    <xf numFmtId="0" fontId="77" fillId="29" borderId="86" xfId="0" applyFont="1" applyFill="1" applyBorder="1" applyAlignment="1">
      <alignment horizontal="center" vertical="center" wrapText="1"/>
    </xf>
    <xf numFmtId="0" fontId="77" fillId="29" borderId="87" xfId="0" applyFont="1" applyFill="1" applyBorder="1" applyAlignment="1">
      <alignment horizontal="center" vertical="center" wrapText="1"/>
    </xf>
    <xf numFmtId="0" fontId="77" fillId="27" borderId="85" xfId="0" applyFont="1" applyFill="1" applyBorder="1" applyAlignment="1">
      <alignment horizontal="center" vertical="center" wrapText="1"/>
    </xf>
    <xf numFmtId="0" fontId="77" fillId="27" borderId="85" xfId="0" applyFont="1" applyFill="1" applyBorder="1" applyAlignment="1">
      <alignment horizontal="center" vertical="center"/>
    </xf>
    <xf numFmtId="0" fontId="81" fillId="0" borderId="89" xfId="0" applyFont="1" applyBorder="1" applyAlignment="1">
      <alignment horizontal="center" vertical="center"/>
    </xf>
    <xf numFmtId="0" fontId="81" fillId="0" borderId="90" xfId="0" applyFont="1" applyBorder="1" applyAlignment="1">
      <alignment horizontal="center" vertical="center"/>
    </xf>
    <xf numFmtId="0" fontId="81" fillId="0" borderId="108" xfId="0" applyFont="1" applyBorder="1" applyAlignment="1">
      <alignment horizontal="center" vertical="center"/>
    </xf>
    <xf numFmtId="0" fontId="81" fillId="0" borderId="91" xfId="0" applyFont="1" applyBorder="1" applyAlignment="1">
      <alignment horizontal="center" vertical="center"/>
    </xf>
    <xf numFmtId="0" fontId="81" fillId="0" borderId="85" xfId="0" applyFont="1" applyBorder="1" applyAlignment="1">
      <alignment horizontal="center" vertical="center"/>
    </xf>
    <xf numFmtId="0" fontId="81" fillId="0" borderId="110" xfId="0" applyFont="1" applyBorder="1" applyAlignment="1">
      <alignment horizontal="center" vertical="center"/>
    </xf>
    <xf numFmtId="0" fontId="81" fillId="0" borderId="92" xfId="0" applyFont="1" applyBorder="1" applyAlignment="1">
      <alignment horizontal="center" vertical="center"/>
    </xf>
    <xf numFmtId="0" fontId="81" fillId="0" borderId="93" xfId="0" applyFont="1" applyBorder="1" applyAlignment="1">
      <alignment horizontal="center" vertical="center"/>
    </xf>
    <xf numFmtId="0" fontId="81" fillId="0" borderId="109" xfId="0" applyFont="1" applyBorder="1" applyAlignment="1">
      <alignment horizontal="center" vertical="center"/>
    </xf>
    <xf numFmtId="0" fontId="77" fillId="27" borderId="101" xfId="0" applyFont="1" applyFill="1" applyBorder="1" applyAlignment="1">
      <alignment horizontal="center" vertical="center"/>
    </xf>
    <xf numFmtId="0" fontId="77" fillId="27" borderId="102" xfId="0" applyFont="1" applyFill="1" applyBorder="1" applyAlignment="1">
      <alignment horizontal="center" vertical="center"/>
    </xf>
    <xf numFmtId="0" fontId="77" fillId="27" borderId="103" xfId="0" applyFont="1" applyFill="1" applyBorder="1" applyAlignment="1">
      <alignment horizontal="center" vertical="center"/>
    </xf>
    <xf numFmtId="0" fontId="75" fillId="0" borderId="5" xfId="0" applyFont="1" applyBorder="1" applyAlignment="1">
      <alignment horizontal="center" vertical="center"/>
    </xf>
    <xf numFmtId="0" fontId="75" fillId="0" borderId="12" xfId="0" applyFont="1" applyBorder="1" applyAlignment="1">
      <alignment horizontal="center" vertical="center"/>
    </xf>
    <xf numFmtId="0" fontId="75" fillId="0" borderId="6" xfId="0" applyFont="1" applyBorder="1" applyAlignment="1">
      <alignment horizontal="center" vertical="center"/>
    </xf>
    <xf numFmtId="0" fontId="75" fillId="0" borderId="9" xfId="0" applyFont="1" applyBorder="1" applyAlignment="1">
      <alignment horizontal="center" vertical="center"/>
    </xf>
    <xf numFmtId="0" fontId="75" fillId="0" borderId="11" xfId="0" applyFont="1" applyBorder="1" applyAlignment="1">
      <alignment horizontal="center" vertical="center"/>
    </xf>
    <xf numFmtId="0" fontId="75" fillId="0" borderId="10" xfId="0" applyFont="1" applyBorder="1" applyAlignment="1">
      <alignment horizontal="center" vertical="center"/>
    </xf>
    <xf numFmtId="0" fontId="75" fillId="0" borderId="24" xfId="0" applyFont="1" applyBorder="1" applyAlignment="1">
      <alignment horizontal="left" vertical="center"/>
    </xf>
    <xf numFmtId="0" fontId="75" fillId="0" borderId="25" xfId="0" applyFont="1" applyBorder="1" applyAlignment="1">
      <alignment horizontal="left" vertical="center"/>
    </xf>
    <xf numFmtId="0" fontId="75" fillId="0" borderId="36" xfId="0" applyFont="1" applyBorder="1" applyAlignment="1">
      <alignment horizontal="left" vertical="center"/>
    </xf>
    <xf numFmtId="0" fontId="77" fillId="21" borderId="95" xfId="0" applyFont="1" applyFill="1" applyBorder="1" applyAlignment="1">
      <alignment horizontal="left" vertical="center"/>
    </xf>
    <xf numFmtId="0" fontId="77" fillId="21" borderId="96" xfId="0" applyFont="1" applyFill="1" applyBorder="1" applyAlignment="1">
      <alignment horizontal="left" vertical="center"/>
    </xf>
    <xf numFmtId="0" fontId="77" fillId="21" borderId="97" xfId="0" applyFont="1" applyFill="1" applyBorder="1" applyAlignment="1">
      <alignment horizontal="left" vertical="center"/>
    </xf>
    <xf numFmtId="0" fontId="77" fillId="21" borderId="98" xfId="0" applyFont="1" applyFill="1" applyBorder="1" applyAlignment="1">
      <alignment horizontal="left" vertical="center"/>
    </xf>
    <xf numFmtId="0" fontId="77" fillId="21" borderId="99" xfId="0" applyFont="1" applyFill="1" applyBorder="1" applyAlignment="1">
      <alignment horizontal="left" vertical="center"/>
    </xf>
    <xf numFmtId="0" fontId="77" fillId="21" borderId="100" xfId="0" applyFont="1" applyFill="1" applyBorder="1" applyAlignment="1">
      <alignment horizontal="left" vertical="center"/>
    </xf>
    <xf numFmtId="0" fontId="76" fillId="3" borderId="0" xfId="0" applyFont="1" applyFill="1" applyAlignment="1">
      <alignment horizontal="left" wrapText="1"/>
    </xf>
    <xf numFmtId="0" fontId="77" fillId="27" borderId="85" xfId="0" applyFont="1" applyFill="1" applyBorder="1" applyAlignment="1">
      <alignment horizontal="center" vertical="center" textRotation="90"/>
    </xf>
    <xf numFmtId="0" fontId="77" fillId="16" borderId="101" xfId="0" applyFont="1" applyFill="1" applyBorder="1" applyAlignment="1">
      <alignment horizontal="center" vertical="center" wrapText="1"/>
    </xf>
    <xf numFmtId="0" fontId="77" fillId="16" borderId="102" xfId="0" applyFont="1" applyFill="1" applyBorder="1" applyAlignment="1">
      <alignment horizontal="center" vertical="center" wrapText="1"/>
    </xf>
    <xf numFmtId="0" fontId="77" fillId="16" borderId="103" xfId="0" applyFont="1" applyFill="1" applyBorder="1" applyAlignment="1">
      <alignment horizontal="center" vertical="center" wrapText="1"/>
    </xf>
    <xf numFmtId="0" fontId="22" fillId="26" borderId="0" xfId="0" applyFont="1" applyFill="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38" fillId="0" borderId="5" xfId="0" applyFont="1" applyBorder="1" applyAlignment="1">
      <alignment horizontal="center" vertical="center" wrapText="1"/>
    </xf>
    <xf numFmtId="0" fontId="38" fillId="0" borderId="12"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0" xfId="0" applyFont="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38" fillId="0" borderId="12" xfId="0" applyFont="1" applyBorder="1" applyAlignment="1">
      <alignment horizontal="center" vertical="center" wrapText="1"/>
    </xf>
    <xf numFmtId="0" fontId="37" fillId="11" borderId="13" xfId="0" applyFont="1" applyFill="1" applyBorder="1" applyAlignment="1">
      <alignment horizontal="center" vertical="center" wrapText="1" readingOrder="1"/>
    </xf>
    <xf numFmtId="0" fontId="37" fillId="11" borderId="14" xfId="0" applyFont="1" applyFill="1" applyBorder="1" applyAlignment="1">
      <alignment horizontal="center" vertical="center" wrapText="1" readingOrder="1"/>
    </xf>
    <xf numFmtId="0" fontId="37" fillId="11" borderId="15" xfId="0" applyFont="1" applyFill="1" applyBorder="1" applyAlignment="1">
      <alignment horizontal="center" vertical="center" wrapText="1" readingOrder="1"/>
    </xf>
    <xf numFmtId="0" fontId="37" fillId="11" borderId="16" xfId="0" applyFont="1" applyFill="1" applyBorder="1" applyAlignment="1">
      <alignment horizontal="center" vertical="center" wrapText="1" readingOrder="1"/>
    </xf>
    <xf numFmtId="0" fontId="37" fillId="11" borderId="0" xfId="0" applyFont="1" applyFill="1" applyAlignment="1">
      <alignment horizontal="center" vertical="center" wrapText="1" readingOrder="1"/>
    </xf>
    <xf numFmtId="0" fontId="37" fillId="11" borderId="17" xfId="0" applyFont="1" applyFill="1" applyBorder="1" applyAlignment="1">
      <alignment horizontal="center" vertical="center" wrapText="1" readingOrder="1"/>
    </xf>
    <xf numFmtId="0" fontId="37" fillId="11" borderId="18" xfId="0" applyFont="1" applyFill="1" applyBorder="1" applyAlignment="1">
      <alignment horizontal="center" vertical="center" wrapText="1" readingOrder="1"/>
    </xf>
    <xf numFmtId="0" fontId="37" fillId="11" borderId="19" xfId="0" applyFont="1" applyFill="1" applyBorder="1" applyAlignment="1">
      <alignment horizontal="center" vertical="center" wrapText="1" readingOrder="1"/>
    </xf>
    <xf numFmtId="0" fontId="37" fillId="11" borderId="20" xfId="0" applyFont="1" applyFill="1" applyBorder="1" applyAlignment="1">
      <alignment horizontal="center" vertical="center" wrapText="1" readingOrder="1"/>
    </xf>
    <xf numFmtId="0" fontId="38" fillId="0" borderId="7" xfId="0" applyFont="1" applyBorder="1" applyAlignment="1">
      <alignment horizontal="center" vertical="center" wrapText="1"/>
    </xf>
    <xf numFmtId="0" fontId="37" fillId="12" borderId="13" xfId="0" applyFont="1" applyFill="1" applyBorder="1" applyAlignment="1">
      <alignment horizontal="center" vertical="center" wrapText="1" readingOrder="1"/>
    </xf>
    <xf numFmtId="0" fontId="37" fillId="12" borderId="14" xfId="0" applyFont="1" applyFill="1" applyBorder="1" applyAlignment="1">
      <alignment horizontal="center" vertical="center" wrapText="1" readingOrder="1"/>
    </xf>
    <xf numFmtId="0" fontId="37" fillId="12" borderId="15" xfId="0" applyFont="1" applyFill="1" applyBorder="1" applyAlignment="1">
      <alignment horizontal="center" vertical="center" wrapText="1" readingOrder="1"/>
    </xf>
    <xf numFmtId="0" fontId="37" fillId="12" borderId="16" xfId="0" applyFont="1" applyFill="1" applyBorder="1" applyAlignment="1">
      <alignment horizontal="center" vertical="center" wrapText="1" readingOrder="1"/>
    </xf>
    <xf numFmtId="0" fontId="37" fillId="12" borderId="0" xfId="0" applyFont="1" applyFill="1" applyAlignment="1">
      <alignment horizontal="center" vertical="center" wrapText="1" readingOrder="1"/>
    </xf>
    <xf numFmtId="0" fontId="37" fillId="12" borderId="17" xfId="0" applyFont="1" applyFill="1" applyBorder="1" applyAlignment="1">
      <alignment horizontal="center" vertical="center" wrapText="1" readingOrder="1"/>
    </xf>
    <xf numFmtId="0" fontId="37" fillId="12" borderId="18" xfId="0" applyFont="1" applyFill="1" applyBorder="1" applyAlignment="1">
      <alignment horizontal="center" vertical="center" wrapText="1" readingOrder="1"/>
    </xf>
    <xf numFmtId="0" fontId="37" fillId="12" borderId="19" xfId="0" applyFont="1" applyFill="1" applyBorder="1" applyAlignment="1">
      <alignment horizontal="center" vertical="center" wrapText="1" readingOrder="1"/>
    </xf>
    <xf numFmtId="0" fontId="37" fillId="12" borderId="20" xfId="0" applyFont="1" applyFill="1" applyBorder="1" applyAlignment="1">
      <alignment horizontal="center" vertical="center" wrapText="1" readingOrder="1"/>
    </xf>
    <xf numFmtId="0" fontId="86" fillId="26" borderId="0" xfId="0" applyFont="1" applyFill="1" applyAlignment="1">
      <alignment horizontal="center" vertical="center" wrapText="1"/>
    </xf>
    <xf numFmtId="0" fontId="21" fillId="26" borderId="0" xfId="0" applyFont="1" applyFill="1" applyAlignment="1">
      <alignment horizontal="center" vertical="center" wrapText="1"/>
    </xf>
    <xf numFmtId="0" fontId="37" fillId="5" borderId="13" xfId="0" applyFont="1" applyFill="1" applyBorder="1" applyAlignment="1">
      <alignment horizontal="center" vertical="center" wrapText="1" readingOrder="1"/>
    </xf>
    <xf numFmtId="0" fontId="37" fillId="5" borderId="14" xfId="0" applyFont="1" applyFill="1" applyBorder="1" applyAlignment="1">
      <alignment horizontal="center" vertical="center" wrapText="1" readingOrder="1"/>
    </xf>
    <xf numFmtId="0" fontId="37" fillId="5" borderId="15" xfId="0" applyFont="1" applyFill="1" applyBorder="1" applyAlignment="1">
      <alignment horizontal="center" vertical="center" wrapText="1" readingOrder="1"/>
    </xf>
    <xf numFmtId="0" fontId="37" fillId="5" borderId="16" xfId="0" applyFont="1" applyFill="1" applyBorder="1" applyAlignment="1">
      <alignment horizontal="center" vertical="center" wrapText="1" readingOrder="1"/>
    </xf>
    <xf numFmtId="0" fontId="37" fillId="5" borderId="0" xfId="0" applyFont="1" applyFill="1" applyAlignment="1">
      <alignment horizontal="center" vertical="center" wrapText="1" readingOrder="1"/>
    </xf>
    <xf numFmtId="0" fontId="37" fillId="5" borderId="17" xfId="0" applyFont="1" applyFill="1" applyBorder="1" applyAlignment="1">
      <alignment horizontal="center" vertical="center" wrapText="1" readingOrder="1"/>
    </xf>
    <xf numFmtId="0" fontId="37" fillId="5" borderId="18" xfId="0" applyFont="1" applyFill="1" applyBorder="1" applyAlignment="1">
      <alignment horizontal="center" vertical="center" wrapText="1" readingOrder="1"/>
    </xf>
    <xf numFmtId="0" fontId="37" fillId="5" borderId="19" xfId="0" applyFont="1" applyFill="1" applyBorder="1" applyAlignment="1">
      <alignment horizontal="center" vertical="center" wrapText="1" readingOrder="1"/>
    </xf>
    <xf numFmtId="0" fontId="37" fillId="5" borderId="20" xfId="0" applyFont="1" applyFill="1" applyBorder="1" applyAlignment="1">
      <alignment horizontal="center" vertical="center" wrapText="1" readingOrder="1"/>
    </xf>
    <xf numFmtId="0" fontId="37" fillId="13" borderId="13" xfId="0" applyFont="1" applyFill="1" applyBorder="1" applyAlignment="1">
      <alignment horizontal="center" vertical="center" wrapText="1" readingOrder="1"/>
    </xf>
    <xf numFmtId="0" fontId="37" fillId="13" borderId="14" xfId="0" applyFont="1" applyFill="1" applyBorder="1" applyAlignment="1">
      <alignment horizontal="center" vertical="center" wrapText="1" readingOrder="1"/>
    </xf>
    <xf numFmtId="0" fontId="37" fillId="13" borderId="15" xfId="0" applyFont="1" applyFill="1" applyBorder="1" applyAlignment="1">
      <alignment horizontal="center" vertical="center" wrapText="1" readingOrder="1"/>
    </xf>
    <xf numFmtId="0" fontId="37" fillId="13" borderId="16" xfId="0" applyFont="1" applyFill="1" applyBorder="1" applyAlignment="1">
      <alignment horizontal="center" vertical="center" wrapText="1" readingOrder="1"/>
    </xf>
    <xf numFmtId="0" fontId="37" fillId="13" borderId="0" xfId="0" applyFont="1" applyFill="1" applyAlignment="1">
      <alignment horizontal="center" vertical="center" wrapText="1" readingOrder="1"/>
    </xf>
    <xf numFmtId="0" fontId="37" fillId="13" borderId="17" xfId="0" applyFont="1" applyFill="1" applyBorder="1" applyAlignment="1">
      <alignment horizontal="center" vertical="center" wrapText="1" readingOrder="1"/>
    </xf>
    <xf numFmtId="0" fontId="37" fillId="13" borderId="18" xfId="0" applyFont="1" applyFill="1" applyBorder="1" applyAlignment="1">
      <alignment horizontal="center" vertical="center" wrapText="1" readingOrder="1"/>
    </xf>
    <xf numFmtId="0" fontId="37" fillId="13" borderId="19" xfId="0" applyFont="1" applyFill="1" applyBorder="1" applyAlignment="1">
      <alignment horizontal="center" vertical="center" wrapText="1" readingOrder="1"/>
    </xf>
    <xf numFmtId="0" fontId="37" fillId="13" borderId="20" xfId="0" applyFont="1" applyFill="1" applyBorder="1" applyAlignment="1">
      <alignment horizontal="center" vertical="center" wrapText="1" readingOrder="1"/>
    </xf>
    <xf numFmtId="0" fontId="67" fillId="0" borderId="22" xfId="0" applyFont="1" applyBorder="1" applyAlignment="1">
      <alignment horizontal="left" vertical="center" wrapText="1"/>
    </xf>
    <xf numFmtId="0" fontId="68" fillId="16" borderId="24" xfId="0" applyFont="1" applyFill="1" applyBorder="1" applyAlignment="1">
      <alignment horizontal="center" vertical="center" wrapText="1"/>
    </xf>
    <xf numFmtId="0" fontId="68" fillId="16" borderId="25" xfId="0" applyFont="1" applyFill="1" applyBorder="1" applyAlignment="1">
      <alignment horizontal="center" vertical="center" wrapText="1"/>
    </xf>
    <xf numFmtId="0" fontId="68" fillId="16" borderId="36" xfId="0" applyFont="1" applyFill="1" applyBorder="1" applyAlignment="1">
      <alignment horizontal="center" vertical="center" wrapText="1"/>
    </xf>
    <xf numFmtId="0" fontId="69" fillId="16" borderId="71" xfId="0" applyFont="1" applyFill="1" applyBorder="1" applyAlignment="1">
      <alignment horizontal="center" vertical="center" wrapText="1"/>
    </xf>
    <xf numFmtId="0" fontId="69" fillId="16" borderId="28" xfId="0" applyFont="1" applyFill="1" applyBorder="1" applyAlignment="1">
      <alignment horizontal="center" vertical="center" wrapText="1"/>
    </xf>
    <xf numFmtId="0" fontId="69" fillId="16" borderId="72" xfId="0" applyFont="1" applyFill="1" applyBorder="1" applyAlignment="1">
      <alignment horizontal="center" vertical="center" wrapText="1"/>
    </xf>
    <xf numFmtId="0" fontId="69" fillId="16" borderId="29" xfId="0" applyFont="1" applyFill="1" applyBorder="1" applyAlignment="1">
      <alignment horizontal="center" vertical="center" wrapText="1"/>
    </xf>
    <xf numFmtId="0" fontId="69" fillId="16" borderId="73" xfId="0" applyFont="1" applyFill="1" applyBorder="1" applyAlignment="1">
      <alignment horizontal="center" vertical="center" wrapText="1"/>
    </xf>
    <xf numFmtId="0" fontId="67" fillId="0" borderId="72" xfId="0" applyFont="1" applyBorder="1" applyAlignment="1">
      <alignment horizontal="left" vertical="center" wrapText="1"/>
    </xf>
    <xf numFmtId="0" fontId="70" fillId="21" borderId="34" xfId="0" applyFont="1" applyFill="1" applyBorder="1" applyAlignment="1">
      <alignment horizontal="center" vertical="center" wrapText="1"/>
    </xf>
    <xf numFmtId="0" fontId="70" fillId="21" borderId="35" xfId="0" applyFont="1" applyFill="1" applyBorder="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74" xfId="0" applyFont="1" applyBorder="1" applyAlignment="1">
      <alignment horizontal="left" vertical="center" wrapText="1"/>
    </xf>
    <xf numFmtId="0" fontId="70" fillId="21" borderId="33" xfId="0" applyFont="1" applyFill="1" applyBorder="1" applyAlignment="1">
      <alignment horizontal="center" vertical="center" wrapText="1"/>
    </xf>
    <xf numFmtId="0" fontId="77" fillId="17" borderId="86" xfId="0" applyFont="1" applyFill="1" applyBorder="1" applyAlignment="1">
      <alignment horizontal="center" vertical="center" wrapText="1"/>
    </xf>
    <xf numFmtId="0" fontId="77" fillId="17" borderId="87" xfId="0" applyFont="1" applyFill="1" applyBorder="1" applyAlignment="1">
      <alignment horizontal="center" vertical="center" wrapText="1"/>
    </xf>
    <xf numFmtId="0" fontId="77" fillId="17" borderId="85" xfId="0" applyFont="1" applyFill="1" applyBorder="1" applyAlignment="1">
      <alignment horizontal="center" vertical="center" wrapText="1"/>
    </xf>
    <xf numFmtId="0" fontId="77" fillId="21" borderId="101" xfId="0" applyFont="1" applyFill="1" applyBorder="1" applyAlignment="1">
      <alignment horizontal="center" vertical="center" wrapText="1"/>
    </xf>
    <xf numFmtId="0" fontId="77" fillId="21" borderId="103" xfId="0" applyFont="1" applyFill="1" applyBorder="1" applyAlignment="1">
      <alignment horizontal="center" vertical="center" wrapText="1"/>
    </xf>
    <xf numFmtId="0" fontId="21" fillId="0" borderId="0" xfId="0" applyFont="1" applyAlignment="1">
      <alignment horizontal="center" vertical="center"/>
    </xf>
    <xf numFmtId="0" fontId="40" fillId="0" borderId="0" xfId="0" applyFont="1" applyAlignment="1">
      <alignment horizontal="center" vertical="center"/>
    </xf>
    <xf numFmtId="0" fontId="71" fillId="16" borderId="80" xfId="0" applyFont="1" applyFill="1" applyBorder="1" applyAlignment="1">
      <alignment horizontal="center" vertical="center" wrapText="1"/>
    </xf>
    <xf numFmtId="0" fontId="71" fillId="16" borderId="78" xfId="0" applyFont="1" applyFill="1" applyBorder="1" applyAlignment="1">
      <alignment horizontal="center" vertical="center" wrapText="1"/>
    </xf>
    <xf numFmtId="0" fontId="71" fillId="16" borderId="76" xfId="0" applyFont="1" applyFill="1" applyBorder="1" applyAlignment="1">
      <alignment horizontal="center" vertical="center" wrapText="1"/>
    </xf>
    <xf numFmtId="0" fontId="72" fillId="0" borderId="80" xfId="0" applyFont="1" applyBorder="1" applyAlignment="1">
      <alignment horizontal="justify" vertical="center" wrapText="1"/>
    </xf>
    <xf numFmtId="0" fontId="72" fillId="0" borderId="78" xfId="0" applyFont="1" applyBorder="1" applyAlignment="1">
      <alignment horizontal="justify" vertical="center" wrapText="1"/>
    </xf>
    <xf numFmtId="0" fontId="72" fillId="0" borderId="76" xfId="0" applyFont="1" applyBorder="1" applyAlignment="1">
      <alignment horizontal="justify" vertical="center" wrapText="1"/>
    </xf>
    <xf numFmtId="0" fontId="36" fillId="15" borderId="24" xfId="0" applyFont="1" applyFill="1" applyBorder="1" applyAlignment="1">
      <alignment horizontal="center" vertical="center" wrapText="1" readingOrder="1"/>
    </xf>
    <xf numFmtId="0" fontId="36" fillId="15" borderId="25" xfId="0" applyFont="1" applyFill="1" applyBorder="1" applyAlignment="1">
      <alignment horizontal="center" vertical="center" wrapText="1" readingOrder="1"/>
    </xf>
    <xf numFmtId="0" fontId="36" fillId="15" borderId="36" xfId="0" applyFont="1" applyFill="1" applyBorder="1" applyAlignment="1">
      <alignment horizontal="center" vertical="center" wrapText="1" readingOrder="1"/>
    </xf>
    <xf numFmtId="0" fontId="31" fillId="3" borderId="0" xfId="0" applyFont="1" applyFill="1" applyAlignment="1">
      <alignment horizontal="justify" vertical="center" wrapText="1"/>
    </xf>
    <xf numFmtId="0" fontId="33" fillId="15" borderId="33" xfId="0" applyFont="1" applyFill="1" applyBorder="1" applyAlignment="1">
      <alignment horizontal="center" vertical="center" wrapText="1" readingOrder="1"/>
    </xf>
    <xf numFmtId="0" fontId="33" fillId="15" borderId="34" xfId="0" applyFont="1" applyFill="1" applyBorder="1" applyAlignment="1">
      <alignment horizontal="center" vertical="center" wrapText="1" readingOrder="1"/>
    </xf>
    <xf numFmtId="0" fontId="33" fillId="3" borderId="31" xfId="0" applyFont="1" applyFill="1" applyBorder="1" applyAlignment="1">
      <alignment horizontal="center" vertical="center" wrapText="1" readingOrder="1"/>
    </xf>
    <xf numFmtId="0" fontId="33" fillId="3" borderId="26" xfId="0" applyFont="1" applyFill="1" applyBorder="1" applyAlignment="1">
      <alignment horizontal="center" vertical="center" wrapText="1" readingOrder="1"/>
    </xf>
    <xf numFmtId="0" fontId="33" fillId="3" borderId="23" xfId="0" applyFont="1" applyFill="1" applyBorder="1" applyAlignment="1">
      <alignment horizontal="center" vertical="center" wrapText="1" readingOrder="1"/>
    </xf>
    <xf numFmtId="0" fontId="33" fillId="3" borderId="22" xfId="0" applyFont="1" applyFill="1" applyBorder="1" applyAlignment="1">
      <alignment horizontal="center" vertical="center" wrapText="1" readingOrder="1"/>
    </xf>
    <xf numFmtId="0" fontId="33" fillId="3" borderId="28" xfId="0" applyFont="1" applyFill="1" applyBorder="1" applyAlignment="1">
      <alignment horizontal="center" vertical="center" wrapText="1" readingOrder="1"/>
    </xf>
    <xf numFmtId="0" fontId="33" fillId="3" borderId="29" xfId="0" applyFont="1" applyFill="1" applyBorder="1" applyAlignment="1">
      <alignment horizontal="center" vertical="center" wrapText="1" readingOrder="1"/>
    </xf>
    <xf numFmtId="9" fontId="76" fillId="0" borderId="86" xfId="0" applyNumberFormat="1" applyFont="1" applyBorder="1" applyAlignment="1" applyProtection="1">
      <alignment horizontal="center" vertical="center" wrapText="1"/>
      <protection locked="0"/>
    </xf>
    <xf numFmtId="9" fontId="76" fillId="0" borderId="94" xfId="0" applyNumberFormat="1" applyFont="1" applyBorder="1" applyAlignment="1" applyProtection="1">
      <alignment horizontal="center" vertical="center" wrapText="1"/>
      <protection locked="0"/>
    </xf>
    <xf numFmtId="9" fontId="76" fillId="0" borderId="87" xfId="0" applyNumberFormat="1" applyFont="1" applyBorder="1" applyAlignment="1" applyProtection="1">
      <alignment horizontal="center" vertical="center" wrapText="1"/>
      <protection locked="0"/>
    </xf>
  </cellXfs>
  <cellStyles count="7">
    <cellStyle name="Moneda" xfId="5" builtinId="4"/>
    <cellStyle name="Moneda 2" xfId="6" xr:uid="{EB2D9614-327D-41C4-8635-16D31BAE2C4D}"/>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7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14</xdr:col>
      <xdr:colOff>738554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CC31457F-ECBC-4BF6-A295-D24C77BD34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408215</xdr:colOff>
      <xdr:row>2</xdr:row>
      <xdr:rowOff>126275</xdr:rowOff>
    </xdr:from>
    <xdr:ext cx="666750" cy="353785"/>
    <xdr:pic>
      <xdr:nvPicPr>
        <xdr:cNvPr id="2" name="Imagen 1" descr="escudo negro">
          <a:extLst>
            <a:ext uri="{FF2B5EF4-FFF2-40B4-BE49-F238E27FC236}">
              <a16:creationId xmlns:a16="http://schemas.microsoft.com/office/drawing/2014/main" id="{4B130650-B5A7-4455-A04D-93F040AFD7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5" y="670561"/>
          <a:ext cx="666750" cy="35378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topLeftCell="A39" zoomScale="110" zoomScaleNormal="110" workbookViewId="0">
      <selection activeCell="B52" sqref="B52"/>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58" t="s">
        <v>0</v>
      </c>
      <c r="C2" s="259"/>
      <c r="D2" s="259"/>
      <c r="E2" s="259"/>
      <c r="F2" s="259"/>
      <c r="G2" s="259"/>
      <c r="H2" s="260"/>
    </row>
    <row r="3" spans="2:8" x14ac:dyDescent="0.25">
      <c r="B3" s="67"/>
      <c r="C3" s="68"/>
      <c r="D3" s="68"/>
      <c r="E3" s="68"/>
      <c r="F3" s="68"/>
      <c r="G3" s="68"/>
      <c r="H3" s="69"/>
    </row>
    <row r="4" spans="2:8" ht="63" customHeight="1" x14ac:dyDescent="0.25">
      <c r="B4" s="261" t="s">
        <v>1</v>
      </c>
      <c r="C4" s="262"/>
      <c r="D4" s="262"/>
      <c r="E4" s="262"/>
      <c r="F4" s="262"/>
      <c r="G4" s="262"/>
      <c r="H4" s="263"/>
    </row>
    <row r="5" spans="2:8" ht="63" customHeight="1" x14ac:dyDescent="0.25">
      <c r="B5" s="264"/>
      <c r="C5" s="265"/>
      <c r="D5" s="265"/>
      <c r="E5" s="265"/>
      <c r="F5" s="265"/>
      <c r="G5" s="265"/>
      <c r="H5" s="266"/>
    </row>
    <row r="6" spans="2:8" ht="16.5" x14ac:dyDescent="0.25">
      <c r="B6" s="267" t="s">
        <v>2</v>
      </c>
      <c r="C6" s="268"/>
      <c r="D6" s="268"/>
      <c r="E6" s="268"/>
      <c r="F6" s="268"/>
      <c r="G6" s="268"/>
      <c r="H6" s="269"/>
    </row>
    <row r="7" spans="2:8" ht="95.25" customHeight="1" x14ac:dyDescent="0.25">
      <c r="B7" s="277" t="s">
        <v>3</v>
      </c>
      <c r="C7" s="278"/>
      <c r="D7" s="278"/>
      <c r="E7" s="278"/>
      <c r="F7" s="278"/>
      <c r="G7" s="278"/>
      <c r="H7" s="279"/>
    </row>
    <row r="8" spans="2:8" ht="16.5" x14ac:dyDescent="0.25">
      <c r="B8" s="101"/>
      <c r="C8" s="102"/>
      <c r="D8" s="102"/>
      <c r="E8" s="102"/>
      <c r="F8" s="102"/>
      <c r="G8" s="102"/>
      <c r="H8" s="103"/>
    </row>
    <row r="9" spans="2:8" ht="16.5" customHeight="1" x14ac:dyDescent="0.25">
      <c r="B9" s="270" t="s">
        <v>4</v>
      </c>
      <c r="C9" s="271"/>
      <c r="D9" s="271"/>
      <c r="E9" s="271"/>
      <c r="F9" s="271"/>
      <c r="G9" s="271"/>
      <c r="H9" s="272"/>
    </row>
    <row r="10" spans="2:8" ht="44.25" customHeight="1" x14ac:dyDescent="0.25">
      <c r="B10" s="270"/>
      <c r="C10" s="271"/>
      <c r="D10" s="271"/>
      <c r="E10" s="271"/>
      <c r="F10" s="271"/>
      <c r="G10" s="271"/>
      <c r="H10" s="272"/>
    </row>
    <row r="11" spans="2:8" ht="15.75" thickBot="1" x14ac:dyDescent="0.3">
      <c r="B11" s="90"/>
      <c r="C11" s="93"/>
      <c r="D11" s="98"/>
      <c r="E11" s="99"/>
      <c r="F11" s="99"/>
      <c r="G11" s="100"/>
      <c r="H11" s="94"/>
    </row>
    <row r="12" spans="2:8" ht="15.75" thickTop="1" x14ac:dyDescent="0.25">
      <c r="B12" s="90"/>
      <c r="C12" s="273" t="s">
        <v>5</v>
      </c>
      <c r="D12" s="274"/>
      <c r="E12" s="275" t="s">
        <v>6</v>
      </c>
      <c r="F12" s="276"/>
      <c r="G12" s="93"/>
      <c r="H12" s="94"/>
    </row>
    <row r="13" spans="2:8" ht="35.25" customHeight="1" x14ac:dyDescent="0.25">
      <c r="B13" s="90"/>
      <c r="C13" s="280" t="s">
        <v>7</v>
      </c>
      <c r="D13" s="281"/>
      <c r="E13" s="282" t="s">
        <v>8</v>
      </c>
      <c r="F13" s="283"/>
      <c r="G13" s="93"/>
      <c r="H13" s="94"/>
    </row>
    <row r="14" spans="2:8" ht="17.25" customHeight="1" x14ac:dyDescent="0.25">
      <c r="B14" s="90"/>
      <c r="C14" s="280" t="s">
        <v>9</v>
      </c>
      <c r="D14" s="281"/>
      <c r="E14" s="282" t="s">
        <v>10</v>
      </c>
      <c r="F14" s="283"/>
      <c r="G14" s="93"/>
      <c r="H14" s="94"/>
    </row>
    <row r="15" spans="2:8" ht="19.5" customHeight="1" x14ac:dyDescent="0.25">
      <c r="B15" s="90"/>
      <c r="C15" s="280" t="s">
        <v>11</v>
      </c>
      <c r="D15" s="281"/>
      <c r="E15" s="282" t="s">
        <v>12</v>
      </c>
      <c r="F15" s="283"/>
      <c r="G15" s="93"/>
      <c r="H15" s="94"/>
    </row>
    <row r="16" spans="2:8" ht="69.75" customHeight="1" x14ac:dyDescent="0.25">
      <c r="B16" s="90"/>
      <c r="C16" s="280" t="s">
        <v>13</v>
      </c>
      <c r="D16" s="281"/>
      <c r="E16" s="282" t="s">
        <v>14</v>
      </c>
      <c r="F16" s="283"/>
      <c r="G16" s="93"/>
      <c r="H16" s="94"/>
    </row>
    <row r="17" spans="2:8" ht="34.5" customHeight="1" x14ac:dyDescent="0.25">
      <c r="B17" s="90"/>
      <c r="C17" s="284" t="s">
        <v>15</v>
      </c>
      <c r="D17" s="285"/>
      <c r="E17" s="286" t="s">
        <v>16</v>
      </c>
      <c r="F17" s="287"/>
      <c r="G17" s="93"/>
      <c r="H17" s="94"/>
    </row>
    <row r="18" spans="2:8" ht="27.75" customHeight="1" x14ac:dyDescent="0.25">
      <c r="B18" s="90"/>
      <c r="C18" s="284" t="s">
        <v>17</v>
      </c>
      <c r="D18" s="285"/>
      <c r="E18" s="286" t="s">
        <v>18</v>
      </c>
      <c r="F18" s="287"/>
      <c r="G18" s="93"/>
      <c r="H18" s="94"/>
    </row>
    <row r="19" spans="2:8" ht="28.5" customHeight="1" x14ac:dyDescent="0.25">
      <c r="B19" s="90"/>
      <c r="C19" s="284" t="s">
        <v>19</v>
      </c>
      <c r="D19" s="285"/>
      <c r="E19" s="286" t="s">
        <v>20</v>
      </c>
      <c r="F19" s="287"/>
      <c r="G19" s="93"/>
      <c r="H19" s="94"/>
    </row>
    <row r="20" spans="2:8" ht="72.75" customHeight="1" x14ac:dyDescent="0.25">
      <c r="B20" s="90"/>
      <c r="C20" s="284" t="s">
        <v>21</v>
      </c>
      <c r="D20" s="285"/>
      <c r="E20" s="286" t="s">
        <v>22</v>
      </c>
      <c r="F20" s="287"/>
      <c r="G20" s="93"/>
      <c r="H20" s="94"/>
    </row>
    <row r="21" spans="2:8" ht="64.5" customHeight="1" x14ac:dyDescent="0.25">
      <c r="B21" s="90"/>
      <c r="C21" s="284" t="s">
        <v>23</v>
      </c>
      <c r="D21" s="285"/>
      <c r="E21" s="286" t="s">
        <v>24</v>
      </c>
      <c r="F21" s="287"/>
      <c r="G21" s="93"/>
      <c r="H21" s="94"/>
    </row>
    <row r="22" spans="2:8" ht="71.25" customHeight="1" x14ac:dyDescent="0.25">
      <c r="B22" s="90"/>
      <c r="C22" s="284" t="s">
        <v>25</v>
      </c>
      <c r="D22" s="285"/>
      <c r="E22" s="286" t="s">
        <v>26</v>
      </c>
      <c r="F22" s="287"/>
      <c r="G22" s="93"/>
      <c r="H22" s="94"/>
    </row>
    <row r="23" spans="2:8" ht="55.5" customHeight="1" x14ac:dyDescent="0.25">
      <c r="B23" s="90"/>
      <c r="C23" s="291" t="s">
        <v>27</v>
      </c>
      <c r="D23" s="292"/>
      <c r="E23" s="286" t="s">
        <v>28</v>
      </c>
      <c r="F23" s="287"/>
      <c r="G23" s="93"/>
      <c r="H23" s="94"/>
    </row>
    <row r="24" spans="2:8" ht="42" customHeight="1" x14ac:dyDescent="0.25">
      <c r="B24" s="90"/>
      <c r="C24" s="291" t="s">
        <v>29</v>
      </c>
      <c r="D24" s="292"/>
      <c r="E24" s="286" t="s">
        <v>30</v>
      </c>
      <c r="F24" s="287"/>
      <c r="G24" s="93"/>
      <c r="H24" s="94"/>
    </row>
    <row r="25" spans="2:8" ht="59.25" customHeight="1" x14ac:dyDescent="0.25">
      <c r="B25" s="90"/>
      <c r="C25" s="291" t="s">
        <v>31</v>
      </c>
      <c r="D25" s="292"/>
      <c r="E25" s="286" t="s">
        <v>32</v>
      </c>
      <c r="F25" s="287"/>
      <c r="G25" s="93"/>
      <c r="H25" s="94"/>
    </row>
    <row r="26" spans="2:8" ht="23.25" customHeight="1" x14ac:dyDescent="0.25">
      <c r="B26" s="90"/>
      <c r="C26" s="291" t="s">
        <v>33</v>
      </c>
      <c r="D26" s="292"/>
      <c r="E26" s="286" t="s">
        <v>34</v>
      </c>
      <c r="F26" s="287"/>
      <c r="G26" s="93"/>
      <c r="H26" s="94"/>
    </row>
    <row r="27" spans="2:8" ht="30.75" customHeight="1" x14ac:dyDescent="0.25">
      <c r="B27" s="90"/>
      <c r="C27" s="291" t="s">
        <v>35</v>
      </c>
      <c r="D27" s="292"/>
      <c r="E27" s="286" t="s">
        <v>36</v>
      </c>
      <c r="F27" s="287"/>
      <c r="G27" s="93"/>
      <c r="H27" s="94"/>
    </row>
    <row r="28" spans="2:8" ht="35.25" customHeight="1" x14ac:dyDescent="0.25">
      <c r="B28" s="90"/>
      <c r="C28" s="291" t="s">
        <v>37</v>
      </c>
      <c r="D28" s="292"/>
      <c r="E28" s="286" t="s">
        <v>38</v>
      </c>
      <c r="F28" s="287"/>
      <c r="G28" s="93"/>
      <c r="H28" s="94"/>
    </row>
    <row r="29" spans="2:8" ht="33" customHeight="1" x14ac:dyDescent="0.25">
      <c r="B29" s="90"/>
      <c r="C29" s="291" t="s">
        <v>37</v>
      </c>
      <c r="D29" s="292"/>
      <c r="E29" s="286" t="s">
        <v>38</v>
      </c>
      <c r="F29" s="287"/>
      <c r="G29" s="93"/>
      <c r="H29" s="94"/>
    </row>
    <row r="30" spans="2:8" ht="30" customHeight="1" x14ac:dyDescent="0.25">
      <c r="B30" s="90"/>
      <c r="C30" s="291" t="s">
        <v>39</v>
      </c>
      <c r="D30" s="292"/>
      <c r="E30" s="286" t="s">
        <v>40</v>
      </c>
      <c r="F30" s="287"/>
      <c r="G30" s="93"/>
      <c r="H30" s="94"/>
    </row>
    <row r="31" spans="2:8" ht="35.25" customHeight="1" x14ac:dyDescent="0.25">
      <c r="B31" s="90"/>
      <c r="C31" s="291" t="s">
        <v>41</v>
      </c>
      <c r="D31" s="292"/>
      <c r="E31" s="286" t="s">
        <v>42</v>
      </c>
      <c r="F31" s="287"/>
      <c r="G31" s="93"/>
      <c r="H31" s="94"/>
    </row>
    <row r="32" spans="2:8" ht="31.5" customHeight="1" x14ac:dyDescent="0.25">
      <c r="B32" s="90"/>
      <c r="C32" s="291" t="s">
        <v>43</v>
      </c>
      <c r="D32" s="292"/>
      <c r="E32" s="286" t="s">
        <v>44</v>
      </c>
      <c r="F32" s="287"/>
      <c r="G32" s="93"/>
      <c r="H32" s="94"/>
    </row>
    <row r="33" spans="2:8" ht="35.25" customHeight="1" x14ac:dyDescent="0.25">
      <c r="B33" s="90"/>
      <c r="C33" s="291" t="s">
        <v>45</v>
      </c>
      <c r="D33" s="292"/>
      <c r="E33" s="286" t="s">
        <v>46</v>
      </c>
      <c r="F33" s="287"/>
      <c r="G33" s="93"/>
      <c r="H33" s="94"/>
    </row>
    <row r="34" spans="2:8" ht="59.25" customHeight="1" x14ac:dyDescent="0.25">
      <c r="B34" s="90"/>
      <c r="C34" s="291" t="s">
        <v>47</v>
      </c>
      <c r="D34" s="292"/>
      <c r="E34" s="286" t="s">
        <v>48</v>
      </c>
      <c r="F34" s="287"/>
      <c r="G34" s="93"/>
      <c r="H34" s="94"/>
    </row>
    <row r="35" spans="2:8" ht="29.25" customHeight="1" x14ac:dyDescent="0.25">
      <c r="B35" s="90"/>
      <c r="C35" s="291" t="s">
        <v>49</v>
      </c>
      <c r="D35" s="292"/>
      <c r="E35" s="286" t="s">
        <v>50</v>
      </c>
      <c r="F35" s="287"/>
      <c r="G35" s="93"/>
      <c r="H35" s="94"/>
    </row>
    <row r="36" spans="2:8" ht="82.5" customHeight="1" x14ac:dyDescent="0.25">
      <c r="B36" s="90"/>
      <c r="C36" s="291" t="s">
        <v>51</v>
      </c>
      <c r="D36" s="292"/>
      <c r="E36" s="286" t="s">
        <v>52</v>
      </c>
      <c r="F36" s="287"/>
      <c r="G36" s="93"/>
      <c r="H36" s="94"/>
    </row>
    <row r="37" spans="2:8" ht="46.5" customHeight="1" x14ac:dyDescent="0.25">
      <c r="B37" s="90"/>
      <c r="C37" s="291" t="s">
        <v>53</v>
      </c>
      <c r="D37" s="292"/>
      <c r="E37" s="286" t="s">
        <v>54</v>
      </c>
      <c r="F37" s="287"/>
      <c r="G37" s="93"/>
      <c r="H37" s="94"/>
    </row>
    <row r="38" spans="2:8" ht="6.75" customHeight="1" thickBot="1" x14ac:dyDescent="0.3">
      <c r="B38" s="90"/>
      <c r="C38" s="293"/>
      <c r="D38" s="294"/>
      <c r="E38" s="295"/>
      <c r="F38" s="296"/>
      <c r="G38" s="93"/>
      <c r="H38" s="94"/>
    </row>
    <row r="39" spans="2:8" ht="15.75" thickTop="1" x14ac:dyDescent="0.25">
      <c r="B39" s="90"/>
      <c r="C39" s="91"/>
      <c r="D39" s="91"/>
      <c r="E39" s="92"/>
      <c r="F39" s="92"/>
      <c r="G39" s="93"/>
      <c r="H39" s="94"/>
    </row>
    <row r="40" spans="2:8" ht="21" customHeight="1" x14ac:dyDescent="0.25">
      <c r="B40" s="288" t="s">
        <v>55</v>
      </c>
      <c r="C40" s="289"/>
      <c r="D40" s="289"/>
      <c r="E40" s="289"/>
      <c r="F40" s="289"/>
      <c r="G40" s="289"/>
      <c r="H40" s="290"/>
    </row>
    <row r="41" spans="2:8" ht="20.25" customHeight="1" x14ac:dyDescent="0.25">
      <c r="B41" s="288" t="s">
        <v>56</v>
      </c>
      <c r="C41" s="289"/>
      <c r="D41" s="289"/>
      <c r="E41" s="289"/>
      <c r="F41" s="289"/>
      <c r="G41" s="289"/>
      <c r="H41" s="290"/>
    </row>
    <row r="42" spans="2:8" ht="20.25" customHeight="1" x14ac:dyDescent="0.25">
      <c r="B42" s="288" t="s">
        <v>57</v>
      </c>
      <c r="C42" s="289"/>
      <c r="D42" s="289"/>
      <c r="E42" s="289"/>
      <c r="F42" s="289"/>
      <c r="G42" s="289"/>
      <c r="H42" s="290"/>
    </row>
    <row r="43" spans="2:8" ht="20.25" customHeight="1" x14ac:dyDescent="0.25">
      <c r="B43" s="288" t="s">
        <v>58</v>
      </c>
      <c r="C43" s="289"/>
      <c r="D43" s="289"/>
      <c r="E43" s="289"/>
      <c r="F43" s="289"/>
      <c r="G43" s="289"/>
      <c r="H43" s="290"/>
    </row>
    <row r="44" spans="2:8" x14ac:dyDescent="0.25">
      <c r="B44" s="288" t="s">
        <v>59</v>
      </c>
      <c r="C44" s="289"/>
      <c r="D44" s="289"/>
      <c r="E44" s="289"/>
      <c r="F44" s="289"/>
      <c r="G44" s="289"/>
      <c r="H44" s="290"/>
    </row>
    <row r="45" spans="2:8" ht="15.75" thickBot="1" x14ac:dyDescent="0.3">
      <c r="B45" s="95"/>
      <c r="C45" s="96"/>
      <c r="D45" s="96"/>
      <c r="E45" s="96"/>
      <c r="F45" s="96"/>
      <c r="G45" s="96"/>
      <c r="H45" s="97"/>
    </row>
    <row r="47" spans="2:8" x14ac:dyDescent="0.25">
      <c r="B47" s="235" t="s">
        <v>60</v>
      </c>
    </row>
    <row r="48" spans="2:8" x14ac:dyDescent="0.25">
      <c r="B48" s="66" t="s">
        <v>61</v>
      </c>
    </row>
    <row r="49" spans="2:6" ht="25.5" x14ac:dyDescent="0.25">
      <c r="B49" s="227" t="s">
        <v>62</v>
      </c>
      <c r="C49" s="227" t="s">
        <v>63</v>
      </c>
      <c r="D49" s="227" t="s">
        <v>64</v>
      </c>
      <c r="E49" s="228" t="s">
        <v>65</v>
      </c>
      <c r="F49" s="229" t="s">
        <v>66</v>
      </c>
    </row>
    <row r="50" spans="2:6" x14ac:dyDescent="0.25">
      <c r="B50" s="230" t="s">
        <v>67</v>
      </c>
      <c r="C50" s="230" t="s">
        <v>68</v>
      </c>
      <c r="D50" s="231">
        <v>44957</v>
      </c>
      <c r="E50" s="230" t="s">
        <v>68</v>
      </c>
      <c r="F50" s="230" t="s">
        <v>68</v>
      </c>
    </row>
    <row r="51" spans="2:6" ht="30" x14ac:dyDescent="0.25">
      <c r="B51" s="230" t="s">
        <v>69</v>
      </c>
      <c r="C51" s="230" t="s">
        <v>70</v>
      </c>
      <c r="D51" s="231">
        <v>45016</v>
      </c>
      <c r="E51" s="230" t="s">
        <v>71</v>
      </c>
      <c r="F51" s="232" t="s">
        <v>72</v>
      </c>
    </row>
    <row r="300" spans="3:3" ht="31.5" x14ac:dyDescent="0.25">
      <c r="C300" s="156" t="s">
        <v>73</v>
      </c>
    </row>
    <row r="301" spans="3:3" ht="47.25" x14ac:dyDescent="0.25">
      <c r="C301" s="156" t="s">
        <v>74</v>
      </c>
    </row>
    <row r="302" spans="3:3" ht="31.5" x14ac:dyDescent="0.25">
      <c r="C302" s="157" t="s">
        <v>75</v>
      </c>
    </row>
    <row r="303" spans="3:3" ht="31.5" x14ac:dyDescent="0.25">
      <c r="C303" s="156" t="s">
        <v>76</v>
      </c>
    </row>
    <row r="304" spans="3:3" ht="47.25" x14ac:dyDescent="0.25">
      <c r="C304" s="156" t="s">
        <v>77</v>
      </c>
    </row>
    <row r="305" spans="3:3" ht="31.5" x14ac:dyDescent="0.25">
      <c r="C305" s="156" t="s">
        <v>78</v>
      </c>
    </row>
    <row r="306" spans="3:3" ht="47.25" x14ac:dyDescent="0.25">
      <c r="C306" s="157" t="s">
        <v>79</v>
      </c>
    </row>
    <row r="307" spans="3:3" ht="31.5" x14ac:dyDescent="0.25">
      <c r="C307" s="156" t="s">
        <v>80</v>
      </c>
    </row>
    <row r="308" spans="3:3" ht="15.75" x14ac:dyDescent="0.25">
      <c r="C308" s="156" t="s">
        <v>81</v>
      </c>
    </row>
    <row r="309" spans="3:3" ht="15.75" x14ac:dyDescent="0.25">
      <c r="C309" s="156" t="s">
        <v>82</v>
      </c>
    </row>
    <row r="310" spans="3:3" ht="31.5" x14ac:dyDescent="0.25">
      <c r="C310" s="156" t="s">
        <v>83</v>
      </c>
    </row>
    <row r="311" spans="3:3" ht="31.5" x14ac:dyDescent="0.25">
      <c r="C311" s="156" t="s">
        <v>84</v>
      </c>
    </row>
    <row r="312" spans="3:3" ht="15.75" x14ac:dyDescent="0.25">
      <c r="C312" s="156" t="s">
        <v>85</v>
      </c>
    </row>
    <row r="313" spans="3:3" ht="15.75" x14ac:dyDescent="0.25">
      <c r="C313" s="156" t="s">
        <v>86</v>
      </c>
    </row>
    <row r="314" spans="3:3" ht="15.75" x14ac:dyDescent="0.25">
      <c r="C314" s="156" t="s">
        <v>87</v>
      </c>
    </row>
    <row r="315" spans="3:3" ht="31.5" x14ac:dyDescent="0.25">
      <c r="C315" s="156" t="s">
        <v>88</v>
      </c>
    </row>
    <row r="316" spans="3:3" ht="31.5" x14ac:dyDescent="0.25">
      <c r="C316" s="156" t="s">
        <v>89</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honeticPr fontId="84"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38" t="s">
        <v>298</v>
      </c>
      <c r="C1" s="538"/>
      <c r="D1" s="538"/>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299</v>
      </c>
      <c r="D3" s="4" t="s">
        <v>249</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300</v>
      </c>
      <c r="C4" s="6" t="s">
        <v>301</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302</v>
      </c>
      <c r="C5" s="9" t="s">
        <v>303</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304</v>
      </c>
      <c r="C6" s="9" t="s">
        <v>305</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306</v>
      </c>
      <c r="C7" s="9" t="s">
        <v>307</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308</v>
      </c>
      <c r="C8" s="9" t="s">
        <v>309</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F218" sqref="F218:F222"/>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70" customFormat="1" ht="45.75" customHeight="1" x14ac:dyDescent="0.25">
      <c r="A2" s="168"/>
      <c r="B2" s="539" t="s">
        <v>310</v>
      </c>
      <c r="C2" s="539"/>
      <c r="D2" s="539"/>
      <c r="E2" s="539"/>
      <c r="F2" s="169"/>
      <c r="G2" s="168"/>
      <c r="H2" s="168"/>
      <c r="I2" s="168"/>
      <c r="J2" s="168"/>
      <c r="K2" s="168"/>
      <c r="L2" s="168"/>
      <c r="M2" s="168"/>
      <c r="N2" s="168"/>
      <c r="O2" s="168"/>
      <c r="P2" s="168"/>
      <c r="Q2" s="168"/>
      <c r="R2" s="168"/>
      <c r="S2" s="168"/>
      <c r="T2" s="168"/>
      <c r="U2" s="168"/>
    </row>
    <row r="3" spans="1:21" s="170" customFormat="1" ht="18.75" customHeight="1" x14ac:dyDescent="0.25">
      <c r="A3" s="168"/>
      <c r="B3" s="171"/>
      <c r="C3" s="168"/>
      <c r="D3" s="168"/>
      <c r="E3" s="168"/>
      <c r="F3" s="169"/>
      <c r="G3" s="168"/>
      <c r="H3" s="168"/>
      <c r="I3" s="168"/>
      <c r="J3" s="168"/>
      <c r="K3" s="168"/>
      <c r="L3" s="168"/>
      <c r="M3" s="168"/>
      <c r="N3" s="168"/>
      <c r="O3" s="168"/>
      <c r="P3" s="168"/>
      <c r="Q3" s="168"/>
      <c r="R3" s="168"/>
      <c r="S3" s="168"/>
      <c r="T3" s="168"/>
      <c r="U3" s="168"/>
    </row>
    <row r="4" spans="1:21" ht="67.5" customHeight="1" x14ac:dyDescent="0.25">
      <c r="A4" s="66"/>
      <c r="B4" s="106"/>
      <c r="C4" s="21" t="s">
        <v>311</v>
      </c>
      <c r="D4" s="21" t="s">
        <v>312</v>
      </c>
      <c r="E4" s="21" t="s">
        <v>313</v>
      </c>
      <c r="F4" s="112"/>
      <c r="G4" s="66"/>
      <c r="H4" s="66"/>
      <c r="I4" s="66"/>
      <c r="J4" s="66"/>
      <c r="K4" s="66"/>
      <c r="L4" s="66"/>
      <c r="M4" s="66"/>
      <c r="N4" s="66"/>
      <c r="O4" s="66"/>
      <c r="P4" s="66"/>
      <c r="Q4" s="66"/>
      <c r="R4" s="66"/>
      <c r="S4" s="66"/>
      <c r="T4" s="66"/>
      <c r="U4" s="66"/>
    </row>
    <row r="5" spans="1:21" ht="67.5" customHeight="1" x14ac:dyDescent="0.25">
      <c r="A5" s="86" t="s">
        <v>314</v>
      </c>
      <c r="B5" s="22" t="s">
        <v>315</v>
      </c>
      <c r="C5" s="27" t="s">
        <v>316</v>
      </c>
      <c r="D5" s="104" t="s">
        <v>317</v>
      </c>
      <c r="E5" s="206">
        <f>908526*130</f>
        <v>118108380</v>
      </c>
      <c r="F5" s="66"/>
      <c r="G5" s="66"/>
      <c r="H5" s="66"/>
      <c r="I5" s="66"/>
      <c r="J5" s="66"/>
      <c r="K5" s="66"/>
      <c r="L5" s="66"/>
      <c r="M5" s="66"/>
      <c r="N5" s="66"/>
      <c r="O5" s="66"/>
      <c r="P5" s="66"/>
      <c r="Q5" s="66"/>
      <c r="R5" s="66"/>
      <c r="S5" s="66"/>
      <c r="T5" s="66"/>
      <c r="U5" s="66"/>
    </row>
    <row r="6" spans="1:21" ht="129" customHeight="1" x14ac:dyDescent="0.25">
      <c r="A6" s="86" t="s">
        <v>318</v>
      </c>
      <c r="B6" s="23" t="s">
        <v>319</v>
      </c>
      <c r="C6" s="28" t="s">
        <v>320</v>
      </c>
      <c r="D6" s="105" t="s">
        <v>321</v>
      </c>
      <c r="E6" s="206">
        <f>908526*650</f>
        <v>590541900</v>
      </c>
      <c r="F6" s="66"/>
      <c r="G6" s="66"/>
      <c r="H6" s="66"/>
      <c r="I6" s="66"/>
      <c r="J6" s="66"/>
      <c r="K6" s="66"/>
      <c r="L6" s="66"/>
      <c r="M6" s="66"/>
      <c r="N6" s="66"/>
      <c r="O6" s="66"/>
      <c r="P6" s="66"/>
      <c r="Q6" s="66"/>
      <c r="R6" s="66"/>
      <c r="S6" s="66"/>
      <c r="T6" s="66"/>
      <c r="U6" s="66"/>
    </row>
    <row r="7" spans="1:21" ht="101.25" x14ac:dyDescent="0.25">
      <c r="A7" s="86" t="s">
        <v>255</v>
      </c>
      <c r="B7" s="24" t="s">
        <v>322</v>
      </c>
      <c r="C7" s="28" t="s">
        <v>323</v>
      </c>
      <c r="D7" s="105" t="s">
        <v>324</v>
      </c>
      <c r="E7" s="206">
        <f>908526*1300</f>
        <v>1181083800</v>
      </c>
      <c r="F7" s="66"/>
      <c r="G7" s="66"/>
      <c r="H7" s="66"/>
      <c r="I7" s="66"/>
      <c r="J7" s="66"/>
      <c r="K7" s="66"/>
      <c r="L7" s="66"/>
      <c r="M7" s="66"/>
      <c r="N7" s="66"/>
      <c r="O7" s="66"/>
      <c r="P7" s="66"/>
      <c r="Q7" s="66"/>
      <c r="R7" s="66"/>
      <c r="S7" s="66"/>
      <c r="T7" s="66"/>
      <c r="U7" s="66"/>
    </row>
    <row r="8" spans="1:21" ht="135" x14ac:dyDescent="0.25">
      <c r="A8" s="86" t="s">
        <v>325</v>
      </c>
      <c r="B8" s="25" t="s">
        <v>326</v>
      </c>
      <c r="C8" s="28" t="s">
        <v>327</v>
      </c>
      <c r="D8" s="105" t="s">
        <v>328</v>
      </c>
      <c r="E8" s="206">
        <f>908526*6500</f>
        <v>5905419000</v>
      </c>
      <c r="F8" s="66"/>
      <c r="G8" s="66"/>
      <c r="H8" s="66"/>
      <c r="I8" s="66"/>
      <c r="J8" s="66"/>
      <c r="K8" s="66"/>
      <c r="L8" s="66"/>
      <c r="M8" s="66"/>
      <c r="N8" s="66"/>
      <c r="O8" s="66"/>
      <c r="P8" s="66"/>
      <c r="Q8" s="66"/>
      <c r="R8" s="66"/>
      <c r="S8" s="66"/>
      <c r="T8" s="66"/>
      <c r="U8" s="66"/>
    </row>
    <row r="9" spans="1:21" ht="101.25" x14ac:dyDescent="0.25">
      <c r="A9" s="86" t="s">
        <v>329</v>
      </c>
      <c r="B9" s="26" t="s">
        <v>330</v>
      </c>
      <c r="C9" s="28" t="s">
        <v>331</v>
      </c>
      <c r="D9" s="105" t="s">
        <v>332</v>
      </c>
      <c r="E9" s="206"/>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333</v>
      </c>
      <c r="C12" s="108" t="s">
        <v>334</v>
      </c>
      <c r="D12" s="108" t="s">
        <v>335</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336</v>
      </c>
      <c r="C13" s="108" t="s">
        <v>337</v>
      </c>
      <c r="D13" s="108" t="s">
        <v>338</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339</v>
      </c>
      <c r="D14" s="108" t="s">
        <v>238</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340</v>
      </c>
      <c r="D15" s="108" t="s">
        <v>341</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342</v>
      </c>
      <c r="D16" s="108" t="s">
        <v>343</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255</v>
      </c>
    </row>
    <row r="209" spans="1:8" x14ac:dyDescent="0.25">
      <c r="A209" s="66"/>
      <c r="B209" s="15"/>
      <c r="C209" s="15"/>
      <c r="D209" s="15"/>
      <c r="F209" s="114" t="s">
        <v>325</v>
      </c>
    </row>
    <row r="210" spans="1:8" ht="20.25" x14ac:dyDescent="0.25">
      <c r="A210" s="66"/>
      <c r="B210" s="16" t="s">
        <v>344</v>
      </c>
      <c r="C210" s="16" t="s">
        <v>345</v>
      </c>
      <c r="D210" s="19" t="s">
        <v>344</v>
      </c>
      <c r="E210" s="19" t="s">
        <v>345</v>
      </c>
      <c r="F210" s="114" t="s">
        <v>346</v>
      </c>
    </row>
    <row r="211" spans="1:8" ht="21" x14ac:dyDescent="0.35">
      <c r="A211" s="66"/>
      <c r="B211" s="17" t="s">
        <v>347</v>
      </c>
      <c r="C211" s="117" t="s">
        <v>348</v>
      </c>
      <c r="D211" s="116" t="s">
        <v>347</v>
      </c>
      <c r="F211" s="114" t="str">
        <f>IF(NOT(ISBLANK(D211)),D211,IF(NOT(ISBLANK(E211)),"     "&amp;E211,FALSE))</f>
        <v>Afectación Económica o presupuestal</v>
      </c>
      <c r="G211" t="s">
        <v>347</v>
      </c>
      <c r="H211" t="str">
        <f>IF(NOT(ISERROR(MATCH(G211,_xlfn.ANCHORARRAY(B222),0))),F224&amp;"Por favor no seleccionar los criterios de impacto",G211)</f>
        <v>❌Por favor no seleccionar los criterios de impacto</v>
      </c>
    </row>
    <row r="212" spans="1:8" ht="21" x14ac:dyDescent="0.35">
      <c r="A212" s="66"/>
      <c r="B212" s="17" t="s">
        <v>347</v>
      </c>
      <c r="C212" s="117" t="s">
        <v>320</v>
      </c>
      <c r="E212" t="s">
        <v>348</v>
      </c>
      <c r="F212" s="114" t="str">
        <f t="shared" ref="F212:F222" si="0">IF(NOT(ISBLANK(D212)),D212,IF(NOT(ISBLANK(E212)),"     "&amp;E212,FALSE))</f>
        <v xml:space="preserve">     Afectación menor a 130 SMLMV .</v>
      </c>
    </row>
    <row r="213" spans="1:8" ht="21" x14ac:dyDescent="0.35">
      <c r="A213" s="66"/>
      <c r="B213" s="17" t="s">
        <v>347</v>
      </c>
      <c r="C213" s="117" t="s">
        <v>323</v>
      </c>
      <c r="E213" t="s">
        <v>320</v>
      </c>
      <c r="F213" s="114" t="str">
        <f t="shared" si="0"/>
        <v xml:space="preserve">     Entre 130 y 650 SMLMV </v>
      </c>
    </row>
    <row r="214" spans="1:8" ht="21" x14ac:dyDescent="0.35">
      <c r="A214" s="66"/>
      <c r="B214" s="17" t="s">
        <v>347</v>
      </c>
      <c r="C214" s="117" t="s">
        <v>327</v>
      </c>
      <c r="E214" t="s">
        <v>323</v>
      </c>
      <c r="F214" s="114" t="str">
        <f t="shared" si="0"/>
        <v xml:space="preserve">     Entre 650 y 1300 SMLMV </v>
      </c>
    </row>
    <row r="215" spans="1:8" ht="21" x14ac:dyDescent="0.35">
      <c r="A215" s="66"/>
      <c r="B215" s="17" t="s">
        <v>347</v>
      </c>
      <c r="C215" s="117" t="s">
        <v>331</v>
      </c>
      <c r="E215" t="s">
        <v>327</v>
      </c>
      <c r="F215" s="114" t="str">
        <f t="shared" si="0"/>
        <v xml:space="preserve">     Entre 1300 y 6500 SMLMV </v>
      </c>
    </row>
    <row r="216" spans="1:8" ht="21" x14ac:dyDescent="0.35">
      <c r="A216" s="66"/>
      <c r="B216" s="17" t="s">
        <v>312</v>
      </c>
      <c r="C216" s="117" t="s">
        <v>317</v>
      </c>
      <c r="E216" t="s">
        <v>331</v>
      </c>
      <c r="F216" s="114" t="str">
        <f t="shared" si="0"/>
        <v xml:space="preserve">     Mayor a 6500 SMLMV </v>
      </c>
    </row>
    <row r="217" spans="1:8" ht="63" x14ac:dyDescent="0.35">
      <c r="A217" s="66"/>
      <c r="B217" s="17" t="s">
        <v>312</v>
      </c>
      <c r="C217" s="117" t="s">
        <v>321</v>
      </c>
      <c r="D217" s="116" t="s">
        <v>312</v>
      </c>
      <c r="F217" s="114" t="str">
        <f t="shared" si="0"/>
        <v>Pérdida Reputacional</v>
      </c>
    </row>
    <row r="218" spans="1:8" ht="42" x14ac:dyDescent="0.35">
      <c r="A218" s="66"/>
      <c r="B218" s="17" t="s">
        <v>312</v>
      </c>
      <c r="C218" s="117" t="s">
        <v>324</v>
      </c>
      <c r="D218" s="116"/>
      <c r="E218" s="118" t="s">
        <v>317</v>
      </c>
      <c r="F218" s="114" t="str">
        <f t="shared" si="0"/>
        <v xml:space="preserve">     El riesgo afecta la imagen de alguna área de la organización</v>
      </c>
    </row>
    <row r="219" spans="1:8" ht="63" x14ac:dyDescent="0.35">
      <c r="A219" s="66"/>
      <c r="B219" s="17" t="s">
        <v>312</v>
      </c>
      <c r="C219" s="117" t="s">
        <v>349</v>
      </c>
      <c r="D219" s="116"/>
      <c r="E219" s="118" t="s">
        <v>321</v>
      </c>
      <c r="F219" s="114" t="str">
        <f t="shared" si="0"/>
        <v xml:space="preserve">     El riesgo afecta la imagen de la entidad internamente, de conocimiento general, nivel interno, de junta dircetiva y accionistas y/o de provedores</v>
      </c>
    </row>
    <row r="220" spans="1:8" ht="45" x14ac:dyDescent="0.35">
      <c r="A220" s="66"/>
      <c r="B220" s="17" t="s">
        <v>312</v>
      </c>
      <c r="C220" s="117" t="s">
        <v>332</v>
      </c>
      <c r="D220" s="116"/>
      <c r="E220" s="118" t="s">
        <v>324</v>
      </c>
      <c r="F220" s="114" t="str">
        <f t="shared" si="0"/>
        <v xml:space="preserve">     El riesgo afecta la imagen de la entidad con algunos usuarios de relevancia frente al logro de los objetivos</v>
      </c>
    </row>
    <row r="221" spans="1:8" ht="45" x14ac:dyDescent="0.25">
      <c r="A221" s="66"/>
      <c r="B221" s="18"/>
      <c r="C221" s="18"/>
      <c r="D221" s="116"/>
      <c r="E221" s="118" t="s">
        <v>349</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332</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350</v>
      </c>
    </row>
    <row r="225" spans="2:6" x14ac:dyDescent="0.25">
      <c r="B225" s="14"/>
      <c r="C225" s="14"/>
      <c r="F225" s="115" t="s">
        <v>351</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40" t="s">
        <v>352</v>
      </c>
      <c r="C3" s="148" t="s">
        <v>353</v>
      </c>
      <c r="D3" s="146" t="s">
        <v>354</v>
      </c>
      <c r="AX3" t="s">
        <v>352</v>
      </c>
    </row>
    <row r="4" spans="2:50" ht="48.75" thickBot="1" x14ac:dyDescent="0.3">
      <c r="B4" s="541"/>
      <c r="C4" s="149" t="s">
        <v>355</v>
      </c>
      <c r="D4" s="147" t="s">
        <v>356</v>
      </c>
      <c r="AX4" t="s">
        <v>131</v>
      </c>
    </row>
    <row r="5" spans="2:50" ht="48.75" thickBot="1" x14ac:dyDescent="0.3">
      <c r="B5" s="541"/>
      <c r="C5" s="149" t="s">
        <v>357</v>
      </c>
      <c r="D5" s="147" t="s">
        <v>358</v>
      </c>
      <c r="AX5" t="s">
        <v>359</v>
      </c>
    </row>
    <row r="6" spans="2:50" ht="36.75" thickBot="1" x14ac:dyDescent="0.3">
      <c r="B6" s="542"/>
      <c r="C6" s="149" t="s">
        <v>360</v>
      </c>
      <c r="D6" s="147" t="s">
        <v>361</v>
      </c>
    </row>
    <row r="7" spans="2:50" ht="36.75" thickBot="1" x14ac:dyDescent="0.3">
      <c r="B7" s="540" t="s">
        <v>131</v>
      </c>
      <c r="C7" s="149" t="s">
        <v>362</v>
      </c>
      <c r="D7" s="147" t="s">
        <v>363</v>
      </c>
    </row>
    <row r="8" spans="2:50" ht="96.75" thickBot="1" x14ac:dyDescent="0.3">
      <c r="B8" s="541"/>
      <c r="C8" s="149" t="s">
        <v>364</v>
      </c>
      <c r="D8" s="147" t="s">
        <v>365</v>
      </c>
    </row>
    <row r="9" spans="2:50" ht="48.75" thickBot="1" x14ac:dyDescent="0.3">
      <c r="B9" s="542"/>
      <c r="C9" s="149" t="s">
        <v>135</v>
      </c>
      <c r="D9" s="147" t="s">
        <v>366</v>
      </c>
    </row>
    <row r="10" spans="2:50" x14ac:dyDescent="0.25">
      <c r="B10" s="540" t="s">
        <v>359</v>
      </c>
      <c r="C10" s="150"/>
      <c r="D10" s="543" t="s">
        <v>367</v>
      </c>
    </row>
    <row r="11" spans="2:50" x14ac:dyDescent="0.25">
      <c r="B11" s="541"/>
      <c r="C11" s="150" t="s">
        <v>138</v>
      </c>
      <c r="D11" s="544"/>
    </row>
    <row r="12" spans="2:50" ht="15.75" thickBot="1" x14ac:dyDescent="0.3">
      <c r="B12" s="541"/>
      <c r="C12" s="149"/>
      <c r="D12" s="545"/>
    </row>
    <row r="13" spans="2:50" ht="22.5" customHeight="1" x14ac:dyDescent="0.25">
      <c r="B13" s="541"/>
      <c r="C13" s="150"/>
      <c r="D13" s="543" t="s">
        <v>368</v>
      </c>
    </row>
    <row r="14" spans="2:50" ht="22.5" customHeight="1" x14ac:dyDescent="0.25">
      <c r="B14" s="541"/>
      <c r="C14" s="150" t="s">
        <v>137</v>
      </c>
      <c r="D14" s="544"/>
    </row>
    <row r="15" spans="2:50" ht="22.5" customHeight="1" thickBot="1" x14ac:dyDescent="0.3">
      <c r="B15" s="541"/>
      <c r="C15" s="149"/>
      <c r="D15" s="545"/>
    </row>
    <row r="16" spans="2:50" ht="25.5" customHeight="1" x14ac:dyDescent="0.25">
      <c r="B16" s="541"/>
      <c r="C16" s="150"/>
      <c r="D16" s="543" t="s">
        <v>369</v>
      </c>
    </row>
    <row r="17" spans="2:4" ht="25.5" customHeight="1" x14ac:dyDescent="0.25">
      <c r="B17" s="541"/>
      <c r="C17" s="150" t="s">
        <v>139</v>
      </c>
      <c r="D17" s="544"/>
    </row>
    <row r="18" spans="2:4" ht="25.5" customHeight="1" thickBot="1" x14ac:dyDescent="0.3">
      <c r="B18" s="542"/>
      <c r="C18" s="149"/>
      <c r="D18" s="545"/>
    </row>
  </sheetData>
  <mergeCells count="6">
    <mergeCell ref="B3:B6"/>
    <mergeCell ref="B7:B9"/>
    <mergeCell ref="B10:B18"/>
    <mergeCell ref="D10:D12"/>
    <mergeCell ref="D13:D15"/>
    <mergeCell ref="D16:D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topLeftCell="A3"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61" t="s">
        <v>370</v>
      </c>
    </row>
    <row r="2" spans="3:6" ht="15.75" thickBot="1" x14ac:dyDescent="0.3">
      <c r="C2" s="159" t="s">
        <v>371</v>
      </c>
      <c r="E2" s="162" t="s">
        <v>144</v>
      </c>
      <c r="F2" s="163" t="s">
        <v>145</v>
      </c>
    </row>
    <row r="3" spans="3:6" ht="15.75" thickBot="1" x14ac:dyDescent="0.3">
      <c r="C3" s="159" t="s">
        <v>372</v>
      </c>
      <c r="E3" s="308" t="s">
        <v>143</v>
      </c>
      <c r="F3" s="155" t="s">
        <v>147</v>
      </c>
    </row>
    <row r="4" spans="3:6" ht="15.75" thickBot="1" x14ac:dyDescent="0.3">
      <c r="C4" s="159" t="s">
        <v>373</v>
      </c>
      <c r="E4" s="306"/>
      <c r="F4" s="155" t="s">
        <v>149</v>
      </c>
    </row>
    <row r="5" spans="3:6" ht="15.75" thickBot="1" x14ac:dyDescent="0.3">
      <c r="C5" s="159" t="s">
        <v>374</v>
      </c>
      <c r="E5" s="306"/>
      <c r="F5" s="155" t="s">
        <v>151</v>
      </c>
    </row>
    <row r="6" spans="3:6" ht="15.75" thickBot="1" x14ac:dyDescent="0.3">
      <c r="C6" s="159" t="s">
        <v>375</v>
      </c>
      <c r="E6" s="306"/>
      <c r="F6" s="155" t="s">
        <v>153</v>
      </c>
    </row>
    <row r="7" spans="3:6" ht="15.75" thickBot="1" x14ac:dyDescent="0.3">
      <c r="C7" s="160" t="s">
        <v>376</v>
      </c>
      <c r="E7" s="306"/>
      <c r="F7" s="155" t="s">
        <v>154</v>
      </c>
    </row>
    <row r="8" spans="3:6" ht="15.75" thickBot="1" x14ac:dyDescent="0.3">
      <c r="C8" s="159" t="s">
        <v>377</v>
      </c>
      <c r="E8" s="307"/>
      <c r="F8" s="155" t="s">
        <v>155</v>
      </c>
    </row>
    <row r="9" spans="3:6" ht="15.75" thickBot="1" x14ac:dyDescent="0.3">
      <c r="C9" s="159" t="s">
        <v>378</v>
      </c>
      <c r="E9" s="305" t="s">
        <v>152</v>
      </c>
      <c r="F9" s="155" t="s">
        <v>156</v>
      </c>
    </row>
    <row r="10" spans="3:6" ht="15.75" thickBot="1" x14ac:dyDescent="0.3">
      <c r="C10" s="158" t="s">
        <v>379</v>
      </c>
      <c r="E10" s="306"/>
      <c r="F10" s="155" t="s">
        <v>157</v>
      </c>
    </row>
    <row r="11" spans="3:6" ht="15.75" thickBot="1" x14ac:dyDescent="0.3">
      <c r="C11" s="234" t="s">
        <v>380</v>
      </c>
      <c r="E11" s="306"/>
      <c r="F11" s="155" t="s">
        <v>158</v>
      </c>
    </row>
    <row r="12" spans="3:6" ht="15.75" thickBot="1" x14ac:dyDescent="0.3">
      <c r="E12" s="306"/>
      <c r="F12" s="155" t="s">
        <v>159</v>
      </c>
    </row>
    <row r="13" spans="3:6" ht="15.75" thickBot="1" x14ac:dyDescent="0.3">
      <c r="E13" s="307"/>
      <c r="F13" s="155" t="s">
        <v>160</v>
      </c>
    </row>
    <row r="14" spans="3:6" ht="24.75" thickBot="1" x14ac:dyDescent="0.3">
      <c r="E14" s="305" t="s">
        <v>148</v>
      </c>
      <c r="F14" s="155" t="s">
        <v>161</v>
      </c>
    </row>
    <row r="15" spans="3:6" ht="15.75" thickBot="1" x14ac:dyDescent="0.3">
      <c r="E15" s="306"/>
      <c r="F15" s="155" t="s">
        <v>162</v>
      </c>
    </row>
    <row r="16" spans="3:6" ht="15.75" thickBot="1" x14ac:dyDescent="0.3">
      <c r="E16" s="307"/>
      <c r="F16" s="155" t="s">
        <v>163</v>
      </c>
    </row>
    <row r="17" spans="5:6" ht="15.75" thickBot="1" x14ac:dyDescent="0.3">
      <c r="E17" s="305" t="s">
        <v>150</v>
      </c>
      <c r="F17" s="155" t="s">
        <v>164</v>
      </c>
    </row>
    <row r="18" spans="5:6" ht="15.75" thickBot="1" x14ac:dyDescent="0.3">
      <c r="E18" s="306"/>
      <c r="F18" s="155" t="s">
        <v>165</v>
      </c>
    </row>
    <row r="19" spans="5:6" ht="15.75" thickBot="1" x14ac:dyDescent="0.3">
      <c r="E19" s="307"/>
      <c r="F19" s="155" t="s">
        <v>166</v>
      </c>
    </row>
    <row r="20" spans="5:6" ht="24.75" thickBot="1" x14ac:dyDescent="0.3">
      <c r="E20" s="305" t="s">
        <v>141</v>
      </c>
      <c r="F20" s="155" t="s">
        <v>167</v>
      </c>
    </row>
    <row r="21" spans="5:6" ht="15.75" thickBot="1" x14ac:dyDescent="0.3">
      <c r="E21" s="306"/>
      <c r="F21" s="155" t="s">
        <v>168</v>
      </c>
    </row>
    <row r="22" spans="5:6" ht="15.75" thickBot="1" x14ac:dyDescent="0.3">
      <c r="E22" s="306"/>
      <c r="F22" s="155" t="s">
        <v>169</v>
      </c>
    </row>
    <row r="23" spans="5:6" ht="15.75" thickBot="1" x14ac:dyDescent="0.3">
      <c r="E23" s="306"/>
      <c r="F23" s="155" t="s">
        <v>170</v>
      </c>
    </row>
    <row r="24" spans="5:6" ht="15.75" thickBot="1" x14ac:dyDescent="0.3">
      <c r="E24" s="306"/>
      <c r="F24" s="155" t="s">
        <v>171</v>
      </c>
    </row>
    <row r="25" spans="5:6" ht="24.75" thickBot="1" x14ac:dyDescent="0.3">
      <c r="E25" s="306"/>
      <c r="F25" s="155" t="s">
        <v>172</v>
      </c>
    </row>
    <row r="26" spans="5:6" ht="15.75" thickBot="1" x14ac:dyDescent="0.3">
      <c r="E26" s="306"/>
      <c r="F26" s="155" t="s">
        <v>173</v>
      </c>
    </row>
    <row r="27" spans="5:6" ht="24.75" thickBot="1" x14ac:dyDescent="0.3">
      <c r="E27" s="306"/>
      <c r="F27" s="155" t="s">
        <v>174</v>
      </c>
    </row>
    <row r="28" spans="5:6" ht="15.75" thickBot="1" x14ac:dyDescent="0.3">
      <c r="E28" s="306"/>
      <c r="F28" s="155" t="s">
        <v>175</v>
      </c>
    </row>
    <row r="29" spans="5:6" ht="15.75" thickBot="1" x14ac:dyDescent="0.3">
      <c r="E29" s="306"/>
      <c r="F29" s="155" t="s">
        <v>176</v>
      </c>
    </row>
    <row r="30" spans="5:6" ht="15.75" thickBot="1" x14ac:dyDescent="0.3">
      <c r="E30" s="307"/>
      <c r="F30" s="155" t="s">
        <v>177</v>
      </c>
    </row>
    <row r="31" spans="5:6" ht="15.75" thickBot="1" x14ac:dyDescent="0.3">
      <c r="E31" s="305" t="s">
        <v>146</v>
      </c>
      <c r="F31" s="155" t="s">
        <v>178</v>
      </c>
    </row>
    <row r="32" spans="5:6" ht="15.75" thickBot="1" x14ac:dyDescent="0.3">
      <c r="E32" s="306"/>
      <c r="F32" s="155" t="s">
        <v>179</v>
      </c>
    </row>
    <row r="33" spans="5:6" ht="15.75" thickBot="1" x14ac:dyDescent="0.3">
      <c r="E33" s="306"/>
      <c r="F33" s="155" t="s">
        <v>180</v>
      </c>
    </row>
    <row r="34" spans="5:6" ht="15.75" thickBot="1" x14ac:dyDescent="0.3">
      <c r="E34" s="306"/>
      <c r="F34" s="155" t="s">
        <v>181</v>
      </c>
    </row>
    <row r="35" spans="5:6" ht="24.75" thickBot="1" x14ac:dyDescent="0.3">
      <c r="E35" s="307"/>
      <c r="F35" s="155" t="s">
        <v>182</v>
      </c>
    </row>
    <row r="36" spans="5:6" ht="15.75" thickBot="1" x14ac:dyDescent="0.3">
      <c r="E36" s="305" t="s">
        <v>140</v>
      </c>
      <c r="F36" s="155" t="s">
        <v>183</v>
      </c>
    </row>
    <row r="37" spans="5:6" ht="15.75" thickBot="1" x14ac:dyDescent="0.3">
      <c r="E37" s="306"/>
      <c r="F37" s="155" t="s">
        <v>184</v>
      </c>
    </row>
    <row r="38" spans="5:6" ht="15.75" thickBot="1" x14ac:dyDescent="0.3">
      <c r="E38" s="306"/>
      <c r="F38" s="155" t="s">
        <v>185</v>
      </c>
    </row>
    <row r="39" spans="5:6" ht="15.75" thickBot="1" x14ac:dyDescent="0.3">
      <c r="E39" s="306"/>
      <c r="F39" s="155" t="s">
        <v>186</v>
      </c>
    </row>
    <row r="40" spans="5:6" ht="15.75" thickBot="1" x14ac:dyDescent="0.3">
      <c r="E40" s="307"/>
      <c r="F40" s="155" t="s">
        <v>187</v>
      </c>
    </row>
    <row r="41" spans="5:6" ht="15.75" thickBot="1" x14ac:dyDescent="0.3">
      <c r="E41" s="305" t="s">
        <v>142</v>
      </c>
      <c r="F41" s="155" t="s">
        <v>188</v>
      </c>
    </row>
    <row r="42" spans="5:6" ht="15.75" thickBot="1" x14ac:dyDescent="0.3">
      <c r="E42" s="306"/>
      <c r="F42" s="155" t="s">
        <v>189</v>
      </c>
    </row>
    <row r="43" spans="5:6" ht="15.75" thickBot="1" x14ac:dyDescent="0.3">
      <c r="E43" s="306"/>
      <c r="F43" s="155" t="s">
        <v>190</v>
      </c>
    </row>
    <row r="44" spans="5:6" ht="15.75" thickBot="1" x14ac:dyDescent="0.3">
      <c r="E44" s="306"/>
      <c r="F44" s="155" t="s">
        <v>191</v>
      </c>
    </row>
    <row r="45" spans="5:6" ht="24.75" thickBot="1" x14ac:dyDescent="0.3">
      <c r="E45" s="307"/>
      <c r="F45" s="155" t="s">
        <v>192</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46" t="s">
        <v>381</v>
      </c>
      <c r="C1" s="547"/>
      <c r="D1" s="547"/>
      <c r="E1" s="547"/>
      <c r="F1" s="548"/>
    </row>
    <row r="2" spans="2:6" ht="16.5" thickBot="1" x14ac:dyDescent="0.3">
      <c r="B2" s="72"/>
      <c r="C2" s="72"/>
      <c r="D2" s="72"/>
      <c r="E2" s="72"/>
      <c r="F2" s="72"/>
    </row>
    <row r="3" spans="2:6" ht="16.5" thickBot="1" x14ac:dyDescent="0.25">
      <c r="B3" s="550" t="s">
        <v>382</v>
      </c>
      <c r="C3" s="551"/>
      <c r="D3" s="551"/>
      <c r="E3" s="84" t="s">
        <v>383</v>
      </c>
      <c r="F3" s="85" t="s">
        <v>384</v>
      </c>
    </row>
    <row r="4" spans="2:6" ht="31.5" x14ac:dyDescent="0.2">
      <c r="B4" s="552" t="s">
        <v>385</v>
      </c>
      <c r="C4" s="554" t="s">
        <v>232</v>
      </c>
      <c r="D4" s="73" t="s">
        <v>239</v>
      </c>
      <c r="E4" s="74" t="s">
        <v>386</v>
      </c>
      <c r="F4" s="75">
        <v>0.25</v>
      </c>
    </row>
    <row r="5" spans="2:6" ht="47.25" x14ac:dyDescent="0.2">
      <c r="B5" s="553"/>
      <c r="C5" s="555"/>
      <c r="D5" s="76" t="s">
        <v>244</v>
      </c>
      <c r="E5" s="77" t="s">
        <v>387</v>
      </c>
      <c r="F5" s="78">
        <v>0.15</v>
      </c>
    </row>
    <row r="6" spans="2:6" ht="47.25" x14ac:dyDescent="0.2">
      <c r="B6" s="553"/>
      <c r="C6" s="555"/>
      <c r="D6" s="76" t="s">
        <v>266</v>
      </c>
      <c r="E6" s="77" t="s">
        <v>388</v>
      </c>
      <c r="F6" s="78">
        <v>0.1</v>
      </c>
    </row>
    <row r="7" spans="2:6" ht="63" x14ac:dyDescent="0.2">
      <c r="B7" s="553"/>
      <c r="C7" s="555" t="s">
        <v>233</v>
      </c>
      <c r="D7" s="76" t="s">
        <v>389</v>
      </c>
      <c r="E7" s="77" t="s">
        <v>390</v>
      </c>
      <c r="F7" s="78">
        <v>0.25</v>
      </c>
    </row>
    <row r="8" spans="2:6" ht="31.5" x14ac:dyDescent="0.2">
      <c r="B8" s="553"/>
      <c r="C8" s="555"/>
      <c r="D8" s="76" t="s">
        <v>240</v>
      </c>
      <c r="E8" s="77" t="s">
        <v>391</v>
      </c>
      <c r="F8" s="78">
        <v>0.15</v>
      </c>
    </row>
    <row r="9" spans="2:6" ht="47.25" x14ac:dyDescent="0.2">
      <c r="B9" s="553" t="s">
        <v>392</v>
      </c>
      <c r="C9" s="555" t="s">
        <v>235</v>
      </c>
      <c r="D9" s="76" t="s">
        <v>241</v>
      </c>
      <c r="E9" s="77" t="s">
        <v>393</v>
      </c>
      <c r="F9" s="79" t="s">
        <v>394</v>
      </c>
    </row>
    <row r="10" spans="2:6" ht="63" x14ac:dyDescent="0.2">
      <c r="B10" s="553"/>
      <c r="C10" s="555"/>
      <c r="D10" s="76" t="s">
        <v>245</v>
      </c>
      <c r="E10" s="77" t="s">
        <v>395</v>
      </c>
      <c r="F10" s="79" t="s">
        <v>394</v>
      </c>
    </row>
    <row r="11" spans="2:6" ht="47.25" x14ac:dyDescent="0.2">
      <c r="B11" s="553"/>
      <c r="C11" s="555" t="s">
        <v>236</v>
      </c>
      <c r="D11" s="76" t="s">
        <v>242</v>
      </c>
      <c r="E11" s="77" t="s">
        <v>396</v>
      </c>
      <c r="F11" s="79" t="s">
        <v>394</v>
      </c>
    </row>
    <row r="12" spans="2:6" ht="47.25" x14ac:dyDescent="0.2">
      <c r="B12" s="553"/>
      <c r="C12" s="555"/>
      <c r="D12" s="76" t="s">
        <v>397</v>
      </c>
      <c r="E12" s="77" t="s">
        <v>398</v>
      </c>
      <c r="F12" s="79" t="s">
        <v>394</v>
      </c>
    </row>
    <row r="13" spans="2:6" ht="31.5" x14ac:dyDescent="0.2">
      <c r="B13" s="553"/>
      <c r="C13" s="555" t="s">
        <v>237</v>
      </c>
      <c r="D13" s="76" t="s">
        <v>243</v>
      </c>
      <c r="E13" s="77" t="s">
        <v>399</v>
      </c>
      <c r="F13" s="79" t="s">
        <v>394</v>
      </c>
    </row>
    <row r="14" spans="2:6" ht="32.25" thickBot="1" x14ac:dyDescent="0.25">
      <c r="B14" s="556"/>
      <c r="C14" s="557"/>
      <c r="D14" s="80" t="s">
        <v>400</v>
      </c>
      <c r="E14" s="81" t="s">
        <v>401</v>
      </c>
      <c r="F14" s="82" t="s">
        <v>394</v>
      </c>
    </row>
    <row r="15" spans="2:6" ht="49.5" customHeight="1" x14ac:dyDescent="0.2">
      <c r="B15" s="549" t="s">
        <v>402</v>
      </c>
      <c r="C15" s="549"/>
      <c r="D15" s="549"/>
      <c r="E15" s="549"/>
      <c r="F15" s="549"/>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239</v>
      </c>
    </row>
    <row r="4" spans="1:1" x14ac:dyDescent="0.2">
      <c r="A4" s="2" t="s">
        <v>244</v>
      </c>
    </row>
    <row r="5" spans="1:1" x14ac:dyDescent="0.2">
      <c r="A5" s="2" t="s">
        <v>266</v>
      </c>
    </row>
    <row r="6" spans="1:1" x14ac:dyDescent="0.2">
      <c r="A6" s="2" t="s">
        <v>389</v>
      </c>
    </row>
    <row r="7" spans="1:1" x14ac:dyDescent="0.2">
      <c r="A7" s="2" t="s">
        <v>240</v>
      </c>
    </row>
    <row r="8" spans="1:1" x14ac:dyDescent="0.2">
      <c r="A8" s="2" t="s">
        <v>241</v>
      </c>
    </row>
    <row r="9" spans="1:1" x14ac:dyDescent="0.2">
      <c r="A9" s="2" t="s">
        <v>245</v>
      </c>
    </row>
    <row r="10" spans="1:1" x14ac:dyDescent="0.2">
      <c r="A10" s="2" t="s">
        <v>242</v>
      </c>
    </row>
    <row r="11" spans="1:1" x14ac:dyDescent="0.2">
      <c r="A11" s="2" t="s">
        <v>397</v>
      </c>
    </row>
    <row r="12" spans="1:1" x14ac:dyDescent="0.2">
      <c r="A12" s="2" t="s">
        <v>403</v>
      </c>
    </row>
    <row r="13" spans="1:1" x14ac:dyDescent="0.2">
      <c r="A13" s="2" t="s">
        <v>404</v>
      </c>
    </row>
    <row r="14" spans="1:1" x14ac:dyDescent="0.2">
      <c r="A14" s="2" t="s">
        <v>405</v>
      </c>
    </row>
    <row r="16" spans="1:1" x14ac:dyDescent="0.2">
      <c r="A16" s="2" t="s">
        <v>406</v>
      </c>
    </row>
    <row r="17" spans="1:1" x14ac:dyDescent="0.2">
      <c r="A17" s="2" t="s">
        <v>102</v>
      </c>
    </row>
    <row r="18" spans="1:1" x14ac:dyDescent="0.2">
      <c r="A18" s="2" t="s">
        <v>104</v>
      </c>
    </row>
    <row r="20" spans="1:1" x14ac:dyDescent="0.2">
      <c r="A20" s="2" t="s">
        <v>114</v>
      </c>
    </row>
    <row r="21" spans="1:1" x14ac:dyDescent="0.2">
      <c r="A21" s="2"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D9" zoomScale="50" zoomScaleNormal="50" workbookViewId="0">
      <selection activeCell="E10" sqref="E10"/>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0" customWidth="1"/>
    <col min="5" max="5" width="168" style="121" customWidth="1"/>
    <col min="6" max="6" width="98.28515625" style="119" customWidth="1"/>
    <col min="7" max="16384" width="11.42578125" style="119"/>
  </cols>
  <sheetData>
    <row r="1" spans="1:6" ht="27" thickBot="1" x14ac:dyDescent="0.4">
      <c r="D1" s="122"/>
      <c r="E1" s="123"/>
    </row>
    <row r="2" spans="1:6" ht="40.5" customHeight="1" thickBot="1" x14ac:dyDescent="0.3">
      <c r="A2" s="124"/>
      <c r="B2" s="297" t="s">
        <v>90</v>
      </c>
      <c r="C2" s="298"/>
      <c r="D2" s="298"/>
      <c r="E2" s="299"/>
      <c r="F2" s="303" t="s">
        <v>481</v>
      </c>
    </row>
    <row r="3" spans="1:6" s="128" customFormat="1" ht="40.5" customHeight="1" thickBot="1" x14ac:dyDescent="0.4">
      <c r="A3" s="125"/>
      <c r="B3" s="300" t="s">
        <v>91</v>
      </c>
      <c r="C3" s="126" t="s">
        <v>92</v>
      </c>
      <c r="D3" s="127" t="s">
        <v>93</v>
      </c>
      <c r="E3" s="257" t="s">
        <v>94</v>
      </c>
      <c r="F3" s="304"/>
    </row>
    <row r="4" spans="1:6" s="128" customFormat="1" ht="263.25" thickBot="1" x14ac:dyDescent="0.4">
      <c r="A4" s="125"/>
      <c r="B4" s="301"/>
      <c r="C4" s="129" t="s">
        <v>95</v>
      </c>
      <c r="D4" s="252" t="s">
        <v>457</v>
      </c>
      <c r="E4" s="252" t="s">
        <v>458</v>
      </c>
      <c r="F4" s="253" t="s">
        <v>459</v>
      </c>
    </row>
    <row r="5" spans="1:6" s="128" customFormat="1" ht="185.25" thickBot="1" x14ac:dyDescent="0.4">
      <c r="A5" s="125"/>
      <c r="B5" s="301"/>
      <c r="C5" s="130" t="s">
        <v>96</v>
      </c>
      <c r="D5" s="252" t="s">
        <v>460</v>
      </c>
      <c r="E5" s="252" t="s">
        <v>461</v>
      </c>
      <c r="F5" s="254" t="s">
        <v>462</v>
      </c>
    </row>
    <row r="6" spans="1:6" s="128" customFormat="1" ht="312" customHeight="1" thickBot="1" x14ac:dyDescent="0.4">
      <c r="A6" s="125"/>
      <c r="B6" s="301"/>
      <c r="C6" s="131" t="s">
        <v>97</v>
      </c>
      <c r="D6" s="252" t="s">
        <v>463</v>
      </c>
      <c r="E6" s="252" t="s">
        <v>464</v>
      </c>
      <c r="F6" s="254" t="s">
        <v>465</v>
      </c>
    </row>
    <row r="7" spans="1:6" s="128" customFormat="1" ht="237" thickBot="1" x14ac:dyDescent="0.4">
      <c r="A7" s="125"/>
      <c r="B7" s="301"/>
      <c r="C7" s="132" t="s">
        <v>98</v>
      </c>
      <c r="D7" s="252" t="s">
        <v>466</v>
      </c>
      <c r="E7" s="252" t="s">
        <v>467</v>
      </c>
      <c r="F7" s="253" t="s">
        <v>468</v>
      </c>
    </row>
    <row r="8" spans="1:6" s="128" customFormat="1" ht="409.6" thickBot="1" x14ac:dyDescent="0.4">
      <c r="A8" s="125"/>
      <c r="B8" s="301"/>
      <c r="C8" s="133" t="s">
        <v>99</v>
      </c>
      <c r="D8" s="252" t="s">
        <v>469</v>
      </c>
      <c r="E8" s="252" t="s">
        <v>470</v>
      </c>
      <c r="F8" s="253" t="s">
        <v>471</v>
      </c>
    </row>
    <row r="9" spans="1:6" s="128" customFormat="1" ht="163.5" thickBot="1" x14ac:dyDescent="0.4">
      <c r="A9" s="125"/>
      <c r="B9" s="301"/>
      <c r="C9" s="132" t="s">
        <v>100</v>
      </c>
      <c r="D9" s="252" t="s">
        <v>472</v>
      </c>
      <c r="E9" s="252" t="s">
        <v>473</v>
      </c>
      <c r="F9" s="255" t="s">
        <v>474</v>
      </c>
    </row>
    <row r="10" spans="1:6" s="136" customFormat="1" ht="147" thickBot="1" x14ac:dyDescent="0.4">
      <c r="A10" s="134"/>
      <c r="B10" s="301"/>
      <c r="C10" s="135" t="s">
        <v>101</v>
      </c>
      <c r="D10" s="252" t="s">
        <v>475</v>
      </c>
      <c r="E10" s="252" t="s">
        <v>476</v>
      </c>
      <c r="F10" s="255" t="s">
        <v>477</v>
      </c>
    </row>
    <row r="11" spans="1:6" s="136" customFormat="1" ht="132" thickBot="1" x14ac:dyDescent="0.4">
      <c r="A11" s="134"/>
      <c r="B11" s="302"/>
      <c r="C11" s="137"/>
      <c r="D11" s="256" t="s">
        <v>478</v>
      </c>
      <c r="E11" s="256" t="s">
        <v>479</v>
      </c>
      <c r="F11" s="255" t="s">
        <v>480</v>
      </c>
    </row>
    <row r="12" spans="1:6" ht="27" x14ac:dyDescent="0.35">
      <c r="D12" s="138"/>
      <c r="E12" s="139"/>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H71"/>
  <sheetViews>
    <sheetView topLeftCell="A21" workbookViewId="0">
      <selection activeCell="B35" sqref="B35"/>
    </sheetView>
  </sheetViews>
  <sheetFormatPr baseColWidth="10" defaultColWidth="11.42578125" defaultRowHeight="15" x14ac:dyDescent="0.25"/>
  <cols>
    <col min="2" max="2" width="22.85546875" customWidth="1"/>
    <col min="6" max="6" width="17.140625" customWidth="1"/>
    <col min="7" max="7" width="29.28515625" customWidth="1"/>
  </cols>
  <sheetData>
    <row r="2" spans="1:8" x14ac:dyDescent="0.25">
      <c r="B2" t="s">
        <v>102</v>
      </c>
      <c r="E2" t="s">
        <v>103</v>
      </c>
    </row>
    <row r="3" spans="1:8" x14ac:dyDescent="0.25">
      <c r="B3" t="s">
        <v>104</v>
      </c>
      <c r="E3" t="s">
        <v>105</v>
      </c>
    </row>
    <row r="4" spans="1:8" x14ac:dyDescent="0.25">
      <c r="B4" t="s">
        <v>106</v>
      </c>
      <c r="E4" t="s">
        <v>107</v>
      </c>
    </row>
    <row r="5" spans="1:8" x14ac:dyDescent="0.25">
      <c r="B5" t="s">
        <v>108</v>
      </c>
    </row>
    <row r="7" spans="1:8" x14ac:dyDescent="0.25">
      <c r="F7" t="s">
        <v>109</v>
      </c>
      <c r="H7" t="s">
        <v>110</v>
      </c>
    </row>
    <row r="8" spans="1:8" x14ac:dyDescent="0.25">
      <c r="B8" t="s">
        <v>111</v>
      </c>
      <c r="F8" t="s">
        <v>112</v>
      </c>
      <c r="H8" t="s">
        <v>113</v>
      </c>
    </row>
    <row r="9" spans="1:8" x14ac:dyDescent="0.25">
      <c r="B9" t="s">
        <v>114</v>
      </c>
      <c r="F9" t="s">
        <v>115</v>
      </c>
      <c r="H9" t="s">
        <v>116</v>
      </c>
    </row>
    <row r="10" spans="1:8" ht="15.75" thickBot="1" x14ac:dyDescent="0.3">
      <c r="B10" t="s">
        <v>117</v>
      </c>
      <c r="H10" t="s">
        <v>118</v>
      </c>
    </row>
    <row r="11" spans="1:8" ht="15.75" thickBot="1" x14ac:dyDescent="0.3">
      <c r="A11" s="222" t="s">
        <v>23</v>
      </c>
      <c r="B11" s="223"/>
      <c r="C11" s="224"/>
      <c r="D11" s="225"/>
      <c r="H11" t="s">
        <v>119</v>
      </c>
    </row>
    <row r="12" spans="1:8" x14ac:dyDescent="0.25">
      <c r="A12" s="211" t="s">
        <v>120</v>
      </c>
      <c r="B12" s="212" t="s">
        <v>121</v>
      </c>
      <c r="D12" s="213"/>
      <c r="H12" t="s">
        <v>122</v>
      </c>
    </row>
    <row r="13" spans="1:8" x14ac:dyDescent="0.25">
      <c r="A13" s="211"/>
      <c r="B13" s="212" t="s">
        <v>123</v>
      </c>
      <c r="D13" s="213"/>
      <c r="H13" t="s">
        <v>124</v>
      </c>
    </row>
    <row r="14" spans="1:8" x14ac:dyDescent="0.25">
      <c r="A14" s="211"/>
      <c r="B14" s="212" t="s">
        <v>125</v>
      </c>
      <c r="D14" s="213"/>
      <c r="H14" t="s">
        <v>126</v>
      </c>
    </row>
    <row r="15" spans="1:8" x14ac:dyDescent="0.25">
      <c r="A15" s="211"/>
      <c r="B15" s="212" t="s">
        <v>127</v>
      </c>
      <c r="D15" s="213"/>
      <c r="H15" t="s">
        <v>128</v>
      </c>
    </row>
    <row r="16" spans="1:8" x14ac:dyDescent="0.25">
      <c r="A16" s="211"/>
      <c r="B16" s="212" t="s">
        <v>129</v>
      </c>
      <c r="D16" s="213"/>
      <c r="H16" t="s">
        <v>130</v>
      </c>
    </row>
    <row r="17" spans="1:8" x14ac:dyDescent="0.25">
      <c r="A17" s="214" t="s">
        <v>131</v>
      </c>
      <c r="B17" s="215" t="s">
        <v>132</v>
      </c>
      <c r="D17" s="213"/>
      <c r="H17" t="s">
        <v>133</v>
      </c>
    </row>
    <row r="18" spans="1:8" x14ac:dyDescent="0.25">
      <c r="A18" s="214"/>
      <c r="B18" s="215" t="s">
        <v>134</v>
      </c>
      <c r="D18" s="213"/>
      <c r="H18" t="s">
        <v>122</v>
      </c>
    </row>
    <row r="19" spans="1:8" x14ac:dyDescent="0.25">
      <c r="A19" s="214"/>
      <c r="B19" s="215" t="s">
        <v>135</v>
      </c>
      <c r="D19" s="213"/>
    </row>
    <row r="20" spans="1:8" x14ac:dyDescent="0.25">
      <c r="A20" s="216" t="s">
        <v>136</v>
      </c>
      <c r="B20" s="217" t="s">
        <v>137</v>
      </c>
      <c r="D20" s="213"/>
    </row>
    <row r="21" spans="1:8" x14ac:dyDescent="0.25">
      <c r="A21" s="216"/>
      <c r="B21" s="217" t="s">
        <v>138</v>
      </c>
      <c r="D21" s="213"/>
    </row>
    <row r="22" spans="1:8" ht="15.75" thickBot="1" x14ac:dyDescent="0.3">
      <c r="A22" s="218"/>
      <c r="B22" s="219" t="s">
        <v>139</v>
      </c>
      <c r="C22" s="220"/>
      <c r="D22" s="221"/>
    </row>
    <row r="25" spans="1:8" x14ac:dyDescent="0.25">
      <c r="B25" t="s">
        <v>140</v>
      </c>
    </row>
    <row r="26" spans="1:8" x14ac:dyDescent="0.25">
      <c r="B26" t="s">
        <v>141</v>
      </c>
    </row>
    <row r="27" spans="1:8" ht="15.75" thickBot="1" x14ac:dyDescent="0.3">
      <c r="B27" t="s">
        <v>142</v>
      </c>
    </row>
    <row r="28" spans="1:8" ht="15.75" thickBot="1" x14ac:dyDescent="0.3">
      <c r="B28" t="s">
        <v>143</v>
      </c>
      <c r="F28" s="153" t="s">
        <v>144</v>
      </c>
      <c r="G28" s="154" t="s">
        <v>145</v>
      </c>
    </row>
    <row r="29" spans="1:8" ht="15.75" thickBot="1" x14ac:dyDescent="0.3">
      <c r="B29" t="s">
        <v>146</v>
      </c>
      <c r="F29" s="308" t="s">
        <v>143</v>
      </c>
      <c r="G29" s="155" t="s">
        <v>147</v>
      </c>
    </row>
    <row r="30" spans="1:8" ht="15.75" thickBot="1" x14ac:dyDescent="0.3">
      <c r="B30" t="s">
        <v>148</v>
      </c>
      <c r="F30" s="306"/>
      <c r="G30" s="155" t="s">
        <v>149</v>
      </c>
    </row>
    <row r="31" spans="1:8" ht="15.75" thickBot="1" x14ac:dyDescent="0.3">
      <c r="B31" t="s">
        <v>150</v>
      </c>
      <c r="F31" s="306"/>
      <c r="G31" s="155" t="s">
        <v>151</v>
      </c>
    </row>
    <row r="32" spans="1:8" ht="15.75" thickBot="1" x14ac:dyDescent="0.3">
      <c r="B32" t="s">
        <v>152</v>
      </c>
      <c r="F32" s="306"/>
      <c r="G32" s="155" t="s">
        <v>153</v>
      </c>
    </row>
    <row r="33" spans="6:7" ht="15.75" thickBot="1" x14ac:dyDescent="0.3">
      <c r="F33" s="306"/>
      <c r="G33" s="155" t="s">
        <v>154</v>
      </c>
    </row>
    <row r="34" spans="6:7" ht="15.75" thickBot="1" x14ac:dyDescent="0.3">
      <c r="F34" s="307"/>
      <c r="G34" s="155" t="s">
        <v>155</v>
      </c>
    </row>
    <row r="35" spans="6:7" ht="15.75" thickBot="1" x14ac:dyDescent="0.3">
      <c r="F35" s="305" t="s">
        <v>152</v>
      </c>
      <c r="G35" s="155" t="s">
        <v>156</v>
      </c>
    </row>
    <row r="36" spans="6:7" ht="15.75" thickBot="1" x14ac:dyDescent="0.3">
      <c r="F36" s="306"/>
      <c r="G36" s="155" t="s">
        <v>157</v>
      </c>
    </row>
    <row r="37" spans="6:7" ht="15.75" thickBot="1" x14ac:dyDescent="0.3">
      <c r="F37" s="306"/>
      <c r="G37" s="155" t="s">
        <v>158</v>
      </c>
    </row>
    <row r="38" spans="6:7" ht="21.75" customHeight="1" thickBot="1" x14ac:dyDescent="0.3">
      <c r="F38" s="306"/>
      <c r="G38" s="155" t="s">
        <v>159</v>
      </c>
    </row>
    <row r="39" spans="6:7" ht="15.75" thickBot="1" x14ac:dyDescent="0.3">
      <c r="F39" s="307"/>
      <c r="G39" s="155" t="s">
        <v>160</v>
      </c>
    </row>
    <row r="40" spans="6:7" ht="45.75" customHeight="1" thickBot="1" x14ac:dyDescent="0.3">
      <c r="F40" s="305" t="s">
        <v>148</v>
      </c>
      <c r="G40" s="155" t="s">
        <v>161</v>
      </c>
    </row>
    <row r="41" spans="6:7" ht="15.75" thickBot="1" x14ac:dyDescent="0.3">
      <c r="F41" s="306"/>
      <c r="G41" s="155" t="s">
        <v>162</v>
      </c>
    </row>
    <row r="42" spans="6:7" ht="30" customHeight="1" thickBot="1" x14ac:dyDescent="0.3">
      <c r="F42" s="307"/>
      <c r="G42" s="155" t="s">
        <v>163</v>
      </c>
    </row>
    <row r="43" spans="6:7" ht="15.75" thickBot="1" x14ac:dyDescent="0.3">
      <c r="F43" s="305" t="s">
        <v>150</v>
      </c>
      <c r="G43" s="155" t="s">
        <v>164</v>
      </c>
    </row>
    <row r="44" spans="6:7" ht="15.75" thickBot="1" x14ac:dyDescent="0.3">
      <c r="F44" s="306"/>
      <c r="G44" s="155" t="s">
        <v>165</v>
      </c>
    </row>
    <row r="45" spans="6:7" ht="15.75" thickBot="1" x14ac:dyDescent="0.3">
      <c r="F45" s="307"/>
      <c r="G45" s="155" t="s">
        <v>166</v>
      </c>
    </row>
    <row r="46" spans="6:7" ht="24.75" thickBot="1" x14ac:dyDescent="0.3">
      <c r="F46" s="305" t="s">
        <v>141</v>
      </c>
      <c r="G46" s="155" t="s">
        <v>167</v>
      </c>
    </row>
    <row r="47" spans="6:7" ht="15.75" thickBot="1" x14ac:dyDescent="0.3">
      <c r="F47" s="306"/>
      <c r="G47" s="155" t="s">
        <v>168</v>
      </c>
    </row>
    <row r="48" spans="6:7" ht="15.75" thickBot="1" x14ac:dyDescent="0.3">
      <c r="F48" s="306"/>
      <c r="G48" s="155" t="s">
        <v>169</v>
      </c>
    </row>
    <row r="49" spans="6:7" ht="15.75" thickBot="1" x14ac:dyDescent="0.3">
      <c r="F49" s="306"/>
      <c r="G49" s="155" t="s">
        <v>170</v>
      </c>
    </row>
    <row r="50" spans="6:7" ht="15.75" thickBot="1" x14ac:dyDescent="0.3">
      <c r="F50" s="306"/>
      <c r="G50" s="155" t="s">
        <v>171</v>
      </c>
    </row>
    <row r="51" spans="6:7" ht="24.75" thickBot="1" x14ac:dyDescent="0.3">
      <c r="F51" s="306"/>
      <c r="G51" s="155" t="s">
        <v>172</v>
      </c>
    </row>
    <row r="52" spans="6:7" ht="15.75" thickBot="1" x14ac:dyDescent="0.3">
      <c r="F52" s="306"/>
      <c r="G52" s="155" t="s">
        <v>173</v>
      </c>
    </row>
    <row r="53" spans="6:7" ht="24.75" thickBot="1" x14ac:dyDescent="0.3">
      <c r="F53" s="306"/>
      <c r="G53" s="155" t="s">
        <v>174</v>
      </c>
    </row>
    <row r="54" spans="6:7" ht="15.75" thickBot="1" x14ac:dyDescent="0.3">
      <c r="F54" s="306"/>
      <c r="G54" s="155" t="s">
        <v>175</v>
      </c>
    </row>
    <row r="55" spans="6:7" ht="15.75" thickBot="1" x14ac:dyDescent="0.3">
      <c r="F55" s="306"/>
      <c r="G55" s="155" t="s">
        <v>176</v>
      </c>
    </row>
    <row r="56" spans="6:7" ht="15.75" thickBot="1" x14ac:dyDescent="0.3">
      <c r="F56" s="307"/>
      <c r="G56" s="155" t="s">
        <v>177</v>
      </c>
    </row>
    <row r="57" spans="6:7" ht="15.75" thickBot="1" x14ac:dyDescent="0.3">
      <c r="F57" s="305" t="s">
        <v>146</v>
      </c>
      <c r="G57" s="155" t="s">
        <v>178</v>
      </c>
    </row>
    <row r="58" spans="6:7" ht="15.75" thickBot="1" x14ac:dyDescent="0.3">
      <c r="F58" s="306"/>
      <c r="G58" s="155" t="s">
        <v>179</v>
      </c>
    </row>
    <row r="59" spans="6:7" ht="24.75" thickBot="1" x14ac:dyDescent="0.3">
      <c r="F59" s="306"/>
      <c r="G59" s="155" t="s">
        <v>180</v>
      </c>
    </row>
    <row r="60" spans="6:7" ht="15.75" thickBot="1" x14ac:dyDescent="0.3">
      <c r="F60" s="306"/>
      <c r="G60" s="155" t="s">
        <v>181</v>
      </c>
    </row>
    <row r="61" spans="6:7" ht="36.75" thickBot="1" x14ac:dyDescent="0.3">
      <c r="F61" s="307"/>
      <c r="G61" s="155" t="s">
        <v>182</v>
      </c>
    </row>
    <row r="62" spans="6:7" ht="15.75" thickBot="1" x14ac:dyDescent="0.3">
      <c r="F62" s="305" t="s">
        <v>140</v>
      </c>
      <c r="G62" s="155" t="s">
        <v>183</v>
      </c>
    </row>
    <row r="63" spans="6:7" ht="15.75" thickBot="1" x14ac:dyDescent="0.3">
      <c r="F63" s="306"/>
      <c r="G63" s="155" t="s">
        <v>184</v>
      </c>
    </row>
    <row r="64" spans="6:7" ht="15.75" thickBot="1" x14ac:dyDescent="0.3">
      <c r="F64" s="306"/>
      <c r="G64" s="155" t="s">
        <v>185</v>
      </c>
    </row>
    <row r="65" spans="6:7" ht="15.75" thickBot="1" x14ac:dyDescent="0.3">
      <c r="F65" s="306"/>
      <c r="G65" s="155" t="s">
        <v>186</v>
      </c>
    </row>
    <row r="66" spans="6:7" ht="15.75" thickBot="1" x14ac:dyDescent="0.3">
      <c r="F66" s="307"/>
      <c r="G66" s="155" t="s">
        <v>187</v>
      </c>
    </row>
    <row r="67" spans="6:7" ht="15.75" thickBot="1" x14ac:dyDescent="0.3">
      <c r="F67" s="305" t="s">
        <v>142</v>
      </c>
      <c r="G67" s="155" t="s">
        <v>188</v>
      </c>
    </row>
    <row r="68" spans="6:7" ht="15.75" thickBot="1" x14ac:dyDescent="0.3">
      <c r="F68" s="306"/>
      <c r="G68" s="155" t="s">
        <v>189</v>
      </c>
    </row>
    <row r="69" spans="6:7" ht="15.75" thickBot="1" x14ac:dyDescent="0.3">
      <c r="F69" s="306"/>
      <c r="G69" s="155" t="s">
        <v>190</v>
      </c>
    </row>
    <row r="70" spans="6:7" ht="15.75" thickBot="1" x14ac:dyDescent="0.3">
      <c r="F70" s="306"/>
      <c r="G70" s="155" t="s">
        <v>191</v>
      </c>
    </row>
    <row r="71" spans="6:7" ht="24.75" thickBot="1" x14ac:dyDescent="0.3">
      <c r="F71" s="307"/>
      <c r="G71" s="155" t="s">
        <v>192</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L76"/>
  <sheetViews>
    <sheetView topLeftCell="AM10" zoomScale="85" zoomScaleNormal="85" zoomScaleSheetLayoutView="50" zoomScalePageLayoutView="60" workbookViewId="0">
      <selection activeCell="AR13" sqref="AR13:AR14"/>
    </sheetView>
  </sheetViews>
  <sheetFormatPr baseColWidth="10" defaultColWidth="11.42578125" defaultRowHeight="15" x14ac:dyDescent="0.2"/>
  <cols>
    <col min="1" max="1" width="6.5703125" style="204" customWidth="1"/>
    <col min="2" max="2" width="16" style="204" customWidth="1"/>
    <col min="3" max="3" width="33.42578125" style="204" customWidth="1"/>
    <col min="4" max="4" width="25.28515625" style="204" customWidth="1"/>
    <col min="5" max="5" width="51.140625" style="204" customWidth="1"/>
    <col min="6" max="6" width="21" style="184" customWidth="1"/>
    <col min="7" max="7" width="17.7109375" style="184" customWidth="1"/>
    <col min="8" max="8" width="24.28515625" style="184" customWidth="1"/>
    <col min="9" max="10" width="29.42578125" style="184" customWidth="1"/>
    <col min="11" max="11" width="24.28515625" style="184" customWidth="1"/>
    <col min="12" max="12" width="19.42578125" style="184" customWidth="1"/>
    <col min="13" max="13" width="20.5703125" style="184" customWidth="1"/>
    <col min="14" max="14" width="16.7109375" style="205" customWidth="1"/>
    <col min="15" max="15" width="16.7109375" style="184" customWidth="1"/>
    <col min="16" max="16" width="20.42578125" style="184" hidden="1" customWidth="1"/>
    <col min="17" max="17" width="32.5703125" style="184" customWidth="1"/>
    <col min="18" max="18" width="35.85546875" style="184" hidden="1" customWidth="1"/>
    <col min="19" max="19" width="19" style="184" customWidth="1"/>
    <col min="20" max="20" width="17.5703125" style="184" hidden="1" customWidth="1"/>
    <col min="21" max="21" width="15" style="184" customWidth="1"/>
    <col min="22" max="22" width="16" style="184" customWidth="1"/>
    <col min="23" max="23" width="73.140625" style="184" customWidth="1"/>
    <col min="24" max="24" width="26.85546875" style="184" customWidth="1"/>
    <col min="25" max="25" width="5.85546875" style="184" customWidth="1"/>
    <col min="26" max="26" width="6.85546875" style="184" customWidth="1"/>
    <col min="27" max="27" width="5" style="184" hidden="1" customWidth="1"/>
    <col min="28" max="28" width="5.5703125" style="184" customWidth="1"/>
    <col min="29" max="29" width="7.140625" style="184" customWidth="1"/>
    <col min="30" max="30" width="6.7109375" style="184" customWidth="1"/>
    <col min="31" max="31" width="7.5703125" style="184" hidden="1" customWidth="1"/>
    <col min="32" max="32" width="8.5703125" style="184" customWidth="1"/>
    <col min="33" max="37" width="10.85546875" style="184" customWidth="1"/>
    <col min="38" max="38" width="24.5703125" style="203" customWidth="1"/>
    <col min="39" max="39" width="23" style="184" customWidth="1"/>
    <col min="40" max="40" width="18.85546875" style="184" customWidth="1"/>
    <col min="41" max="41" width="23.7109375" style="184" customWidth="1"/>
    <col min="42" max="42" width="22.42578125" style="184" customWidth="1"/>
    <col min="43" max="43" width="16.42578125" style="184" customWidth="1"/>
    <col min="44" max="44" width="20.5703125" style="184" customWidth="1"/>
    <col min="45" max="16384" width="11.42578125" style="184"/>
  </cols>
  <sheetData>
    <row r="1" spans="1:272" s="187" customFormat="1" ht="20.25" x14ac:dyDescent="0.3">
      <c r="A1" s="350"/>
      <c r="B1" s="351"/>
      <c r="C1" s="352"/>
      <c r="D1" s="362" t="s">
        <v>193</v>
      </c>
      <c r="E1" s="363"/>
      <c r="F1" s="363"/>
      <c r="G1" s="363"/>
      <c r="H1" s="363"/>
      <c r="I1" s="363"/>
      <c r="J1" s="363"/>
      <c r="K1" s="363"/>
      <c r="L1" s="363"/>
      <c r="M1" s="363"/>
      <c r="N1" s="363"/>
      <c r="O1" s="363"/>
      <c r="P1" s="363"/>
      <c r="Q1" s="363"/>
      <c r="R1" s="363"/>
      <c r="S1" s="363"/>
      <c r="T1" s="364"/>
      <c r="U1" s="238"/>
      <c r="V1" s="238"/>
      <c r="W1" s="238"/>
      <c r="X1" s="337"/>
      <c r="Y1" s="337"/>
      <c r="Z1" s="337"/>
      <c r="AA1" s="337"/>
      <c r="AB1" s="337"/>
      <c r="AC1" s="337"/>
      <c r="AD1" s="337"/>
      <c r="AE1" s="337"/>
      <c r="AF1" s="337"/>
      <c r="AG1" s="337"/>
      <c r="AH1" s="337"/>
      <c r="AI1" s="337"/>
      <c r="AJ1" s="337"/>
      <c r="AK1" s="337"/>
      <c r="AL1" s="337"/>
      <c r="AM1" s="337"/>
      <c r="AN1" s="337"/>
      <c r="AO1" s="337"/>
      <c r="AP1" s="337"/>
      <c r="AQ1" s="337"/>
      <c r="AR1" s="337"/>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row>
    <row r="2" spans="1:272" s="187" customFormat="1" ht="21" thickBot="1" x14ac:dyDescent="0.35">
      <c r="A2" s="353"/>
      <c r="B2" s="354"/>
      <c r="C2" s="355"/>
      <c r="D2" s="365"/>
      <c r="E2" s="366"/>
      <c r="F2" s="366"/>
      <c r="G2" s="366"/>
      <c r="H2" s="366"/>
      <c r="I2" s="366"/>
      <c r="J2" s="366"/>
      <c r="K2" s="366"/>
      <c r="L2" s="366"/>
      <c r="M2" s="366"/>
      <c r="N2" s="366"/>
      <c r="O2" s="366"/>
      <c r="P2" s="366"/>
      <c r="Q2" s="366"/>
      <c r="R2" s="366"/>
      <c r="S2" s="366"/>
      <c r="T2" s="367"/>
      <c r="U2" s="238"/>
      <c r="V2" s="238"/>
      <c r="W2" s="238"/>
      <c r="X2" s="337"/>
      <c r="Y2" s="337"/>
      <c r="Z2" s="337"/>
      <c r="AA2" s="337"/>
      <c r="AB2" s="337"/>
      <c r="AC2" s="337"/>
      <c r="AD2" s="337"/>
      <c r="AE2" s="337"/>
      <c r="AF2" s="337"/>
      <c r="AG2" s="337"/>
      <c r="AH2" s="337"/>
      <c r="AI2" s="337"/>
      <c r="AJ2" s="337"/>
      <c r="AK2" s="337"/>
      <c r="AL2" s="337"/>
      <c r="AM2" s="337"/>
      <c r="AN2" s="337"/>
      <c r="AO2" s="337"/>
      <c r="AP2" s="337"/>
      <c r="AQ2" s="337"/>
      <c r="AR2" s="337"/>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row>
    <row r="3" spans="1:272" s="187" customFormat="1" ht="27.75" customHeight="1" thickBot="1" x14ac:dyDescent="0.35">
      <c r="A3" s="353"/>
      <c r="B3" s="354"/>
      <c r="C3" s="355"/>
      <c r="D3" s="368" t="s">
        <v>194</v>
      </c>
      <c r="E3" s="369"/>
      <c r="F3" s="369"/>
      <c r="G3" s="369"/>
      <c r="H3" s="369"/>
      <c r="I3" s="370"/>
      <c r="J3" s="368" t="s">
        <v>195</v>
      </c>
      <c r="K3" s="369"/>
      <c r="L3" s="369"/>
      <c r="M3" s="369"/>
      <c r="N3" s="369"/>
      <c r="O3" s="369"/>
      <c r="P3" s="369"/>
      <c r="Q3" s="369"/>
      <c r="R3" s="369"/>
      <c r="S3" s="369"/>
      <c r="T3" s="370"/>
      <c r="U3" s="239"/>
      <c r="V3" s="239"/>
      <c r="W3" s="238"/>
      <c r="X3" s="338"/>
      <c r="Y3" s="338"/>
      <c r="Z3" s="338"/>
      <c r="AA3" s="338"/>
      <c r="AB3" s="338"/>
      <c r="AC3" s="338"/>
      <c r="AD3" s="338"/>
      <c r="AE3" s="338"/>
      <c r="AF3" s="338"/>
      <c r="AG3" s="338"/>
      <c r="AH3" s="338"/>
      <c r="AI3" s="338"/>
      <c r="AJ3" s="338"/>
      <c r="AK3" s="338"/>
      <c r="AL3" s="338"/>
      <c r="AM3" s="338"/>
      <c r="AN3" s="338"/>
      <c r="AO3" s="338"/>
      <c r="AP3" s="338"/>
      <c r="AQ3" s="338"/>
      <c r="AR3" s="338"/>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row>
    <row r="4" spans="1:272" s="187" customFormat="1" ht="27.75" customHeight="1" thickBot="1" x14ac:dyDescent="0.35">
      <c r="A4" s="356"/>
      <c r="B4" s="357"/>
      <c r="C4" s="358"/>
      <c r="D4" s="368" t="s">
        <v>407</v>
      </c>
      <c r="E4" s="369"/>
      <c r="F4" s="369"/>
      <c r="G4" s="369"/>
      <c r="H4" s="369"/>
      <c r="I4" s="369"/>
      <c r="J4" s="369"/>
      <c r="K4" s="369"/>
      <c r="L4" s="369"/>
      <c r="M4" s="369"/>
      <c r="N4" s="369"/>
      <c r="O4" s="369"/>
      <c r="P4" s="369"/>
      <c r="Q4" s="369"/>
      <c r="R4" s="369"/>
      <c r="S4" s="369"/>
      <c r="T4" s="370"/>
      <c r="U4" s="238"/>
      <c r="V4" s="238"/>
      <c r="W4" s="238"/>
      <c r="X4" s="338"/>
      <c r="Y4" s="338"/>
      <c r="Z4" s="338"/>
      <c r="AA4" s="338"/>
      <c r="AB4" s="338"/>
      <c r="AC4" s="338"/>
      <c r="AD4" s="338"/>
      <c r="AE4" s="338"/>
      <c r="AF4" s="338"/>
      <c r="AG4" s="338"/>
      <c r="AH4" s="338"/>
      <c r="AI4" s="338"/>
      <c r="AJ4" s="338"/>
      <c r="AK4" s="338"/>
      <c r="AL4" s="338"/>
      <c r="AM4" s="338"/>
      <c r="AN4" s="338"/>
      <c r="AO4" s="338"/>
      <c r="AP4" s="338"/>
      <c r="AQ4" s="338"/>
      <c r="AR4" s="338"/>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row>
    <row r="5" spans="1:272" ht="15.75" thickBot="1" x14ac:dyDescent="0.25">
      <c r="A5" s="188"/>
      <c r="B5" s="189"/>
      <c r="C5" s="188"/>
      <c r="D5" s="188"/>
      <c r="E5" s="188"/>
      <c r="F5" s="190"/>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24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row>
    <row r="6" spans="1:272" ht="27" customHeight="1" thickBot="1" x14ac:dyDescent="0.25">
      <c r="A6" s="371" t="s">
        <v>196</v>
      </c>
      <c r="B6" s="372"/>
      <c r="C6" s="340"/>
      <c r="D6" s="341"/>
      <c r="E6" s="341"/>
      <c r="F6" s="341"/>
      <c r="G6" s="341"/>
      <c r="H6" s="341"/>
      <c r="I6" s="341"/>
      <c r="J6" s="341"/>
      <c r="K6" s="341"/>
      <c r="L6" s="341"/>
      <c r="M6" s="341"/>
      <c r="N6" s="341"/>
      <c r="O6" s="341"/>
      <c r="P6" s="341"/>
      <c r="Q6" s="341"/>
      <c r="R6" s="341"/>
      <c r="S6" s="341"/>
      <c r="T6" s="342"/>
      <c r="U6" s="241"/>
      <c r="V6" s="241"/>
      <c r="W6" s="339"/>
      <c r="X6" s="339"/>
      <c r="Y6" s="339"/>
      <c r="Z6" s="377"/>
      <c r="AA6" s="377"/>
      <c r="AB6" s="377"/>
      <c r="AC6" s="377"/>
      <c r="AD6" s="377"/>
      <c r="AE6" s="377"/>
      <c r="AF6" s="377"/>
      <c r="AG6" s="377"/>
      <c r="AH6" s="377"/>
      <c r="AI6" s="377"/>
      <c r="AJ6" s="377"/>
      <c r="AK6" s="377"/>
      <c r="AL6" s="377"/>
      <c r="AM6" s="377"/>
      <c r="AN6" s="377"/>
      <c r="AO6" s="377"/>
      <c r="AP6" s="377"/>
      <c r="AQ6" s="377"/>
      <c r="AR6" s="377"/>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row>
    <row r="7" spans="1:272" ht="27" customHeight="1" thickBot="1" x14ac:dyDescent="0.3">
      <c r="A7" s="373" t="s">
        <v>197</v>
      </c>
      <c r="B7" s="374"/>
      <c r="C7" s="343"/>
      <c r="D7" s="344"/>
      <c r="E7" s="344"/>
      <c r="F7" s="344"/>
      <c r="G7" s="344"/>
      <c r="H7" s="344"/>
      <c r="I7" s="344"/>
      <c r="J7" s="344"/>
      <c r="K7" s="344"/>
      <c r="L7" s="344"/>
      <c r="M7" s="344"/>
      <c r="N7" s="344"/>
      <c r="O7" s="344"/>
      <c r="P7" s="344"/>
      <c r="Q7" s="344"/>
      <c r="R7" s="344"/>
      <c r="S7" s="344"/>
      <c r="T7" s="345"/>
      <c r="U7" s="242"/>
      <c r="V7" s="242"/>
      <c r="W7" s="243"/>
      <c r="X7" s="243"/>
      <c r="Y7" s="243"/>
      <c r="Z7" s="377"/>
      <c r="AA7" s="377"/>
      <c r="AB7" s="377"/>
      <c r="AC7" s="377"/>
      <c r="AD7" s="377"/>
      <c r="AE7" s="377"/>
      <c r="AF7" s="377"/>
      <c r="AG7" s="377"/>
      <c r="AH7" s="377"/>
      <c r="AI7" s="377"/>
      <c r="AJ7" s="377"/>
      <c r="AK7" s="377"/>
      <c r="AL7" s="377"/>
      <c r="AM7" s="377"/>
      <c r="AN7" s="377"/>
      <c r="AO7" s="377"/>
      <c r="AP7" s="377"/>
      <c r="AQ7" s="377"/>
      <c r="AR7" s="377"/>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row>
    <row r="8" spans="1:272" ht="27" customHeight="1" thickBot="1" x14ac:dyDescent="0.3">
      <c r="A8" s="375" t="s">
        <v>198</v>
      </c>
      <c r="B8" s="376"/>
      <c r="C8" s="343"/>
      <c r="D8" s="344"/>
      <c r="E8" s="344"/>
      <c r="F8" s="344"/>
      <c r="G8" s="344"/>
      <c r="H8" s="344"/>
      <c r="I8" s="344"/>
      <c r="J8" s="344"/>
      <c r="K8" s="344"/>
      <c r="L8" s="344"/>
      <c r="M8" s="344"/>
      <c r="N8" s="344"/>
      <c r="O8" s="344"/>
      <c r="P8" s="344"/>
      <c r="Q8" s="344"/>
      <c r="R8" s="344"/>
      <c r="S8" s="344"/>
      <c r="T8" s="345"/>
      <c r="U8" s="242"/>
      <c r="V8" s="242"/>
      <c r="W8" s="243"/>
      <c r="X8" s="243"/>
      <c r="Y8" s="243"/>
      <c r="Z8" s="377"/>
      <c r="AA8" s="377"/>
      <c r="AB8" s="377"/>
      <c r="AC8" s="377"/>
      <c r="AD8" s="377"/>
      <c r="AE8" s="377"/>
      <c r="AF8" s="377"/>
      <c r="AG8" s="377"/>
      <c r="AH8" s="377"/>
      <c r="AI8" s="377"/>
      <c r="AJ8" s="377"/>
      <c r="AK8" s="377"/>
      <c r="AL8" s="377"/>
      <c r="AM8" s="377"/>
      <c r="AN8" s="377"/>
      <c r="AO8" s="377"/>
      <c r="AP8" s="377"/>
      <c r="AQ8" s="377"/>
      <c r="AR8" s="377"/>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row>
    <row r="9" spans="1:272" ht="15.75" x14ac:dyDescent="0.25">
      <c r="A9" s="192"/>
      <c r="B9" s="192"/>
      <c r="C9" s="193"/>
      <c r="D9" s="193"/>
      <c r="E9" s="193"/>
      <c r="F9" s="193"/>
      <c r="G9" s="193"/>
      <c r="H9" s="193"/>
      <c r="I9" s="193"/>
      <c r="J9" s="193"/>
      <c r="K9" s="193"/>
      <c r="L9" s="193"/>
      <c r="M9" s="193"/>
      <c r="N9" s="193"/>
      <c r="O9" s="193"/>
      <c r="P9" s="193"/>
      <c r="Q9" s="193"/>
      <c r="R9" s="193"/>
      <c r="S9" s="193"/>
      <c r="T9" s="193"/>
      <c r="U9" s="193"/>
      <c r="V9" s="193"/>
      <c r="W9" s="194"/>
      <c r="X9" s="194"/>
      <c r="Y9" s="194"/>
      <c r="Z9" s="195"/>
      <c r="AA9" s="195"/>
      <c r="AB9" s="195"/>
      <c r="AC9" s="195"/>
      <c r="AD9" s="195"/>
      <c r="AE9" s="195"/>
      <c r="AF9" s="195"/>
      <c r="AG9" s="195"/>
      <c r="AH9" s="195"/>
      <c r="AI9" s="195"/>
      <c r="AJ9" s="195"/>
      <c r="AK9" s="195"/>
      <c r="AL9" s="195"/>
      <c r="AM9" s="195"/>
      <c r="AN9" s="195"/>
      <c r="AO9" s="195"/>
      <c r="AP9" s="195"/>
      <c r="AQ9" s="195"/>
      <c r="AR9" s="195"/>
    </row>
    <row r="10" spans="1:272" ht="27.75" customHeight="1" x14ac:dyDescent="0.2">
      <c r="A10" s="359" t="s">
        <v>199</v>
      </c>
      <c r="B10" s="360"/>
      <c r="C10" s="360"/>
      <c r="D10" s="360"/>
      <c r="E10" s="360"/>
      <c r="F10" s="361"/>
      <c r="G10" s="325" t="s">
        <v>200</v>
      </c>
      <c r="H10" s="326"/>
      <c r="I10" s="326"/>
      <c r="J10" s="326"/>
      <c r="K10" s="327"/>
      <c r="L10" s="314" t="s">
        <v>201</v>
      </c>
      <c r="M10" s="315"/>
      <c r="N10" s="316" t="s">
        <v>202</v>
      </c>
      <c r="O10" s="317"/>
      <c r="P10" s="317"/>
      <c r="Q10" s="317"/>
      <c r="R10" s="317"/>
      <c r="S10" s="317"/>
      <c r="T10" s="317"/>
      <c r="U10" s="317"/>
      <c r="V10" s="318"/>
      <c r="W10" s="309" t="s">
        <v>203</v>
      </c>
      <c r="X10" s="309"/>
      <c r="Y10" s="309"/>
      <c r="Z10" s="309"/>
      <c r="AA10" s="309"/>
      <c r="AB10" s="309"/>
      <c r="AC10" s="309"/>
      <c r="AD10" s="309"/>
      <c r="AE10" s="309"/>
      <c r="AF10" s="379" t="s">
        <v>204</v>
      </c>
      <c r="AG10" s="380"/>
      <c r="AH10" s="380"/>
      <c r="AI10" s="380"/>
      <c r="AJ10" s="381"/>
      <c r="AK10" s="316" t="s">
        <v>408</v>
      </c>
      <c r="AL10" s="317"/>
      <c r="AM10" s="317"/>
      <c r="AN10" s="317"/>
      <c r="AO10" s="318"/>
      <c r="AP10" s="316" t="s">
        <v>409</v>
      </c>
      <c r="AQ10" s="317"/>
      <c r="AR10" s="318"/>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row>
    <row r="11" spans="1:272" ht="15.75" x14ac:dyDescent="0.2">
      <c r="A11" s="378" t="s">
        <v>207</v>
      </c>
      <c r="B11" s="349" t="s">
        <v>15</v>
      </c>
      <c r="C11" s="348" t="s">
        <v>17</v>
      </c>
      <c r="D11" s="348" t="s">
        <v>19</v>
      </c>
      <c r="E11" s="349" t="s">
        <v>21</v>
      </c>
      <c r="F11" s="348" t="s">
        <v>23</v>
      </c>
      <c r="G11" s="346" t="s">
        <v>109</v>
      </c>
      <c r="H11" s="346" t="s">
        <v>208</v>
      </c>
      <c r="I11" s="346" t="s">
        <v>209</v>
      </c>
      <c r="J11" s="346" t="s">
        <v>210</v>
      </c>
      <c r="K11" s="346" t="s">
        <v>211</v>
      </c>
      <c r="L11" s="314"/>
      <c r="M11" s="315"/>
      <c r="N11" s="322" t="s">
        <v>212</v>
      </c>
      <c r="O11" s="322" t="s">
        <v>213</v>
      </c>
      <c r="P11" s="323" t="s">
        <v>214</v>
      </c>
      <c r="Q11" s="322" t="s">
        <v>215</v>
      </c>
      <c r="R11" s="322" t="s">
        <v>216</v>
      </c>
      <c r="S11" s="322" t="s">
        <v>217</v>
      </c>
      <c r="T11" s="323" t="s">
        <v>214</v>
      </c>
      <c r="U11" s="322" t="s">
        <v>29</v>
      </c>
      <c r="V11" s="328" t="s">
        <v>218</v>
      </c>
      <c r="W11" s="323" t="s">
        <v>31</v>
      </c>
      <c r="X11" s="322" t="s">
        <v>33</v>
      </c>
      <c r="Y11" s="322" t="s">
        <v>219</v>
      </c>
      <c r="Z11" s="322"/>
      <c r="AA11" s="322"/>
      <c r="AB11" s="322"/>
      <c r="AC11" s="322"/>
      <c r="AD11" s="322"/>
      <c r="AE11" s="328" t="s">
        <v>220</v>
      </c>
      <c r="AF11" s="328" t="s">
        <v>221</v>
      </c>
      <c r="AG11" s="328" t="s">
        <v>214</v>
      </c>
      <c r="AH11" s="328" t="s">
        <v>222</v>
      </c>
      <c r="AI11" s="328" t="s">
        <v>214</v>
      </c>
      <c r="AJ11" s="328" t="s">
        <v>223</v>
      </c>
      <c r="AK11" s="328" t="s">
        <v>49</v>
      </c>
      <c r="AL11" s="322" t="s">
        <v>224</v>
      </c>
      <c r="AM11" s="322" t="s">
        <v>225</v>
      </c>
      <c r="AN11" s="322" t="s">
        <v>226</v>
      </c>
      <c r="AO11" s="322" t="s">
        <v>227</v>
      </c>
      <c r="AP11" s="322" t="s">
        <v>224</v>
      </c>
      <c r="AQ11" s="322" t="s">
        <v>226</v>
      </c>
      <c r="AR11" s="322" t="s">
        <v>225</v>
      </c>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row>
    <row r="12" spans="1:272" s="199" customFormat="1" ht="98.25" x14ac:dyDescent="0.25">
      <c r="A12" s="378"/>
      <c r="B12" s="349"/>
      <c r="C12" s="348"/>
      <c r="D12" s="348"/>
      <c r="E12" s="349"/>
      <c r="F12" s="348"/>
      <c r="G12" s="347"/>
      <c r="H12" s="347"/>
      <c r="I12" s="347"/>
      <c r="J12" s="347"/>
      <c r="K12" s="347"/>
      <c r="L12" s="236" t="s">
        <v>410</v>
      </c>
      <c r="M12" s="236" t="s">
        <v>231</v>
      </c>
      <c r="N12" s="322"/>
      <c r="O12" s="322"/>
      <c r="P12" s="323"/>
      <c r="Q12" s="322"/>
      <c r="R12" s="322"/>
      <c r="S12" s="323"/>
      <c r="T12" s="323"/>
      <c r="U12" s="322"/>
      <c r="V12" s="328"/>
      <c r="W12" s="323"/>
      <c r="X12" s="322"/>
      <c r="Y12" s="196" t="s">
        <v>232</v>
      </c>
      <c r="Z12" s="196" t="s">
        <v>233</v>
      </c>
      <c r="AA12" s="196" t="s">
        <v>234</v>
      </c>
      <c r="AB12" s="196" t="s">
        <v>235</v>
      </c>
      <c r="AC12" s="196" t="s">
        <v>236</v>
      </c>
      <c r="AD12" s="196" t="s">
        <v>237</v>
      </c>
      <c r="AE12" s="328"/>
      <c r="AF12" s="328"/>
      <c r="AG12" s="328"/>
      <c r="AH12" s="328"/>
      <c r="AI12" s="328"/>
      <c r="AJ12" s="328"/>
      <c r="AK12" s="328"/>
      <c r="AL12" s="322"/>
      <c r="AM12" s="322"/>
      <c r="AN12" s="322"/>
      <c r="AO12" s="322"/>
      <c r="AP12" s="322"/>
      <c r="AQ12" s="322"/>
      <c r="AR12" s="322"/>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c r="HQ12" s="198"/>
      <c r="HR12" s="198"/>
      <c r="HS12" s="198"/>
      <c r="HT12" s="198"/>
      <c r="HU12" s="198"/>
      <c r="HV12" s="198"/>
      <c r="HW12" s="198"/>
      <c r="HX12" s="198"/>
      <c r="HY12" s="198"/>
      <c r="HZ12" s="198"/>
      <c r="IA12" s="198"/>
      <c r="IB12" s="198"/>
      <c r="IC12" s="198"/>
      <c r="ID12" s="198"/>
      <c r="IE12" s="198"/>
      <c r="IF12" s="198"/>
      <c r="IG12" s="198"/>
      <c r="IH12" s="198"/>
      <c r="II12" s="198"/>
      <c r="IJ12" s="198"/>
      <c r="IK12" s="198"/>
      <c r="IL12" s="198"/>
      <c r="IM12" s="198"/>
      <c r="IN12" s="198"/>
      <c r="IO12" s="198"/>
      <c r="IP12" s="198"/>
      <c r="IQ12" s="198"/>
      <c r="IR12" s="198"/>
      <c r="IS12" s="198"/>
      <c r="IT12" s="198"/>
      <c r="IU12" s="198"/>
      <c r="IV12" s="198"/>
      <c r="IW12" s="198"/>
      <c r="IX12" s="198"/>
      <c r="IY12" s="198"/>
      <c r="IZ12" s="198"/>
      <c r="JA12" s="198"/>
      <c r="JB12" s="198"/>
      <c r="JC12" s="198"/>
      <c r="JD12" s="198"/>
      <c r="JE12" s="198"/>
      <c r="JF12" s="198"/>
      <c r="JG12" s="198"/>
      <c r="JH12" s="198"/>
      <c r="JI12" s="198"/>
      <c r="JJ12" s="198"/>
      <c r="JK12" s="198"/>
      <c r="JL12" s="198"/>
    </row>
    <row r="13" spans="1:272" s="201" customFormat="1" ht="210" x14ac:dyDescent="0.25">
      <c r="A13" s="329">
        <v>1</v>
      </c>
      <c r="B13" s="330" t="s">
        <v>107</v>
      </c>
      <c r="C13" s="330" t="s">
        <v>429</v>
      </c>
      <c r="D13" s="330" t="s">
        <v>430</v>
      </c>
      <c r="E13" s="331" t="s">
        <v>431</v>
      </c>
      <c r="F13" s="330" t="s">
        <v>125</v>
      </c>
      <c r="G13" s="319" t="s">
        <v>271</v>
      </c>
      <c r="H13" s="319" t="s">
        <v>488</v>
      </c>
      <c r="I13" s="319" t="s">
        <v>489</v>
      </c>
      <c r="J13" s="319" t="s">
        <v>490</v>
      </c>
      <c r="K13" s="319" t="s">
        <v>491</v>
      </c>
      <c r="L13" s="319" t="s">
        <v>116</v>
      </c>
      <c r="M13" s="319" t="s">
        <v>130</v>
      </c>
      <c r="N13" s="313">
        <v>12</v>
      </c>
      <c r="O13" s="312" t="str">
        <f>IF(N13&lt;=0,"",IF(N13&lt;=2,"Muy Baja",IF(N13&lt;=24,"Baja",IF(N13&lt;=500,"Media",IF(N13&lt;=5000,"Alta","Muy Alta")))))</f>
        <v>Baja</v>
      </c>
      <c r="P13" s="311">
        <f>IF(O13="","",IF(O13="Muy Baja",0.2,IF(O13="Baja",0.4,IF(O13="Media",0.6,IF(O13="Alta",0.8,IF(O13="Muy Alta",1,))))))</f>
        <v>0.4</v>
      </c>
      <c r="Q13" s="310" t="s">
        <v>338</v>
      </c>
      <c r="R13" s="311" t="str">
        <f>IF(NOT(ISERROR(MATCH(Q13,'Tabla Impacto'!$B$222:$B$224,0))),'Tabla Impacto'!$F$224&amp;"Por favor no seleccionar los criterios de impacto(Afectación Económica o presupuestal y Pérdida Reputacional)",Q13)</f>
        <v xml:space="preserve">     El riesgo afecta la imagen de la entidad internamente, de conocimiento general, nivel interno, de junta dircetiva y accionistas y/o de provedores</v>
      </c>
      <c r="S13" s="312" t="str">
        <f>IF(OR(R13='Tabla Impacto'!$C$12,R13='Tabla Impacto'!$D$12),"Leve",IF(OR(R13='Tabla Impacto'!$C$13,R13='Tabla Impacto'!$D$13),"Menor",IF(OR(R13='Tabla Impacto'!$C$14,R13='Tabla Impacto'!$D$14),"Moderado",IF(OR(R13='Tabla Impacto'!$C$15,R13='Tabla Impacto'!$D$15),"Mayor",IF(OR(R13='Tabla Impacto'!$C$16,R13='Tabla Impacto'!$D$16),"Catastrófico","")))))</f>
        <v>Menor</v>
      </c>
      <c r="T13" s="311">
        <f>IF(S13="","",IF(S13="Leve",0.2,IF(S13="Menor",0.4,IF(S13="Moderado",0.6,IF(S13="Mayor",0.8,IF(S13="Catastrófico",1,))))))</f>
        <v>0.4</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200">
        <v>1</v>
      </c>
      <c r="W13" s="249" t="s">
        <v>432</v>
      </c>
      <c r="X13" s="175" t="str">
        <f t="shared" ref="X13:X16" si="0">IF(OR(Y13="Preventivo",Y13="Detectivo"),"Probabilidad",IF(Y13="Correctivo","Impacto",""))</f>
        <v>Probabilidad</v>
      </c>
      <c r="Y13" s="176" t="s">
        <v>244</v>
      </c>
      <c r="Z13" s="176" t="s">
        <v>240</v>
      </c>
      <c r="AA13" s="177" t="str">
        <f>IF(AND(Y13="Preventivo",Z13="Automático"),"50%",IF(AND(Y13="Preventivo",Z13="Manual"),"40%",IF(AND(Y13="Detectivo",Z13="Automático"),"40%",IF(AND(Y13="Detectivo",Z13="Manual"),"30%",IF(AND(Y13="Correctivo",Z13="Automático"),"35%",IF(AND(Y13="Correctivo",Z13="Manual"),"25%",""))))))</f>
        <v>30%</v>
      </c>
      <c r="AB13" s="176" t="s">
        <v>241</v>
      </c>
      <c r="AC13" s="176" t="s">
        <v>242</v>
      </c>
      <c r="AD13" s="176" t="s">
        <v>243</v>
      </c>
      <c r="AE13" s="178">
        <f>IFERROR(IF(X13="Probabilidad",(P13-(+P13*AA13)),IF(X13="Impacto",P13,"")),"")</f>
        <v>0.28000000000000003</v>
      </c>
      <c r="AF13" s="179" t="str">
        <f>IFERROR(IF(AE13="","",IF(AE13&lt;=0.2,"Muy Baja",IF(AE13&lt;=0.4,"Baja",IF(AE13&lt;=0.6,"Media",IF(AE13&lt;=0.8,"Alta","Muy Alta"))))),"")</f>
        <v>Baja</v>
      </c>
      <c r="AG13" s="177">
        <f>+AE13</f>
        <v>0.28000000000000003</v>
      </c>
      <c r="AH13" s="179" t="str">
        <f>IFERROR(IF(AI13="","",IF(AI13&lt;=0.2,"Leve",IF(AI13&lt;=0.4,"Menor",IF(AI13&lt;=0.6,"Moderado",IF(AI13&lt;=0.8,"Mayor","Catastrófico"))))),"")</f>
        <v>Menor</v>
      </c>
      <c r="AI13" s="177">
        <f>IFERROR(IF(X13="Impacto",(T13-(+T13*AA13)),IF(X13="Probabilidad",T13,"")),"")</f>
        <v>0.4</v>
      </c>
      <c r="AJ13" s="180"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Moderado</v>
      </c>
      <c r="AK13" s="181" t="s">
        <v>108</v>
      </c>
      <c r="AL13" s="172" t="s">
        <v>501</v>
      </c>
      <c r="AM13" s="182" t="s">
        <v>434</v>
      </c>
      <c r="AN13" s="172" t="s">
        <v>435</v>
      </c>
      <c r="AO13" s="183" t="s">
        <v>436</v>
      </c>
      <c r="AP13" s="172" t="s">
        <v>437</v>
      </c>
      <c r="AQ13" s="172" t="s">
        <v>427</v>
      </c>
      <c r="AR13" s="172" t="s">
        <v>438</v>
      </c>
    </row>
    <row r="14" spans="1:272" ht="105" customHeight="1" x14ac:dyDescent="0.2">
      <c r="A14" s="329"/>
      <c r="B14" s="330"/>
      <c r="C14" s="330"/>
      <c r="D14" s="330"/>
      <c r="E14" s="331"/>
      <c r="F14" s="330"/>
      <c r="G14" s="320"/>
      <c r="H14" s="320"/>
      <c r="I14" s="320"/>
      <c r="J14" s="320"/>
      <c r="K14" s="320"/>
      <c r="L14" s="320"/>
      <c r="M14" s="320"/>
      <c r="N14" s="313"/>
      <c r="O14" s="312"/>
      <c r="P14" s="311"/>
      <c r="Q14" s="310"/>
      <c r="R14" s="311">
        <f>IF(NOT(ISERROR(MATCH(Q14,_xlfn.ANCHORARRAY(E25),0))),P27&amp;"Por favor no seleccionar los criterios de impacto",Q14)</f>
        <v>0</v>
      </c>
      <c r="S14" s="312"/>
      <c r="T14" s="311"/>
      <c r="U14" s="324"/>
      <c r="V14" s="200">
        <v>2</v>
      </c>
      <c r="W14" s="249" t="s">
        <v>433</v>
      </c>
      <c r="X14" s="175" t="str">
        <f t="shared" si="0"/>
        <v>Impacto</v>
      </c>
      <c r="Y14" s="176" t="s">
        <v>266</v>
      </c>
      <c r="Z14" s="176" t="s">
        <v>240</v>
      </c>
      <c r="AA14" s="177" t="str">
        <f t="shared" ref="AA14:AA18" si="1">IF(AND(Y14="Preventivo",Z14="Automático"),"50%",IF(AND(Y14="Preventivo",Z14="Manual"),"40%",IF(AND(Y14="Detectivo",Z14="Automático"),"40%",IF(AND(Y14="Detectivo",Z14="Manual"),"30%",IF(AND(Y14="Correctivo",Z14="Automático"),"35%",IF(AND(Y14="Correctivo",Z14="Manual"),"25%",""))))))</f>
        <v>25%</v>
      </c>
      <c r="AB14" s="176" t="s">
        <v>241</v>
      </c>
      <c r="AC14" s="176" t="s">
        <v>242</v>
      </c>
      <c r="AD14" s="176" t="s">
        <v>243</v>
      </c>
      <c r="AE14" s="178">
        <f>IFERROR(IF(AND(X13="Probabilidad",X14="Probabilidad"),(AG13-(+AG13*AA14)),IF(X14="Probabilidad",(P13-(+P13*AA14)),IF(X14="Impacto",AG13,""))),"")</f>
        <v>0.28000000000000003</v>
      </c>
      <c r="AF14" s="179" t="str">
        <f t="shared" ref="AF14:AF72" si="2">IFERROR(IF(AE14="","",IF(AE14&lt;=0.2,"Muy Baja",IF(AE14&lt;=0.4,"Baja",IF(AE14&lt;=0.6,"Media",IF(AE14&lt;=0.8,"Alta","Muy Alta"))))),"")</f>
        <v>Baja</v>
      </c>
      <c r="AG14" s="177">
        <f t="shared" ref="AG14:AG18" si="3">+AE14</f>
        <v>0.28000000000000003</v>
      </c>
      <c r="AH14" s="179" t="str">
        <f t="shared" ref="AH14:AH72" si="4">IFERROR(IF(AI14="","",IF(AI14&lt;=0.2,"Leve",IF(AI14&lt;=0.4,"Menor",IF(AI14&lt;=0.6,"Moderado",IF(AI14&lt;=0.8,"Mayor","Catastrófico"))))),"")</f>
        <v>Menor</v>
      </c>
      <c r="AI14" s="177">
        <f>IFERROR(IF(AND(X13="Impacto",X14="Impacto"),(AI13-(+AI13*AA14)),IF(X14="Impacto",($T$13-(+$T$13*AA14)),IF(X14="Probabilidad",AI13,""))),"")</f>
        <v>0.30000000000000004</v>
      </c>
      <c r="AJ14" s="180"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Moderado</v>
      </c>
      <c r="AK14" s="181" t="s">
        <v>108</v>
      </c>
      <c r="AL14" s="172" t="s">
        <v>501</v>
      </c>
      <c r="AM14" s="182" t="s">
        <v>434</v>
      </c>
      <c r="AN14" s="172" t="s">
        <v>435</v>
      </c>
      <c r="AO14" s="183" t="s">
        <v>436</v>
      </c>
      <c r="AP14" s="172" t="s">
        <v>439</v>
      </c>
      <c r="AQ14" s="172" t="s">
        <v>440</v>
      </c>
      <c r="AR14" s="172" t="s">
        <v>434</v>
      </c>
    </row>
    <row r="15" spans="1:272" x14ac:dyDescent="0.2">
      <c r="A15" s="329"/>
      <c r="B15" s="330"/>
      <c r="C15" s="330"/>
      <c r="D15" s="330"/>
      <c r="E15" s="331"/>
      <c r="F15" s="330"/>
      <c r="G15" s="320"/>
      <c r="H15" s="320"/>
      <c r="I15" s="320"/>
      <c r="J15" s="320"/>
      <c r="K15" s="320"/>
      <c r="L15" s="320"/>
      <c r="M15" s="320"/>
      <c r="N15" s="313"/>
      <c r="O15" s="312"/>
      <c r="P15" s="311"/>
      <c r="Q15" s="310"/>
      <c r="R15" s="311">
        <f>IF(NOT(ISERROR(MATCH(Q15,_xlfn.ANCHORARRAY(E26),0))),P28&amp;"Por favor no seleccionar los criterios de impacto",Q15)</f>
        <v>0</v>
      </c>
      <c r="S15" s="312"/>
      <c r="T15" s="311"/>
      <c r="U15" s="324"/>
      <c r="V15" s="200">
        <v>3</v>
      </c>
      <c r="W15" s="174"/>
      <c r="X15" s="175" t="str">
        <f t="shared" si="0"/>
        <v/>
      </c>
      <c r="Y15" s="176"/>
      <c r="Z15" s="176"/>
      <c r="AA15" s="177" t="str">
        <f t="shared" si="1"/>
        <v/>
      </c>
      <c r="AB15" s="176"/>
      <c r="AC15" s="176"/>
      <c r="AD15" s="176"/>
      <c r="AE15" s="178" t="str">
        <f>IFERROR(IF(AND(X14="Probabilidad",X15="Probabilidad"),(AG14-(+AG14*AA15)),IF(AND(X14="Impacto",X15="Probabilidad"),(AG13-(+AG13*AA15)),IF(X15="Impacto",AG14,""))),"")</f>
        <v/>
      </c>
      <c r="AF15" s="179" t="str">
        <f t="shared" si="2"/>
        <v/>
      </c>
      <c r="AG15" s="177" t="str">
        <f t="shared" si="3"/>
        <v/>
      </c>
      <c r="AH15" s="179" t="str">
        <f t="shared" si="4"/>
        <v/>
      </c>
      <c r="AI15" s="177" t="str">
        <f>IFERROR(IF(AND(X14="Impacto",X15="Impacto"),(AI14-(+AI14*AA15)),IF(AND(X14="Probabilidad",X15="Impacto"),(AI13-(+AI13*AA15)),IF(X15="Probabilidad",AI14,""))),"")</f>
        <v/>
      </c>
      <c r="AJ15" s="180" t="str">
        <f t="shared" si="5"/>
        <v/>
      </c>
      <c r="AK15" s="181"/>
      <c r="AL15" s="172"/>
      <c r="AM15" s="182"/>
      <c r="AN15" s="182"/>
      <c r="AO15" s="183"/>
      <c r="AP15" s="251"/>
      <c r="AQ15" s="251"/>
      <c r="AR15" s="251"/>
    </row>
    <row r="16" spans="1:272" ht="23.25" customHeight="1" x14ac:dyDescent="0.2">
      <c r="A16" s="329"/>
      <c r="B16" s="330"/>
      <c r="C16" s="330"/>
      <c r="D16" s="330"/>
      <c r="E16" s="331"/>
      <c r="F16" s="330"/>
      <c r="G16" s="320"/>
      <c r="H16" s="320"/>
      <c r="I16" s="320"/>
      <c r="J16" s="320"/>
      <c r="K16" s="320"/>
      <c r="L16" s="320"/>
      <c r="M16" s="320"/>
      <c r="N16" s="313"/>
      <c r="O16" s="312"/>
      <c r="P16" s="311"/>
      <c r="Q16" s="310"/>
      <c r="R16" s="311">
        <f>IF(NOT(ISERROR(MATCH(Q16,_xlfn.ANCHORARRAY(E27),0))),P29&amp;"Por favor no seleccionar los criterios de impacto",Q16)</f>
        <v>0</v>
      </c>
      <c r="S16" s="312"/>
      <c r="T16" s="311"/>
      <c r="U16" s="324"/>
      <c r="V16" s="200">
        <v>4</v>
      </c>
      <c r="W16" s="174"/>
      <c r="X16" s="175" t="str">
        <f t="shared" si="0"/>
        <v/>
      </c>
      <c r="Y16" s="176"/>
      <c r="Z16" s="176"/>
      <c r="AA16" s="177" t="str">
        <f t="shared" si="1"/>
        <v/>
      </c>
      <c r="AB16" s="176"/>
      <c r="AC16" s="176"/>
      <c r="AD16" s="176"/>
      <c r="AE16" s="178" t="str">
        <f t="shared" ref="AE16:AE18" si="6">IFERROR(IF(AND(X15="Probabilidad",X16="Probabilidad"),(AG15-(+AG15*AA16)),IF(AND(X15="Impacto",X16="Probabilidad"),(AG14-(+AG14*AA16)),IF(X16="Impacto",AG15,""))),"")</f>
        <v/>
      </c>
      <c r="AF16" s="179" t="str">
        <f t="shared" si="2"/>
        <v/>
      </c>
      <c r="AG16" s="177" t="str">
        <f t="shared" si="3"/>
        <v/>
      </c>
      <c r="AH16" s="179" t="str">
        <f t="shared" si="4"/>
        <v/>
      </c>
      <c r="AI16" s="177" t="str">
        <f t="shared" ref="AI16:AI18" si="7">IFERROR(IF(AND(X15="Impacto",X16="Impacto"),(AI15-(+AI15*AA16)),IF(AND(X15="Probabilidad",X16="Impacto"),(AI14-(+AI14*AA16)),IF(X16="Probabilidad",AI15,""))),"")</f>
        <v/>
      </c>
      <c r="AJ16" s="180"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1"/>
      <c r="AL16" s="172"/>
      <c r="AM16" s="182"/>
      <c r="AN16" s="182"/>
      <c r="AO16" s="183"/>
      <c r="AP16" s="251"/>
      <c r="AQ16" s="251"/>
      <c r="AR16" s="251"/>
    </row>
    <row r="17" spans="1:44" x14ac:dyDescent="0.2">
      <c r="A17" s="329"/>
      <c r="B17" s="330"/>
      <c r="C17" s="330"/>
      <c r="D17" s="330"/>
      <c r="E17" s="331"/>
      <c r="F17" s="330"/>
      <c r="G17" s="320"/>
      <c r="H17" s="320"/>
      <c r="I17" s="320"/>
      <c r="J17" s="320"/>
      <c r="K17" s="320"/>
      <c r="L17" s="320"/>
      <c r="M17" s="320"/>
      <c r="N17" s="313"/>
      <c r="O17" s="312"/>
      <c r="P17" s="311"/>
      <c r="Q17" s="310"/>
      <c r="R17" s="311">
        <f>IF(NOT(ISERROR(MATCH(Q17,_xlfn.ANCHORARRAY(E28),0))),P30&amp;"Por favor no seleccionar los criterios de impacto",Q17)</f>
        <v>0</v>
      </c>
      <c r="S17" s="312"/>
      <c r="T17" s="311"/>
      <c r="U17" s="324"/>
      <c r="V17" s="200">
        <v>5</v>
      </c>
      <c r="W17" s="174"/>
      <c r="X17" s="175" t="str">
        <f t="shared" ref="X17:X18" si="8">IF(OR(Y17="Preventivo",Y17="Detectivo"),"Probabilidad",IF(Y17="Correctivo","Impacto",""))</f>
        <v/>
      </c>
      <c r="Y17" s="176"/>
      <c r="Z17" s="176"/>
      <c r="AA17" s="177" t="str">
        <f t="shared" si="1"/>
        <v/>
      </c>
      <c r="AB17" s="176"/>
      <c r="AC17" s="176"/>
      <c r="AD17" s="176"/>
      <c r="AE17" s="178" t="str">
        <f t="shared" si="6"/>
        <v/>
      </c>
      <c r="AF17" s="179" t="str">
        <f t="shared" si="2"/>
        <v/>
      </c>
      <c r="AG17" s="177" t="str">
        <f t="shared" si="3"/>
        <v/>
      </c>
      <c r="AH17" s="179" t="str">
        <f t="shared" si="4"/>
        <v/>
      </c>
      <c r="AI17" s="177" t="str">
        <f t="shared" si="7"/>
        <v/>
      </c>
      <c r="AJ17" s="180" t="str">
        <f t="shared" si="5"/>
        <v/>
      </c>
      <c r="AK17" s="181"/>
      <c r="AL17" s="172"/>
      <c r="AM17" s="182"/>
      <c r="AN17" s="182"/>
      <c r="AO17" s="183"/>
      <c r="AP17" s="251"/>
      <c r="AQ17" s="251"/>
      <c r="AR17" s="251"/>
    </row>
    <row r="18" spans="1:44" x14ac:dyDescent="0.2">
      <c r="A18" s="329"/>
      <c r="B18" s="330"/>
      <c r="C18" s="330"/>
      <c r="D18" s="330"/>
      <c r="E18" s="331"/>
      <c r="F18" s="330"/>
      <c r="G18" s="321"/>
      <c r="H18" s="321"/>
      <c r="I18" s="321"/>
      <c r="J18" s="321"/>
      <c r="K18" s="321"/>
      <c r="L18" s="321"/>
      <c r="M18" s="321"/>
      <c r="N18" s="313"/>
      <c r="O18" s="312"/>
      <c r="P18" s="311"/>
      <c r="Q18" s="310"/>
      <c r="R18" s="311">
        <f>IF(NOT(ISERROR(MATCH(Q18,_xlfn.ANCHORARRAY(E29),0))),P31&amp;"Por favor no seleccionar los criterios de impacto",Q18)</f>
        <v>0</v>
      </c>
      <c r="S18" s="312"/>
      <c r="T18" s="311"/>
      <c r="U18" s="324"/>
      <c r="V18" s="200">
        <v>6</v>
      </c>
      <c r="W18" s="174"/>
      <c r="X18" s="175" t="str">
        <f t="shared" si="8"/>
        <v/>
      </c>
      <c r="Y18" s="176"/>
      <c r="Z18" s="176"/>
      <c r="AA18" s="177" t="str">
        <f t="shared" si="1"/>
        <v/>
      </c>
      <c r="AB18" s="176"/>
      <c r="AC18" s="176"/>
      <c r="AD18" s="176"/>
      <c r="AE18" s="178" t="str">
        <f t="shared" si="6"/>
        <v/>
      </c>
      <c r="AF18" s="179" t="str">
        <f t="shared" si="2"/>
        <v/>
      </c>
      <c r="AG18" s="177" t="str">
        <f t="shared" si="3"/>
        <v/>
      </c>
      <c r="AH18" s="179" t="str">
        <f t="shared" si="4"/>
        <v/>
      </c>
      <c r="AI18" s="177" t="str">
        <f t="shared" si="7"/>
        <v/>
      </c>
      <c r="AJ18" s="180" t="str">
        <f t="shared" si="5"/>
        <v/>
      </c>
      <c r="AK18" s="181"/>
      <c r="AL18" s="172"/>
      <c r="AM18" s="182"/>
      <c r="AN18" s="182"/>
      <c r="AO18" s="183"/>
      <c r="AP18" s="251"/>
      <c r="AQ18" s="251"/>
      <c r="AR18" s="251"/>
    </row>
    <row r="19" spans="1:44" x14ac:dyDescent="0.2">
      <c r="A19" s="329">
        <v>2</v>
      </c>
      <c r="B19" s="330"/>
      <c r="C19" s="330"/>
      <c r="D19" s="330"/>
      <c r="E19" s="331"/>
      <c r="F19" s="330"/>
      <c r="G19" s="319"/>
      <c r="H19" s="319"/>
      <c r="I19" s="319"/>
      <c r="J19" s="319"/>
      <c r="K19" s="319"/>
      <c r="L19" s="319"/>
      <c r="M19" s="319"/>
      <c r="N19" s="313"/>
      <c r="O19" s="312" t="str">
        <f>IF(N19&lt;=0,"",IF(N19&lt;=2,"Muy Baja",IF(N19&lt;=24,"Baja",IF(N19&lt;=500,"Media",IF(N19&lt;=5000,"Alta","Muy Alta")))))</f>
        <v/>
      </c>
      <c r="P19" s="311" t="str">
        <f>IF(O19="","",IF(O19="Muy Baja",0.2,IF(O19="Baja",0.4,IF(O19="Media",0.6,IF(O19="Alta",0.8,IF(O19="Muy Alta",1,))))))</f>
        <v/>
      </c>
      <c r="Q19" s="310"/>
      <c r="R19" s="311">
        <f>IF(NOT(ISERROR(MATCH(Q19,'Tabla Impacto'!$B$222:$B$224,0))),'Tabla Impacto'!$F$224&amp;"Por favor no seleccionar los criterios de impacto(Afectación Económica o presupuestal y Pérdida Reputacional)",Q19)</f>
        <v>0</v>
      </c>
      <c r="S19" s="312" t="str">
        <f>IF(OR(R19='Tabla Impacto'!$C$12,R19='Tabla Impacto'!$D$12),"Leve",IF(OR(R19='Tabla Impacto'!$C$13,R19='Tabla Impacto'!$D$13),"Menor",IF(OR(R19='Tabla Impacto'!$C$14,R19='Tabla Impacto'!$D$14),"Moderado",IF(OR(R19='Tabla Impacto'!$C$15,R19='Tabla Impacto'!$D$15),"Mayor",IF(OR(R19='Tabla Impacto'!$C$16,R19='Tabla Impacto'!$D$16),"Catastrófico","")))))</f>
        <v/>
      </c>
      <c r="T19" s="311" t="str">
        <f>IF(S19="","",IF(S19="Leve",0.2,IF(S19="Menor",0.4,IF(S19="Moderado",0.6,IF(S19="Mayor",0.8,IF(S19="Catastrófico",1,))))))</f>
        <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00">
        <v>1</v>
      </c>
      <c r="W19" s="174"/>
      <c r="X19" s="175" t="str">
        <f>IF(OR(Y19="Preventivo",Y19="Detectivo"),"Probabilidad",IF(Y19="Correctivo","Impacto",""))</f>
        <v/>
      </c>
      <c r="Y19" s="176"/>
      <c r="Z19" s="176"/>
      <c r="AA19" s="177" t="str">
        <f>IF(AND(Y19="Preventivo",Z19="Automático"),"50%",IF(AND(Y19="Preventivo",Z19="Manual"),"40%",IF(AND(Y19="Detectivo",Z19="Automático"),"40%",IF(AND(Y19="Detectivo",Z19="Manual"),"30%",IF(AND(Y19="Correctivo",Z19="Automático"),"35%",IF(AND(Y19="Correctivo",Z19="Manual"),"25%",""))))))</f>
        <v/>
      </c>
      <c r="AB19" s="176"/>
      <c r="AC19" s="176"/>
      <c r="AD19" s="176"/>
      <c r="AE19" s="178" t="str">
        <f>IFERROR(IF(X19="Probabilidad",(P19-(+P19*AA19)),IF(X19="Impacto",P19,"")),"")</f>
        <v/>
      </c>
      <c r="AF19" s="179" t="str">
        <f>IFERROR(IF(AE19="","",IF(AE19&lt;=0.2,"Muy Baja",IF(AE19&lt;=0.4,"Baja",IF(AE19&lt;=0.6,"Media",IF(AE19&lt;=0.8,"Alta","Muy Alta"))))),"")</f>
        <v/>
      </c>
      <c r="AG19" s="177" t="str">
        <f>+AE19</f>
        <v/>
      </c>
      <c r="AH19" s="179" t="str">
        <f>IFERROR(IF(AI19="","",IF(AI19&lt;=0.2,"Leve",IF(AI19&lt;=0.4,"Menor",IF(AI19&lt;=0.6,"Moderado",IF(AI19&lt;=0.8,"Mayor","Catastrófico"))))),"")</f>
        <v/>
      </c>
      <c r="AI19" s="177" t="str">
        <f t="shared" ref="AI19" si="9">IFERROR(IF(X19="Impacto",(T19-(+T19*AA19)),IF(X19="Probabilidad",T19,"")),"")</f>
        <v/>
      </c>
      <c r="AJ19" s="180"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81"/>
      <c r="AL19" s="172"/>
      <c r="AM19" s="182"/>
      <c r="AN19" s="182"/>
      <c r="AO19" s="183"/>
      <c r="AP19" s="313"/>
      <c r="AQ19" s="313"/>
      <c r="AR19" s="313"/>
    </row>
    <row r="20" spans="1:44" x14ac:dyDescent="0.2">
      <c r="A20" s="329"/>
      <c r="B20" s="330"/>
      <c r="C20" s="330"/>
      <c r="D20" s="330"/>
      <c r="E20" s="331"/>
      <c r="F20" s="330"/>
      <c r="G20" s="320"/>
      <c r="H20" s="320"/>
      <c r="I20" s="320"/>
      <c r="J20" s="320"/>
      <c r="K20" s="320"/>
      <c r="L20" s="320"/>
      <c r="M20" s="320"/>
      <c r="N20" s="313"/>
      <c r="O20" s="312"/>
      <c r="P20" s="311"/>
      <c r="Q20" s="310"/>
      <c r="R20" s="311">
        <f>IF(NOT(ISERROR(MATCH(Q20,_xlfn.ANCHORARRAY(E31),0))),P33&amp;"Por favor no seleccionar los criterios de impacto",Q20)</f>
        <v>0</v>
      </c>
      <c r="S20" s="312"/>
      <c r="T20" s="311"/>
      <c r="U20" s="324"/>
      <c r="V20" s="200">
        <v>2</v>
      </c>
      <c r="W20" s="174"/>
      <c r="X20" s="175" t="str">
        <f>IF(OR(Y20="Preventivo",Y20="Detectivo"),"Probabilidad",IF(Y20="Correctivo","Impacto",""))</f>
        <v/>
      </c>
      <c r="Y20" s="176"/>
      <c r="Z20" s="176"/>
      <c r="AA20" s="177" t="str">
        <f t="shared" ref="AA20:AA24" si="10">IF(AND(Y20="Preventivo",Z20="Automático"),"50%",IF(AND(Y20="Preventivo",Z20="Manual"),"40%",IF(AND(Y20="Detectivo",Z20="Automático"),"40%",IF(AND(Y20="Detectivo",Z20="Manual"),"30%",IF(AND(Y20="Correctivo",Z20="Automático"),"35%",IF(AND(Y20="Correctivo",Z20="Manual"),"25%",""))))))</f>
        <v/>
      </c>
      <c r="AB20" s="176"/>
      <c r="AC20" s="176"/>
      <c r="AD20" s="176"/>
      <c r="AE20" s="178" t="str">
        <f>IFERROR(IF(AND(X19="Probabilidad",X20="Probabilidad"),(AG19-(+AG19*AA20)),IF(X20="Probabilidad",(P19-(+P19*AA20)),IF(X20="Impacto",AG19,""))),"")</f>
        <v/>
      </c>
      <c r="AF20" s="179" t="str">
        <f t="shared" si="2"/>
        <v/>
      </c>
      <c r="AG20" s="177" t="str">
        <f t="shared" ref="AG20:AG24" si="11">+AE20</f>
        <v/>
      </c>
      <c r="AH20" s="179" t="str">
        <f t="shared" si="4"/>
        <v/>
      </c>
      <c r="AI20" s="177" t="str">
        <f t="shared" ref="AI20" si="12">IFERROR(IF(AND(X19="Impacto",X20="Impacto"),(AI19-(+AI19*AA20)),IF(X20="Impacto",($T$13-(+$T$13*AA20)),IF(X20="Probabilidad",AI19,""))),"")</f>
        <v/>
      </c>
      <c r="AJ20" s="180" t="str">
        <f t="shared" ref="AJ20:AJ21" si="13">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1"/>
      <c r="AL20" s="172"/>
      <c r="AM20" s="182"/>
      <c r="AN20" s="172"/>
      <c r="AO20" s="183"/>
      <c r="AP20" s="313"/>
      <c r="AQ20" s="313"/>
      <c r="AR20" s="313"/>
    </row>
    <row r="21" spans="1:44" x14ac:dyDescent="0.2">
      <c r="A21" s="329"/>
      <c r="B21" s="330"/>
      <c r="C21" s="330"/>
      <c r="D21" s="330"/>
      <c r="E21" s="331"/>
      <c r="F21" s="330"/>
      <c r="G21" s="320"/>
      <c r="H21" s="320"/>
      <c r="I21" s="320"/>
      <c r="J21" s="320"/>
      <c r="K21" s="320"/>
      <c r="L21" s="320"/>
      <c r="M21" s="320"/>
      <c r="N21" s="313"/>
      <c r="O21" s="312"/>
      <c r="P21" s="311"/>
      <c r="Q21" s="310"/>
      <c r="R21" s="311">
        <f>IF(NOT(ISERROR(MATCH(Q21,_xlfn.ANCHORARRAY(E32),0))),P34&amp;"Por favor no seleccionar los criterios de impacto",Q21)</f>
        <v>0</v>
      </c>
      <c r="S21" s="312"/>
      <c r="T21" s="311"/>
      <c r="U21" s="324"/>
      <c r="V21" s="200">
        <v>3</v>
      </c>
      <c r="W21" s="174"/>
      <c r="X21" s="175" t="str">
        <f>IF(OR(Y21="Preventivo",Y21="Detectivo"),"Probabilidad",IF(Y21="Correctivo","Impacto",""))</f>
        <v/>
      </c>
      <c r="Y21" s="176"/>
      <c r="Z21" s="176"/>
      <c r="AA21" s="177" t="str">
        <f t="shared" si="10"/>
        <v/>
      </c>
      <c r="AB21" s="176"/>
      <c r="AC21" s="176"/>
      <c r="AD21" s="176"/>
      <c r="AE21" s="178" t="str">
        <f>IFERROR(IF(AND(X20="Probabilidad",X21="Probabilidad"),(AG20-(+AG20*AA21)),IF(AND(X20="Impacto",X21="Probabilidad"),(AG19-(+AG19*AA21)),IF(X21="Impacto",AG20,""))),"")</f>
        <v/>
      </c>
      <c r="AF21" s="179" t="str">
        <f t="shared" si="2"/>
        <v/>
      </c>
      <c r="AG21" s="177" t="str">
        <f t="shared" si="11"/>
        <v/>
      </c>
      <c r="AH21" s="179" t="str">
        <f t="shared" si="4"/>
        <v/>
      </c>
      <c r="AI21" s="177" t="str">
        <f t="shared" ref="AI21:AI72" si="14">IFERROR(IF(AND(X20="Impacto",X21="Impacto"),(AI20-(+AI20*AA21)),IF(AND(X20="Probabilidad",X21="Impacto"),(AI19-(+AI19*AA21)),IF(X21="Probabilidad",AI20,""))),"")</f>
        <v/>
      </c>
      <c r="AJ21" s="180" t="str">
        <f t="shared" si="13"/>
        <v/>
      </c>
      <c r="AK21" s="181"/>
      <c r="AL21" s="172"/>
      <c r="AM21" s="182"/>
      <c r="AN21" s="182"/>
      <c r="AO21" s="183"/>
      <c r="AP21" s="313"/>
      <c r="AQ21" s="313"/>
      <c r="AR21" s="313"/>
    </row>
    <row r="22" spans="1:44" x14ac:dyDescent="0.2">
      <c r="A22" s="329"/>
      <c r="B22" s="330"/>
      <c r="C22" s="330"/>
      <c r="D22" s="330"/>
      <c r="E22" s="331"/>
      <c r="F22" s="330"/>
      <c r="G22" s="320"/>
      <c r="H22" s="320"/>
      <c r="I22" s="320"/>
      <c r="J22" s="320"/>
      <c r="K22" s="320"/>
      <c r="L22" s="320"/>
      <c r="M22" s="320"/>
      <c r="N22" s="313"/>
      <c r="O22" s="312"/>
      <c r="P22" s="311"/>
      <c r="Q22" s="310"/>
      <c r="R22" s="311">
        <f>IF(NOT(ISERROR(MATCH(Q22,_xlfn.ANCHORARRAY(E33),0))),P35&amp;"Por favor no seleccionar los criterios de impacto",Q22)</f>
        <v>0</v>
      </c>
      <c r="S22" s="312"/>
      <c r="T22" s="311"/>
      <c r="U22" s="324"/>
      <c r="V22" s="200">
        <v>4</v>
      </c>
      <c r="W22" s="174"/>
      <c r="X22" s="175" t="str">
        <f t="shared" ref="X22:X24" si="15">IF(OR(Y22="Preventivo",Y22="Detectivo"),"Probabilidad",IF(Y22="Correctivo","Impacto",""))</f>
        <v/>
      </c>
      <c r="Y22" s="176"/>
      <c r="Z22" s="176"/>
      <c r="AA22" s="177" t="str">
        <f t="shared" si="10"/>
        <v/>
      </c>
      <c r="AB22" s="176"/>
      <c r="AC22" s="176"/>
      <c r="AD22" s="176"/>
      <c r="AE22" s="178" t="str">
        <f t="shared" ref="AE22:AE24" si="16">IFERROR(IF(AND(X21="Probabilidad",X22="Probabilidad"),(AG21-(+AG21*AA22)),IF(AND(X21="Impacto",X22="Probabilidad"),(AG20-(+AG20*AA22)),IF(X22="Impacto",AG21,""))),"")</f>
        <v/>
      </c>
      <c r="AF22" s="179" t="str">
        <f t="shared" si="2"/>
        <v/>
      </c>
      <c r="AG22" s="177" t="str">
        <f t="shared" si="11"/>
        <v/>
      </c>
      <c r="AH22" s="179" t="str">
        <f t="shared" si="4"/>
        <v/>
      </c>
      <c r="AI22" s="177" t="str">
        <f t="shared" si="14"/>
        <v/>
      </c>
      <c r="AJ22" s="180"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1"/>
      <c r="AL22" s="172"/>
      <c r="AM22" s="182"/>
      <c r="AN22" s="182"/>
      <c r="AO22" s="183"/>
      <c r="AP22" s="313"/>
      <c r="AQ22" s="313"/>
      <c r="AR22" s="313"/>
    </row>
    <row r="23" spans="1:44" x14ac:dyDescent="0.2">
      <c r="A23" s="329"/>
      <c r="B23" s="330"/>
      <c r="C23" s="330"/>
      <c r="D23" s="330"/>
      <c r="E23" s="331"/>
      <c r="F23" s="330"/>
      <c r="G23" s="320"/>
      <c r="H23" s="320"/>
      <c r="I23" s="320"/>
      <c r="J23" s="320"/>
      <c r="K23" s="320"/>
      <c r="L23" s="320"/>
      <c r="M23" s="320"/>
      <c r="N23" s="313"/>
      <c r="O23" s="312"/>
      <c r="P23" s="311"/>
      <c r="Q23" s="310"/>
      <c r="R23" s="311">
        <f>IF(NOT(ISERROR(MATCH(Q23,_xlfn.ANCHORARRAY(E34),0))),P36&amp;"Por favor no seleccionar los criterios de impacto",Q23)</f>
        <v>0</v>
      </c>
      <c r="S23" s="312"/>
      <c r="T23" s="311"/>
      <c r="U23" s="324"/>
      <c r="V23" s="200">
        <v>5</v>
      </c>
      <c r="W23" s="174"/>
      <c r="X23" s="175" t="str">
        <f t="shared" si="15"/>
        <v/>
      </c>
      <c r="Y23" s="176"/>
      <c r="Z23" s="176"/>
      <c r="AA23" s="177" t="str">
        <f t="shared" si="10"/>
        <v/>
      </c>
      <c r="AB23" s="176"/>
      <c r="AC23" s="176"/>
      <c r="AD23" s="176"/>
      <c r="AE23" s="178" t="str">
        <f t="shared" si="16"/>
        <v/>
      </c>
      <c r="AF23" s="179" t="str">
        <f t="shared" si="2"/>
        <v/>
      </c>
      <c r="AG23" s="177" t="str">
        <f t="shared" si="11"/>
        <v/>
      </c>
      <c r="AH23" s="179" t="str">
        <f t="shared" si="4"/>
        <v/>
      </c>
      <c r="AI23" s="177" t="str">
        <f t="shared" si="14"/>
        <v/>
      </c>
      <c r="AJ23" s="180" t="str">
        <f t="shared" ref="AJ23:AJ24" si="17">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1"/>
      <c r="AL23" s="172"/>
      <c r="AM23" s="182"/>
      <c r="AN23" s="182"/>
      <c r="AO23" s="183"/>
      <c r="AP23" s="313"/>
      <c r="AQ23" s="313"/>
      <c r="AR23" s="313"/>
    </row>
    <row r="24" spans="1:44" x14ac:dyDescent="0.2">
      <c r="A24" s="329"/>
      <c r="B24" s="330"/>
      <c r="C24" s="330"/>
      <c r="D24" s="330"/>
      <c r="E24" s="331"/>
      <c r="F24" s="330"/>
      <c r="G24" s="321"/>
      <c r="H24" s="321"/>
      <c r="I24" s="321"/>
      <c r="J24" s="321"/>
      <c r="K24" s="321"/>
      <c r="L24" s="321"/>
      <c r="M24" s="321"/>
      <c r="N24" s="313"/>
      <c r="O24" s="312"/>
      <c r="P24" s="311"/>
      <c r="Q24" s="310"/>
      <c r="R24" s="311">
        <f>IF(NOT(ISERROR(MATCH(Q24,_xlfn.ANCHORARRAY(E35),0))),P37&amp;"Por favor no seleccionar los criterios de impacto",Q24)</f>
        <v>0</v>
      </c>
      <c r="S24" s="312"/>
      <c r="T24" s="311"/>
      <c r="U24" s="324"/>
      <c r="V24" s="200">
        <v>6</v>
      </c>
      <c r="W24" s="174"/>
      <c r="X24" s="175" t="str">
        <f t="shared" si="15"/>
        <v/>
      </c>
      <c r="Y24" s="176"/>
      <c r="Z24" s="176"/>
      <c r="AA24" s="177" t="str">
        <f t="shared" si="10"/>
        <v/>
      </c>
      <c r="AB24" s="176"/>
      <c r="AC24" s="176"/>
      <c r="AD24" s="176"/>
      <c r="AE24" s="178" t="str">
        <f t="shared" si="16"/>
        <v/>
      </c>
      <c r="AF24" s="179" t="str">
        <f t="shared" si="2"/>
        <v/>
      </c>
      <c r="AG24" s="177" t="str">
        <f t="shared" si="11"/>
        <v/>
      </c>
      <c r="AH24" s="179" t="str">
        <f t="shared" si="4"/>
        <v/>
      </c>
      <c r="AI24" s="177" t="str">
        <f t="shared" si="14"/>
        <v/>
      </c>
      <c r="AJ24" s="180" t="str">
        <f t="shared" si="17"/>
        <v/>
      </c>
      <c r="AK24" s="181"/>
      <c r="AL24" s="172"/>
      <c r="AM24" s="182"/>
      <c r="AN24" s="182"/>
      <c r="AO24" s="183"/>
      <c r="AP24" s="313"/>
      <c r="AQ24" s="313"/>
      <c r="AR24" s="313"/>
    </row>
    <row r="25" spans="1:44" x14ac:dyDescent="0.2">
      <c r="A25" s="329">
        <v>3</v>
      </c>
      <c r="B25" s="330"/>
      <c r="C25" s="330"/>
      <c r="D25" s="330"/>
      <c r="E25" s="331"/>
      <c r="F25" s="330"/>
      <c r="G25" s="319"/>
      <c r="H25" s="319"/>
      <c r="I25" s="319"/>
      <c r="J25" s="319"/>
      <c r="K25" s="319"/>
      <c r="L25" s="319"/>
      <c r="M25" s="319"/>
      <c r="N25" s="313"/>
      <c r="O25" s="312" t="str">
        <f>IF(N25&lt;=0,"",IF(N25&lt;=2,"Muy Baja",IF(N25&lt;=24,"Baja",IF(N25&lt;=500,"Media",IF(N25&lt;=5000,"Alta","Muy Alta")))))</f>
        <v/>
      </c>
      <c r="P25" s="311" t="str">
        <f>IF(O25="","",IF(O25="Muy Baja",0.2,IF(O25="Baja",0.4,IF(O25="Media",0.6,IF(O25="Alta",0.8,IF(O25="Muy Alta",1,))))))</f>
        <v/>
      </c>
      <c r="Q25" s="310"/>
      <c r="R25" s="311">
        <f>IF(NOT(ISERROR(MATCH(Q25,'Tabla Impacto'!$B$222:$B$224,0))),'Tabla Impacto'!$F$224&amp;"Por favor no seleccionar los criterios de impacto(Afectación Económica o presupuestal y Pérdida Reputacional)",Q25)</f>
        <v>0</v>
      </c>
      <c r="S25" s="312" t="str">
        <f>IF(OR(R25='Tabla Impacto'!$C$12,R25='Tabla Impacto'!$D$12),"Leve",IF(OR(R25='Tabla Impacto'!$C$13,R25='Tabla Impacto'!$D$13),"Menor",IF(OR(R25='Tabla Impacto'!$C$14,R25='Tabla Impacto'!$D$14),"Moderado",IF(OR(R25='Tabla Impacto'!$C$15,R25='Tabla Impacto'!$D$15),"Mayor",IF(OR(R25='Tabla Impacto'!$C$16,R25='Tabla Impacto'!$D$16),"Catastrófico","")))))</f>
        <v/>
      </c>
      <c r="T25" s="311" t="str">
        <f>IF(S25="","",IF(S25="Leve",0.2,IF(S25="Menor",0.4,IF(S25="Moderado",0.6,IF(S25="Mayor",0.8,IF(S25="Catastrófico",1,))))))</f>
        <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00">
        <v>1</v>
      </c>
      <c r="W25" s="174"/>
      <c r="X25" s="175" t="str">
        <f>IF(OR(Y25="Preventivo",Y25="Detectivo"),"Probabilidad",IF(Y25="Correctivo","Impacto",""))</f>
        <v/>
      </c>
      <c r="Y25" s="176"/>
      <c r="Z25" s="176"/>
      <c r="AA25" s="177" t="str">
        <f>IF(AND(Y25="Preventivo",Z25="Automático"),"50%",IF(AND(Y25="Preventivo",Z25="Manual"),"40%",IF(AND(Y25="Detectivo",Z25="Automático"),"40%",IF(AND(Y25="Detectivo",Z25="Manual"),"30%",IF(AND(Y25="Correctivo",Z25="Automático"),"35%",IF(AND(Y25="Correctivo",Z25="Manual"),"25%",""))))))</f>
        <v/>
      </c>
      <c r="AB25" s="176"/>
      <c r="AC25" s="176"/>
      <c r="AD25" s="176"/>
      <c r="AE25" s="178" t="str">
        <f>IFERROR(IF(X25="Probabilidad",(P25-(+P25*AA25)),IF(X25="Impacto",P25,"")),"")</f>
        <v/>
      </c>
      <c r="AF25" s="179" t="str">
        <f>IFERROR(IF(AE25="","",IF(AE25&lt;=0.2,"Muy Baja",IF(AE25&lt;=0.4,"Baja",IF(AE25&lt;=0.6,"Media",IF(AE25&lt;=0.8,"Alta","Muy Alta"))))),"")</f>
        <v/>
      </c>
      <c r="AG25" s="177" t="str">
        <f>+AE25</f>
        <v/>
      </c>
      <c r="AH25" s="179" t="str">
        <f>IFERROR(IF(AI25="","",IF(AI25&lt;=0.2,"Leve",IF(AI25&lt;=0.4,"Menor",IF(AI25&lt;=0.6,"Moderado",IF(AI25&lt;=0.8,"Mayor","Catastrófico"))))),"")</f>
        <v/>
      </c>
      <c r="AI25" s="177" t="str">
        <f t="shared" ref="AI25" si="18">IFERROR(IF(X25="Impacto",(T25-(+T25*AA25)),IF(X25="Probabilidad",T25,"")),"")</f>
        <v/>
      </c>
      <c r="AJ25" s="180"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81"/>
      <c r="AL25" s="172"/>
      <c r="AM25" s="182"/>
      <c r="AN25" s="182"/>
      <c r="AO25" s="183"/>
      <c r="AP25" s="313"/>
      <c r="AQ25" s="313"/>
      <c r="AR25" s="313"/>
    </row>
    <row r="26" spans="1:44" x14ac:dyDescent="0.2">
      <c r="A26" s="329"/>
      <c r="B26" s="330"/>
      <c r="C26" s="330"/>
      <c r="D26" s="330"/>
      <c r="E26" s="331"/>
      <c r="F26" s="330"/>
      <c r="G26" s="320"/>
      <c r="H26" s="320"/>
      <c r="I26" s="320"/>
      <c r="J26" s="320"/>
      <c r="K26" s="320"/>
      <c r="L26" s="320"/>
      <c r="M26" s="320"/>
      <c r="N26" s="313"/>
      <c r="O26" s="312"/>
      <c r="P26" s="311"/>
      <c r="Q26" s="310"/>
      <c r="R26" s="311">
        <f>IF(NOT(ISERROR(MATCH(Q26,_xlfn.ANCHORARRAY(E37),0))),P39&amp;"Por favor no seleccionar los criterios de impacto",Q26)</f>
        <v>0</v>
      </c>
      <c r="S26" s="312"/>
      <c r="T26" s="311"/>
      <c r="U26" s="324"/>
      <c r="V26" s="200">
        <v>2</v>
      </c>
      <c r="W26" s="174"/>
      <c r="X26" s="175" t="str">
        <f>IF(OR(Y26="Preventivo",Y26="Detectivo"),"Probabilidad",IF(Y26="Correctivo","Impacto",""))</f>
        <v/>
      </c>
      <c r="Y26" s="176"/>
      <c r="Z26" s="176"/>
      <c r="AA26" s="177" t="str">
        <f t="shared" ref="AA26:AA30" si="19">IF(AND(Y26="Preventivo",Z26="Automático"),"50%",IF(AND(Y26="Preventivo",Z26="Manual"),"40%",IF(AND(Y26="Detectivo",Z26="Automático"),"40%",IF(AND(Y26="Detectivo",Z26="Manual"),"30%",IF(AND(Y26="Correctivo",Z26="Automático"),"35%",IF(AND(Y26="Correctivo",Z26="Manual"),"25%",""))))))</f>
        <v/>
      </c>
      <c r="AB26" s="176"/>
      <c r="AC26" s="176"/>
      <c r="AD26" s="176"/>
      <c r="AE26" s="178" t="str">
        <f>IFERROR(IF(AND(X25="Probabilidad",X26="Probabilidad"),(AG25-(+AG25*AA26)),IF(X26="Probabilidad",(P25-(+P25*AA26)),IF(X26="Impacto",AG25,""))),"")</f>
        <v/>
      </c>
      <c r="AF26" s="179" t="str">
        <f t="shared" si="2"/>
        <v/>
      </c>
      <c r="AG26" s="177" t="str">
        <f t="shared" ref="AG26:AG30" si="20">+AE26</f>
        <v/>
      </c>
      <c r="AH26" s="179" t="str">
        <f t="shared" si="4"/>
        <v/>
      </c>
      <c r="AI26" s="177" t="str">
        <f t="shared" ref="AI26" si="21">IFERROR(IF(AND(X25="Impacto",X26="Impacto"),(AI25-(+AI25*AA26)),IF(X26="Impacto",($T$13-(+$T$13*AA26)),IF(X26="Probabilidad",AI25,""))),"")</f>
        <v/>
      </c>
      <c r="AJ26" s="180" t="str">
        <f t="shared" ref="AJ26:AJ27" si="22">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1"/>
      <c r="AL26" s="172"/>
      <c r="AM26" s="182"/>
      <c r="AN26" s="182"/>
      <c r="AO26" s="183"/>
      <c r="AP26" s="313"/>
      <c r="AQ26" s="313"/>
      <c r="AR26" s="313"/>
    </row>
    <row r="27" spans="1:44" x14ac:dyDescent="0.2">
      <c r="A27" s="329"/>
      <c r="B27" s="330"/>
      <c r="C27" s="330"/>
      <c r="D27" s="330"/>
      <c r="E27" s="331"/>
      <c r="F27" s="330"/>
      <c r="G27" s="320"/>
      <c r="H27" s="320"/>
      <c r="I27" s="320"/>
      <c r="J27" s="320"/>
      <c r="K27" s="320"/>
      <c r="L27" s="320"/>
      <c r="M27" s="320"/>
      <c r="N27" s="313"/>
      <c r="O27" s="312"/>
      <c r="P27" s="311"/>
      <c r="Q27" s="310"/>
      <c r="R27" s="311">
        <f>IF(NOT(ISERROR(MATCH(Q27,_xlfn.ANCHORARRAY(E38),0))),P40&amp;"Por favor no seleccionar los criterios de impacto",Q27)</f>
        <v>0</v>
      </c>
      <c r="S27" s="312"/>
      <c r="T27" s="311"/>
      <c r="U27" s="324"/>
      <c r="V27" s="200">
        <v>3</v>
      </c>
      <c r="W27" s="174"/>
      <c r="X27" s="175" t="str">
        <f>IF(OR(Y27="Preventivo",Y27="Detectivo"),"Probabilidad",IF(Y27="Correctivo","Impacto",""))</f>
        <v/>
      </c>
      <c r="Y27" s="176"/>
      <c r="Z27" s="176"/>
      <c r="AA27" s="177" t="str">
        <f t="shared" si="19"/>
        <v/>
      </c>
      <c r="AB27" s="176"/>
      <c r="AC27" s="176"/>
      <c r="AD27" s="176"/>
      <c r="AE27" s="178" t="str">
        <f>IFERROR(IF(AND(X26="Probabilidad",X27="Probabilidad"),(AG26-(+AG26*AA27)),IF(AND(X26="Impacto",X27="Probabilidad"),(AG25-(+AG25*AA27)),IF(X27="Impacto",AG26,""))),"")</f>
        <v/>
      </c>
      <c r="AF27" s="179" t="str">
        <f t="shared" si="2"/>
        <v/>
      </c>
      <c r="AG27" s="177" t="str">
        <f t="shared" si="20"/>
        <v/>
      </c>
      <c r="AH27" s="179" t="str">
        <f t="shared" si="4"/>
        <v/>
      </c>
      <c r="AI27" s="177" t="str">
        <f t="shared" ref="AI27" si="23">IFERROR(IF(AND(X26="Impacto",X27="Impacto"),(AI26-(+AI26*AA27)),IF(AND(X26="Probabilidad",X27="Impacto"),(AI25-(+AI25*AA27)),IF(X27="Probabilidad",AI26,""))),"")</f>
        <v/>
      </c>
      <c r="AJ27" s="180" t="str">
        <f t="shared" si="22"/>
        <v/>
      </c>
      <c r="AK27" s="181"/>
      <c r="AL27" s="172"/>
      <c r="AM27" s="182"/>
      <c r="AN27" s="182"/>
      <c r="AO27" s="183"/>
      <c r="AP27" s="313"/>
      <c r="AQ27" s="313"/>
      <c r="AR27" s="313"/>
    </row>
    <row r="28" spans="1:44" x14ac:dyDescent="0.2">
      <c r="A28" s="329"/>
      <c r="B28" s="330"/>
      <c r="C28" s="330"/>
      <c r="D28" s="330"/>
      <c r="E28" s="331"/>
      <c r="F28" s="330"/>
      <c r="G28" s="320"/>
      <c r="H28" s="320"/>
      <c r="I28" s="320"/>
      <c r="J28" s="320"/>
      <c r="K28" s="320"/>
      <c r="L28" s="320"/>
      <c r="M28" s="320"/>
      <c r="N28" s="313"/>
      <c r="O28" s="312"/>
      <c r="P28" s="311"/>
      <c r="Q28" s="310"/>
      <c r="R28" s="311">
        <f>IF(NOT(ISERROR(MATCH(Q28,_xlfn.ANCHORARRAY(E39),0))),P41&amp;"Por favor no seleccionar los criterios de impacto",Q28)</f>
        <v>0</v>
      </c>
      <c r="S28" s="312"/>
      <c r="T28" s="311"/>
      <c r="U28" s="324"/>
      <c r="V28" s="200">
        <v>4</v>
      </c>
      <c r="W28" s="174"/>
      <c r="X28" s="175" t="str">
        <f t="shared" ref="X28:X30" si="24">IF(OR(Y28="Preventivo",Y28="Detectivo"),"Probabilidad",IF(Y28="Correctivo","Impacto",""))</f>
        <v/>
      </c>
      <c r="Y28" s="176"/>
      <c r="Z28" s="176"/>
      <c r="AA28" s="177" t="str">
        <f t="shared" si="19"/>
        <v/>
      </c>
      <c r="AB28" s="176"/>
      <c r="AC28" s="176"/>
      <c r="AD28" s="176"/>
      <c r="AE28" s="178" t="str">
        <f t="shared" ref="AE28:AE30" si="25">IFERROR(IF(AND(X27="Probabilidad",X28="Probabilidad"),(AG27-(+AG27*AA28)),IF(AND(X27="Impacto",X28="Probabilidad"),(AG26-(+AG26*AA28)),IF(X28="Impacto",AG27,""))),"")</f>
        <v/>
      </c>
      <c r="AF28" s="179" t="str">
        <f t="shared" si="2"/>
        <v/>
      </c>
      <c r="AG28" s="177" t="str">
        <f t="shared" si="20"/>
        <v/>
      </c>
      <c r="AH28" s="179" t="str">
        <f t="shared" si="4"/>
        <v/>
      </c>
      <c r="AI28" s="177" t="str">
        <f t="shared" si="14"/>
        <v/>
      </c>
      <c r="AJ28" s="180"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1"/>
      <c r="AL28" s="172"/>
      <c r="AM28" s="182"/>
      <c r="AN28" s="182"/>
      <c r="AO28" s="183"/>
      <c r="AP28" s="313"/>
      <c r="AQ28" s="313"/>
      <c r="AR28" s="313"/>
    </row>
    <row r="29" spans="1:44" x14ac:dyDescent="0.2">
      <c r="A29" s="329"/>
      <c r="B29" s="330"/>
      <c r="C29" s="330"/>
      <c r="D29" s="330"/>
      <c r="E29" s="331"/>
      <c r="F29" s="330"/>
      <c r="G29" s="320"/>
      <c r="H29" s="320"/>
      <c r="I29" s="320"/>
      <c r="J29" s="320"/>
      <c r="K29" s="320"/>
      <c r="L29" s="320"/>
      <c r="M29" s="320"/>
      <c r="N29" s="313"/>
      <c r="O29" s="312"/>
      <c r="P29" s="311"/>
      <c r="Q29" s="310"/>
      <c r="R29" s="311">
        <f>IF(NOT(ISERROR(MATCH(Q29,_xlfn.ANCHORARRAY(E40),0))),P42&amp;"Por favor no seleccionar los criterios de impacto",Q29)</f>
        <v>0</v>
      </c>
      <c r="S29" s="312"/>
      <c r="T29" s="311"/>
      <c r="U29" s="324"/>
      <c r="V29" s="200">
        <v>5</v>
      </c>
      <c r="W29" s="174"/>
      <c r="X29" s="175" t="str">
        <f t="shared" si="24"/>
        <v/>
      </c>
      <c r="Y29" s="176"/>
      <c r="Z29" s="176"/>
      <c r="AA29" s="177" t="str">
        <f t="shared" si="19"/>
        <v/>
      </c>
      <c r="AB29" s="176"/>
      <c r="AC29" s="176"/>
      <c r="AD29" s="176"/>
      <c r="AE29" s="178" t="str">
        <f t="shared" si="25"/>
        <v/>
      </c>
      <c r="AF29" s="179" t="str">
        <f t="shared" si="2"/>
        <v/>
      </c>
      <c r="AG29" s="177" t="str">
        <f t="shared" si="20"/>
        <v/>
      </c>
      <c r="AH29" s="179" t="str">
        <f t="shared" si="4"/>
        <v/>
      </c>
      <c r="AI29" s="177" t="str">
        <f t="shared" si="14"/>
        <v/>
      </c>
      <c r="AJ29" s="180" t="str">
        <f t="shared" ref="AJ29:AJ30" si="26">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1"/>
      <c r="AL29" s="172"/>
      <c r="AM29" s="182"/>
      <c r="AN29" s="182"/>
      <c r="AO29" s="183"/>
      <c r="AP29" s="313"/>
      <c r="AQ29" s="313"/>
      <c r="AR29" s="313"/>
    </row>
    <row r="30" spans="1:44" x14ac:dyDescent="0.2">
      <c r="A30" s="329"/>
      <c r="B30" s="330"/>
      <c r="C30" s="330"/>
      <c r="D30" s="330"/>
      <c r="E30" s="331"/>
      <c r="F30" s="330"/>
      <c r="G30" s="321"/>
      <c r="H30" s="321"/>
      <c r="I30" s="321"/>
      <c r="J30" s="321"/>
      <c r="K30" s="321"/>
      <c r="L30" s="321"/>
      <c r="M30" s="321"/>
      <c r="N30" s="313"/>
      <c r="O30" s="312"/>
      <c r="P30" s="311"/>
      <c r="Q30" s="310"/>
      <c r="R30" s="311">
        <f>IF(NOT(ISERROR(MATCH(Q30,_xlfn.ANCHORARRAY(E41),0))),P43&amp;"Por favor no seleccionar los criterios de impacto",Q30)</f>
        <v>0</v>
      </c>
      <c r="S30" s="312"/>
      <c r="T30" s="311"/>
      <c r="U30" s="324"/>
      <c r="V30" s="200">
        <v>6</v>
      </c>
      <c r="W30" s="174"/>
      <c r="X30" s="175" t="str">
        <f t="shared" si="24"/>
        <v/>
      </c>
      <c r="Y30" s="176"/>
      <c r="Z30" s="176"/>
      <c r="AA30" s="177" t="str">
        <f t="shared" si="19"/>
        <v/>
      </c>
      <c r="AB30" s="176"/>
      <c r="AC30" s="176"/>
      <c r="AD30" s="176"/>
      <c r="AE30" s="178" t="str">
        <f t="shared" si="25"/>
        <v/>
      </c>
      <c r="AF30" s="179" t="str">
        <f t="shared" si="2"/>
        <v/>
      </c>
      <c r="AG30" s="177" t="str">
        <f t="shared" si="20"/>
        <v/>
      </c>
      <c r="AH30" s="179" t="str">
        <f t="shared" si="4"/>
        <v/>
      </c>
      <c r="AI30" s="177" t="str">
        <f t="shared" si="14"/>
        <v/>
      </c>
      <c r="AJ30" s="180" t="str">
        <f t="shared" si="26"/>
        <v/>
      </c>
      <c r="AK30" s="181"/>
      <c r="AL30" s="172"/>
      <c r="AM30" s="182"/>
      <c r="AN30" s="182"/>
      <c r="AO30" s="183"/>
      <c r="AP30" s="313"/>
      <c r="AQ30" s="313"/>
      <c r="AR30" s="313"/>
    </row>
    <row r="31" spans="1:44" x14ac:dyDescent="0.2">
      <c r="A31" s="329">
        <v>4</v>
      </c>
      <c r="B31" s="330"/>
      <c r="C31" s="330"/>
      <c r="D31" s="330"/>
      <c r="E31" s="332"/>
      <c r="F31" s="330"/>
      <c r="G31" s="319"/>
      <c r="H31" s="319"/>
      <c r="I31" s="319"/>
      <c r="J31" s="319"/>
      <c r="K31" s="319"/>
      <c r="L31" s="319"/>
      <c r="M31" s="319"/>
      <c r="N31" s="313"/>
      <c r="O31" s="312" t="str">
        <f>IF(N31&lt;=0,"",IF(N31&lt;=2,"Muy Baja",IF(N31&lt;=24,"Baja",IF(N31&lt;=500,"Media",IF(N31&lt;=5000,"Alta","Muy Alta")))))</f>
        <v/>
      </c>
      <c r="P31" s="311" t="str">
        <f>IF(O31="","",IF(O31="Muy Baja",0.2,IF(O31="Baja",0.4,IF(O31="Media",0.6,IF(O31="Alta",0.8,IF(O31="Muy Alta",1,))))))</f>
        <v/>
      </c>
      <c r="Q31" s="310"/>
      <c r="R31" s="311">
        <f>IF(NOT(ISERROR(MATCH(Q31,'Tabla Impacto'!$B$222:$B$224,0))),'Tabla Impacto'!$F$224&amp;"Por favor no seleccionar los criterios de impacto(Afectación Económica o presupuestal y Pérdida Reputacional)",Q31)</f>
        <v>0</v>
      </c>
      <c r="S31" s="312" t="str">
        <f>IF(OR(R31='Tabla Impacto'!$C$12,R31='Tabla Impacto'!$D$12),"Leve",IF(OR(R31='Tabla Impacto'!$C$13,R31='Tabla Impacto'!$D$13),"Menor",IF(OR(R31='Tabla Impacto'!$C$14,R31='Tabla Impacto'!$D$14),"Moderado",IF(OR(R31='Tabla Impacto'!$C$15,R31='Tabla Impacto'!$D$15),"Mayor",IF(OR(R31='Tabla Impacto'!$C$16,R31='Tabla Impacto'!$D$16),"Catastrófico","")))))</f>
        <v/>
      </c>
      <c r="T31" s="311" t="str">
        <f>IF(S31="","",IF(S31="Leve",0.2,IF(S31="Menor",0.4,IF(S31="Moderado",0.6,IF(S31="Mayor",0.8,IF(S31="Catastrófico",1,))))))</f>
        <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00">
        <v>1</v>
      </c>
      <c r="W31" s="174"/>
      <c r="X31" s="175" t="str">
        <f>IF(OR(Y31="Preventivo",Y31="Detectivo"),"Probabilidad",IF(Y31="Correctivo","Impacto",""))</f>
        <v/>
      </c>
      <c r="Y31" s="176"/>
      <c r="Z31" s="176"/>
      <c r="AA31" s="177" t="str">
        <f>IF(AND(Y31="Preventivo",Z31="Automático"),"50%",IF(AND(Y31="Preventivo",Z31="Manual"),"40%",IF(AND(Y31="Detectivo",Z31="Automático"),"40%",IF(AND(Y31="Detectivo",Z31="Manual"),"30%",IF(AND(Y31="Correctivo",Z31="Automático"),"35%",IF(AND(Y31="Correctivo",Z31="Manual"),"25%",""))))))</f>
        <v/>
      </c>
      <c r="AB31" s="176"/>
      <c r="AC31" s="176"/>
      <c r="AD31" s="176"/>
      <c r="AE31" s="178" t="str">
        <f>IFERROR(IF(X31="Probabilidad",(P31-(+P31*AA31)),IF(X31="Impacto",P31,"")),"")</f>
        <v/>
      </c>
      <c r="AF31" s="179" t="str">
        <f>IFERROR(IF(AE31="","",IF(AE31&lt;=0.2,"Muy Baja",IF(AE31&lt;=0.4,"Baja",IF(AE31&lt;=0.6,"Media",IF(AE31&lt;=0.8,"Alta","Muy Alta"))))),"")</f>
        <v/>
      </c>
      <c r="AG31" s="177" t="str">
        <f>+AE31</f>
        <v/>
      </c>
      <c r="AH31" s="179" t="str">
        <f>IFERROR(IF(AI31="","",IF(AI31&lt;=0.2,"Leve",IF(AI31&lt;=0.4,"Menor",IF(AI31&lt;=0.6,"Moderado",IF(AI31&lt;=0.8,"Mayor","Catastrófico"))))),"")</f>
        <v/>
      </c>
      <c r="AI31" s="177" t="str">
        <f t="shared" ref="AI31" si="27">IFERROR(IF(X31="Impacto",(T31-(+T31*AA31)),IF(X31="Probabilidad",T31,"")),"")</f>
        <v/>
      </c>
      <c r="AJ31" s="180"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81"/>
      <c r="AL31" s="172"/>
      <c r="AM31" s="182"/>
      <c r="AN31" s="182"/>
      <c r="AO31" s="183"/>
      <c r="AP31" s="313"/>
      <c r="AQ31" s="313"/>
      <c r="AR31" s="313"/>
    </row>
    <row r="32" spans="1:44" x14ac:dyDescent="0.2">
      <c r="A32" s="329"/>
      <c r="B32" s="330"/>
      <c r="C32" s="330"/>
      <c r="D32" s="330"/>
      <c r="E32" s="333"/>
      <c r="F32" s="330"/>
      <c r="G32" s="320"/>
      <c r="H32" s="320"/>
      <c r="I32" s="320"/>
      <c r="J32" s="320"/>
      <c r="K32" s="320"/>
      <c r="L32" s="320"/>
      <c r="M32" s="320"/>
      <c r="N32" s="313"/>
      <c r="O32" s="312"/>
      <c r="P32" s="311"/>
      <c r="Q32" s="310"/>
      <c r="R32" s="311">
        <f>IF(NOT(ISERROR(MATCH(Q32,_xlfn.ANCHORARRAY(E43),0))),P45&amp;"Por favor no seleccionar los criterios de impacto",Q32)</f>
        <v>0</v>
      </c>
      <c r="S32" s="312"/>
      <c r="T32" s="311"/>
      <c r="U32" s="324"/>
      <c r="V32" s="200">
        <v>2</v>
      </c>
      <c r="W32" s="174"/>
      <c r="X32" s="175" t="str">
        <f>IF(OR(Y32="Preventivo",Y32="Detectivo"),"Probabilidad",IF(Y32="Correctivo","Impacto",""))</f>
        <v/>
      </c>
      <c r="Y32" s="176"/>
      <c r="Z32" s="176"/>
      <c r="AA32" s="177" t="str">
        <f t="shared" ref="AA32:AA36" si="28">IF(AND(Y32="Preventivo",Z32="Automático"),"50%",IF(AND(Y32="Preventivo",Z32="Manual"),"40%",IF(AND(Y32="Detectivo",Z32="Automático"),"40%",IF(AND(Y32="Detectivo",Z32="Manual"),"30%",IF(AND(Y32="Correctivo",Z32="Automático"),"35%",IF(AND(Y32="Correctivo",Z32="Manual"),"25%",""))))))</f>
        <v/>
      </c>
      <c r="AB32" s="176"/>
      <c r="AC32" s="176"/>
      <c r="AD32" s="176"/>
      <c r="AE32" s="178" t="str">
        <f>IFERROR(IF(AND(X31="Probabilidad",X32="Probabilidad"),(AG31-(+AG31*AA32)),IF(X32="Probabilidad",(P31-(+P31*AA32)),IF(X32="Impacto",AG31,""))),"")</f>
        <v/>
      </c>
      <c r="AF32" s="179" t="str">
        <f t="shared" si="2"/>
        <v/>
      </c>
      <c r="AG32" s="177" t="str">
        <f t="shared" ref="AG32:AG36" si="29">+AE32</f>
        <v/>
      </c>
      <c r="AH32" s="179" t="str">
        <f t="shared" si="4"/>
        <v/>
      </c>
      <c r="AI32" s="177" t="str">
        <f t="shared" ref="AI32" si="30">IFERROR(IF(AND(X31="Impacto",X32="Impacto"),(AI31-(+AI31*AA32)),IF(X32="Impacto",($T$13-(+$T$13*AA32)),IF(X32="Probabilidad",AI31,""))),"")</f>
        <v/>
      </c>
      <c r="AJ32" s="180" t="str">
        <f t="shared" ref="AJ32:AJ33" si="31">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1"/>
      <c r="AL32" s="172"/>
      <c r="AM32" s="182"/>
      <c r="AN32" s="182"/>
      <c r="AO32" s="183"/>
      <c r="AP32" s="313"/>
      <c r="AQ32" s="313"/>
      <c r="AR32" s="313"/>
    </row>
    <row r="33" spans="1:44" x14ac:dyDescent="0.2">
      <c r="A33" s="329"/>
      <c r="B33" s="330"/>
      <c r="C33" s="330"/>
      <c r="D33" s="330"/>
      <c r="E33" s="333"/>
      <c r="F33" s="330"/>
      <c r="G33" s="320"/>
      <c r="H33" s="320"/>
      <c r="I33" s="320"/>
      <c r="J33" s="320"/>
      <c r="K33" s="320"/>
      <c r="L33" s="320"/>
      <c r="M33" s="320"/>
      <c r="N33" s="313"/>
      <c r="O33" s="312"/>
      <c r="P33" s="311"/>
      <c r="Q33" s="310"/>
      <c r="R33" s="311">
        <f>IF(NOT(ISERROR(MATCH(Q33,_xlfn.ANCHORARRAY(E44),0))),P46&amp;"Por favor no seleccionar los criterios de impacto",Q33)</f>
        <v>0</v>
      </c>
      <c r="S33" s="312"/>
      <c r="T33" s="311"/>
      <c r="U33" s="324"/>
      <c r="V33" s="200">
        <v>3</v>
      </c>
      <c r="W33" s="174"/>
      <c r="X33" s="175" t="str">
        <f>IF(OR(Y33="Preventivo",Y33="Detectivo"),"Probabilidad",IF(Y33="Correctivo","Impacto",""))</f>
        <v/>
      </c>
      <c r="Y33" s="176"/>
      <c r="Z33" s="176"/>
      <c r="AA33" s="177" t="str">
        <f t="shared" si="28"/>
        <v/>
      </c>
      <c r="AB33" s="176"/>
      <c r="AC33" s="176"/>
      <c r="AD33" s="176"/>
      <c r="AE33" s="178" t="str">
        <f>IFERROR(IF(AND(X32="Probabilidad",X33="Probabilidad"),(AG32-(+AG32*AA33)),IF(AND(X32="Impacto",X33="Probabilidad"),(AG31-(+AG31*AA33)),IF(X33="Impacto",AG32,""))),"")</f>
        <v/>
      </c>
      <c r="AF33" s="179" t="str">
        <f t="shared" si="2"/>
        <v/>
      </c>
      <c r="AG33" s="177" t="str">
        <f t="shared" si="29"/>
        <v/>
      </c>
      <c r="AH33" s="179" t="str">
        <f t="shared" si="4"/>
        <v/>
      </c>
      <c r="AI33" s="177" t="str">
        <f t="shared" ref="AI33" si="32">IFERROR(IF(AND(X32="Impacto",X33="Impacto"),(AI32-(+AI32*AA33)),IF(AND(X32="Probabilidad",X33="Impacto"),(AI31-(+AI31*AA33)),IF(X33="Probabilidad",AI32,""))),"")</f>
        <v/>
      </c>
      <c r="AJ33" s="180" t="str">
        <f t="shared" si="31"/>
        <v/>
      </c>
      <c r="AK33" s="181"/>
      <c r="AL33" s="172"/>
      <c r="AM33" s="182"/>
      <c r="AN33" s="182"/>
      <c r="AO33" s="183"/>
      <c r="AP33" s="313"/>
      <c r="AQ33" s="313"/>
      <c r="AR33" s="313"/>
    </row>
    <row r="34" spans="1:44" x14ac:dyDescent="0.2">
      <c r="A34" s="329"/>
      <c r="B34" s="330"/>
      <c r="C34" s="330"/>
      <c r="D34" s="330"/>
      <c r="E34" s="333"/>
      <c r="F34" s="330"/>
      <c r="G34" s="320"/>
      <c r="H34" s="320"/>
      <c r="I34" s="320"/>
      <c r="J34" s="320"/>
      <c r="K34" s="320"/>
      <c r="L34" s="320"/>
      <c r="M34" s="320"/>
      <c r="N34" s="313"/>
      <c r="O34" s="312"/>
      <c r="P34" s="311"/>
      <c r="Q34" s="310"/>
      <c r="R34" s="311">
        <f>IF(NOT(ISERROR(MATCH(Q34,_xlfn.ANCHORARRAY(E45),0))),P47&amp;"Por favor no seleccionar los criterios de impacto",Q34)</f>
        <v>0</v>
      </c>
      <c r="S34" s="312"/>
      <c r="T34" s="311"/>
      <c r="U34" s="324"/>
      <c r="V34" s="200">
        <v>4</v>
      </c>
      <c r="W34" s="174"/>
      <c r="X34" s="175" t="str">
        <f t="shared" ref="X34:X36" si="33">IF(OR(Y34="Preventivo",Y34="Detectivo"),"Probabilidad",IF(Y34="Correctivo","Impacto",""))</f>
        <v/>
      </c>
      <c r="Y34" s="176"/>
      <c r="Z34" s="176"/>
      <c r="AA34" s="177" t="str">
        <f t="shared" si="28"/>
        <v/>
      </c>
      <c r="AB34" s="176"/>
      <c r="AC34" s="176"/>
      <c r="AD34" s="176"/>
      <c r="AE34" s="178" t="str">
        <f t="shared" ref="AE34:AE36" si="34">IFERROR(IF(AND(X33="Probabilidad",X34="Probabilidad"),(AG33-(+AG33*AA34)),IF(AND(X33="Impacto",X34="Probabilidad"),(AG32-(+AG32*AA34)),IF(X34="Impacto",AG33,""))),"")</f>
        <v/>
      </c>
      <c r="AF34" s="179" t="str">
        <f t="shared" si="2"/>
        <v/>
      </c>
      <c r="AG34" s="177" t="str">
        <f t="shared" si="29"/>
        <v/>
      </c>
      <c r="AH34" s="179" t="str">
        <f t="shared" si="4"/>
        <v/>
      </c>
      <c r="AI34" s="177" t="str">
        <f t="shared" si="14"/>
        <v/>
      </c>
      <c r="AJ34" s="180"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1"/>
      <c r="AL34" s="172"/>
      <c r="AM34" s="182"/>
      <c r="AN34" s="182"/>
      <c r="AO34" s="183"/>
      <c r="AP34" s="313"/>
      <c r="AQ34" s="313"/>
      <c r="AR34" s="313"/>
    </row>
    <row r="35" spans="1:44" x14ac:dyDescent="0.2">
      <c r="A35" s="329"/>
      <c r="B35" s="330"/>
      <c r="C35" s="330"/>
      <c r="D35" s="330"/>
      <c r="E35" s="333"/>
      <c r="F35" s="330"/>
      <c r="G35" s="320"/>
      <c r="H35" s="320"/>
      <c r="I35" s="320"/>
      <c r="J35" s="320"/>
      <c r="K35" s="320"/>
      <c r="L35" s="320"/>
      <c r="M35" s="320"/>
      <c r="N35" s="313"/>
      <c r="O35" s="312"/>
      <c r="P35" s="311"/>
      <c r="Q35" s="310"/>
      <c r="R35" s="311">
        <f>IF(NOT(ISERROR(MATCH(Q35,_xlfn.ANCHORARRAY(E46),0))),P48&amp;"Por favor no seleccionar los criterios de impacto",Q35)</f>
        <v>0</v>
      </c>
      <c r="S35" s="312"/>
      <c r="T35" s="311"/>
      <c r="U35" s="324"/>
      <c r="V35" s="200">
        <v>5</v>
      </c>
      <c r="W35" s="174"/>
      <c r="X35" s="175" t="str">
        <f t="shared" si="33"/>
        <v/>
      </c>
      <c r="Y35" s="176"/>
      <c r="Z35" s="176"/>
      <c r="AA35" s="177" t="str">
        <f t="shared" si="28"/>
        <v/>
      </c>
      <c r="AB35" s="176"/>
      <c r="AC35" s="176"/>
      <c r="AD35" s="176"/>
      <c r="AE35" s="178" t="str">
        <f t="shared" si="34"/>
        <v/>
      </c>
      <c r="AF35" s="179" t="str">
        <f>IFERROR(IF(AE35="","",IF(AE35&lt;=0.2,"Muy Baja",IF(AE35&lt;=0.4,"Baja",IF(AE35&lt;=0.6,"Media",IF(AE35&lt;=0.8,"Alta","Muy Alta"))))),"")</f>
        <v/>
      </c>
      <c r="AG35" s="177" t="str">
        <f t="shared" si="29"/>
        <v/>
      </c>
      <c r="AH35" s="179" t="str">
        <f t="shared" si="4"/>
        <v/>
      </c>
      <c r="AI35" s="177" t="str">
        <f t="shared" si="14"/>
        <v/>
      </c>
      <c r="AJ35" s="180" t="str">
        <f t="shared" ref="AJ35:AJ36" si="35">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1"/>
      <c r="AL35" s="172"/>
      <c r="AM35" s="182"/>
      <c r="AN35" s="182"/>
      <c r="AO35" s="183"/>
      <c r="AP35" s="313"/>
      <c r="AQ35" s="313"/>
      <c r="AR35" s="313"/>
    </row>
    <row r="36" spans="1:44" x14ac:dyDescent="0.2">
      <c r="A36" s="329"/>
      <c r="B36" s="330"/>
      <c r="C36" s="330"/>
      <c r="D36" s="330"/>
      <c r="E36" s="333"/>
      <c r="F36" s="330"/>
      <c r="G36" s="321"/>
      <c r="H36" s="321"/>
      <c r="I36" s="321"/>
      <c r="J36" s="321"/>
      <c r="K36" s="321"/>
      <c r="L36" s="321"/>
      <c r="M36" s="321"/>
      <c r="N36" s="313"/>
      <c r="O36" s="312"/>
      <c r="P36" s="311"/>
      <c r="Q36" s="310"/>
      <c r="R36" s="311">
        <f>IF(NOT(ISERROR(MATCH(Q36,_xlfn.ANCHORARRAY(E47),0))),P49&amp;"Por favor no seleccionar los criterios de impacto",Q36)</f>
        <v>0</v>
      </c>
      <c r="S36" s="312"/>
      <c r="T36" s="311"/>
      <c r="U36" s="324"/>
      <c r="V36" s="200">
        <v>6</v>
      </c>
      <c r="W36" s="174"/>
      <c r="X36" s="175" t="str">
        <f t="shared" si="33"/>
        <v/>
      </c>
      <c r="Y36" s="176"/>
      <c r="Z36" s="176"/>
      <c r="AA36" s="177" t="str">
        <f t="shared" si="28"/>
        <v/>
      </c>
      <c r="AB36" s="176"/>
      <c r="AC36" s="176"/>
      <c r="AD36" s="176"/>
      <c r="AE36" s="178" t="str">
        <f t="shared" si="34"/>
        <v/>
      </c>
      <c r="AF36" s="179" t="str">
        <f t="shared" si="2"/>
        <v/>
      </c>
      <c r="AG36" s="177" t="str">
        <f t="shared" si="29"/>
        <v/>
      </c>
      <c r="AH36" s="179" t="str">
        <f t="shared" si="4"/>
        <v/>
      </c>
      <c r="AI36" s="177" t="str">
        <f t="shared" si="14"/>
        <v/>
      </c>
      <c r="AJ36" s="180" t="str">
        <f t="shared" si="35"/>
        <v/>
      </c>
      <c r="AK36" s="181"/>
      <c r="AL36" s="172"/>
      <c r="AM36" s="182"/>
      <c r="AN36" s="182"/>
      <c r="AO36" s="183"/>
      <c r="AP36" s="313"/>
      <c r="AQ36" s="313"/>
      <c r="AR36" s="313"/>
    </row>
    <row r="37" spans="1:44" x14ac:dyDescent="0.2">
      <c r="A37" s="329">
        <v>5</v>
      </c>
      <c r="B37" s="330"/>
      <c r="C37" s="330"/>
      <c r="D37" s="330"/>
      <c r="E37" s="330"/>
      <c r="F37" s="330"/>
      <c r="G37" s="319"/>
      <c r="H37" s="319"/>
      <c r="I37" s="319"/>
      <c r="J37" s="319"/>
      <c r="K37" s="319"/>
      <c r="L37" s="319"/>
      <c r="M37" s="319"/>
      <c r="N37" s="313"/>
      <c r="O37" s="312" t="str">
        <f>IF(N37&lt;=0,"",IF(N37&lt;=2,"Muy Baja",IF(N37&lt;=24,"Baja",IF(N37&lt;=500,"Media",IF(N37&lt;=5000,"Alta","Muy Alta")))))</f>
        <v/>
      </c>
      <c r="P37" s="311" t="str">
        <f>IF(O37="","",IF(O37="Muy Baja",0.2,IF(O37="Baja",0.4,IF(O37="Media",0.6,IF(O37="Alta",0.8,IF(O37="Muy Alta",1,))))))</f>
        <v/>
      </c>
      <c r="Q37" s="310"/>
      <c r="R37" s="311">
        <f>IF(NOT(ISERROR(MATCH(Q37,'Tabla Impacto'!$B$222:$B$224,0))),'Tabla Impacto'!$F$224&amp;"Por favor no seleccionar los criterios de impacto(Afectación Económica o presupuestal y Pérdida Reputacional)",Q37)</f>
        <v>0</v>
      </c>
      <c r="S37" s="312" t="str">
        <f>IF(OR(R37='Tabla Impacto'!$C$12,R37='Tabla Impacto'!$D$12),"Leve",IF(OR(R37='Tabla Impacto'!$C$13,R37='Tabla Impacto'!$D$13),"Menor",IF(OR(R37='Tabla Impacto'!$C$14,R37='Tabla Impacto'!$D$14),"Moderado",IF(OR(R37='Tabla Impacto'!$C$15,R37='Tabla Impacto'!$D$15),"Mayor",IF(OR(R37='Tabla Impacto'!$C$16,R37='Tabla Impacto'!$D$16),"Catastrófico","")))))</f>
        <v/>
      </c>
      <c r="T37" s="311"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0">
        <v>1</v>
      </c>
      <c r="W37" s="174"/>
      <c r="X37" s="175" t="str">
        <f>IF(OR(Y37="Preventivo",Y37="Detectivo"),"Probabilidad",IF(Y37="Correctivo","Impacto",""))</f>
        <v/>
      </c>
      <c r="Y37" s="176"/>
      <c r="Z37" s="176"/>
      <c r="AA37" s="177" t="str">
        <f>IF(AND(Y37="Preventivo",Z37="Automático"),"50%",IF(AND(Y37="Preventivo",Z37="Manual"),"40%",IF(AND(Y37="Detectivo",Z37="Automático"),"40%",IF(AND(Y37="Detectivo",Z37="Manual"),"30%",IF(AND(Y37="Correctivo",Z37="Automático"),"35%",IF(AND(Y37="Correctivo",Z37="Manual"),"25%",""))))))</f>
        <v/>
      </c>
      <c r="AB37" s="176"/>
      <c r="AC37" s="176"/>
      <c r="AD37" s="176"/>
      <c r="AE37" s="178" t="str">
        <f>IFERROR(IF(X37="Probabilidad",(P37-(+P37*AA37)),IF(X37="Impacto",P37,"")),"")</f>
        <v/>
      </c>
      <c r="AF37" s="179" t="str">
        <f>IFERROR(IF(AE37="","",IF(AE37&lt;=0.2,"Muy Baja",IF(AE37&lt;=0.4,"Baja",IF(AE37&lt;=0.6,"Media",IF(AE37&lt;=0.8,"Alta","Muy Alta"))))),"")</f>
        <v/>
      </c>
      <c r="AG37" s="177" t="str">
        <f>+AE37</f>
        <v/>
      </c>
      <c r="AH37" s="179" t="str">
        <f>IFERROR(IF(AI37="","",IF(AI37&lt;=0.2,"Leve",IF(AI37&lt;=0.4,"Menor",IF(AI37&lt;=0.6,"Moderado",IF(AI37&lt;=0.8,"Mayor","Catastrófico"))))),"")</f>
        <v/>
      </c>
      <c r="AI37" s="177" t="str">
        <f t="shared" ref="AI37" si="36">IFERROR(IF(X37="Impacto",(T37-(+T37*AA37)),IF(X37="Probabilidad",T37,"")),"")</f>
        <v/>
      </c>
      <c r="AJ37" s="180"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1"/>
      <c r="AL37" s="172"/>
      <c r="AM37" s="182"/>
      <c r="AN37" s="182"/>
      <c r="AO37" s="183"/>
      <c r="AP37" s="313"/>
      <c r="AQ37" s="313"/>
      <c r="AR37" s="313"/>
    </row>
    <row r="38" spans="1:44" x14ac:dyDescent="0.2">
      <c r="A38" s="329"/>
      <c r="B38" s="330"/>
      <c r="C38" s="330"/>
      <c r="D38" s="330"/>
      <c r="E38" s="330"/>
      <c r="F38" s="330"/>
      <c r="G38" s="320"/>
      <c r="H38" s="320"/>
      <c r="I38" s="320"/>
      <c r="J38" s="320"/>
      <c r="K38" s="320"/>
      <c r="L38" s="320"/>
      <c r="M38" s="320"/>
      <c r="N38" s="313"/>
      <c r="O38" s="312"/>
      <c r="P38" s="311"/>
      <c r="Q38" s="310"/>
      <c r="R38" s="311">
        <f>IF(NOT(ISERROR(MATCH(Q38,_xlfn.ANCHORARRAY(E49),0))),P51&amp;"Por favor no seleccionar los criterios de impacto",Q38)</f>
        <v>0</v>
      </c>
      <c r="S38" s="312"/>
      <c r="T38" s="311"/>
      <c r="U38" s="324"/>
      <c r="V38" s="200">
        <v>2</v>
      </c>
      <c r="W38" s="174"/>
      <c r="X38" s="175" t="str">
        <f>IF(OR(Y38="Preventivo",Y38="Detectivo"),"Probabilidad",IF(Y38="Correctivo","Impacto",""))</f>
        <v/>
      </c>
      <c r="Y38" s="176"/>
      <c r="Z38" s="176"/>
      <c r="AA38" s="177" t="str">
        <f t="shared" ref="AA38:AA42" si="37">IF(AND(Y38="Preventivo",Z38="Automático"),"50%",IF(AND(Y38="Preventivo",Z38="Manual"),"40%",IF(AND(Y38="Detectivo",Z38="Automático"),"40%",IF(AND(Y38="Detectivo",Z38="Manual"),"30%",IF(AND(Y38="Correctivo",Z38="Automático"),"35%",IF(AND(Y38="Correctivo",Z38="Manual"),"25%",""))))))</f>
        <v/>
      </c>
      <c r="AB38" s="176"/>
      <c r="AC38" s="176"/>
      <c r="AD38" s="176"/>
      <c r="AE38" s="178" t="str">
        <f>IFERROR(IF(AND(X37="Probabilidad",X38="Probabilidad"),(AG37-(+AG37*AA38)),IF(X38="Probabilidad",(P37-(+P37*AA38)),IF(X38="Impacto",AG37,""))),"")</f>
        <v/>
      </c>
      <c r="AF38" s="179" t="str">
        <f t="shared" si="2"/>
        <v/>
      </c>
      <c r="AG38" s="177" t="str">
        <f t="shared" ref="AG38:AG42" si="38">+AE38</f>
        <v/>
      </c>
      <c r="AH38" s="179" t="str">
        <f t="shared" si="4"/>
        <v/>
      </c>
      <c r="AI38" s="177" t="str">
        <f t="shared" ref="AI38" si="39">IFERROR(IF(AND(X37="Impacto",X38="Impacto"),(AI37-(+AI37*AA38)),IF(X38="Impacto",($T$13-(+$T$13*AA38)),IF(X38="Probabilidad",AI37,""))),"")</f>
        <v/>
      </c>
      <c r="AJ38" s="180" t="str">
        <f t="shared" ref="AJ38:AJ39" si="40">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1"/>
      <c r="AL38" s="172"/>
      <c r="AM38" s="182"/>
      <c r="AN38" s="182"/>
      <c r="AO38" s="183"/>
      <c r="AP38" s="313"/>
      <c r="AQ38" s="313"/>
      <c r="AR38" s="313"/>
    </row>
    <row r="39" spans="1:44" x14ac:dyDescent="0.2">
      <c r="A39" s="329"/>
      <c r="B39" s="330"/>
      <c r="C39" s="330"/>
      <c r="D39" s="330"/>
      <c r="E39" s="330"/>
      <c r="F39" s="330"/>
      <c r="G39" s="320"/>
      <c r="H39" s="320"/>
      <c r="I39" s="320"/>
      <c r="J39" s="320"/>
      <c r="K39" s="320"/>
      <c r="L39" s="320"/>
      <c r="M39" s="320"/>
      <c r="N39" s="313"/>
      <c r="O39" s="312"/>
      <c r="P39" s="311"/>
      <c r="Q39" s="310"/>
      <c r="R39" s="311">
        <f>IF(NOT(ISERROR(MATCH(Q39,_xlfn.ANCHORARRAY(E50),0))),P52&amp;"Por favor no seleccionar los criterios de impacto",Q39)</f>
        <v>0</v>
      </c>
      <c r="S39" s="312"/>
      <c r="T39" s="311"/>
      <c r="U39" s="324"/>
      <c r="V39" s="200">
        <v>3</v>
      </c>
      <c r="W39" s="174"/>
      <c r="X39" s="175" t="str">
        <f>IF(OR(Y39="Preventivo",Y39="Detectivo"),"Probabilidad",IF(Y39="Correctivo","Impacto",""))</f>
        <v/>
      </c>
      <c r="Y39" s="176"/>
      <c r="Z39" s="176"/>
      <c r="AA39" s="177" t="str">
        <f t="shared" si="37"/>
        <v/>
      </c>
      <c r="AB39" s="176"/>
      <c r="AC39" s="176"/>
      <c r="AD39" s="176"/>
      <c r="AE39" s="178" t="str">
        <f>IFERROR(IF(AND(X38="Probabilidad",X39="Probabilidad"),(AG38-(+AG38*AA39)),IF(AND(X38="Impacto",X39="Probabilidad"),(AG37-(+AG37*AA39)),IF(X39="Impacto",AG38,""))),"")</f>
        <v/>
      </c>
      <c r="AF39" s="179" t="str">
        <f t="shared" si="2"/>
        <v/>
      </c>
      <c r="AG39" s="177" t="str">
        <f t="shared" si="38"/>
        <v/>
      </c>
      <c r="AH39" s="179" t="str">
        <f t="shared" si="4"/>
        <v/>
      </c>
      <c r="AI39" s="177" t="str">
        <f t="shared" ref="AI39" si="41">IFERROR(IF(AND(X38="Impacto",X39="Impacto"),(AI38-(+AI38*AA39)),IF(AND(X38="Probabilidad",X39="Impacto"),(AI37-(+AI37*AA39)),IF(X39="Probabilidad",AI38,""))),"")</f>
        <v/>
      </c>
      <c r="AJ39" s="180" t="str">
        <f t="shared" si="40"/>
        <v/>
      </c>
      <c r="AK39" s="181"/>
      <c r="AL39" s="172"/>
      <c r="AM39" s="182"/>
      <c r="AN39" s="182"/>
      <c r="AO39" s="183"/>
      <c r="AP39" s="313"/>
      <c r="AQ39" s="313"/>
      <c r="AR39" s="313"/>
    </row>
    <row r="40" spans="1:44" x14ac:dyDescent="0.2">
      <c r="A40" s="329"/>
      <c r="B40" s="330"/>
      <c r="C40" s="330"/>
      <c r="D40" s="330"/>
      <c r="E40" s="330"/>
      <c r="F40" s="330"/>
      <c r="G40" s="320"/>
      <c r="H40" s="320"/>
      <c r="I40" s="320"/>
      <c r="J40" s="320"/>
      <c r="K40" s="320"/>
      <c r="L40" s="320"/>
      <c r="M40" s="320"/>
      <c r="N40" s="313"/>
      <c r="O40" s="312"/>
      <c r="P40" s="311"/>
      <c r="Q40" s="310"/>
      <c r="R40" s="311">
        <f>IF(NOT(ISERROR(MATCH(Q40,_xlfn.ANCHORARRAY(E51),0))),P53&amp;"Por favor no seleccionar los criterios de impacto",Q40)</f>
        <v>0</v>
      </c>
      <c r="S40" s="312"/>
      <c r="T40" s="311"/>
      <c r="U40" s="324"/>
      <c r="V40" s="200">
        <v>4</v>
      </c>
      <c r="W40" s="174"/>
      <c r="X40" s="175" t="str">
        <f t="shared" ref="X40:X42" si="42">IF(OR(Y40="Preventivo",Y40="Detectivo"),"Probabilidad",IF(Y40="Correctivo","Impacto",""))</f>
        <v/>
      </c>
      <c r="Y40" s="176"/>
      <c r="Z40" s="176"/>
      <c r="AA40" s="177" t="str">
        <f t="shared" si="37"/>
        <v/>
      </c>
      <c r="AB40" s="176"/>
      <c r="AC40" s="176"/>
      <c r="AD40" s="176"/>
      <c r="AE40" s="178" t="str">
        <f t="shared" ref="AE40:AE42" si="43">IFERROR(IF(AND(X39="Probabilidad",X40="Probabilidad"),(AG39-(+AG39*AA40)),IF(AND(X39="Impacto",X40="Probabilidad"),(AG38-(+AG38*AA40)),IF(X40="Impacto",AG39,""))),"")</f>
        <v/>
      </c>
      <c r="AF40" s="179" t="str">
        <f t="shared" si="2"/>
        <v/>
      </c>
      <c r="AG40" s="177" t="str">
        <f t="shared" si="38"/>
        <v/>
      </c>
      <c r="AH40" s="179" t="str">
        <f t="shared" si="4"/>
        <v/>
      </c>
      <c r="AI40" s="177" t="str">
        <f t="shared" si="14"/>
        <v/>
      </c>
      <c r="AJ40" s="180"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1"/>
      <c r="AL40" s="172"/>
      <c r="AM40" s="182"/>
      <c r="AN40" s="182"/>
      <c r="AO40" s="183"/>
      <c r="AP40" s="313"/>
      <c r="AQ40" s="313"/>
      <c r="AR40" s="313"/>
    </row>
    <row r="41" spans="1:44" x14ac:dyDescent="0.2">
      <c r="A41" s="329"/>
      <c r="B41" s="330"/>
      <c r="C41" s="330"/>
      <c r="D41" s="330"/>
      <c r="E41" s="330"/>
      <c r="F41" s="330"/>
      <c r="G41" s="320"/>
      <c r="H41" s="320"/>
      <c r="I41" s="320"/>
      <c r="J41" s="320"/>
      <c r="K41" s="320"/>
      <c r="L41" s="320"/>
      <c r="M41" s="320"/>
      <c r="N41" s="313"/>
      <c r="O41" s="312"/>
      <c r="P41" s="311"/>
      <c r="Q41" s="310"/>
      <c r="R41" s="311">
        <f>IF(NOT(ISERROR(MATCH(Q41,_xlfn.ANCHORARRAY(E52),0))),P54&amp;"Por favor no seleccionar los criterios de impacto",Q41)</f>
        <v>0</v>
      </c>
      <c r="S41" s="312"/>
      <c r="T41" s="311"/>
      <c r="U41" s="324"/>
      <c r="V41" s="200">
        <v>5</v>
      </c>
      <c r="W41" s="174"/>
      <c r="X41" s="175" t="str">
        <f t="shared" si="42"/>
        <v/>
      </c>
      <c r="Y41" s="176"/>
      <c r="Z41" s="176"/>
      <c r="AA41" s="177" t="str">
        <f t="shared" si="37"/>
        <v/>
      </c>
      <c r="AB41" s="176"/>
      <c r="AC41" s="176"/>
      <c r="AD41" s="176"/>
      <c r="AE41" s="178" t="str">
        <f t="shared" si="43"/>
        <v/>
      </c>
      <c r="AF41" s="179" t="str">
        <f t="shared" si="2"/>
        <v/>
      </c>
      <c r="AG41" s="177" t="str">
        <f t="shared" si="38"/>
        <v/>
      </c>
      <c r="AH41" s="179" t="str">
        <f t="shared" si="4"/>
        <v/>
      </c>
      <c r="AI41" s="177" t="str">
        <f t="shared" si="14"/>
        <v/>
      </c>
      <c r="AJ41" s="180" t="str">
        <f t="shared" ref="AJ41:AJ42" si="44">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1"/>
      <c r="AL41" s="172"/>
      <c r="AM41" s="182"/>
      <c r="AN41" s="182"/>
      <c r="AO41" s="183"/>
      <c r="AP41" s="313"/>
      <c r="AQ41" s="313"/>
      <c r="AR41" s="313"/>
    </row>
    <row r="42" spans="1:44" x14ac:dyDescent="0.2">
      <c r="A42" s="329"/>
      <c r="B42" s="330"/>
      <c r="C42" s="330"/>
      <c r="D42" s="330"/>
      <c r="E42" s="330"/>
      <c r="F42" s="330"/>
      <c r="G42" s="321"/>
      <c r="H42" s="321"/>
      <c r="I42" s="321"/>
      <c r="J42" s="321"/>
      <c r="K42" s="321"/>
      <c r="L42" s="321"/>
      <c r="M42" s="321"/>
      <c r="N42" s="313"/>
      <c r="O42" s="312"/>
      <c r="P42" s="311"/>
      <c r="Q42" s="310"/>
      <c r="R42" s="311">
        <f>IF(NOT(ISERROR(MATCH(Q42,_xlfn.ANCHORARRAY(E53),0))),P55&amp;"Por favor no seleccionar los criterios de impacto",Q42)</f>
        <v>0</v>
      </c>
      <c r="S42" s="312"/>
      <c r="T42" s="311"/>
      <c r="U42" s="324"/>
      <c r="V42" s="200">
        <v>6</v>
      </c>
      <c r="W42" s="174"/>
      <c r="X42" s="175" t="str">
        <f t="shared" si="42"/>
        <v/>
      </c>
      <c r="Y42" s="176"/>
      <c r="Z42" s="176"/>
      <c r="AA42" s="177" t="str">
        <f t="shared" si="37"/>
        <v/>
      </c>
      <c r="AB42" s="176"/>
      <c r="AC42" s="176"/>
      <c r="AD42" s="176"/>
      <c r="AE42" s="178" t="str">
        <f t="shared" si="43"/>
        <v/>
      </c>
      <c r="AF42" s="179" t="str">
        <f t="shared" si="2"/>
        <v/>
      </c>
      <c r="AG42" s="177" t="str">
        <f t="shared" si="38"/>
        <v/>
      </c>
      <c r="AH42" s="179" t="str">
        <f t="shared" si="4"/>
        <v/>
      </c>
      <c r="AI42" s="177" t="str">
        <f t="shared" si="14"/>
        <v/>
      </c>
      <c r="AJ42" s="180" t="str">
        <f t="shared" si="44"/>
        <v/>
      </c>
      <c r="AK42" s="181"/>
      <c r="AL42" s="172"/>
      <c r="AM42" s="182"/>
      <c r="AN42" s="182"/>
      <c r="AO42" s="183"/>
      <c r="AP42" s="313"/>
      <c r="AQ42" s="313"/>
      <c r="AR42" s="313"/>
    </row>
    <row r="43" spans="1:44" x14ac:dyDescent="0.2">
      <c r="A43" s="329">
        <v>6</v>
      </c>
      <c r="B43" s="330"/>
      <c r="C43" s="330"/>
      <c r="D43" s="330"/>
      <c r="E43" s="319"/>
      <c r="F43" s="330"/>
      <c r="G43" s="319"/>
      <c r="H43" s="319"/>
      <c r="I43" s="319"/>
      <c r="J43" s="319"/>
      <c r="K43" s="319"/>
      <c r="L43" s="319"/>
      <c r="M43" s="319"/>
      <c r="N43" s="313"/>
      <c r="O43" s="312" t="str">
        <f>IF(N43&lt;=0,"",IF(N43&lt;=2,"Muy Baja",IF(N43&lt;=24,"Baja",IF(N43&lt;=500,"Media",IF(N43&lt;=5000,"Alta","Muy Alta")))))</f>
        <v/>
      </c>
      <c r="P43" s="311" t="str">
        <f>IF(O43="","",IF(O43="Muy Baja",0.2,IF(O43="Baja",0.4,IF(O43="Media",0.6,IF(O43="Alta",0.8,IF(O43="Muy Alta",1,))))))</f>
        <v/>
      </c>
      <c r="Q43" s="310"/>
      <c r="R43" s="311">
        <f>IF(NOT(ISERROR(MATCH(Q43,'Tabla Impacto'!$B$222:$B$224,0))),'Tabla Impacto'!$F$224&amp;"Por favor no seleccionar los criterios de impacto(Afectación Económica o presupuestal y Pérdida Reputacional)",Q43)</f>
        <v>0</v>
      </c>
      <c r="S43" s="312" t="str">
        <f>IF(OR(R43='Tabla Impacto'!$C$12,R43='Tabla Impacto'!$D$12),"Leve",IF(OR(R43='Tabla Impacto'!$C$13,R43='Tabla Impacto'!$D$13),"Menor",IF(OR(R43='Tabla Impacto'!$C$14,R43='Tabla Impacto'!$D$14),"Moderado",IF(OR(R43='Tabla Impacto'!$C$15,R43='Tabla Impacto'!$D$15),"Mayor",IF(OR(R43='Tabla Impacto'!$C$16,R43='Tabla Impacto'!$D$16),"Catastrófico","")))))</f>
        <v/>
      </c>
      <c r="T43" s="311"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0">
        <v>1</v>
      </c>
      <c r="W43" s="174"/>
      <c r="X43" s="175" t="str">
        <f>IF(OR(Y43="Preventivo",Y43="Detectivo"),"Probabilidad",IF(Y43="Correctivo","Impacto",""))</f>
        <v/>
      </c>
      <c r="Y43" s="176"/>
      <c r="Z43" s="176"/>
      <c r="AA43" s="177" t="str">
        <f>IF(AND(Y43="Preventivo",Z43="Automático"),"50%",IF(AND(Y43="Preventivo",Z43="Manual"),"40%",IF(AND(Y43="Detectivo",Z43="Automático"),"40%",IF(AND(Y43="Detectivo",Z43="Manual"),"30%",IF(AND(Y43="Correctivo",Z43="Automático"),"35%",IF(AND(Y43="Correctivo",Z43="Manual"),"25%",""))))))</f>
        <v/>
      </c>
      <c r="AB43" s="176"/>
      <c r="AC43" s="176"/>
      <c r="AD43" s="176"/>
      <c r="AE43" s="178" t="str">
        <f>IFERROR(IF(X43="Probabilidad",(P43-(+P43*AA43)),IF(X43="Impacto",P43,"")),"")</f>
        <v/>
      </c>
      <c r="AF43" s="179" t="str">
        <f>IFERROR(IF(AE43="","",IF(AE43&lt;=0.2,"Muy Baja",IF(AE43&lt;=0.4,"Baja",IF(AE43&lt;=0.6,"Media",IF(AE43&lt;=0.8,"Alta","Muy Alta"))))),"")</f>
        <v/>
      </c>
      <c r="AG43" s="177" t="str">
        <f>+AE43</f>
        <v/>
      </c>
      <c r="AH43" s="179" t="str">
        <f>IFERROR(IF(AI43="","",IF(AI43&lt;=0.2,"Leve",IF(AI43&lt;=0.4,"Menor",IF(AI43&lt;=0.6,"Moderado",IF(AI43&lt;=0.8,"Mayor","Catastrófico"))))),"")</f>
        <v/>
      </c>
      <c r="AI43" s="177" t="str">
        <f t="shared" ref="AI43" si="45">IFERROR(IF(X43="Impacto",(T43-(+T43*AA43)),IF(X43="Probabilidad",T43,"")),"")</f>
        <v/>
      </c>
      <c r="AJ43" s="180"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76"/>
      <c r="AL43" s="172"/>
      <c r="AM43" s="182"/>
      <c r="AN43" s="182"/>
      <c r="AO43" s="183"/>
      <c r="AP43" s="313"/>
      <c r="AQ43" s="313"/>
      <c r="AR43" s="313"/>
    </row>
    <row r="44" spans="1:44" x14ac:dyDescent="0.2">
      <c r="A44" s="329"/>
      <c r="B44" s="330"/>
      <c r="C44" s="330"/>
      <c r="D44" s="330"/>
      <c r="E44" s="320"/>
      <c r="F44" s="330"/>
      <c r="G44" s="320"/>
      <c r="H44" s="320"/>
      <c r="I44" s="320"/>
      <c r="J44" s="320"/>
      <c r="K44" s="320"/>
      <c r="L44" s="320"/>
      <c r="M44" s="320"/>
      <c r="N44" s="313"/>
      <c r="O44" s="312"/>
      <c r="P44" s="311"/>
      <c r="Q44" s="310"/>
      <c r="R44" s="311">
        <f>IF(NOT(ISERROR(MATCH(Q44,_xlfn.ANCHORARRAY(E55),0))),P57&amp;"Por favor no seleccionar los criterios de impacto",Q44)</f>
        <v>0</v>
      </c>
      <c r="S44" s="312"/>
      <c r="T44" s="311"/>
      <c r="U44" s="324"/>
      <c r="V44" s="200">
        <v>2</v>
      </c>
      <c r="W44" s="174"/>
      <c r="X44" s="175" t="str">
        <f>IF(OR(Y44="Preventivo",Y44="Detectivo"),"Probabilidad",IF(Y44="Correctivo","Impacto",""))</f>
        <v/>
      </c>
      <c r="Y44" s="176"/>
      <c r="Z44" s="176"/>
      <c r="AA44" s="177" t="str">
        <f t="shared" ref="AA44:AA48" si="46">IF(AND(Y44="Preventivo",Z44="Automático"),"50%",IF(AND(Y44="Preventivo",Z44="Manual"),"40%",IF(AND(Y44="Detectivo",Z44="Automático"),"40%",IF(AND(Y44="Detectivo",Z44="Manual"),"30%",IF(AND(Y44="Correctivo",Z44="Automático"),"35%",IF(AND(Y44="Correctivo",Z44="Manual"),"25%",""))))))</f>
        <v/>
      </c>
      <c r="AB44" s="176"/>
      <c r="AC44" s="176"/>
      <c r="AD44" s="176"/>
      <c r="AE44" s="178" t="str">
        <f>IFERROR(IF(AND(X43="Probabilidad",X44="Probabilidad"),(AG43-(+AG43*AA44)),IF(X44="Probabilidad",(P43-(+P43*AA44)),IF(X44="Impacto",AG43,""))),"")</f>
        <v/>
      </c>
      <c r="AF44" s="179" t="str">
        <f t="shared" si="2"/>
        <v/>
      </c>
      <c r="AG44" s="177" t="str">
        <f t="shared" ref="AG44:AG48" si="47">+AE44</f>
        <v/>
      </c>
      <c r="AH44" s="179" t="str">
        <f t="shared" si="4"/>
        <v/>
      </c>
      <c r="AI44" s="177" t="str">
        <f t="shared" ref="AI44" si="48">IFERROR(IF(AND(X43="Impacto",X44="Impacto"),(AI43-(+AI43*AA44)),IF(X44="Impacto",($T$13-(+$T$13*AA44)),IF(X44="Probabilidad",AI43,""))),"")</f>
        <v/>
      </c>
      <c r="AJ44" s="180" t="str">
        <f t="shared" ref="AJ44:AJ45" si="49">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1"/>
      <c r="AL44" s="172"/>
      <c r="AM44" s="182"/>
      <c r="AN44" s="182"/>
      <c r="AO44" s="183"/>
      <c r="AP44" s="313"/>
      <c r="AQ44" s="313"/>
      <c r="AR44" s="313"/>
    </row>
    <row r="45" spans="1:44" x14ac:dyDescent="0.2">
      <c r="A45" s="329"/>
      <c r="B45" s="330"/>
      <c r="C45" s="330"/>
      <c r="D45" s="330"/>
      <c r="E45" s="320"/>
      <c r="F45" s="330"/>
      <c r="G45" s="320"/>
      <c r="H45" s="320"/>
      <c r="I45" s="320"/>
      <c r="J45" s="320"/>
      <c r="K45" s="320"/>
      <c r="L45" s="320"/>
      <c r="M45" s="320"/>
      <c r="N45" s="313"/>
      <c r="O45" s="312"/>
      <c r="P45" s="311"/>
      <c r="Q45" s="310"/>
      <c r="R45" s="311">
        <f>IF(NOT(ISERROR(MATCH(Q45,_xlfn.ANCHORARRAY(E56),0))),P58&amp;"Por favor no seleccionar los criterios de impacto",Q45)</f>
        <v>0</v>
      </c>
      <c r="S45" s="312"/>
      <c r="T45" s="311"/>
      <c r="U45" s="324"/>
      <c r="V45" s="200">
        <v>3</v>
      </c>
      <c r="W45" s="174"/>
      <c r="X45" s="175" t="str">
        <f>IF(OR(Y45="Preventivo",Y45="Detectivo"),"Probabilidad",IF(Y45="Correctivo","Impacto",""))</f>
        <v/>
      </c>
      <c r="Y45" s="176"/>
      <c r="Z45" s="176"/>
      <c r="AA45" s="177" t="str">
        <f t="shared" si="46"/>
        <v/>
      </c>
      <c r="AB45" s="176"/>
      <c r="AC45" s="176"/>
      <c r="AD45" s="176"/>
      <c r="AE45" s="178" t="str">
        <f>IFERROR(IF(AND(X44="Probabilidad",X45="Probabilidad"),(AG44-(+AG44*AA45)),IF(AND(X44="Impacto",X45="Probabilidad"),(AG43-(+AG43*AA45)),IF(X45="Impacto",AG44,""))),"")</f>
        <v/>
      </c>
      <c r="AF45" s="179" t="str">
        <f t="shared" si="2"/>
        <v/>
      </c>
      <c r="AG45" s="177" t="str">
        <f t="shared" si="47"/>
        <v/>
      </c>
      <c r="AH45" s="179" t="str">
        <f t="shared" si="4"/>
        <v/>
      </c>
      <c r="AI45" s="177" t="str">
        <f t="shared" ref="AI45" si="50">IFERROR(IF(AND(X44="Impacto",X45="Impacto"),(AI44-(+AI44*AA45)),IF(AND(X44="Probabilidad",X45="Impacto"),(AI43-(+AI43*AA45)),IF(X45="Probabilidad",AI44,""))),"")</f>
        <v/>
      </c>
      <c r="AJ45" s="180" t="str">
        <f t="shared" si="49"/>
        <v/>
      </c>
      <c r="AK45" s="181"/>
      <c r="AL45" s="172"/>
      <c r="AM45" s="182"/>
      <c r="AN45" s="182"/>
      <c r="AO45" s="183"/>
      <c r="AP45" s="313"/>
      <c r="AQ45" s="313"/>
      <c r="AR45" s="313"/>
    </row>
    <row r="46" spans="1:44" x14ac:dyDescent="0.2">
      <c r="A46" s="329"/>
      <c r="B46" s="330"/>
      <c r="C46" s="330"/>
      <c r="D46" s="330"/>
      <c r="E46" s="320"/>
      <c r="F46" s="330"/>
      <c r="G46" s="320"/>
      <c r="H46" s="320"/>
      <c r="I46" s="320"/>
      <c r="J46" s="320"/>
      <c r="K46" s="320"/>
      <c r="L46" s="320"/>
      <c r="M46" s="320"/>
      <c r="N46" s="313"/>
      <c r="O46" s="312"/>
      <c r="P46" s="311"/>
      <c r="Q46" s="310"/>
      <c r="R46" s="311">
        <f>IF(NOT(ISERROR(MATCH(Q46,_xlfn.ANCHORARRAY(E57),0))),P59&amp;"Por favor no seleccionar los criterios de impacto",Q46)</f>
        <v>0</v>
      </c>
      <c r="S46" s="312"/>
      <c r="T46" s="311"/>
      <c r="U46" s="324"/>
      <c r="V46" s="200">
        <v>4</v>
      </c>
      <c r="W46" s="174"/>
      <c r="X46" s="175" t="str">
        <f t="shared" ref="X46:X48" si="51">IF(OR(Y46="Preventivo",Y46="Detectivo"),"Probabilidad",IF(Y46="Correctivo","Impacto",""))</f>
        <v/>
      </c>
      <c r="Y46" s="176"/>
      <c r="Z46" s="176"/>
      <c r="AA46" s="177" t="str">
        <f t="shared" si="46"/>
        <v/>
      </c>
      <c r="AB46" s="176"/>
      <c r="AC46" s="176"/>
      <c r="AD46" s="176"/>
      <c r="AE46" s="178" t="str">
        <f t="shared" ref="AE46:AE48" si="52">IFERROR(IF(AND(X45="Probabilidad",X46="Probabilidad"),(AG45-(+AG45*AA46)),IF(AND(X45="Impacto",X46="Probabilidad"),(AG44-(+AG44*AA46)),IF(X46="Impacto",AG45,""))),"")</f>
        <v/>
      </c>
      <c r="AF46" s="179" t="str">
        <f t="shared" si="2"/>
        <v/>
      </c>
      <c r="AG46" s="177" t="str">
        <f t="shared" si="47"/>
        <v/>
      </c>
      <c r="AH46" s="179" t="str">
        <f t="shared" si="4"/>
        <v/>
      </c>
      <c r="AI46" s="177" t="str">
        <f t="shared" si="14"/>
        <v/>
      </c>
      <c r="AJ46" s="180"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1"/>
      <c r="AL46" s="172"/>
      <c r="AM46" s="182"/>
      <c r="AN46" s="182"/>
      <c r="AO46" s="183"/>
      <c r="AP46" s="313"/>
      <c r="AQ46" s="313"/>
      <c r="AR46" s="313"/>
    </row>
    <row r="47" spans="1:44" x14ac:dyDescent="0.2">
      <c r="A47" s="329"/>
      <c r="B47" s="330"/>
      <c r="C47" s="330"/>
      <c r="D47" s="330"/>
      <c r="E47" s="320"/>
      <c r="F47" s="330"/>
      <c r="G47" s="320"/>
      <c r="H47" s="320"/>
      <c r="I47" s="320"/>
      <c r="J47" s="320"/>
      <c r="K47" s="320"/>
      <c r="L47" s="320"/>
      <c r="M47" s="320"/>
      <c r="N47" s="313"/>
      <c r="O47" s="312"/>
      <c r="P47" s="311"/>
      <c r="Q47" s="310"/>
      <c r="R47" s="311">
        <f>IF(NOT(ISERROR(MATCH(Q47,_xlfn.ANCHORARRAY(E58),0))),P60&amp;"Por favor no seleccionar los criterios de impacto",Q47)</f>
        <v>0</v>
      </c>
      <c r="S47" s="312"/>
      <c r="T47" s="311"/>
      <c r="U47" s="324"/>
      <c r="V47" s="200">
        <v>5</v>
      </c>
      <c r="W47" s="174"/>
      <c r="X47" s="175" t="str">
        <f t="shared" si="51"/>
        <v/>
      </c>
      <c r="Y47" s="176"/>
      <c r="Z47" s="176"/>
      <c r="AA47" s="177" t="str">
        <f t="shared" si="46"/>
        <v/>
      </c>
      <c r="AB47" s="176"/>
      <c r="AC47" s="176"/>
      <c r="AD47" s="176"/>
      <c r="AE47" s="178" t="str">
        <f t="shared" si="52"/>
        <v/>
      </c>
      <c r="AF47" s="179" t="str">
        <f t="shared" si="2"/>
        <v/>
      </c>
      <c r="AG47" s="177" t="str">
        <f t="shared" si="47"/>
        <v/>
      </c>
      <c r="AH47" s="179" t="str">
        <f t="shared" si="4"/>
        <v/>
      </c>
      <c r="AI47" s="177" t="str">
        <f t="shared" si="14"/>
        <v/>
      </c>
      <c r="AJ47" s="180" t="str">
        <f t="shared" ref="AJ47" si="53">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1"/>
      <c r="AL47" s="172"/>
      <c r="AM47" s="182"/>
      <c r="AN47" s="182"/>
      <c r="AO47" s="183"/>
      <c r="AP47" s="313"/>
      <c r="AQ47" s="313"/>
      <c r="AR47" s="313"/>
    </row>
    <row r="48" spans="1:44" x14ac:dyDescent="0.2">
      <c r="A48" s="329"/>
      <c r="B48" s="330"/>
      <c r="C48" s="330"/>
      <c r="D48" s="330"/>
      <c r="E48" s="321"/>
      <c r="F48" s="330"/>
      <c r="G48" s="321"/>
      <c r="H48" s="321"/>
      <c r="I48" s="321"/>
      <c r="J48" s="321"/>
      <c r="K48" s="321"/>
      <c r="L48" s="321"/>
      <c r="M48" s="321"/>
      <c r="N48" s="313"/>
      <c r="O48" s="312"/>
      <c r="P48" s="311"/>
      <c r="Q48" s="310"/>
      <c r="R48" s="311">
        <f>IF(NOT(ISERROR(MATCH(Q48,_xlfn.ANCHORARRAY(E59),0))),P61&amp;"Por favor no seleccionar los criterios de impacto",Q48)</f>
        <v>0</v>
      </c>
      <c r="S48" s="312"/>
      <c r="T48" s="311"/>
      <c r="U48" s="324"/>
      <c r="V48" s="200">
        <v>6</v>
      </c>
      <c r="W48" s="174"/>
      <c r="X48" s="175" t="str">
        <f t="shared" si="51"/>
        <v/>
      </c>
      <c r="Y48" s="176"/>
      <c r="Z48" s="176"/>
      <c r="AA48" s="177" t="str">
        <f t="shared" si="46"/>
        <v/>
      </c>
      <c r="AB48" s="176"/>
      <c r="AC48" s="176"/>
      <c r="AD48" s="176"/>
      <c r="AE48" s="178" t="str">
        <f t="shared" si="52"/>
        <v/>
      </c>
      <c r="AF48" s="179" t="str">
        <f t="shared" si="2"/>
        <v/>
      </c>
      <c r="AG48" s="177" t="str">
        <f t="shared" si="47"/>
        <v/>
      </c>
      <c r="AH48" s="179" t="str">
        <f>IFERROR(IF(AI48="","",IF(AI48&lt;=0.2,"Leve",IF(AI48&lt;=0.4,"Menor",IF(AI48&lt;=0.6,"Moderado",IF(AI48&lt;=0.8,"Mayor","Catastrófico"))))),"")</f>
        <v/>
      </c>
      <c r="AI48" s="177" t="str">
        <f t="shared" si="14"/>
        <v/>
      </c>
      <c r="AJ48" s="180"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1"/>
      <c r="AL48" s="172"/>
      <c r="AM48" s="182"/>
      <c r="AN48" s="182"/>
      <c r="AO48" s="183"/>
      <c r="AP48" s="313"/>
      <c r="AQ48" s="313"/>
      <c r="AR48" s="313"/>
    </row>
    <row r="49" spans="1:44" x14ac:dyDescent="0.2">
      <c r="A49" s="329">
        <v>7</v>
      </c>
      <c r="B49" s="330"/>
      <c r="C49" s="330"/>
      <c r="D49" s="334"/>
      <c r="E49" s="330"/>
      <c r="F49" s="330"/>
      <c r="G49" s="319"/>
      <c r="H49" s="319"/>
      <c r="I49" s="319"/>
      <c r="J49" s="319"/>
      <c r="K49" s="319"/>
      <c r="L49" s="319"/>
      <c r="M49" s="319"/>
      <c r="N49" s="313"/>
      <c r="O49" s="312" t="str">
        <f>IF(N49&lt;=0,"",IF(N49&lt;=2,"Muy Baja",IF(N49&lt;=24,"Baja",IF(N49&lt;=500,"Media",IF(N49&lt;=5000,"Alta","Muy Alta")))))</f>
        <v/>
      </c>
      <c r="P49" s="311" t="str">
        <f>IF(O49="","",IF(O49="Muy Baja",0.2,IF(O49="Baja",0.4,IF(O49="Media",0.6,IF(O49="Alta",0.8,IF(O49="Muy Alta",1,))))))</f>
        <v/>
      </c>
      <c r="Q49" s="310"/>
      <c r="R49" s="311">
        <f>IF(NOT(ISERROR(MATCH(Q49,'Tabla Impacto'!$B$222:$B$224,0))),'Tabla Impacto'!$F$224&amp;"Por favor no seleccionar los criterios de impacto(Afectación Económica o presupuestal y Pérdida Reputacional)",Q49)</f>
        <v>0</v>
      </c>
      <c r="S49" s="312" t="str">
        <f>IF(OR(R49='Tabla Impacto'!$C$12,R49='Tabla Impacto'!$D$12),"Leve",IF(OR(R49='Tabla Impacto'!$C$13,R49='Tabla Impacto'!$D$13),"Menor",IF(OR(R49='Tabla Impacto'!$C$14,R49='Tabla Impacto'!$D$14),"Moderado",IF(OR(R49='Tabla Impacto'!$C$15,R49='Tabla Impacto'!$D$15),"Mayor",IF(OR(R49='Tabla Impacto'!$C$16,R49='Tabla Impacto'!$D$16),"Catastrófico","")))))</f>
        <v/>
      </c>
      <c r="T49" s="311"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0">
        <v>1</v>
      </c>
      <c r="W49" s="250"/>
      <c r="X49" s="175" t="str">
        <f>IF(OR(Y49="Preventivo",Y49="Detectivo"),"Probabilidad",IF(Y49="Correctivo","Impacto",""))</f>
        <v/>
      </c>
      <c r="Y49" s="176"/>
      <c r="Z49" s="176"/>
      <c r="AA49" s="177" t="str">
        <f>IF(AND(Y49="Preventivo",Z49="Automático"),"50%",IF(AND(Y49="Preventivo",Z49="Manual"),"40%",IF(AND(Y49="Detectivo",Z49="Automático"),"40%",IF(AND(Y49="Detectivo",Z49="Manual"),"30%",IF(AND(Y49="Correctivo",Z49="Automático"),"35%",IF(AND(Y49="Correctivo",Z49="Manual"),"25%",""))))))</f>
        <v/>
      </c>
      <c r="AB49" s="176"/>
      <c r="AC49" s="176"/>
      <c r="AD49" s="176"/>
      <c r="AE49" s="178" t="str">
        <f>IFERROR(IF(X49="Probabilidad",(P49-(+P49*AA49)),IF(X49="Impacto",P49,"")),"")</f>
        <v/>
      </c>
      <c r="AF49" s="179" t="str">
        <f>IFERROR(IF(AE49="","",IF(AE49&lt;=0.2,"Muy Baja",IF(AE49&lt;=0.4,"Baja",IF(AE49&lt;=0.6,"Media",IF(AE49&lt;=0.8,"Alta","Muy Alta"))))),"")</f>
        <v/>
      </c>
      <c r="AG49" s="177" t="str">
        <f>+AE49</f>
        <v/>
      </c>
      <c r="AH49" s="179" t="str">
        <f>IFERROR(IF(AI49="","",IF(AI49&lt;=0.2,"Leve",IF(AI49&lt;=0.4,"Menor",IF(AI49&lt;=0.6,"Moderado",IF(AI49&lt;=0.8,"Mayor","Catastrófico"))))),"")</f>
        <v/>
      </c>
      <c r="AI49" s="177" t="str">
        <f t="shared" ref="AI49" si="54">IFERROR(IF(X49="Impacto",(T49-(+T49*AA49)),IF(X49="Probabilidad",T49,"")),"")</f>
        <v/>
      </c>
      <c r="AJ49" s="180"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1"/>
      <c r="AL49" s="172"/>
      <c r="AM49" s="182"/>
      <c r="AN49" s="182"/>
      <c r="AO49" s="183"/>
      <c r="AP49" s="313"/>
      <c r="AQ49" s="313"/>
      <c r="AR49" s="313"/>
    </row>
    <row r="50" spans="1:44" x14ac:dyDescent="0.2">
      <c r="A50" s="329"/>
      <c r="B50" s="330"/>
      <c r="C50" s="330"/>
      <c r="D50" s="334"/>
      <c r="E50" s="330"/>
      <c r="F50" s="330"/>
      <c r="G50" s="320"/>
      <c r="H50" s="320"/>
      <c r="I50" s="320"/>
      <c r="J50" s="320"/>
      <c r="K50" s="320"/>
      <c r="L50" s="320"/>
      <c r="M50" s="320"/>
      <c r="N50" s="313"/>
      <c r="O50" s="312"/>
      <c r="P50" s="311"/>
      <c r="Q50" s="310"/>
      <c r="R50" s="311">
        <f>IF(NOT(ISERROR(MATCH(Q50,_xlfn.ANCHORARRAY(E61),0))),P63&amp;"Por favor no seleccionar los criterios de impacto",Q50)</f>
        <v>0</v>
      </c>
      <c r="S50" s="312"/>
      <c r="T50" s="311"/>
      <c r="U50" s="324"/>
      <c r="V50" s="200">
        <v>2</v>
      </c>
      <c r="W50" s="174"/>
      <c r="X50" s="175" t="str">
        <f>IF(OR(Y50="Preventivo",Y50="Detectivo"),"Probabilidad",IF(Y50="Correctivo","Impacto",""))</f>
        <v/>
      </c>
      <c r="Y50" s="176"/>
      <c r="Z50" s="176"/>
      <c r="AA50" s="177" t="str">
        <f t="shared" ref="AA50:AA54" si="55">IF(AND(Y50="Preventivo",Z50="Automático"),"50%",IF(AND(Y50="Preventivo",Z50="Manual"),"40%",IF(AND(Y50="Detectivo",Z50="Automático"),"40%",IF(AND(Y50="Detectivo",Z50="Manual"),"30%",IF(AND(Y50="Correctivo",Z50="Automático"),"35%",IF(AND(Y50="Correctivo",Z50="Manual"),"25%",""))))))</f>
        <v/>
      </c>
      <c r="AB50" s="176"/>
      <c r="AC50" s="176"/>
      <c r="AD50" s="176"/>
      <c r="AE50" s="178" t="str">
        <f>IFERROR(IF(AND(X49="Probabilidad",X50="Probabilidad"),(AG49-(+AG49*AA50)),IF(X50="Probabilidad",(P49-(+P49*AA50)),IF(X50="Impacto",AG49,""))),"")</f>
        <v/>
      </c>
      <c r="AF50" s="179" t="str">
        <f t="shared" si="2"/>
        <v/>
      </c>
      <c r="AG50" s="177" t="str">
        <f t="shared" ref="AG50:AG54" si="56">+AE50</f>
        <v/>
      </c>
      <c r="AH50" s="179" t="str">
        <f t="shared" si="4"/>
        <v/>
      </c>
      <c r="AI50" s="177" t="str">
        <f t="shared" ref="AI50" si="57">IFERROR(IF(AND(X49="Impacto",X50="Impacto"),(AI49-(+AI49*AA50)),IF(X50="Impacto",($T$13-(+$T$13*AA50)),IF(X50="Probabilidad",AI49,""))),"")</f>
        <v/>
      </c>
      <c r="AJ50" s="180" t="str">
        <f t="shared" ref="AJ50:AJ51" si="58">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1"/>
      <c r="AL50" s="172"/>
      <c r="AM50" s="182"/>
      <c r="AN50" s="182"/>
      <c r="AO50" s="183"/>
      <c r="AP50" s="313"/>
      <c r="AQ50" s="313"/>
      <c r="AR50" s="313"/>
    </row>
    <row r="51" spans="1:44" x14ac:dyDescent="0.2">
      <c r="A51" s="329"/>
      <c r="B51" s="330"/>
      <c r="C51" s="330"/>
      <c r="D51" s="334"/>
      <c r="E51" s="330"/>
      <c r="F51" s="330"/>
      <c r="G51" s="320"/>
      <c r="H51" s="320"/>
      <c r="I51" s="320"/>
      <c r="J51" s="320"/>
      <c r="K51" s="320"/>
      <c r="L51" s="320"/>
      <c r="M51" s="320"/>
      <c r="N51" s="313"/>
      <c r="O51" s="312"/>
      <c r="P51" s="311"/>
      <c r="Q51" s="310"/>
      <c r="R51" s="311">
        <f>IF(NOT(ISERROR(MATCH(Q51,_xlfn.ANCHORARRAY(E62),0))),P64&amp;"Por favor no seleccionar los criterios de impacto",Q51)</f>
        <v>0</v>
      </c>
      <c r="S51" s="312"/>
      <c r="T51" s="311"/>
      <c r="U51" s="324"/>
      <c r="V51" s="200">
        <v>3</v>
      </c>
      <c r="W51" s="174"/>
      <c r="X51" s="175" t="str">
        <f>IF(OR(Y51="Preventivo",Y51="Detectivo"),"Probabilidad",IF(Y51="Correctivo","Impacto",""))</f>
        <v/>
      </c>
      <c r="Y51" s="176"/>
      <c r="Z51" s="176"/>
      <c r="AA51" s="177" t="str">
        <f t="shared" si="55"/>
        <v/>
      </c>
      <c r="AB51" s="176"/>
      <c r="AC51" s="176"/>
      <c r="AD51" s="176"/>
      <c r="AE51" s="178" t="str">
        <f>IFERROR(IF(AND(X50="Probabilidad",X51="Probabilidad"),(AG50-(+AG50*AA51)),IF(AND(X50="Impacto",X51="Probabilidad"),(AG49-(+AG49*AA51)),IF(X51="Impacto",AG50,""))),"")</f>
        <v/>
      </c>
      <c r="AF51" s="179" t="str">
        <f t="shared" si="2"/>
        <v/>
      </c>
      <c r="AG51" s="177" t="str">
        <f t="shared" si="56"/>
        <v/>
      </c>
      <c r="AH51" s="179" t="str">
        <f t="shared" si="4"/>
        <v/>
      </c>
      <c r="AI51" s="177" t="str">
        <f t="shared" ref="AI51" si="59">IFERROR(IF(AND(X50="Impacto",X51="Impacto"),(AI50-(+AI50*AA51)),IF(AND(X50="Probabilidad",X51="Impacto"),(AI49-(+AI49*AA51)),IF(X51="Probabilidad",AI50,""))),"")</f>
        <v/>
      </c>
      <c r="AJ51" s="180" t="str">
        <f t="shared" si="58"/>
        <v/>
      </c>
      <c r="AK51" s="181"/>
      <c r="AL51" s="172"/>
      <c r="AM51" s="182"/>
      <c r="AN51" s="182"/>
      <c r="AO51" s="183"/>
      <c r="AP51" s="313"/>
      <c r="AQ51" s="313"/>
      <c r="AR51" s="313"/>
    </row>
    <row r="52" spans="1:44" x14ac:dyDescent="0.2">
      <c r="A52" s="329"/>
      <c r="B52" s="330"/>
      <c r="C52" s="330"/>
      <c r="D52" s="334"/>
      <c r="E52" s="330"/>
      <c r="F52" s="330"/>
      <c r="G52" s="320"/>
      <c r="H52" s="320"/>
      <c r="I52" s="320"/>
      <c r="J52" s="320"/>
      <c r="K52" s="320"/>
      <c r="L52" s="320"/>
      <c r="M52" s="320"/>
      <c r="N52" s="313"/>
      <c r="O52" s="312"/>
      <c r="P52" s="311"/>
      <c r="Q52" s="310"/>
      <c r="R52" s="311">
        <f>IF(NOT(ISERROR(MATCH(Q52,_xlfn.ANCHORARRAY(E63),0))),P65&amp;"Por favor no seleccionar los criterios de impacto",Q52)</f>
        <v>0</v>
      </c>
      <c r="S52" s="312"/>
      <c r="T52" s="311"/>
      <c r="U52" s="324"/>
      <c r="V52" s="200">
        <v>4</v>
      </c>
      <c r="W52" s="174"/>
      <c r="X52" s="175" t="str">
        <f t="shared" ref="X52:X54" si="60">IF(OR(Y52="Preventivo",Y52="Detectivo"),"Probabilidad",IF(Y52="Correctivo","Impacto",""))</f>
        <v/>
      </c>
      <c r="Y52" s="176"/>
      <c r="Z52" s="176"/>
      <c r="AA52" s="177" t="str">
        <f t="shared" si="55"/>
        <v/>
      </c>
      <c r="AB52" s="176"/>
      <c r="AC52" s="176"/>
      <c r="AD52" s="176"/>
      <c r="AE52" s="178" t="str">
        <f t="shared" ref="AE52:AE54" si="61">IFERROR(IF(AND(X51="Probabilidad",X52="Probabilidad"),(AG51-(+AG51*AA52)),IF(AND(X51="Impacto",X52="Probabilidad"),(AG50-(+AG50*AA52)),IF(X52="Impacto",AG51,""))),"")</f>
        <v/>
      </c>
      <c r="AF52" s="179" t="str">
        <f t="shared" si="2"/>
        <v/>
      </c>
      <c r="AG52" s="177" t="str">
        <f t="shared" si="56"/>
        <v/>
      </c>
      <c r="AH52" s="179" t="str">
        <f t="shared" si="4"/>
        <v/>
      </c>
      <c r="AI52" s="177" t="str">
        <f t="shared" si="14"/>
        <v/>
      </c>
      <c r="AJ52" s="180"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1"/>
      <c r="AL52" s="172"/>
      <c r="AM52" s="182"/>
      <c r="AN52" s="182"/>
      <c r="AO52" s="183"/>
      <c r="AP52" s="313"/>
      <c r="AQ52" s="313"/>
      <c r="AR52" s="313"/>
    </row>
    <row r="53" spans="1:44" x14ac:dyDescent="0.2">
      <c r="A53" s="329"/>
      <c r="B53" s="330"/>
      <c r="C53" s="330"/>
      <c r="D53" s="334"/>
      <c r="E53" s="330"/>
      <c r="F53" s="330"/>
      <c r="G53" s="320"/>
      <c r="H53" s="320"/>
      <c r="I53" s="320"/>
      <c r="J53" s="320"/>
      <c r="K53" s="320"/>
      <c r="L53" s="320"/>
      <c r="M53" s="320"/>
      <c r="N53" s="313"/>
      <c r="O53" s="312"/>
      <c r="P53" s="311"/>
      <c r="Q53" s="310"/>
      <c r="R53" s="311">
        <f>IF(NOT(ISERROR(MATCH(Q53,_xlfn.ANCHORARRAY(E64),0))),P66&amp;"Por favor no seleccionar los criterios de impacto",Q53)</f>
        <v>0</v>
      </c>
      <c r="S53" s="312"/>
      <c r="T53" s="311"/>
      <c r="U53" s="324"/>
      <c r="V53" s="200">
        <v>5</v>
      </c>
      <c r="W53" s="174"/>
      <c r="X53" s="175" t="str">
        <f t="shared" si="60"/>
        <v/>
      </c>
      <c r="Y53" s="176"/>
      <c r="Z53" s="176"/>
      <c r="AA53" s="177" t="str">
        <f t="shared" si="55"/>
        <v/>
      </c>
      <c r="AB53" s="176"/>
      <c r="AC53" s="176"/>
      <c r="AD53" s="176"/>
      <c r="AE53" s="178" t="str">
        <f t="shared" si="61"/>
        <v/>
      </c>
      <c r="AF53" s="179" t="str">
        <f t="shared" si="2"/>
        <v/>
      </c>
      <c r="AG53" s="177" t="str">
        <f t="shared" si="56"/>
        <v/>
      </c>
      <c r="AH53" s="179" t="str">
        <f t="shared" si="4"/>
        <v/>
      </c>
      <c r="AI53" s="177" t="str">
        <f t="shared" si="14"/>
        <v/>
      </c>
      <c r="AJ53" s="180" t="str">
        <f t="shared" ref="AJ53:AJ54" si="62">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1"/>
      <c r="AL53" s="172"/>
      <c r="AM53" s="182"/>
      <c r="AN53" s="182"/>
      <c r="AO53" s="183"/>
      <c r="AP53" s="313"/>
      <c r="AQ53" s="313"/>
      <c r="AR53" s="313"/>
    </row>
    <row r="54" spans="1:44" x14ac:dyDescent="0.2">
      <c r="A54" s="329"/>
      <c r="B54" s="330"/>
      <c r="C54" s="330"/>
      <c r="D54" s="334"/>
      <c r="E54" s="330"/>
      <c r="F54" s="330"/>
      <c r="G54" s="321"/>
      <c r="H54" s="321"/>
      <c r="I54" s="321"/>
      <c r="J54" s="321"/>
      <c r="K54" s="321"/>
      <c r="L54" s="321"/>
      <c r="M54" s="321"/>
      <c r="N54" s="313"/>
      <c r="O54" s="312"/>
      <c r="P54" s="311"/>
      <c r="Q54" s="310"/>
      <c r="R54" s="311">
        <f>IF(NOT(ISERROR(MATCH(Q54,_xlfn.ANCHORARRAY(E65),0))),P67&amp;"Por favor no seleccionar los criterios de impacto",Q54)</f>
        <v>0</v>
      </c>
      <c r="S54" s="312"/>
      <c r="T54" s="311"/>
      <c r="U54" s="324"/>
      <c r="V54" s="200">
        <v>6</v>
      </c>
      <c r="W54" s="174"/>
      <c r="X54" s="175" t="str">
        <f t="shared" si="60"/>
        <v/>
      </c>
      <c r="Y54" s="176"/>
      <c r="Z54" s="176"/>
      <c r="AA54" s="177" t="str">
        <f t="shared" si="55"/>
        <v/>
      </c>
      <c r="AB54" s="176"/>
      <c r="AC54" s="176"/>
      <c r="AD54" s="176"/>
      <c r="AE54" s="178" t="str">
        <f t="shared" si="61"/>
        <v/>
      </c>
      <c r="AF54" s="179" t="str">
        <f t="shared" si="2"/>
        <v/>
      </c>
      <c r="AG54" s="177" t="str">
        <f t="shared" si="56"/>
        <v/>
      </c>
      <c r="AH54" s="179" t="str">
        <f t="shared" si="4"/>
        <v/>
      </c>
      <c r="AI54" s="177" t="str">
        <f t="shared" si="14"/>
        <v/>
      </c>
      <c r="AJ54" s="180" t="str">
        <f t="shared" si="62"/>
        <v/>
      </c>
      <c r="AK54" s="181"/>
      <c r="AL54" s="172"/>
      <c r="AM54" s="182"/>
      <c r="AN54" s="182"/>
      <c r="AO54" s="183"/>
      <c r="AP54" s="313"/>
      <c r="AQ54" s="313"/>
      <c r="AR54" s="313"/>
    </row>
    <row r="55" spans="1:44" x14ac:dyDescent="0.2">
      <c r="A55" s="329">
        <v>8</v>
      </c>
      <c r="B55" s="330"/>
      <c r="C55" s="330"/>
      <c r="D55" s="330"/>
      <c r="E55" s="330"/>
      <c r="F55" s="330"/>
      <c r="G55" s="319"/>
      <c r="H55" s="319"/>
      <c r="I55" s="319"/>
      <c r="J55" s="319"/>
      <c r="K55" s="319"/>
      <c r="L55" s="319"/>
      <c r="M55" s="319"/>
      <c r="N55" s="313"/>
      <c r="O55" s="312" t="str">
        <f>IF(N55&lt;=0,"",IF(N55&lt;=2,"Muy Baja",IF(N55&lt;=24,"Baja",IF(N55&lt;=500,"Media",IF(N55&lt;=5000,"Alta","Muy Alta")))))</f>
        <v/>
      </c>
      <c r="P55" s="311" t="str">
        <f>IF(O55="","",IF(O55="Muy Baja",0.2,IF(O55="Baja",0.4,IF(O55="Media",0.6,IF(O55="Alta",0.8,IF(O55="Muy Alta",1,))))))</f>
        <v/>
      </c>
      <c r="Q55" s="310"/>
      <c r="R55" s="311">
        <f>IF(NOT(ISERROR(MATCH(Q55,'Tabla Impacto'!$B$222:$B$224,0))),'Tabla Impacto'!$F$224&amp;"Por favor no seleccionar los criterios de impacto(Afectación Económica o presupuestal y Pérdida Reputacional)",Q55)</f>
        <v>0</v>
      </c>
      <c r="S55" s="312" t="str">
        <f>IF(OR(R55='Tabla Impacto'!$C$12,R55='Tabla Impacto'!$D$12),"Leve",IF(OR(R55='Tabla Impacto'!$C$13,R55='Tabla Impacto'!$D$13),"Menor",IF(OR(R55='Tabla Impacto'!$C$14,R55='Tabla Impacto'!$D$14),"Moderado",IF(OR(R55='Tabla Impacto'!$C$15,R55='Tabla Impacto'!$D$15),"Mayor",IF(OR(R55='Tabla Impacto'!$C$16,R55='Tabla Impacto'!$D$16),"Catastrófico","")))))</f>
        <v/>
      </c>
      <c r="T55" s="311"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0">
        <v>1</v>
      </c>
      <c r="W55" s="174"/>
      <c r="X55" s="175" t="str">
        <f>IF(OR(Y55="Preventivo",Y55="Detectivo"),"Probabilidad",IF(Y55="Correctivo","Impacto",""))</f>
        <v/>
      </c>
      <c r="Y55" s="176"/>
      <c r="Z55" s="176"/>
      <c r="AA55" s="177" t="str">
        <f>IF(AND(Y55="Preventivo",Z55="Automático"),"50%",IF(AND(Y55="Preventivo",Z55="Manual"),"40%",IF(AND(Y55="Detectivo",Z55="Automático"),"40%",IF(AND(Y55="Detectivo",Z55="Manual"),"30%",IF(AND(Y55="Correctivo",Z55="Automático"),"35%",IF(AND(Y55="Correctivo",Z55="Manual"),"25%",""))))))</f>
        <v/>
      </c>
      <c r="AB55" s="176"/>
      <c r="AC55" s="176"/>
      <c r="AD55" s="176"/>
      <c r="AE55" s="178" t="str">
        <f>IFERROR(IF(X55="Probabilidad",(P55-(+P55*AA55)),IF(X55="Impacto",P55,"")),"")</f>
        <v/>
      </c>
      <c r="AF55" s="179" t="str">
        <f>IFERROR(IF(AE55="","",IF(AE55&lt;=0.2,"Muy Baja",IF(AE55&lt;=0.4,"Baja",IF(AE55&lt;=0.6,"Media",IF(AE55&lt;=0.8,"Alta","Muy Alta"))))),"")</f>
        <v/>
      </c>
      <c r="AG55" s="177" t="str">
        <f>+AE55</f>
        <v/>
      </c>
      <c r="AH55" s="179" t="str">
        <f>IFERROR(IF(AI55="","",IF(AI55&lt;=0.2,"Leve",IF(AI55&lt;=0.4,"Menor",IF(AI55&lt;=0.6,"Moderado",IF(AI55&lt;=0.8,"Mayor","Catastrófico"))))),"")</f>
        <v/>
      </c>
      <c r="AI55" s="177" t="str">
        <f t="shared" ref="AI55" si="63">IFERROR(IF(X55="Impacto",(T55-(+T55*AA55)),IF(X55="Probabilidad",T55,"")),"")</f>
        <v/>
      </c>
      <c r="AJ55" s="180"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1"/>
      <c r="AL55" s="172"/>
      <c r="AM55" s="182"/>
      <c r="AN55" s="182"/>
      <c r="AO55" s="183"/>
      <c r="AP55" s="313"/>
      <c r="AQ55" s="313"/>
      <c r="AR55" s="313"/>
    </row>
    <row r="56" spans="1:44" x14ac:dyDescent="0.2">
      <c r="A56" s="329"/>
      <c r="B56" s="330"/>
      <c r="C56" s="330"/>
      <c r="D56" s="330"/>
      <c r="E56" s="330"/>
      <c r="F56" s="330"/>
      <c r="G56" s="320"/>
      <c r="H56" s="320"/>
      <c r="I56" s="320"/>
      <c r="J56" s="320"/>
      <c r="K56" s="320"/>
      <c r="L56" s="320"/>
      <c r="M56" s="320"/>
      <c r="N56" s="313"/>
      <c r="O56" s="312"/>
      <c r="P56" s="311"/>
      <c r="Q56" s="310"/>
      <c r="R56" s="311">
        <f>IF(NOT(ISERROR(MATCH(Q56,_xlfn.ANCHORARRAY(E67),0))),P69&amp;"Por favor no seleccionar los criterios de impacto",Q56)</f>
        <v>0</v>
      </c>
      <c r="S56" s="312"/>
      <c r="T56" s="311"/>
      <c r="U56" s="324"/>
      <c r="V56" s="200">
        <v>2</v>
      </c>
      <c r="W56" s="174"/>
      <c r="X56" s="175" t="str">
        <f>IF(OR(Y56="Preventivo",Y56="Detectivo"),"Probabilidad",IF(Y56="Correctivo","Impacto",""))</f>
        <v/>
      </c>
      <c r="Y56" s="176"/>
      <c r="Z56" s="176"/>
      <c r="AA56" s="177" t="str">
        <f t="shared" ref="AA56:AA60" si="64">IF(AND(Y56="Preventivo",Z56="Automático"),"50%",IF(AND(Y56="Preventivo",Z56="Manual"),"40%",IF(AND(Y56="Detectivo",Z56="Automático"),"40%",IF(AND(Y56="Detectivo",Z56="Manual"),"30%",IF(AND(Y56="Correctivo",Z56="Automático"),"35%",IF(AND(Y56="Correctivo",Z56="Manual"),"25%",""))))))</f>
        <v/>
      </c>
      <c r="AB56" s="176"/>
      <c r="AC56" s="176"/>
      <c r="AD56" s="176"/>
      <c r="AE56" s="178" t="str">
        <f>IFERROR(IF(AND(X55="Probabilidad",X56="Probabilidad"),(AG55-(+AG55*AA56)),IF(X56="Probabilidad",(P55-(+P55*AA56)),IF(X56="Impacto",AG55,""))),"")</f>
        <v/>
      </c>
      <c r="AF56" s="179" t="str">
        <f t="shared" si="2"/>
        <v/>
      </c>
      <c r="AG56" s="177" t="str">
        <f t="shared" ref="AG56:AG60" si="65">+AE56</f>
        <v/>
      </c>
      <c r="AH56" s="179" t="str">
        <f t="shared" si="4"/>
        <v/>
      </c>
      <c r="AI56" s="177" t="str">
        <f t="shared" ref="AI56" si="66">IFERROR(IF(AND(X55="Impacto",X56="Impacto"),(AI55-(+AI55*AA56)),IF(X56="Impacto",($T$13-(+$T$13*AA56)),IF(X56="Probabilidad",AI55,""))),"")</f>
        <v/>
      </c>
      <c r="AJ56" s="180" t="str">
        <f t="shared" ref="AJ56:AJ57" si="67">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1"/>
      <c r="AL56" s="172"/>
      <c r="AM56" s="182"/>
      <c r="AN56" s="182"/>
      <c r="AO56" s="183"/>
      <c r="AP56" s="313"/>
      <c r="AQ56" s="313"/>
      <c r="AR56" s="313"/>
    </row>
    <row r="57" spans="1:44" x14ac:dyDescent="0.2">
      <c r="A57" s="329"/>
      <c r="B57" s="330"/>
      <c r="C57" s="330"/>
      <c r="D57" s="330"/>
      <c r="E57" s="330"/>
      <c r="F57" s="330"/>
      <c r="G57" s="320"/>
      <c r="H57" s="320"/>
      <c r="I57" s="320"/>
      <c r="J57" s="320"/>
      <c r="K57" s="320"/>
      <c r="L57" s="320"/>
      <c r="M57" s="320"/>
      <c r="N57" s="313"/>
      <c r="O57" s="312"/>
      <c r="P57" s="311"/>
      <c r="Q57" s="310"/>
      <c r="R57" s="311">
        <f>IF(NOT(ISERROR(MATCH(Q57,_xlfn.ANCHORARRAY(E68),0))),P70&amp;"Por favor no seleccionar los criterios de impacto",Q57)</f>
        <v>0</v>
      </c>
      <c r="S57" s="312"/>
      <c r="T57" s="311"/>
      <c r="U57" s="324"/>
      <c r="V57" s="200">
        <v>3</v>
      </c>
      <c r="W57" s="174"/>
      <c r="X57" s="175" t="str">
        <f>IF(OR(Y57="Preventivo",Y57="Detectivo"),"Probabilidad",IF(Y57="Correctivo","Impacto",""))</f>
        <v/>
      </c>
      <c r="Y57" s="176"/>
      <c r="Z57" s="176"/>
      <c r="AA57" s="177" t="str">
        <f t="shared" si="64"/>
        <v/>
      </c>
      <c r="AB57" s="176"/>
      <c r="AC57" s="176"/>
      <c r="AD57" s="176"/>
      <c r="AE57" s="178" t="str">
        <f>IFERROR(IF(AND(X56="Probabilidad",X57="Probabilidad"),(AG56-(+AG56*AA57)),IF(AND(X56="Impacto",X57="Probabilidad"),(AG55-(+AG55*AA57)),IF(X57="Impacto",AG56,""))),"")</f>
        <v/>
      </c>
      <c r="AF57" s="179" t="str">
        <f t="shared" si="2"/>
        <v/>
      </c>
      <c r="AG57" s="177" t="str">
        <f t="shared" si="65"/>
        <v/>
      </c>
      <c r="AH57" s="179" t="str">
        <f t="shared" si="4"/>
        <v/>
      </c>
      <c r="AI57" s="177" t="str">
        <f t="shared" ref="AI57" si="68">IFERROR(IF(AND(X56="Impacto",X57="Impacto"),(AI56-(+AI56*AA57)),IF(AND(X56="Probabilidad",X57="Impacto"),(AI55-(+AI55*AA57)),IF(X57="Probabilidad",AI56,""))),"")</f>
        <v/>
      </c>
      <c r="AJ57" s="180" t="str">
        <f t="shared" si="67"/>
        <v/>
      </c>
      <c r="AK57" s="181"/>
      <c r="AL57" s="172"/>
      <c r="AM57" s="182"/>
      <c r="AN57" s="182"/>
      <c r="AO57" s="183"/>
      <c r="AP57" s="313"/>
      <c r="AQ57" s="313"/>
      <c r="AR57" s="313"/>
    </row>
    <row r="58" spans="1:44" x14ac:dyDescent="0.2">
      <c r="A58" s="329"/>
      <c r="B58" s="330"/>
      <c r="C58" s="330"/>
      <c r="D58" s="330"/>
      <c r="E58" s="330"/>
      <c r="F58" s="330"/>
      <c r="G58" s="320"/>
      <c r="H58" s="320"/>
      <c r="I58" s="320"/>
      <c r="J58" s="320"/>
      <c r="K58" s="320"/>
      <c r="L58" s="320"/>
      <c r="M58" s="320"/>
      <c r="N58" s="313"/>
      <c r="O58" s="312"/>
      <c r="P58" s="311"/>
      <c r="Q58" s="310"/>
      <c r="R58" s="311">
        <f>IF(NOT(ISERROR(MATCH(Q58,_xlfn.ANCHORARRAY(E69),0))),P71&amp;"Por favor no seleccionar los criterios de impacto",Q58)</f>
        <v>0</v>
      </c>
      <c r="S58" s="312"/>
      <c r="T58" s="311"/>
      <c r="U58" s="324"/>
      <c r="V58" s="200">
        <v>4</v>
      </c>
      <c r="W58" s="174"/>
      <c r="X58" s="175" t="str">
        <f t="shared" ref="X58:X60" si="69">IF(OR(Y58="Preventivo",Y58="Detectivo"),"Probabilidad",IF(Y58="Correctivo","Impacto",""))</f>
        <v/>
      </c>
      <c r="Y58" s="176"/>
      <c r="Z58" s="176"/>
      <c r="AA58" s="177" t="str">
        <f t="shared" si="64"/>
        <v/>
      </c>
      <c r="AB58" s="176"/>
      <c r="AC58" s="176"/>
      <c r="AD58" s="176"/>
      <c r="AE58" s="178" t="str">
        <f t="shared" ref="AE58:AE60" si="70">IFERROR(IF(AND(X57="Probabilidad",X58="Probabilidad"),(AG57-(+AG57*AA58)),IF(AND(X57="Impacto",X58="Probabilidad"),(AG56-(+AG56*AA58)),IF(X58="Impacto",AG57,""))),"")</f>
        <v/>
      </c>
      <c r="AF58" s="179" t="str">
        <f t="shared" si="2"/>
        <v/>
      </c>
      <c r="AG58" s="177" t="str">
        <f t="shared" si="65"/>
        <v/>
      </c>
      <c r="AH58" s="179" t="str">
        <f t="shared" si="4"/>
        <v/>
      </c>
      <c r="AI58" s="177" t="str">
        <f t="shared" si="14"/>
        <v/>
      </c>
      <c r="AJ58" s="180"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1"/>
      <c r="AL58" s="172"/>
      <c r="AM58" s="182"/>
      <c r="AN58" s="182"/>
      <c r="AO58" s="183"/>
      <c r="AP58" s="313"/>
      <c r="AQ58" s="313"/>
      <c r="AR58" s="313"/>
    </row>
    <row r="59" spans="1:44" x14ac:dyDescent="0.2">
      <c r="A59" s="329"/>
      <c r="B59" s="330"/>
      <c r="C59" s="330"/>
      <c r="D59" s="330"/>
      <c r="E59" s="330"/>
      <c r="F59" s="330"/>
      <c r="G59" s="320"/>
      <c r="H59" s="320"/>
      <c r="I59" s="320"/>
      <c r="J59" s="320"/>
      <c r="K59" s="320"/>
      <c r="L59" s="320"/>
      <c r="M59" s="320"/>
      <c r="N59" s="313"/>
      <c r="O59" s="312"/>
      <c r="P59" s="311"/>
      <c r="Q59" s="310"/>
      <c r="R59" s="311">
        <f>IF(NOT(ISERROR(MATCH(Q59,_xlfn.ANCHORARRAY(E70),0))),P72&amp;"Por favor no seleccionar los criterios de impacto",Q59)</f>
        <v>0</v>
      </c>
      <c r="S59" s="312"/>
      <c r="T59" s="311"/>
      <c r="U59" s="324"/>
      <c r="V59" s="200">
        <v>5</v>
      </c>
      <c r="W59" s="174"/>
      <c r="X59" s="175" t="str">
        <f t="shared" si="69"/>
        <v/>
      </c>
      <c r="Y59" s="176"/>
      <c r="Z59" s="176"/>
      <c r="AA59" s="177" t="str">
        <f t="shared" si="64"/>
        <v/>
      </c>
      <c r="AB59" s="176"/>
      <c r="AC59" s="176"/>
      <c r="AD59" s="176"/>
      <c r="AE59" s="178" t="str">
        <f t="shared" si="70"/>
        <v/>
      </c>
      <c r="AF59" s="179" t="str">
        <f t="shared" si="2"/>
        <v/>
      </c>
      <c r="AG59" s="177" t="str">
        <f t="shared" si="65"/>
        <v/>
      </c>
      <c r="AH59" s="179" t="str">
        <f t="shared" si="4"/>
        <v/>
      </c>
      <c r="AI59" s="177" t="str">
        <f t="shared" si="14"/>
        <v/>
      </c>
      <c r="AJ59" s="180" t="str">
        <f t="shared" ref="AJ59:AJ60" si="71">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1"/>
      <c r="AL59" s="172"/>
      <c r="AM59" s="182"/>
      <c r="AN59" s="182"/>
      <c r="AO59" s="183"/>
      <c r="AP59" s="313"/>
      <c r="AQ59" s="313"/>
      <c r="AR59" s="313"/>
    </row>
    <row r="60" spans="1:44" x14ac:dyDescent="0.2">
      <c r="A60" s="329"/>
      <c r="B60" s="330"/>
      <c r="C60" s="330"/>
      <c r="D60" s="330"/>
      <c r="E60" s="330"/>
      <c r="F60" s="330"/>
      <c r="G60" s="321"/>
      <c r="H60" s="321"/>
      <c r="I60" s="321"/>
      <c r="J60" s="321"/>
      <c r="K60" s="321"/>
      <c r="L60" s="321"/>
      <c r="M60" s="321"/>
      <c r="N60" s="313"/>
      <c r="O60" s="312"/>
      <c r="P60" s="311"/>
      <c r="Q60" s="310"/>
      <c r="R60" s="311">
        <f>IF(NOT(ISERROR(MATCH(Q60,_xlfn.ANCHORARRAY(E71),0))),Q73&amp;"Por favor no seleccionar los criterios de impacto",Q60)</f>
        <v>0</v>
      </c>
      <c r="S60" s="312"/>
      <c r="T60" s="311"/>
      <c r="U60" s="324"/>
      <c r="V60" s="200">
        <v>6</v>
      </c>
      <c r="W60" s="174"/>
      <c r="X60" s="175" t="str">
        <f t="shared" si="69"/>
        <v/>
      </c>
      <c r="Y60" s="176"/>
      <c r="Z60" s="176"/>
      <c r="AA60" s="177" t="str">
        <f t="shared" si="64"/>
        <v/>
      </c>
      <c r="AB60" s="176"/>
      <c r="AC60" s="176"/>
      <c r="AD60" s="176"/>
      <c r="AE60" s="178" t="str">
        <f t="shared" si="70"/>
        <v/>
      </c>
      <c r="AF60" s="179" t="str">
        <f t="shared" si="2"/>
        <v/>
      </c>
      <c r="AG60" s="177" t="str">
        <f t="shared" si="65"/>
        <v/>
      </c>
      <c r="AH60" s="179" t="str">
        <f t="shared" si="4"/>
        <v/>
      </c>
      <c r="AI60" s="177" t="str">
        <f t="shared" si="14"/>
        <v/>
      </c>
      <c r="AJ60" s="180" t="str">
        <f t="shared" si="71"/>
        <v/>
      </c>
      <c r="AK60" s="181"/>
      <c r="AL60" s="172"/>
      <c r="AM60" s="182"/>
      <c r="AN60" s="182"/>
      <c r="AO60" s="183"/>
      <c r="AP60" s="313"/>
      <c r="AQ60" s="313"/>
      <c r="AR60" s="313"/>
    </row>
    <row r="61" spans="1:44" x14ac:dyDescent="0.2">
      <c r="A61" s="329">
        <v>9</v>
      </c>
      <c r="B61" s="330"/>
      <c r="C61" s="330"/>
      <c r="D61" s="330"/>
      <c r="E61" s="330"/>
      <c r="F61" s="330"/>
      <c r="G61" s="319"/>
      <c r="H61" s="319"/>
      <c r="I61" s="207"/>
      <c r="J61" s="207"/>
      <c r="K61" s="207"/>
      <c r="L61" s="319"/>
      <c r="M61" s="319"/>
      <c r="N61" s="313"/>
      <c r="O61" s="312" t="str">
        <f>IF(N61&lt;=0,"",IF(N61&lt;=2,"Muy Baja",IF(N61&lt;=24,"Baja",IF(N61&lt;=500,"Media",IF(N61&lt;=5000,"Alta","Muy Alta")))))</f>
        <v/>
      </c>
      <c r="P61" s="311" t="str">
        <f>IF(O61="","",IF(O61="Muy Baja",0.2,IF(O61="Baja",0.4,IF(O61="Media",0.6,IF(O61="Alta",0.8,IF(O61="Muy Alta",1,))))))</f>
        <v/>
      </c>
      <c r="Q61" s="310"/>
      <c r="R61" s="311">
        <f>IF(NOT(ISERROR(MATCH(Q61,'Tabla Impacto'!$B$222:$B$224,0))),'Tabla Impacto'!$F$224&amp;"Por favor no seleccionar los criterios de impacto(Afectación Económica o presupuestal y Pérdida Reputacional)",Q61)</f>
        <v>0</v>
      </c>
      <c r="S61" s="312" t="str">
        <f>IF(OR(R61='Tabla Impacto'!$C$12,R61='Tabla Impacto'!$D$12),"Leve",IF(OR(R61='Tabla Impacto'!$C$13,R61='Tabla Impacto'!$D$13),"Menor",IF(OR(R61='Tabla Impacto'!$C$14,R61='Tabla Impacto'!$D$14),"Moderado",IF(OR(R61='Tabla Impacto'!$C$15,R61='Tabla Impacto'!$D$15),"Mayor",IF(OR(R61='Tabla Impacto'!$C$16,R61='Tabla Impacto'!$D$16),"Catastrófico","")))))</f>
        <v/>
      </c>
      <c r="T61" s="311"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0">
        <v>1</v>
      </c>
      <c r="W61" s="174"/>
      <c r="X61" s="175" t="str">
        <f>IF(OR(Y61="Preventivo",Y61="Detectivo"),"Probabilidad",IF(Y61="Correctivo","Impacto",""))</f>
        <v/>
      </c>
      <c r="Y61" s="176"/>
      <c r="Z61" s="176"/>
      <c r="AA61" s="177" t="str">
        <f>IF(AND(Y61="Preventivo",Z61="Automático"),"50%",IF(AND(Y61="Preventivo",Z61="Manual"),"40%",IF(AND(Y61="Detectivo",Z61="Automático"),"40%",IF(AND(Y61="Detectivo",Z61="Manual"),"30%",IF(AND(Y61="Correctivo",Z61="Automático"),"35%",IF(AND(Y61="Correctivo",Z61="Manual"),"25%",""))))))</f>
        <v/>
      </c>
      <c r="AB61" s="176"/>
      <c r="AC61" s="176"/>
      <c r="AD61" s="176"/>
      <c r="AE61" s="178" t="str">
        <f>IFERROR(IF(X61="Probabilidad",(P61-(+P61*AA61)),IF(X61="Impacto",P61,"")),"")</f>
        <v/>
      </c>
      <c r="AF61" s="179" t="str">
        <f>IFERROR(IF(AE61="","",IF(AE61&lt;=0.2,"Muy Baja",IF(AE61&lt;=0.4,"Baja",IF(AE61&lt;=0.6,"Media",IF(AE61&lt;=0.8,"Alta","Muy Alta"))))),"")</f>
        <v/>
      </c>
      <c r="AG61" s="177" t="str">
        <f>+AE61</f>
        <v/>
      </c>
      <c r="AH61" s="179" t="str">
        <f>IFERROR(IF(AI61="","",IF(AI61&lt;=0.2,"Leve",IF(AI61&lt;=0.4,"Menor",IF(AI61&lt;=0.6,"Moderado",IF(AI61&lt;=0.8,"Mayor","Catastrófico"))))),"")</f>
        <v/>
      </c>
      <c r="AI61" s="177" t="str">
        <f t="shared" ref="AI61" si="72">IFERROR(IF(X61="Impacto",(T61-(+T61*AA61)),IF(X61="Probabilidad",T61,"")),"")</f>
        <v/>
      </c>
      <c r="AJ61" s="180"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1"/>
      <c r="AL61" s="172"/>
      <c r="AM61" s="182"/>
      <c r="AN61" s="182"/>
      <c r="AO61" s="183"/>
      <c r="AP61" s="313"/>
      <c r="AQ61" s="313"/>
      <c r="AR61" s="313"/>
    </row>
    <row r="62" spans="1:44" x14ac:dyDescent="0.2">
      <c r="A62" s="329"/>
      <c r="B62" s="330"/>
      <c r="C62" s="330"/>
      <c r="D62" s="330"/>
      <c r="E62" s="330"/>
      <c r="F62" s="330"/>
      <c r="G62" s="320"/>
      <c r="H62" s="320"/>
      <c r="I62" s="208"/>
      <c r="J62" s="208"/>
      <c r="K62" s="208"/>
      <c r="L62" s="320"/>
      <c r="M62" s="320"/>
      <c r="N62" s="313"/>
      <c r="O62" s="312"/>
      <c r="P62" s="311"/>
      <c r="Q62" s="310"/>
      <c r="R62" s="311">
        <f>IF(NOT(ISERROR(MATCH(Q62,_xlfn.ANCHORARRAY(F73),0))),Q75&amp;"Por favor no seleccionar los criterios de impacto",Q62)</f>
        <v>0</v>
      </c>
      <c r="S62" s="312"/>
      <c r="T62" s="311"/>
      <c r="U62" s="324"/>
      <c r="V62" s="200">
        <v>2</v>
      </c>
      <c r="W62" s="174"/>
      <c r="X62" s="175" t="str">
        <f>IF(OR(Y62="Preventivo",Y62="Detectivo"),"Probabilidad",IF(Y62="Correctivo","Impacto",""))</f>
        <v/>
      </c>
      <c r="Y62" s="176"/>
      <c r="Z62" s="176"/>
      <c r="AA62" s="177" t="str">
        <f t="shared" ref="AA62:AA66" si="73">IF(AND(Y62="Preventivo",Z62="Automático"),"50%",IF(AND(Y62="Preventivo",Z62="Manual"),"40%",IF(AND(Y62="Detectivo",Z62="Automático"),"40%",IF(AND(Y62="Detectivo",Z62="Manual"),"30%",IF(AND(Y62="Correctivo",Z62="Automático"),"35%",IF(AND(Y62="Correctivo",Z62="Manual"),"25%",""))))))</f>
        <v/>
      </c>
      <c r="AB62" s="176"/>
      <c r="AC62" s="176"/>
      <c r="AD62" s="176"/>
      <c r="AE62" s="178" t="str">
        <f>IFERROR(IF(AND(X61="Probabilidad",X62="Probabilidad"),(AG61-(+AG61*AA62)),IF(X62="Probabilidad",(P61-(+P61*AA62)),IF(X62="Impacto",AG61,""))),"")</f>
        <v/>
      </c>
      <c r="AF62" s="179" t="str">
        <f t="shared" si="2"/>
        <v/>
      </c>
      <c r="AG62" s="177" t="str">
        <f t="shared" ref="AG62:AG66" si="74">+AE62</f>
        <v/>
      </c>
      <c r="AH62" s="179" t="str">
        <f t="shared" si="4"/>
        <v/>
      </c>
      <c r="AI62" s="177" t="str">
        <f t="shared" ref="AI62" si="75">IFERROR(IF(AND(X61="Impacto",X62="Impacto"),(AI61-(+AI61*AA62)),IF(X62="Impacto",($T$13-(+$T$13*AA62)),IF(X62="Probabilidad",AI61,""))),"")</f>
        <v/>
      </c>
      <c r="AJ62" s="180" t="str">
        <f t="shared" ref="AJ62:AJ63" si="76">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1"/>
      <c r="AL62" s="172"/>
      <c r="AM62" s="182"/>
      <c r="AN62" s="182"/>
      <c r="AO62" s="183"/>
      <c r="AP62" s="313"/>
      <c r="AQ62" s="313"/>
      <c r="AR62" s="313"/>
    </row>
    <row r="63" spans="1:44" x14ac:dyDescent="0.2">
      <c r="A63" s="329"/>
      <c r="B63" s="330"/>
      <c r="C63" s="330"/>
      <c r="D63" s="330"/>
      <c r="E63" s="330"/>
      <c r="F63" s="330"/>
      <c r="G63" s="320"/>
      <c r="H63" s="320"/>
      <c r="I63" s="208"/>
      <c r="J63" s="208"/>
      <c r="K63" s="208"/>
      <c r="L63" s="320"/>
      <c r="M63" s="320"/>
      <c r="N63" s="313"/>
      <c r="O63" s="312"/>
      <c r="P63" s="311"/>
      <c r="Q63" s="310"/>
      <c r="R63" s="311">
        <f>IF(NOT(ISERROR(MATCH(Q63,_xlfn.ANCHORARRAY(F74),0))),Q76&amp;"Por favor no seleccionar los criterios de impacto",Q63)</f>
        <v>0</v>
      </c>
      <c r="S63" s="312"/>
      <c r="T63" s="311"/>
      <c r="U63" s="324"/>
      <c r="V63" s="200">
        <v>3</v>
      </c>
      <c r="W63" s="174"/>
      <c r="X63" s="175" t="str">
        <f>IF(OR(Y63="Preventivo",Y63="Detectivo"),"Probabilidad",IF(Y63="Correctivo","Impacto",""))</f>
        <v/>
      </c>
      <c r="Y63" s="176"/>
      <c r="Z63" s="176"/>
      <c r="AA63" s="177" t="str">
        <f t="shared" si="73"/>
        <v/>
      </c>
      <c r="AB63" s="176"/>
      <c r="AC63" s="176"/>
      <c r="AD63" s="176"/>
      <c r="AE63" s="178" t="str">
        <f>IFERROR(IF(AND(X62="Probabilidad",X63="Probabilidad"),(AG62-(+AG62*AA63)),IF(AND(X62="Impacto",X63="Probabilidad"),(AG61-(+AG61*AA63)),IF(X63="Impacto",AG62,""))),"")</f>
        <v/>
      </c>
      <c r="AF63" s="179" t="str">
        <f t="shared" si="2"/>
        <v/>
      </c>
      <c r="AG63" s="177" t="str">
        <f t="shared" si="74"/>
        <v/>
      </c>
      <c r="AH63" s="179" t="str">
        <f t="shared" si="4"/>
        <v/>
      </c>
      <c r="AI63" s="177" t="str">
        <f t="shared" ref="AI63" si="77">IFERROR(IF(AND(X62="Impacto",X63="Impacto"),(AI62-(+AI62*AA63)),IF(AND(X62="Probabilidad",X63="Impacto"),(AI61-(+AI61*AA63)),IF(X63="Probabilidad",AI62,""))),"")</f>
        <v/>
      </c>
      <c r="AJ63" s="180" t="str">
        <f t="shared" si="76"/>
        <v/>
      </c>
      <c r="AK63" s="181"/>
      <c r="AL63" s="172"/>
      <c r="AM63" s="182"/>
      <c r="AN63" s="182"/>
      <c r="AO63" s="183"/>
      <c r="AP63" s="313"/>
      <c r="AQ63" s="313"/>
      <c r="AR63" s="313"/>
    </row>
    <row r="64" spans="1:44" x14ac:dyDescent="0.2">
      <c r="A64" s="329"/>
      <c r="B64" s="330"/>
      <c r="C64" s="330"/>
      <c r="D64" s="330"/>
      <c r="E64" s="330"/>
      <c r="F64" s="330"/>
      <c r="G64" s="320"/>
      <c r="H64" s="320"/>
      <c r="I64" s="208"/>
      <c r="J64" s="208"/>
      <c r="K64" s="208"/>
      <c r="L64" s="320"/>
      <c r="M64" s="320"/>
      <c r="N64" s="313"/>
      <c r="O64" s="312"/>
      <c r="P64" s="311"/>
      <c r="Q64" s="310"/>
      <c r="R64" s="311">
        <f>IF(NOT(ISERROR(MATCH(Q64,_xlfn.ANCHORARRAY(F75),0))),Q77&amp;"Por favor no seleccionar los criterios de impacto",Q64)</f>
        <v>0</v>
      </c>
      <c r="S64" s="312"/>
      <c r="T64" s="311"/>
      <c r="U64" s="324"/>
      <c r="V64" s="200">
        <v>4</v>
      </c>
      <c r="W64" s="174"/>
      <c r="X64" s="175" t="str">
        <f t="shared" ref="X64:X66" si="78">IF(OR(Y64="Preventivo",Y64="Detectivo"),"Probabilidad",IF(Y64="Correctivo","Impacto",""))</f>
        <v/>
      </c>
      <c r="Y64" s="176"/>
      <c r="Z64" s="176"/>
      <c r="AA64" s="177" t="str">
        <f t="shared" si="73"/>
        <v/>
      </c>
      <c r="AB64" s="176"/>
      <c r="AC64" s="176"/>
      <c r="AD64" s="176"/>
      <c r="AE64" s="178" t="str">
        <f t="shared" ref="AE64:AE66" si="79">IFERROR(IF(AND(X63="Probabilidad",X64="Probabilidad"),(AG63-(+AG63*AA64)),IF(AND(X63="Impacto",X64="Probabilidad"),(AG62-(+AG62*AA64)),IF(X64="Impacto",AG63,""))),"")</f>
        <v/>
      </c>
      <c r="AF64" s="179" t="str">
        <f t="shared" si="2"/>
        <v/>
      </c>
      <c r="AG64" s="177" t="str">
        <f t="shared" si="74"/>
        <v/>
      </c>
      <c r="AH64" s="179" t="str">
        <f t="shared" si="4"/>
        <v/>
      </c>
      <c r="AI64" s="177" t="str">
        <f t="shared" si="14"/>
        <v/>
      </c>
      <c r="AJ64" s="180"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1"/>
      <c r="AL64" s="172"/>
      <c r="AM64" s="182"/>
      <c r="AN64" s="182"/>
      <c r="AO64" s="183"/>
      <c r="AP64" s="313"/>
      <c r="AQ64" s="313"/>
      <c r="AR64" s="313"/>
    </row>
    <row r="65" spans="1:44" x14ac:dyDescent="0.2">
      <c r="A65" s="329"/>
      <c r="B65" s="330"/>
      <c r="C65" s="330"/>
      <c r="D65" s="330"/>
      <c r="E65" s="330"/>
      <c r="F65" s="330"/>
      <c r="G65" s="320"/>
      <c r="H65" s="320"/>
      <c r="I65" s="208"/>
      <c r="J65" s="208"/>
      <c r="K65" s="208"/>
      <c r="L65" s="320"/>
      <c r="M65" s="320"/>
      <c r="N65" s="313"/>
      <c r="O65" s="312"/>
      <c r="P65" s="311"/>
      <c r="Q65" s="310"/>
      <c r="R65" s="311">
        <f>IF(NOT(ISERROR(MATCH(Q65,_xlfn.ANCHORARRAY(F76),0))),Q78&amp;"Por favor no seleccionar los criterios de impacto",Q65)</f>
        <v>0</v>
      </c>
      <c r="S65" s="312"/>
      <c r="T65" s="311"/>
      <c r="U65" s="324"/>
      <c r="V65" s="200">
        <v>5</v>
      </c>
      <c r="W65" s="174"/>
      <c r="X65" s="175" t="str">
        <f t="shared" si="78"/>
        <v/>
      </c>
      <c r="Y65" s="176"/>
      <c r="Z65" s="176"/>
      <c r="AA65" s="177" t="str">
        <f t="shared" si="73"/>
        <v/>
      </c>
      <c r="AB65" s="176"/>
      <c r="AC65" s="176"/>
      <c r="AD65" s="176"/>
      <c r="AE65" s="178" t="str">
        <f t="shared" si="79"/>
        <v/>
      </c>
      <c r="AF65" s="179" t="str">
        <f t="shared" si="2"/>
        <v/>
      </c>
      <c r="AG65" s="177" t="str">
        <f t="shared" si="74"/>
        <v/>
      </c>
      <c r="AH65" s="179" t="str">
        <f t="shared" si="4"/>
        <v/>
      </c>
      <c r="AI65" s="177" t="str">
        <f t="shared" si="14"/>
        <v/>
      </c>
      <c r="AJ65" s="180" t="str">
        <f t="shared" ref="AJ65:AJ66" si="80">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1"/>
      <c r="AL65" s="172"/>
      <c r="AM65" s="182"/>
      <c r="AN65" s="182"/>
      <c r="AO65" s="183"/>
      <c r="AP65" s="313"/>
      <c r="AQ65" s="313"/>
      <c r="AR65" s="313"/>
    </row>
    <row r="66" spans="1:44" x14ac:dyDescent="0.2">
      <c r="A66" s="329"/>
      <c r="B66" s="330"/>
      <c r="C66" s="330"/>
      <c r="D66" s="330"/>
      <c r="E66" s="330"/>
      <c r="F66" s="330"/>
      <c r="G66" s="321"/>
      <c r="H66" s="321"/>
      <c r="I66" s="209"/>
      <c r="J66" s="209"/>
      <c r="K66" s="209"/>
      <c r="L66" s="321"/>
      <c r="M66" s="321"/>
      <c r="N66" s="313"/>
      <c r="O66" s="312"/>
      <c r="P66" s="311"/>
      <c r="Q66" s="310"/>
      <c r="R66" s="311">
        <f>IF(NOT(ISERROR(MATCH(Q66,_xlfn.ANCHORARRAY(F77),0))),Q79&amp;"Por favor no seleccionar los criterios de impacto",Q66)</f>
        <v>0</v>
      </c>
      <c r="S66" s="312"/>
      <c r="T66" s="311"/>
      <c r="U66" s="324"/>
      <c r="V66" s="200">
        <v>6</v>
      </c>
      <c r="W66" s="174"/>
      <c r="X66" s="175" t="str">
        <f t="shared" si="78"/>
        <v/>
      </c>
      <c r="Y66" s="176"/>
      <c r="Z66" s="176"/>
      <c r="AA66" s="177" t="str">
        <f t="shared" si="73"/>
        <v/>
      </c>
      <c r="AB66" s="176"/>
      <c r="AC66" s="176"/>
      <c r="AD66" s="176"/>
      <c r="AE66" s="178" t="str">
        <f t="shared" si="79"/>
        <v/>
      </c>
      <c r="AF66" s="179" t="str">
        <f t="shared" si="2"/>
        <v/>
      </c>
      <c r="AG66" s="177" t="str">
        <f t="shared" si="74"/>
        <v/>
      </c>
      <c r="AH66" s="179" t="str">
        <f t="shared" si="4"/>
        <v/>
      </c>
      <c r="AI66" s="177" t="str">
        <f t="shared" si="14"/>
        <v/>
      </c>
      <c r="AJ66" s="180" t="str">
        <f t="shared" si="80"/>
        <v/>
      </c>
      <c r="AK66" s="181"/>
      <c r="AL66" s="172"/>
      <c r="AM66" s="182"/>
      <c r="AN66" s="182"/>
      <c r="AO66" s="183"/>
      <c r="AP66" s="313"/>
      <c r="AQ66" s="313"/>
      <c r="AR66" s="313"/>
    </row>
    <row r="67" spans="1:44" x14ac:dyDescent="0.2">
      <c r="A67" s="329">
        <v>10</v>
      </c>
      <c r="B67" s="330"/>
      <c r="C67" s="330"/>
      <c r="D67" s="330"/>
      <c r="E67" s="330"/>
      <c r="F67" s="330"/>
      <c r="G67" s="319"/>
      <c r="H67" s="319"/>
      <c r="I67" s="207"/>
      <c r="J67" s="207"/>
      <c r="K67" s="207"/>
      <c r="L67" s="319"/>
      <c r="M67" s="319"/>
      <c r="N67" s="313"/>
      <c r="O67" s="312" t="str">
        <f>IF(N67&lt;=0,"",IF(N67&lt;=2,"Muy Baja",IF(N67&lt;=24,"Baja",IF(N67&lt;=500,"Media",IF(N67&lt;=5000,"Alta","Muy Alta")))))</f>
        <v/>
      </c>
      <c r="P67" s="311" t="str">
        <f>IF(O67="","",IF(O67="Muy Baja",0.2,IF(O67="Baja",0.4,IF(O67="Media",0.6,IF(O67="Alta",0.8,IF(O67="Muy Alta",1,))))))</f>
        <v/>
      </c>
      <c r="Q67" s="310"/>
      <c r="R67" s="311">
        <f>IF(NOT(ISERROR(MATCH(Q67,'Tabla Impacto'!$B$222:$B$224,0))),'Tabla Impacto'!$F$224&amp;"Por favor no seleccionar los criterios de impacto(Afectación Económica o presupuestal y Pérdida Reputacional)",Q67)</f>
        <v>0</v>
      </c>
      <c r="S67" s="312" t="str">
        <f>IF(OR(R67='Tabla Impacto'!$C$12,R67='Tabla Impacto'!$D$12),"Leve",IF(OR(R67='Tabla Impacto'!$C$13,R67='Tabla Impacto'!$D$13),"Menor",IF(OR(R67='Tabla Impacto'!$C$14,R67='Tabla Impacto'!$D$14),"Moderado",IF(OR(R67='Tabla Impacto'!$C$15,R67='Tabla Impacto'!$D$15),"Mayor",IF(OR(R67='Tabla Impacto'!$C$16,R67='Tabla Impacto'!$D$16),"Catastrófico","")))))</f>
        <v/>
      </c>
      <c r="T67" s="311"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0">
        <v>1</v>
      </c>
      <c r="W67" s="174"/>
      <c r="X67" s="175" t="str">
        <f>IF(OR(Y67="Preventivo",Y67="Detectivo"),"Probabilidad",IF(Y67="Correctivo","Impacto",""))</f>
        <v/>
      </c>
      <c r="Y67" s="176"/>
      <c r="Z67" s="176"/>
      <c r="AA67" s="177" t="str">
        <f>IF(AND(Y67="Preventivo",Z67="Automático"),"50%",IF(AND(Y67="Preventivo",Z67="Manual"),"40%",IF(AND(Y67="Detectivo",Z67="Automático"),"40%",IF(AND(Y67="Detectivo",Z67="Manual"),"30%",IF(AND(Y67="Correctivo",Z67="Automático"),"35%",IF(AND(Y67="Correctivo",Z67="Manual"),"25%",""))))))</f>
        <v/>
      </c>
      <c r="AB67" s="176"/>
      <c r="AC67" s="176"/>
      <c r="AD67" s="176"/>
      <c r="AE67" s="178" t="str">
        <f>IFERROR(IF(X67="Probabilidad",(P67-(+P67*AA67)),IF(X67="Impacto",P67,"")),"")</f>
        <v/>
      </c>
      <c r="AF67" s="179" t="str">
        <f>IFERROR(IF(AE67="","",IF(AE67&lt;=0.2,"Muy Baja",IF(AE67&lt;=0.4,"Baja",IF(AE67&lt;=0.6,"Media",IF(AE67&lt;=0.8,"Alta","Muy Alta"))))),"")</f>
        <v/>
      </c>
      <c r="AG67" s="177" t="str">
        <f>+AE67</f>
        <v/>
      </c>
      <c r="AH67" s="179" t="str">
        <f>IFERROR(IF(AI67="","",IF(AI67&lt;=0.2,"Leve",IF(AI67&lt;=0.4,"Menor",IF(AI67&lt;=0.6,"Moderado",IF(AI67&lt;=0.8,"Mayor","Catastrófico"))))),"")</f>
        <v/>
      </c>
      <c r="AI67" s="177" t="str">
        <f t="shared" ref="AI67" si="81">IFERROR(IF(X67="Impacto",(T67-(+T67*AA67)),IF(X67="Probabilidad",T67,"")),"")</f>
        <v/>
      </c>
      <c r="AJ67" s="180"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1"/>
      <c r="AL67" s="172"/>
      <c r="AM67" s="182"/>
      <c r="AN67" s="182"/>
      <c r="AO67" s="183"/>
      <c r="AP67" s="313"/>
      <c r="AQ67" s="313"/>
      <c r="AR67" s="313"/>
    </row>
    <row r="68" spans="1:44" x14ac:dyDescent="0.2">
      <c r="A68" s="329"/>
      <c r="B68" s="330"/>
      <c r="C68" s="330"/>
      <c r="D68" s="330"/>
      <c r="E68" s="330"/>
      <c r="F68" s="330"/>
      <c r="G68" s="320"/>
      <c r="H68" s="320"/>
      <c r="I68" s="208"/>
      <c r="J68" s="208"/>
      <c r="K68" s="208"/>
      <c r="L68" s="320"/>
      <c r="M68" s="320"/>
      <c r="N68" s="313"/>
      <c r="O68" s="312"/>
      <c r="P68" s="311"/>
      <c r="Q68" s="310"/>
      <c r="R68" s="311">
        <f>IF(NOT(ISERROR(MATCH(Q68,_xlfn.ANCHORARRAY(F79),0))),Q81&amp;"Por favor no seleccionar los criterios de impacto",Q68)</f>
        <v>0</v>
      </c>
      <c r="S68" s="312"/>
      <c r="T68" s="311"/>
      <c r="U68" s="324"/>
      <c r="V68" s="200">
        <v>2</v>
      </c>
      <c r="W68" s="174"/>
      <c r="X68" s="175" t="str">
        <f>IF(OR(Y68="Preventivo",Y68="Detectivo"),"Probabilidad",IF(Y68="Correctivo","Impacto",""))</f>
        <v/>
      </c>
      <c r="Y68" s="176"/>
      <c r="Z68" s="176"/>
      <c r="AA68" s="177" t="str">
        <f t="shared" ref="AA68:AA72" si="82">IF(AND(Y68="Preventivo",Z68="Automático"),"50%",IF(AND(Y68="Preventivo",Z68="Manual"),"40%",IF(AND(Y68="Detectivo",Z68="Automático"),"40%",IF(AND(Y68="Detectivo",Z68="Manual"),"30%",IF(AND(Y68="Correctivo",Z68="Automático"),"35%",IF(AND(Y68="Correctivo",Z68="Manual"),"25%",""))))))</f>
        <v/>
      </c>
      <c r="AB68" s="176"/>
      <c r="AC68" s="176"/>
      <c r="AD68" s="176"/>
      <c r="AE68" s="178" t="str">
        <f>IFERROR(IF(AND(X67="Probabilidad",X68="Probabilidad"),(AG67-(+AG67*AA68)),IF(X68="Probabilidad",(P67-(+P67*AA68)),IF(X68="Impacto",AG67,""))),"")</f>
        <v/>
      </c>
      <c r="AF68" s="179" t="str">
        <f t="shared" si="2"/>
        <v/>
      </c>
      <c r="AG68" s="177" t="str">
        <f t="shared" ref="AG68:AG72" si="83">+AE68</f>
        <v/>
      </c>
      <c r="AH68" s="179" t="str">
        <f t="shared" si="4"/>
        <v/>
      </c>
      <c r="AI68" s="177" t="str">
        <f t="shared" ref="AI68" si="84">IFERROR(IF(AND(X67="Impacto",X68="Impacto"),(AI67-(+AI67*AA68)),IF(X68="Impacto",($T$13-(+$T$13*AA68)),IF(X68="Probabilidad",AI67,""))),"")</f>
        <v/>
      </c>
      <c r="AJ68" s="180" t="str">
        <f t="shared" ref="AJ68:AJ69" si="85">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1"/>
      <c r="AL68" s="172"/>
      <c r="AM68" s="182"/>
      <c r="AN68" s="182"/>
      <c r="AO68" s="183"/>
      <c r="AP68" s="313"/>
      <c r="AQ68" s="313"/>
      <c r="AR68" s="313"/>
    </row>
    <row r="69" spans="1:44" x14ac:dyDescent="0.2">
      <c r="A69" s="329"/>
      <c r="B69" s="330"/>
      <c r="C69" s="330"/>
      <c r="D69" s="330"/>
      <c r="E69" s="330"/>
      <c r="F69" s="330"/>
      <c r="G69" s="320"/>
      <c r="H69" s="320"/>
      <c r="I69" s="208"/>
      <c r="J69" s="208"/>
      <c r="K69" s="208"/>
      <c r="L69" s="320"/>
      <c r="M69" s="320"/>
      <c r="N69" s="313"/>
      <c r="O69" s="312"/>
      <c r="P69" s="311"/>
      <c r="Q69" s="310"/>
      <c r="R69" s="311">
        <f>IF(NOT(ISERROR(MATCH(Q69,_xlfn.ANCHORARRAY(F80),0))),Q82&amp;"Por favor no seleccionar los criterios de impacto",Q69)</f>
        <v>0</v>
      </c>
      <c r="S69" s="312"/>
      <c r="T69" s="311"/>
      <c r="U69" s="324"/>
      <c r="V69" s="200">
        <v>3</v>
      </c>
      <c r="W69" s="174"/>
      <c r="X69" s="175" t="str">
        <f>IF(OR(Y69="Preventivo",Y69="Detectivo"),"Probabilidad",IF(Y69="Correctivo","Impacto",""))</f>
        <v/>
      </c>
      <c r="Y69" s="176"/>
      <c r="Z69" s="176"/>
      <c r="AA69" s="177" t="str">
        <f t="shared" si="82"/>
        <v/>
      </c>
      <c r="AB69" s="176"/>
      <c r="AC69" s="176"/>
      <c r="AD69" s="176"/>
      <c r="AE69" s="178" t="str">
        <f>IFERROR(IF(AND(X68="Probabilidad",X69="Probabilidad"),(AG68-(+AG68*AA69)),IF(AND(X68="Impacto",X69="Probabilidad"),(AG67-(+AG67*AA69)),IF(X69="Impacto",AG68,""))),"")</f>
        <v/>
      </c>
      <c r="AF69" s="179" t="str">
        <f t="shared" si="2"/>
        <v/>
      </c>
      <c r="AG69" s="177" t="str">
        <f t="shared" si="83"/>
        <v/>
      </c>
      <c r="AH69" s="179" t="str">
        <f t="shared" si="4"/>
        <v/>
      </c>
      <c r="AI69" s="177" t="str">
        <f t="shared" ref="AI69" si="86">IFERROR(IF(AND(X68="Impacto",X69="Impacto"),(AI68-(+AI68*AA69)),IF(AND(X68="Probabilidad",X69="Impacto"),(AI67-(+AI67*AA69)),IF(X69="Probabilidad",AI68,""))),"")</f>
        <v/>
      </c>
      <c r="AJ69" s="180" t="str">
        <f t="shared" si="85"/>
        <v/>
      </c>
      <c r="AK69" s="181"/>
      <c r="AL69" s="172"/>
      <c r="AM69" s="182"/>
      <c r="AN69" s="182"/>
      <c r="AO69" s="183"/>
      <c r="AP69" s="313"/>
      <c r="AQ69" s="313"/>
      <c r="AR69" s="313"/>
    </row>
    <row r="70" spans="1:44" x14ac:dyDescent="0.2">
      <c r="A70" s="329"/>
      <c r="B70" s="330"/>
      <c r="C70" s="330"/>
      <c r="D70" s="330"/>
      <c r="E70" s="330"/>
      <c r="F70" s="330"/>
      <c r="G70" s="320"/>
      <c r="H70" s="320"/>
      <c r="I70" s="208"/>
      <c r="J70" s="208"/>
      <c r="K70" s="208"/>
      <c r="L70" s="320"/>
      <c r="M70" s="320"/>
      <c r="N70" s="313"/>
      <c r="O70" s="312"/>
      <c r="P70" s="311"/>
      <c r="Q70" s="310"/>
      <c r="R70" s="311">
        <f>IF(NOT(ISERROR(MATCH(Q70,_xlfn.ANCHORARRAY(F81),0))),Q83&amp;"Por favor no seleccionar los criterios de impacto",Q70)</f>
        <v>0</v>
      </c>
      <c r="S70" s="312"/>
      <c r="T70" s="311"/>
      <c r="U70" s="324"/>
      <c r="V70" s="200">
        <v>4</v>
      </c>
      <c r="W70" s="174"/>
      <c r="X70" s="175" t="str">
        <f t="shared" ref="X70:X72" si="87">IF(OR(Y70="Preventivo",Y70="Detectivo"),"Probabilidad",IF(Y70="Correctivo","Impacto",""))</f>
        <v/>
      </c>
      <c r="Y70" s="176"/>
      <c r="Z70" s="176"/>
      <c r="AA70" s="177" t="str">
        <f t="shared" si="82"/>
        <v/>
      </c>
      <c r="AB70" s="176"/>
      <c r="AC70" s="176"/>
      <c r="AD70" s="176"/>
      <c r="AE70" s="178" t="str">
        <f t="shared" ref="AE70:AE72" si="88">IFERROR(IF(AND(X69="Probabilidad",X70="Probabilidad"),(AG69-(+AG69*AA70)),IF(AND(X69="Impacto",X70="Probabilidad"),(AG68-(+AG68*AA70)),IF(X70="Impacto",AG69,""))),"")</f>
        <v/>
      </c>
      <c r="AF70" s="179" t="str">
        <f t="shared" si="2"/>
        <v/>
      </c>
      <c r="AG70" s="177" t="str">
        <f t="shared" si="83"/>
        <v/>
      </c>
      <c r="AH70" s="179" t="str">
        <f t="shared" si="4"/>
        <v/>
      </c>
      <c r="AI70" s="177" t="str">
        <f t="shared" si="14"/>
        <v/>
      </c>
      <c r="AJ70" s="180"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1"/>
      <c r="AL70" s="172"/>
      <c r="AM70" s="182"/>
      <c r="AN70" s="182"/>
      <c r="AO70" s="183"/>
      <c r="AP70" s="313"/>
      <c r="AQ70" s="313"/>
      <c r="AR70" s="313"/>
    </row>
    <row r="71" spans="1:44" x14ac:dyDescent="0.2">
      <c r="A71" s="329"/>
      <c r="B71" s="330"/>
      <c r="C71" s="330"/>
      <c r="D71" s="330"/>
      <c r="E71" s="330"/>
      <c r="F71" s="330"/>
      <c r="G71" s="320"/>
      <c r="H71" s="320"/>
      <c r="I71" s="208"/>
      <c r="J71" s="208"/>
      <c r="K71" s="208"/>
      <c r="L71" s="320"/>
      <c r="M71" s="320"/>
      <c r="N71" s="313"/>
      <c r="O71" s="312"/>
      <c r="P71" s="311"/>
      <c r="Q71" s="310"/>
      <c r="R71" s="311">
        <f>IF(NOT(ISERROR(MATCH(Q71,_xlfn.ANCHORARRAY(F82),0))),Q84&amp;"Por favor no seleccionar los criterios de impacto",Q71)</f>
        <v>0</v>
      </c>
      <c r="S71" s="312"/>
      <c r="T71" s="311"/>
      <c r="U71" s="324"/>
      <c r="V71" s="200">
        <v>5</v>
      </c>
      <c r="W71" s="174"/>
      <c r="X71" s="175" t="str">
        <f t="shared" si="87"/>
        <v/>
      </c>
      <c r="Y71" s="176"/>
      <c r="Z71" s="176"/>
      <c r="AA71" s="177" t="str">
        <f t="shared" si="82"/>
        <v/>
      </c>
      <c r="AB71" s="176"/>
      <c r="AC71" s="176"/>
      <c r="AD71" s="176"/>
      <c r="AE71" s="178" t="str">
        <f t="shared" si="88"/>
        <v/>
      </c>
      <c r="AF71" s="179" t="str">
        <f t="shared" si="2"/>
        <v/>
      </c>
      <c r="AG71" s="177" t="str">
        <f t="shared" si="83"/>
        <v/>
      </c>
      <c r="AH71" s="179" t="str">
        <f t="shared" si="4"/>
        <v/>
      </c>
      <c r="AI71" s="177" t="str">
        <f t="shared" si="14"/>
        <v/>
      </c>
      <c r="AJ71" s="180" t="str">
        <f t="shared" ref="AJ71:AJ72" si="89">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1"/>
      <c r="AL71" s="172"/>
      <c r="AM71" s="182"/>
      <c r="AN71" s="182"/>
      <c r="AO71" s="183"/>
      <c r="AP71" s="313"/>
      <c r="AQ71" s="313"/>
      <c r="AR71" s="313"/>
    </row>
    <row r="72" spans="1:44" x14ac:dyDescent="0.2">
      <c r="A72" s="329"/>
      <c r="B72" s="330"/>
      <c r="C72" s="330"/>
      <c r="D72" s="330"/>
      <c r="E72" s="330"/>
      <c r="F72" s="330"/>
      <c r="G72" s="321"/>
      <c r="H72" s="321"/>
      <c r="I72" s="209"/>
      <c r="J72" s="209"/>
      <c r="K72" s="209"/>
      <c r="L72" s="321"/>
      <c r="M72" s="321"/>
      <c r="N72" s="313"/>
      <c r="O72" s="312"/>
      <c r="P72" s="311"/>
      <c r="Q72" s="310"/>
      <c r="R72" s="311">
        <f>IF(NOT(ISERROR(MATCH(Q72,_xlfn.ANCHORARRAY(F83),0))),Q85&amp;"Por favor no seleccionar los criterios de impacto",Q72)</f>
        <v>0</v>
      </c>
      <c r="S72" s="312"/>
      <c r="T72" s="311"/>
      <c r="U72" s="324"/>
      <c r="V72" s="200">
        <v>6</v>
      </c>
      <c r="W72" s="174"/>
      <c r="X72" s="175" t="str">
        <f t="shared" si="87"/>
        <v/>
      </c>
      <c r="Y72" s="176"/>
      <c r="Z72" s="176"/>
      <c r="AA72" s="177" t="str">
        <f t="shared" si="82"/>
        <v/>
      </c>
      <c r="AB72" s="176"/>
      <c r="AC72" s="176"/>
      <c r="AD72" s="176"/>
      <c r="AE72" s="178" t="str">
        <f t="shared" si="88"/>
        <v/>
      </c>
      <c r="AF72" s="179" t="str">
        <f t="shared" si="2"/>
        <v/>
      </c>
      <c r="AG72" s="177" t="str">
        <f t="shared" si="83"/>
        <v/>
      </c>
      <c r="AH72" s="179" t="str">
        <f t="shared" si="4"/>
        <v/>
      </c>
      <c r="AI72" s="177" t="str">
        <f t="shared" si="14"/>
        <v/>
      </c>
      <c r="AJ72" s="180" t="str">
        <f t="shared" si="89"/>
        <v/>
      </c>
      <c r="AK72" s="181"/>
      <c r="AL72" s="172"/>
      <c r="AM72" s="182"/>
      <c r="AN72" s="182"/>
      <c r="AO72" s="183"/>
      <c r="AP72" s="313"/>
      <c r="AQ72" s="313"/>
      <c r="AR72" s="313"/>
    </row>
    <row r="73" spans="1:44" x14ac:dyDescent="0.2">
      <c r="A73" s="202"/>
      <c r="B73" s="335" t="s">
        <v>246</v>
      </c>
      <c r="C73" s="336"/>
      <c r="D73" s="336"/>
      <c r="E73" s="336"/>
      <c r="F73" s="336"/>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row>
    <row r="75" spans="1:44" ht="15.75" x14ac:dyDescent="0.2">
      <c r="A75" s="184"/>
      <c r="B75" s="192" t="s">
        <v>247</v>
      </c>
      <c r="C75" s="184"/>
      <c r="D75" s="184"/>
      <c r="E75" s="184"/>
      <c r="N75" s="184"/>
    </row>
    <row r="76" spans="1:44" s="245" customFormat="1" x14ac:dyDescent="0.2">
      <c r="A76" s="244"/>
      <c r="B76" s="244"/>
      <c r="C76" s="244"/>
      <c r="D76" s="244"/>
      <c r="E76" s="244"/>
      <c r="N76" s="246"/>
      <c r="AL76" s="247"/>
    </row>
  </sheetData>
  <dataConsolidate/>
  <mergeCells count="296">
    <mergeCell ref="A6:B6"/>
    <mergeCell ref="A7:B7"/>
    <mergeCell ref="A8:B8"/>
    <mergeCell ref="AK11:AK12"/>
    <mergeCell ref="AN11:AN12"/>
    <mergeCell ref="V11:V12"/>
    <mergeCell ref="AJ11:AJ12"/>
    <mergeCell ref="A25:A30"/>
    <mergeCell ref="B25:B30"/>
    <mergeCell ref="C25:C30"/>
    <mergeCell ref="D25:D30"/>
    <mergeCell ref="Z6:AR6"/>
    <mergeCell ref="Z7:AR7"/>
    <mergeCell ref="Z8:AR8"/>
    <mergeCell ref="A11:A12"/>
    <mergeCell ref="AF11:AF12"/>
    <mergeCell ref="AM11:AM12"/>
    <mergeCell ref="AP11:AP12"/>
    <mergeCell ref="AQ11:AQ12"/>
    <mergeCell ref="AR11:AR12"/>
    <mergeCell ref="AP10:AR10"/>
    <mergeCell ref="AF10:AJ10"/>
    <mergeCell ref="AK10:AO10"/>
    <mergeCell ref="P11:P12"/>
    <mergeCell ref="A1:C4"/>
    <mergeCell ref="N25:N30"/>
    <mergeCell ref="O25:O30"/>
    <mergeCell ref="P25:P30"/>
    <mergeCell ref="F25:F30"/>
    <mergeCell ref="N19:N24"/>
    <mergeCell ref="O19:O24"/>
    <mergeCell ref="P19:P24"/>
    <mergeCell ref="G19:G24"/>
    <mergeCell ref="G25:G30"/>
    <mergeCell ref="L19:L24"/>
    <mergeCell ref="M19:M24"/>
    <mergeCell ref="A19:A24"/>
    <mergeCell ref="B19:B24"/>
    <mergeCell ref="C19:C24"/>
    <mergeCell ref="A10:F10"/>
    <mergeCell ref="C8:T8"/>
    <mergeCell ref="D1:T2"/>
    <mergeCell ref="D4:T4"/>
    <mergeCell ref="J3:T3"/>
    <mergeCell ref="D3:I3"/>
    <mergeCell ref="B11:B12"/>
    <mergeCell ref="A13:A18"/>
    <mergeCell ref="B13:B18"/>
    <mergeCell ref="X1:AR2"/>
    <mergeCell ref="X3:AL3"/>
    <mergeCell ref="X4:AR4"/>
    <mergeCell ref="AM3:AR3"/>
    <mergeCell ref="W6:Y6"/>
    <mergeCell ref="C6:T6"/>
    <mergeCell ref="C7:T7"/>
    <mergeCell ref="N37:N42"/>
    <mergeCell ref="O37:O42"/>
    <mergeCell ref="F13:F18"/>
    <mergeCell ref="G11:G12"/>
    <mergeCell ref="H11:H12"/>
    <mergeCell ref="I11:I12"/>
    <mergeCell ref="J11:J12"/>
    <mergeCell ref="K11:K12"/>
    <mergeCell ref="H13:H18"/>
    <mergeCell ref="H19:H24"/>
    <mergeCell ref="F11:F12"/>
    <mergeCell ref="I13:I18"/>
    <mergeCell ref="Q31:Q36"/>
    <mergeCell ref="AG11:AG12"/>
    <mergeCell ref="E11:E12"/>
    <mergeCell ref="D11:D12"/>
    <mergeCell ref="C11:C12"/>
    <mergeCell ref="G49:G54"/>
    <mergeCell ref="I49:I54"/>
    <mergeCell ref="J49:J54"/>
    <mergeCell ref="K49:K54"/>
    <mergeCell ref="L37:L42"/>
    <mergeCell ref="G43:G48"/>
    <mergeCell ref="I37:I42"/>
    <mergeCell ref="J37:J42"/>
    <mergeCell ref="K37:K42"/>
    <mergeCell ref="I43:I48"/>
    <mergeCell ref="E61:E66"/>
    <mergeCell ref="N61:N66"/>
    <mergeCell ref="O61:O66"/>
    <mergeCell ref="P61:P66"/>
    <mergeCell ref="P37:P42"/>
    <mergeCell ref="Q37:Q42"/>
    <mergeCell ref="N43:N48"/>
    <mergeCell ref="O43:O48"/>
    <mergeCell ref="P43:P48"/>
    <mergeCell ref="F49:F54"/>
    <mergeCell ref="F55:F60"/>
    <mergeCell ref="G55:G60"/>
    <mergeCell ref="I55:I60"/>
    <mergeCell ref="J55:J60"/>
    <mergeCell ref="K55:K60"/>
    <mergeCell ref="J43:J48"/>
    <mergeCell ref="K43:K48"/>
    <mergeCell ref="H37:H42"/>
    <mergeCell ref="H43:H48"/>
    <mergeCell ref="Q49:Q54"/>
    <mergeCell ref="F37:F42"/>
    <mergeCell ref="F43:F48"/>
    <mergeCell ref="G37:G42"/>
    <mergeCell ref="Q43:Q48"/>
    <mergeCell ref="B73:AP73"/>
    <mergeCell ref="T61:T66"/>
    <mergeCell ref="U61:U66"/>
    <mergeCell ref="A67:A72"/>
    <mergeCell ref="B67:B72"/>
    <mergeCell ref="C67:C72"/>
    <mergeCell ref="D67:D72"/>
    <mergeCell ref="E67:E72"/>
    <mergeCell ref="N67:N72"/>
    <mergeCell ref="O67:O72"/>
    <mergeCell ref="P67:P72"/>
    <mergeCell ref="Q67:Q72"/>
    <mergeCell ref="R67:R72"/>
    <mergeCell ref="S67:S72"/>
    <mergeCell ref="T67:T72"/>
    <mergeCell ref="U67:U72"/>
    <mergeCell ref="Q61:Q66"/>
    <mergeCell ref="R61:R66"/>
    <mergeCell ref="S61:S66"/>
    <mergeCell ref="A61:A66"/>
    <mergeCell ref="B61:B66"/>
    <mergeCell ref="C61:C66"/>
    <mergeCell ref="D61:D66"/>
    <mergeCell ref="F61:F66"/>
    <mergeCell ref="F67:F72"/>
    <mergeCell ref="T49:T54"/>
    <mergeCell ref="U49:U54"/>
    <mergeCell ref="N55:N60"/>
    <mergeCell ref="O55:O60"/>
    <mergeCell ref="P55:P60"/>
    <mergeCell ref="Q55:Q60"/>
    <mergeCell ref="N49:N54"/>
    <mergeCell ref="O49:O54"/>
    <mergeCell ref="P49:P54"/>
    <mergeCell ref="R55:R60"/>
    <mergeCell ref="S55:S60"/>
    <mergeCell ref="T55:T60"/>
    <mergeCell ref="U55:U60"/>
    <mergeCell ref="G61:G66"/>
    <mergeCell ref="G67:G72"/>
    <mergeCell ref="H67:H72"/>
    <mergeCell ref="H49:H54"/>
    <mergeCell ref="H55:H60"/>
    <mergeCell ref="H61:H66"/>
    <mergeCell ref="R49:R54"/>
    <mergeCell ref="S49:S54"/>
    <mergeCell ref="L67:L72"/>
    <mergeCell ref="M67:M72"/>
    <mergeCell ref="A43:A48"/>
    <mergeCell ref="B43:B48"/>
    <mergeCell ref="C43:C48"/>
    <mergeCell ref="D43:D48"/>
    <mergeCell ref="E43:E48"/>
    <mergeCell ref="D37:D42"/>
    <mergeCell ref="E37:E42"/>
    <mergeCell ref="B55:B60"/>
    <mergeCell ref="C55:C60"/>
    <mergeCell ref="D55:D60"/>
    <mergeCell ref="E55:E60"/>
    <mergeCell ref="A49:A54"/>
    <mergeCell ref="B49:B54"/>
    <mergeCell ref="C49:C54"/>
    <mergeCell ref="D49:D54"/>
    <mergeCell ref="E49:E54"/>
    <mergeCell ref="A55:A60"/>
    <mergeCell ref="D31:D36"/>
    <mergeCell ref="E31:E36"/>
    <mergeCell ref="N31:N36"/>
    <mergeCell ref="O31:O36"/>
    <mergeCell ref="P31:P36"/>
    <mergeCell ref="F31:F36"/>
    <mergeCell ref="G31:G36"/>
    <mergeCell ref="I31:I36"/>
    <mergeCell ref="A37:A42"/>
    <mergeCell ref="B37:B42"/>
    <mergeCell ref="C37:C42"/>
    <mergeCell ref="T31:T36"/>
    <mergeCell ref="A31:A36"/>
    <mergeCell ref="J31:J36"/>
    <mergeCell ref="K31:K36"/>
    <mergeCell ref="L31:L36"/>
    <mergeCell ref="M31:M36"/>
    <mergeCell ref="H31:H36"/>
    <mergeCell ref="D19:D24"/>
    <mergeCell ref="U13:U18"/>
    <mergeCell ref="P13:P18"/>
    <mergeCell ref="Q13:Q18"/>
    <mergeCell ref="R13:R18"/>
    <mergeCell ref="S13:S18"/>
    <mergeCell ref="G13:G18"/>
    <mergeCell ref="E19:E24"/>
    <mergeCell ref="E25:E30"/>
    <mergeCell ref="R19:R24"/>
    <mergeCell ref="R31:R36"/>
    <mergeCell ref="C13:C18"/>
    <mergeCell ref="D13:D18"/>
    <mergeCell ref="E13:E18"/>
    <mergeCell ref="F19:F24"/>
    <mergeCell ref="B31:B36"/>
    <mergeCell ref="C31:C36"/>
    <mergeCell ref="L49:L54"/>
    <mergeCell ref="M49:M54"/>
    <mergeCell ref="L55:L60"/>
    <mergeCell ref="M55:M60"/>
    <mergeCell ref="L61:L66"/>
    <mergeCell ref="M61:M66"/>
    <mergeCell ref="AQ67:AQ72"/>
    <mergeCell ref="AR67:AR72"/>
    <mergeCell ref="AP43:AP48"/>
    <mergeCell ref="AQ43:AQ48"/>
    <mergeCell ref="AR43:AR48"/>
    <mergeCell ref="AP49:AP54"/>
    <mergeCell ref="AQ49:AQ54"/>
    <mergeCell ref="AR49:AR54"/>
    <mergeCell ref="AP55:AP60"/>
    <mergeCell ref="AQ55:AQ60"/>
    <mergeCell ref="AR55:AR60"/>
    <mergeCell ref="AP61:AP66"/>
    <mergeCell ref="AQ61:AQ66"/>
    <mergeCell ref="AP67:AP72"/>
    <mergeCell ref="AL11:AL12"/>
    <mergeCell ref="AO11:AO12"/>
    <mergeCell ref="AI11:AI12"/>
    <mergeCell ref="AE11:AE12"/>
    <mergeCell ref="W11:W12"/>
    <mergeCell ref="AH11:AH12"/>
    <mergeCell ref="AR61:AR66"/>
    <mergeCell ref="T25:T30"/>
    <mergeCell ref="U25:U30"/>
    <mergeCell ref="U31:U36"/>
    <mergeCell ref="T19:T24"/>
    <mergeCell ref="U19:U24"/>
    <mergeCell ref="AR31:AR36"/>
    <mergeCell ref="AQ37:AQ42"/>
    <mergeCell ref="AR37:AR42"/>
    <mergeCell ref="AP37:AP42"/>
    <mergeCell ref="AP19:AP24"/>
    <mergeCell ref="AQ19:AQ24"/>
    <mergeCell ref="AR19:AR24"/>
    <mergeCell ref="AP25:AP30"/>
    <mergeCell ref="AQ25:AQ30"/>
    <mergeCell ref="AR25:AR30"/>
    <mergeCell ref="AP31:AP36"/>
    <mergeCell ref="AQ31:AQ36"/>
    <mergeCell ref="R37:R42"/>
    <mergeCell ref="S37:S42"/>
    <mergeCell ref="T37:T42"/>
    <mergeCell ref="U37:U42"/>
    <mergeCell ref="T43:T48"/>
    <mergeCell ref="U43:U48"/>
    <mergeCell ref="R43:R48"/>
    <mergeCell ref="S43:S48"/>
    <mergeCell ref="G10:K10"/>
    <mergeCell ref="H25:H30"/>
    <mergeCell ref="J13:J18"/>
    <mergeCell ref="K13:K18"/>
    <mergeCell ref="I19:I24"/>
    <mergeCell ref="J19:J24"/>
    <mergeCell ref="K19:K24"/>
    <mergeCell ref="I25:I30"/>
    <mergeCell ref="J25:J30"/>
    <mergeCell ref="K25:K30"/>
    <mergeCell ref="S11:S12"/>
    <mergeCell ref="S19:S24"/>
    <mergeCell ref="S31:S36"/>
    <mergeCell ref="M37:M42"/>
    <mergeCell ref="L43:L48"/>
    <mergeCell ref="M43:M48"/>
    <mergeCell ref="W10:AE10"/>
    <mergeCell ref="Q25:Q30"/>
    <mergeCell ref="R25:R30"/>
    <mergeCell ref="S25:S30"/>
    <mergeCell ref="N13:N18"/>
    <mergeCell ref="O13:O18"/>
    <mergeCell ref="L10:M11"/>
    <mergeCell ref="N10:V10"/>
    <mergeCell ref="L13:L18"/>
    <mergeCell ref="M13:M18"/>
    <mergeCell ref="Q11:Q12"/>
    <mergeCell ref="R11:R12"/>
    <mergeCell ref="T13:T18"/>
    <mergeCell ref="N11:N12"/>
    <mergeCell ref="O11:O12"/>
    <mergeCell ref="U11:U12"/>
    <mergeCell ref="X11:X12"/>
    <mergeCell ref="Y11:AD11"/>
    <mergeCell ref="L25:L30"/>
    <mergeCell ref="M25:M30"/>
    <mergeCell ref="Q19:Q24"/>
    <mergeCell ref="T11:T12"/>
  </mergeCells>
  <conditionalFormatting sqref="O13 O19">
    <cfRule type="cellIs" dxfId="700" priority="324" operator="equal">
      <formula>"Muy Alta"</formula>
    </cfRule>
    <cfRule type="cellIs" dxfId="699" priority="325" operator="equal">
      <formula>"Alta"</formula>
    </cfRule>
    <cfRule type="cellIs" dxfId="698" priority="326" operator="equal">
      <formula>"Media"</formula>
    </cfRule>
    <cfRule type="cellIs" dxfId="697" priority="327" operator="equal">
      <formula>"Baja"</formula>
    </cfRule>
    <cfRule type="cellIs" dxfId="696" priority="328" operator="equal">
      <formula>"Muy Baja"</formula>
    </cfRule>
  </conditionalFormatting>
  <conditionalFormatting sqref="S13 S19 S25 S31 S37 S43 S49 S55 S61 S67">
    <cfRule type="cellIs" dxfId="695" priority="319" operator="equal">
      <formula>"Catastrófico"</formula>
    </cfRule>
    <cfRule type="cellIs" dxfId="694" priority="320" operator="equal">
      <formula>"Mayor"</formula>
    </cfRule>
    <cfRule type="cellIs" dxfId="693" priority="321" operator="equal">
      <formula>"Moderado"</formula>
    </cfRule>
    <cfRule type="cellIs" dxfId="692" priority="322" operator="equal">
      <formula>"Menor"</formula>
    </cfRule>
    <cfRule type="cellIs" dxfId="691" priority="323" operator="equal">
      <formula>"Leve"</formula>
    </cfRule>
  </conditionalFormatting>
  <conditionalFormatting sqref="U13">
    <cfRule type="cellIs" dxfId="690" priority="315" operator="equal">
      <formula>"Extremo"</formula>
    </cfRule>
    <cfRule type="cellIs" dxfId="689" priority="316" operator="equal">
      <formula>"Alto"</formula>
    </cfRule>
    <cfRule type="cellIs" dxfId="688" priority="317" operator="equal">
      <formula>"Moderado"</formula>
    </cfRule>
    <cfRule type="cellIs" dxfId="687" priority="318" operator="equal">
      <formula>"Bajo"</formula>
    </cfRule>
  </conditionalFormatting>
  <conditionalFormatting sqref="AF13:AF18">
    <cfRule type="cellIs" dxfId="686" priority="310" operator="equal">
      <formula>"Muy Alta"</formula>
    </cfRule>
    <cfRule type="cellIs" dxfId="685" priority="311" operator="equal">
      <formula>"Alta"</formula>
    </cfRule>
    <cfRule type="cellIs" dxfId="684" priority="312" operator="equal">
      <formula>"Media"</formula>
    </cfRule>
    <cfRule type="cellIs" dxfId="683" priority="313" operator="equal">
      <formula>"Baja"</formula>
    </cfRule>
    <cfRule type="cellIs" dxfId="682" priority="314" operator="equal">
      <formula>"Muy Baja"</formula>
    </cfRule>
  </conditionalFormatting>
  <conditionalFormatting sqref="AH13:AH18">
    <cfRule type="cellIs" dxfId="681" priority="305" operator="equal">
      <formula>"Catastrófico"</formula>
    </cfRule>
    <cfRule type="cellIs" dxfId="680" priority="306" operator="equal">
      <formula>"Mayor"</formula>
    </cfRule>
    <cfRule type="cellIs" dxfId="679" priority="307" operator="equal">
      <formula>"Moderado"</formula>
    </cfRule>
    <cfRule type="cellIs" dxfId="678" priority="308" operator="equal">
      <formula>"Menor"</formula>
    </cfRule>
    <cfRule type="cellIs" dxfId="677" priority="309" operator="equal">
      <formula>"Leve"</formula>
    </cfRule>
  </conditionalFormatting>
  <conditionalFormatting sqref="AJ13:AJ18">
    <cfRule type="cellIs" dxfId="676" priority="301" operator="equal">
      <formula>"Extremo"</formula>
    </cfRule>
    <cfRule type="cellIs" dxfId="675" priority="302" operator="equal">
      <formula>"Alto"</formula>
    </cfRule>
    <cfRule type="cellIs" dxfId="674" priority="303" operator="equal">
      <formula>"Moderado"</formula>
    </cfRule>
    <cfRule type="cellIs" dxfId="673" priority="304" operator="equal">
      <formula>"Bajo"</formula>
    </cfRule>
  </conditionalFormatting>
  <conditionalFormatting sqref="O61">
    <cfRule type="cellIs" dxfId="672" priority="58" operator="equal">
      <formula>"Muy Alta"</formula>
    </cfRule>
    <cfRule type="cellIs" dxfId="671" priority="59" operator="equal">
      <formula>"Alta"</formula>
    </cfRule>
    <cfRule type="cellIs" dxfId="670" priority="60" operator="equal">
      <formula>"Media"</formula>
    </cfRule>
    <cfRule type="cellIs" dxfId="669" priority="61" operator="equal">
      <formula>"Baja"</formula>
    </cfRule>
    <cfRule type="cellIs" dxfId="668" priority="62" operator="equal">
      <formula>"Muy Baja"</formula>
    </cfRule>
  </conditionalFormatting>
  <conditionalFormatting sqref="U19">
    <cfRule type="cellIs" dxfId="667" priority="245" operator="equal">
      <formula>"Extremo"</formula>
    </cfRule>
    <cfRule type="cellIs" dxfId="666" priority="246" operator="equal">
      <formula>"Alto"</formula>
    </cfRule>
    <cfRule type="cellIs" dxfId="665" priority="247" operator="equal">
      <formula>"Moderado"</formula>
    </cfRule>
    <cfRule type="cellIs" dxfId="664" priority="248" operator="equal">
      <formula>"Bajo"</formula>
    </cfRule>
  </conditionalFormatting>
  <conditionalFormatting sqref="AF19:AF24">
    <cfRule type="cellIs" dxfId="663" priority="240" operator="equal">
      <formula>"Muy Alta"</formula>
    </cfRule>
    <cfRule type="cellIs" dxfId="662" priority="241" operator="equal">
      <formula>"Alta"</formula>
    </cfRule>
    <cfRule type="cellIs" dxfId="661" priority="242" operator="equal">
      <formula>"Media"</formula>
    </cfRule>
    <cfRule type="cellIs" dxfId="660" priority="243" operator="equal">
      <formula>"Baja"</formula>
    </cfRule>
    <cfRule type="cellIs" dxfId="659" priority="244" operator="equal">
      <formula>"Muy Baja"</formula>
    </cfRule>
  </conditionalFormatting>
  <conditionalFormatting sqref="AH19:AH24">
    <cfRule type="cellIs" dxfId="658" priority="235" operator="equal">
      <formula>"Catastrófico"</formula>
    </cfRule>
    <cfRule type="cellIs" dxfId="657" priority="236" operator="equal">
      <formula>"Mayor"</formula>
    </cfRule>
    <cfRule type="cellIs" dxfId="656" priority="237" operator="equal">
      <formula>"Moderado"</formula>
    </cfRule>
    <cfRule type="cellIs" dxfId="655" priority="238" operator="equal">
      <formula>"Menor"</formula>
    </cfRule>
    <cfRule type="cellIs" dxfId="654" priority="239" operator="equal">
      <formula>"Leve"</formula>
    </cfRule>
  </conditionalFormatting>
  <conditionalFormatting sqref="AJ19:AJ24">
    <cfRule type="cellIs" dxfId="653" priority="231" operator="equal">
      <formula>"Extremo"</formula>
    </cfRule>
    <cfRule type="cellIs" dxfId="652" priority="232" operator="equal">
      <formula>"Alto"</formula>
    </cfRule>
    <cfRule type="cellIs" dxfId="651" priority="233" operator="equal">
      <formula>"Moderado"</formula>
    </cfRule>
    <cfRule type="cellIs" dxfId="650" priority="234" operator="equal">
      <formula>"Bajo"</formula>
    </cfRule>
  </conditionalFormatting>
  <conditionalFormatting sqref="O25">
    <cfRule type="cellIs" dxfId="649" priority="226" operator="equal">
      <formula>"Muy Alta"</formula>
    </cfRule>
    <cfRule type="cellIs" dxfId="648" priority="227" operator="equal">
      <formula>"Alta"</formula>
    </cfRule>
    <cfRule type="cellIs" dxfId="647" priority="228" operator="equal">
      <formula>"Media"</formula>
    </cfRule>
    <cfRule type="cellIs" dxfId="646" priority="229" operator="equal">
      <formula>"Baja"</formula>
    </cfRule>
    <cfRule type="cellIs" dxfId="645" priority="230" operator="equal">
      <formula>"Muy Baja"</formula>
    </cfRule>
  </conditionalFormatting>
  <conditionalFormatting sqref="U25">
    <cfRule type="cellIs" dxfId="644" priority="217" operator="equal">
      <formula>"Extremo"</formula>
    </cfRule>
    <cfRule type="cellIs" dxfId="643" priority="218" operator="equal">
      <formula>"Alto"</formula>
    </cfRule>
    <cfRule type="cellIs" dxfId="642" priority="219" operator="equal">
      <formula>"Moderado"</formula>
    </cfRule>
    <cfRule type="cellIs" dxfId="641" priority="220" operator="equal">
      <formula>"Bajo"</formula>
    </cfRule>
  </conditionalFormatting>
  <conditionalFormatting sqref="AF25:AF30">
    <cfRule type="cellIs" dxfId="640" priority="212" operator="equal">
      <formula>"Muy Alta"</formula>
    </cfRule>
    <cfRule type="cellIs" dxfId="639" priority="213" operator="equal">
      <formula>"Alta"</formula>
    </cfRule>
    <cfRule type="cellIs" dxfId="638" priority="214" operator="equal">
      <formula>"Media"</formula>
    </cfRule>
    <cfRule type="cellIs" dxfId="637" priority="215" operator="equal">
      <formula>"Baja"</formula>
    </cfRule>
    <cfRule type="cellIs" dxfId="636" priority="216" operator="equal">
      <formula>"Muy Baja"</formula>
    </cfRule>
  </conditionalFormatting>
  <conditionalFormatting sqref="AH25:AH30">
    <cfRule type="cellIs" dxfId="635" priority="207" operator="equal">
      <formula>"Catastrófico"</formula>
    </cfRule>
    <cfRule type="cellIs" dxfId="634" priority="208" operator="equal">
      <formula>"Mayor"</formula>
    </cfRule>
    <cfRule type="cellIs" dxfId="633" priority="209" operator="equal">
      <formula>"Moderado"</formula>
    </cfRule>
    <cfRule type="cellIs" dxfId="632" priority="210" operator="equal">
      <formula>"Menor"</formula>
    </cfRule>
    <cfRule type="cellIs" dxfId="631" priority="211" operator="equal">
      <formula>"Leve"</formula>
    </cfRule>
  </conditionalFormatting>
  <conditionalFormatting sqref="AJ25:AJ30">
    <cfRule type="cellIs" dxfId="630" priority="203" operator="equal">
      <formula>"Extremo"</formula>
    </cfRule>
    <cfRule type="cellIs" dxfId="629" priority="204" operator="equal">
      <formula>"Alto"</formula>
    </cfRule>
    <cfRule type="cellIs" dxfId="628" priority="205" operator="equal">
      <formula>"Moderado"</formula>
    </cfRule>
    <cfRule type="cellIs" dxfId="627" priority="206" operator="equal">
      <formula>"Bajo"</formula>
    </cfRule>
  </conditionalFormatting>
  <conditionalFormatting sqref="O31">
    <cfRule type="cellIs" dxfId="626" priority="198" operator="equal">
      <formula>"Muy Alta"</formula>
    </cfRule>
    <cfRule type="cellIs" dxfId="625" priority="199" operator="equal">
      <formula>"Alta"</formula>
    </cfRule>
    <cfRule type="cellIs" dxfId="624" priority="200" operator="equal">
      <formula>"Media"</formula>
    </cfRule>
    <cfRule type="cellIs" dxfId="623" priority="201" operator="equal">
      <formula>"Baja"</formula>
    </cfRule>
    <cfRule type="cellIs" dxfId="622" priority="202" operator="equal">
      <formula>"Muy Baja"</formula>
    </cfRule>
  </conditionalFormatting>
  <conditionalFormatting sqref="U31">
    <cfRule type="cellIs" dxfId="621" priority="189" operator="equal">
      <formula>"Extremo"</formula>
    </cfRule>
    <cfRule type="cellIs" dxfId="620" priority="190" operator="equal">
      <formula>"Alto"</formula>
    </cfRule>
    <cfRule type="cellIs" dxfId="619" priority="191" operator="equal">
      <formula>"Moderado"</formula>
    </cfRule>
    <cfRule type="cellIs" dxfId="618" priority="192" operator="equal">
      <formula>"Bajo"</formula>
    </cfRule>
  </conditionalFormatting>
  <conditionalFormatting sqref="AF31:AF36">
    <cfRule type="cellIs" dxfId="617" priority="184" operator="equal">
      <formula>"Muy Alta"</formula>
    </cfRule>
    <cfRule type="cellIs" dxfId="616" priority="185" operator="equal">
      <formula>"Alta"</formula>
    </cfRule>
    <cfRule type="cellIs" dxfId="615" priority="186" operator="equal">
      <formula>"Media"</formula>
    </cfRule>
    <cfRule type="cellIs" dxfId="614" priority="187" operator="equal">
      <formula>"Baja"</formula>
    </cfRule>
    <cfRule type="cellIs" dxfId="613" priority="188" operator="equal">
      <formula>"Muy Baja"</formula>
    </cfRule>
  </conditionalFormatting>
  <conditionalFormatting sqref="AH31:AH36">
    <cfRule type="cellIs" dxfId="612" priority="179" operator="equal">
      <formula>"Catastrófico"</formula>
    </cfRule>
    <cfRule type="cellIs" dxfId="611" priority="180" operator="equal">
      <formula>"Mayor"</formula>
    </cfRule>
    <cfRule type="cellIs" dxfId="610" priority="181" operator="equal">
      <formula>"Moderado"</formula>
    </cfRule>
    <cfRule type="cellIs" dxfId="609" priority="182" operator="equal">
      <formula>"Menor"</formula>
    </cfRule>
    <cfRule type="cellIs" dxfId="608" priority="183" operator="equal">
      <formula>"Leve"</formula>
    </cfRule>
  </conditionalFormatting>
  <conditionalFormatting sqref="AJ31:AJ36">
    <cfRule type="cellIs" dxfId="607" priority="175" operator="equal">
      <formula>"Extremo"</formula>
    </cfRule>
    <cfRule type="cellIs" dxfId="606" priority="176" operator="equal">
      <formula>"Alto"</formula>
    </cfRule>
    <cfRule type="cellIs" dxfId="605" priority="177" operator="equal">
      <formula>"Moderado"</formula>
    </cfRule>
    <cfRule type="cellIs" dxfId="604" priority="178" operator="equal">
      <formula>"Bajo"</formula>
    </cfRule>
  </conditionalFormatting>
  <conditionalFormatting sqref="O37">
    <cfRule type="cellIs" dxfId="603" priority="170" operator="equal">
      <formula>"Muy Alta"</formula>
    </cfRule>
    <cfRule type="cellIs" dxfId="602" priority="171" operator="equal">
      <formula>"Alta"</formula>
    </cfRule>
    <cfRule type="cellIs" dxfId="601" priority="172" operator="equal">
      <formula>"Media"</formula>
    </cfRule>
    <cfRule type="cellIs" dxfId="600" priority="173" operator="equal">
      <formula>"Baja"</formula>
    </cfRule>
    <cfRule type="cellIs" dxfId="599" priority="174" operator="equal">
      <formula>"Muy Baja"</formula>
    </cfRule>
  </conditionalFormatting>
  <conditionalFormatting sqref="U37">
    <cfRule type="cellIs" dxfId="598" priority="161" operator="equal">
      <formula>"Extremo"</formula>
    </cfRule>
    <cfRule type="cellIs" dxfId="597" priority="162" operator="equal">
      <formula>"Alto"</formula>
    </cfRule>
    <cfRule type="cellIs" dxfId="596" priority="163" operator="equal">
      <formula>"Moderado"</formula>
    </cfRule>
    <cfRule type="cellIs" dxfId="595" priority="164" operator="equal">
      <formula>"Bajo"</formula>
    </cfRule>
  </conditionalFormatting>
  <conditionalFormatting sqref="AF37:AF42">
    <cfRule type="cellIs" dxfId="594" priority="156" operator="equal">
      <formula>"Muy Alta"</formula>
    </cfRule>
    <cfRule type="cellIs" dxfId="593" priority="157" operator="equal">
      <formula>"Alta"</formula>
    </cfRule>
    <cfRule type="cellIs" dxfId="592" priority="158" operator="equal">
      <formula>"Media"</formula>
    </cfRule>
    <cfRule type="cellIs" dxfId="591" priority="159" operator="equal">
      <formula>"Baja"</formula>
    </cfRule>
    <cfRule type="cellIs" dxfId="590" priority="160" operator="equal">
      <formula>"Muy Baja"</formula>
    </cfRule>
  </conditionalFormatting>
  <conditionalFormatting sqref="AH37:AH42">
    <cfRule type="cellIs" dxfId="589" priority="151" operator="equal">
      <formula>"Catastrófico"</formula>
    </cfRule>
    <cfRule type="cellIs" dxfId="588" priority="152" operator="equal">
      <formula>"Mayor"</formula>
    </cfRule>
    <cfRule type="cellIs" dxfId="587" priority="153" operator="equal">
      <formula>"Moderado"</formula>
    </cfRule>
    <cfRule type="cellIs" dxfId="586" priority="154" operator="equal">
      <formula>"Menor"</formula>
    </cfRule>
    <cfRule type="cellIs" dxfId="585" priority="155" operator="equal">
      <formula>"Leve"</formula>
    </cfRule>
  </conditionalFormatting>
  <conditionalFormatting sqref="AJ37:AJ42">
    <cfRule type="cellIs" dxfId="584" priority="147" operator="equal">
      <formula>"Extremo"</formula>
    </cfRule>
    <cfRule type="cellIs" dxfId="583" priority="148" operator="equal">
      <formula>"Alto"</formula>
    </cfRule>
    <cfRule type="cellIs" dxfId="582" priority="149" operator="equal">
      <formula>"Moderado"</formula>
    </cfRule>
    <cfRule type="cellIs" dxfId="581" priority="150" operator="equal">
      <formula>"Bajo"</formula>
    </cfRule>
  </conditionalFormatting>
  <conditionalFormatting sqref="O43">
    <cfRule type="cellIs" dxfId="580" priority="142" operator="equal">
      <formula>"Muy Alta"</formula>
    </cfRule>
    <cfRule type="cellIs" dxfId="579" priority="143" operator="equal">
      <formula>"Alta"</formula>
    </cfRule>
    <cfRule type="cellIs" dxfId="578" priority="144" operator="equal">
      <formula>"Media"</formula>
    </cfRule>
    <cfRule type="cellIs" dxfId="577" priority="145" operator="equal">
      <formula>"Baja"</formula>
    </cfRule>
    <cfRule type="cellIs" dxfId="576" priority="146" operator="equal">
      <formula>"Muy Baja"</formula>
    </cfRule>
  </conditionalFormatting>
  <conditionalFormatting sqref="U43">
    <cfRule type="cellIs" dxfId="575" priority="133" operator="equal">
      <formula>"Extremo"</formula>
    </cfRule>
    <cfRule type="cellIs" dxfId="574" priority="134" operator="equal">
      <formula>"Alto"</formula>
    </cfRule>
    <cfRule type="cellIs" dxfId="573" priority="135" operator="equal">
      <formula>"Moderado"</formula>
    </cfRule>
    <cfRule type="cellIs" dxfId="572" priority="136" operator="equal">
      <formula>"Bajo"</formula>
    </cfRule>
  </conditionalFormatting>
  <conditionalFormatting sqref="AF43:AF48">
    <cfRule type="cellIs" dxfId="571" priority="128" operator="equal">
      <formula>"Muy Alta"</formula>
    </cfRule>
    <cfRule type="cellIs" dxfId="570" priority="129" operator="equal">
      <formula>"Alta"</formula>
    </cfRule>
    <cfRule type="cellIs" dxfId="569" priority="130" operator="equal">
      <formula>"Media"</formula>
    </cfRule>
    <cfRule type="cellIs" dxfId="568" priority="131" operator="equal">
      <formula>"Baja"</formula>
    </cfRule>
    <cfRule type="cellIs" dxfId="567" priority="132" operator="equal">
      <formula>"Muy Baja"</formula>
    </cfRule>
  </conditionalFormatting>
  <conditionalFormatting sqref="AH43:AH48">
    <cfRule type="cellIs" dxfId="566" priority="123" operator="equal">
      <formula>"Catastrófico"</formula>
    </cfRule>
    <cfRule type="cellIs" dxfId="565" priority="124" operator="equal">
      <formula>"Mayor"</formula>
    </cfRule>
    <cfRule type="cellIs" dxfId="564" priority="125" operator="equal">
      <formula>"Moderado"</formula>
    </cfRule>
    <cfRule type="cellIs" dxfId="563" priority="126" operator="equal">
      <formula>"Menor"</formula>
    </cfRule>
    <cfRule type="cellIs" dxfId="562" priority="127" operator="equal">
      <formula>"Leve"</formula>
    </cfRule>
  </conditionalFormatting>
  <conditionalFormatting sqref="AJ43:AJ48">
    <cfRule type="cellIs" dxfId="561" priority="119" operator="equal">
      <formula>"Extremo"</formula>
    </cfRule>
    <cfRule type="cellIs" dxfId="560" priority="120" operator="equal">
      <formula>"Alto"</formula>
    </cfRule>
    <cfRule type="cellIs" dxfId="559" priority="121" operator="equal">
      <formula>"Moderado"</formula>
    </cfRule>
    <cfRule type="cellIs" dxfId="558" priority="122" operator="equal">
      <formula>"Bajo"</formula>
    </cfRule>
  </conditionalFormatting>
  <conditionalFormatting sqref="O49">
    <cfRule type="cellIs" dxfId="557" priority="114" operator="equal">
      <formula>"Muy Alta"</formula>
    </cfRule>
    <cfRule type="cellIs" dxfId="556" priority="115" operator="equal">
      <formula>"Alta"</formula>
    </cfRule>
    <cfRule type="cellIs" dxfId="555" priority="116" operator="equal">
      <formula>"Media"</formula>
    </cfRule>
    <cfRule type="cellIs" dxfId="554" priority="117" operator="equal">
      <formula>"Baja"</formula>
    </cfRule>
    <cfRule type="cellIs" dxfId="553" priority="118" operator="equal">
      <formula>"Muy Baja"</formula>
    </cfRule>
  </conditionalFormatting>
  <conditionalFormatting sqref="U49">
    <cfRule type="cellIs" dxfId="552" priority="105" operator="equal">
      <formula>"Extremo"</formula>
    </cfRule>
    <cfRule type="cellIs" dxfId="551" priority="106" operator="equal">
      <formula>"Alto"</formula>
    </cfRule>
    <cfRule type="cellIs" dxfId="550" priority="107" operator="equal">
      <formula>"Moderado"</formula>
    </cfRule>
    <cfRule type="cellIs" dxfId="549" priority="108" operator="equal">
      <formula>"Bajo"</formula>
    </cfRule>
  </conditionalFormatting>
  <conditionalFormatting sqref="AF49:AF54">
    <cfRule type="cellIs" dxfId="548" priority="100" operator="equal">
      <formula>"Muy Alta"</formula>
    </cfRule>
    <cfRule type="cellIs" dxfId="547" priority="101" operator="equal">
      <formula>"Alta"</formula>
    </cfRule>
    <cfRule type="cellIs" dxfId="546" priority="102" operator="equal">
      <formula>"Media"</formula>
    </cfRule>
    <cfRule type="cellIs" dxfId="545" priority="103" operator="equal">
      <formula>"Baja"</formula>
    </cfRule>
    <cfRule type="cellIs" dxfId="544" priority="104" operator="equal">
      <formula>"Muy Baja"</formula>
    </cfRule>
  </conditionalFormatting>
  <conditionalFormatting sqref="AH49:AH54">
    <cfRule type="cellIs" dxfId="543" priority="95" operator="equal">
      <formula>"Catastrófico"</formula>
    </cfRule>
    <cfRule type="cellIs" dxfId="542" priority="96" operator="equal">
      <formula>"Mayor"</formula>
    </cfRule>
    <cfRule type="cellIs" dxfId="541" priority="97" operator="equal">
      <formula>"Moderado"</formula>
    </cfRule>
    <cfRule type="cellIs" dxfId="540" priority="98" operator="equal">
      <formula>"Menor"</formula>
    </cfRule>
    <cfRule type="cellIs" dxfId="539" priority="99" operator="equal">
      <formula>"Leve"</formula>
    </cfRule>
  </conditionalFormatting>
  <conditionalFormatting sqref="AJ49:AJ54">
    <cfRule type="cellIs" dxfId="538" priority="91" operator="equal">
      <formula>"Extremo"</formula>
    </cfRule>
    <cfRule type="cellIs" dxfId="537" priority="92" operator="equal">
      <formula>"Alto"</formula>
    </cfRule>
    <cfRule type="cellIs" dxfId="536" priority="93" operator="equal">
      <formula>"Moderado"</formula>
    </cfRule>
    <cfRule type="cellIs" dxfId="535" priority="94" operator="equal">
      <formula>"Bajo"</formula>
    </cfRule>
  </conditionalFormatting>
  <conditionalFormatting sqref="U55">
    <cfRule type="cellIs" dxfId="534" priority="77" operator="equal">
      <formula>"Extremo"</formula>
    </cfRule>
    <cfRule type="cellIs" dxfId="533" priority="78" operator="equal">
      <formula>"Alto"</formula>
    </cfRule>
    <cfRule type="cellIs" dxfId="532" priority="79" operator="equal">
      <formula>"Moderado"</formula>
    </cfRule>
    <cfRule type="cellIs" dxfId="531" priority="80" operator="equal">
      <formula>"Bajo"</formula>
    </cfRule>
  </conditionalFormatting>
  <conditionalFormatting sqref="AF55:AF60">
    <cfRule type="cellIs" dxfId="530" priority="72" operator="equal">
      <formula>"Muy Alta"</formula>
    </cfRule>
    <cfRule type="cellIs" dxfId="529" priority="73" operator="equal">
      <formula>"Alta"</formula>
    </cfRule>
    <cfRule type="cellIs" dxfId="528" priority="74" operator="equal">
      <formula>"Media"</formula>
    </cfRule>
    <cfRule type="cellIs" dxfId="527" priority="75" operator="equal">
      <formula>"Baja"</formula>
    </cfRule>
    <cfRule type="cellIs" dxfId="526" priority="76" operator="equal">
      <formula>"Muy Baja"</formula>
    </cfRule>
  </conditionalFormatting>
  <conditionalFormatting sqref="AH55:AH60">
    <cfRule type="cellIs" dxfId="525" priority="67" operator="equal">
      <formula>"Catastrófico"</formula>
    </cfRule>
    <cfRule type="cellIs" dxfId="524" priority="68" operator="equal">
      <formula>"Mayor"</formula>
    </cfRule>
    <cfRule type="cellIs" dxfId="523" priority="69" operator="equal">
      <formula>"Moderado"</formula>
    </cfRule>
    <cfRule type="cellIs" dxfId="522" priority="70" operator="equal">
      <formula>"Menor"</formula>
    </cfRule>
    <cfRule type="cellIs" dxfId="521" priority="71" operator="equal">
      <formula>"Leve"</formula>
    </cfRule>
  </conditionalFormatting>
  <conditionalFormatting sqref="AJ55:AJ60">
    <cfRule type="cellIs" dxfId="520" priority="63" operator="equal">
      <formula>"Extremo"</formula>
    </cfRule>
    <cfRule type="cellIs" dxfId="519" priority="64" operator="equal">
      <formula>"Alto"</formula>
    </cfRule>
    <cfRule type="cellIs" dxfId="518" priority="65" operator="equal">
      <formula>"Moderado"</formula>
    </cfRule>
    <cfRule type="cellIs" dxfId="517" priority="66" operator="equal">
      <formula>"Bajo"</formula>
    </cfRule>
  </conditionalFormatting>
  <conditionalFormatting sqref="U61">
    <cfRule type="cellIs" dxfId="516" priority="49" operator="equal">
      <formula>"Extremo"</formula>
    </cfRule>
    <cfRule type="cellIs" dxfId="515" priority="50" operator="equal">
      <formula>"Alto"</formula>
    </cfRule>
    <cfRule type="cellIs" dxfId="514" priority="51" operator="equal">
      <formula>"Moderado"</formula>
    </cfRule>
    <cfRule type="cellIs" dxfId="513" priority="52" operator="equal">
      <formula>"Bajo"</formula>
    </cfRule>
  </conditionalFormatting>
  <conditionalFormatting sqref="AF61:AF66">
    <cfRule type="cellIs" dxfId="512" priority="44" operator="equal">
      <formula>"Muy Alta"</formula>
    </cfRule>
    <cfRule type="cellIs" dxfId="511" priority="45" operator="equal">
      <formula>"Alta"</formula>
    </cfRule>
    <cfRule type="cellIs" dxfId="510" priority="46" operator="equal">
      <formula>"Media"</formula>
    </cfRule>
    <cfRule type="cellIs" dxfId="509" priority="47" operator="equal">
      <formula>"Baja"</formula>
    </cfRule>
    <cfRule type="cellIs" dxfId="508" priority="48" operator="equal">
      <formula>"Muy Baja"</formula>
    </cfRule>
  </conditionalFormatting>
  <conditionalFormatting sqref="AH61:AH66">
    <cfRule type="cellIs" dxfId="507" priority="39" operator="equal">
      <formula>"Catastrófico"</formula>
    </cfRule>
    <cfRule type="cellIs" dxfId="506" priority="40" operator="equal">
      <formula>"Mayor"</formula>
    </cfRule>
    <cfRule type="cellIs" dxfId="505" priority="41" operator="equal">
      <formula>"Moderado"</formula>
    </cfRule>
    <cfRule type="cellIs" dxfId="504" priority="42" operator="equal">
      <formula>"Menor"</formula>
    </cfRule>
    <cfRule type="cellIs" dxfId="503" priority="43" operator="equal">
      <formula>"Leve"</formula>
    </cfRule>
  </conditionalFormatting>
  <conditionalFormatting sqref="AJ61:AJ66">
    <cfRule type="cellIs" dxfId="502" priority="35" operator="equal">
      <formula>"Extremo"</formula>
    </cfRule>
    <cfRule type="cellIs" dxfId="501" priority="36" operator="equal">
      <formula>"Alto"</formula>
    </cfRule>
    <cfRule type="cellIs" dxfId="500" priority="37" operator="equal">
      <formula>"Moderado"</formula>
    </cfRule>
    <cfRule type="cellIs" dxfId="499" priority="38" operator="equal">
      <formula>"Bajo"</formula>
    </cfRule>
  </conditionalFormatting>
  <conditionalFormatting sqref="O67">
    <cfRule type="cellIs" dxfId="498" priority="30" operator="equal">
      <formula>"Muy Alta"</formula>
    </cfRule>
    <cfRule type="cellIs" dxfId="497" priority="31" operator="equal">
      <formula>"Alta"</formula>
    </cfRule>
    <cfRule type="cellIs" dxfId="496" priority="32" operator="equal">
      <formula>"Media"</formula>
    </cfRule>
    <cfRule type="cellIs" dxfId="495" priority="33" operator="equal">
      <formula>"Baja"</formula>
    </cfRule>
    <cfRule type="cellIs" dxfId="494" priority="34" operator="equal">
      <formula>"Muy Baja"</formula>
    </cfRule>
  </conditionalFormatting>
  <conditionalFormatting sqref="U67">
    <cfRule type="cellIs" dxfId="493" priority="21" operator="equal">
      <formula>"Extremo"</formula>
    </cfRule>
    <cfRule type="cellIs" dxfId="492" priority="22" operator="equal">
      <formula>"Alto"</formula>
    </cfRule>
    <cfRule type="cellIs" dxfId="491" priority="23" operator="equal">
      <formula>"Moderado"</formula>
    </cfRule>
    <cfRule type="cellIs" dxfId="490" priority="24" operator="equal">
      <formula>"Bajo"</formula>
    </cfRule>
  </conditionalFormatting>
  <conditionalFormatting sqref="AF67:AF72">
    <cfRule type="cellIs" dxfId="489" priority="16" operator="equal">
      <formula>"Muy Alta"</formula>
    </cfRule>
    <cfRule type="cellIs" dxfId="488" priority="17" operator="equal">
      <formula>"Alta"</formula>
    </cfRule>
    <cfRule type="cellIs" dxfId="487" priority="18" operator="equal">
      <formula>"Media"</formula>
    </cfRule>
    <cfRule type="cellIs" dxfId="486" priority="19" operator="equal">
      <formula>"Baja"</formula>
    </cfRule>
    <cfRule type="cellIs" dxfId="485" priority="20" operator="equal">
      <formula>"Muy Baja"</formula>
    </cfRule>
  </conditionalFormatting>
  <conditionalFormatting sqref="AH67:AH72">
    <cfRule type="cellIs" dxfId="484" priority="11" operator="equal">
      <formula>"Catastrófico"</formula>
    </cfRule>
    <cfRule type="cellIs" dxfId="483" priority="12" operator="equal">
      <formula>"Mayor"</formula>
    </cfRule>
    <cfRule type="cellIs" dxfId="482" priority="13" operator="equal">
      <formula>"Moderado"</formula>
    </cfRule>
    <cfRule type="cellIs" dxfId="481" priority="14" operator="equal">
      <formula>"Menor"</formula>
    </cfRule>
    <cfRule type="cellIs" dxfId="480" priority="15" operator="equal">
      <formula>"Leve"</formula>
    </cfRule>
  </conditionalFormatting>
  <conditionalFormatting sqref="AJ67:AJ72">
    <cfRule type="cellIs" dxfId="479" priority="7" operator="equal">
      <formula>"Extremo"</formula>
    </cfRule>
    <cfRule type="cellIs" dxfId="478" priority="8" operator="equal">
      <formula>"Alto"</formula>
    </cfRule>
    <cfRule type="cellIs" dxfId="477" priority="9" operator="equal">
      <formula>"Moderado"</formula>
    </cfRule>
    <cfRule type="cellIs" dxfId="476" priority="10" operator="equal">
      <formula>"Bajo"</formula>
    </cfRule>
  </conditionalFormatting>
  <conditionalFormatting sqref="R13:R72">
    <cfRule type="containsText" dxfId="475" priority="6" operator="containsText" text="❌">
      <formula>NOT(ISERROR(SEARCH("❌",R13)))</formula>
    </cfRule>
  </conditionalFormatting>
  <conditionalFormatting sqref="O55">
    <cfRule type="cellIs" dxfId="474" priority="1" operator="equal">
      <formula>"Muy Alta"</formula>
    </cfRule>
    <cfRule type="cellIs" dxfId="473" priority="2" operator="equal">
      <formula>"Alta"</formula>
    </cfRule>
    <cfRule type="cellIs" dxfId="472" priority="3" operator="equal">
      <formula>"Media"</formula>
    </cfRule>
    <cfRule type="cellIs" dxfId="471" priority="4" operator="equal">
      <formula>"Baja"</formula>
    </cfRule>
    <cfRule type="cellIs" dxfId="470"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ignoredErrors>
    <ignoredError sqref="AI15"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300-000001000000}">
          <x14:formula1>
            <xm:f>'Tabla Valoración controles'!$D$4:$D$6</xm:f>
          </x14:formula1>
          <xm:sqref>Y13:Y72</xm:sqref>
        </x14:dataValidation>
        <x14:dataValidation type="list" allowBlank="1" showInputMessage="1" showErrorMessage="1" xr:uid="{00000000-0002-0000-0300-000002000000}">
          <x14:formula1>
            <xm:f>'Tabla Valoración controles'!$D$7:$D$8</xm:f>
          </x14:formula1>
          <xm:sqref>Z13:Z72</xm:sqref>
        </x14:dataValidation>
        <x14:dataValidation type="list" allowBlank="1" showInputMessage="1" showErrorMessage="1" xr:uid="{00000000-0002-0000-0300-000003000000}">
          <x14:formula1>
            <xm:f>'Tabla Valoración controles'!$D$9:$D$10</xm:f>
          </x14:formula1>
          <xm:sqref>AB13:AB72</xm:sqref>
        </x14:dataValidation>
        <x14:dataValidation type="list" allowBlank="1" showInputMessage="1" showErrorMessage="1" xr:uid="{00000000-0002-0000-0300-000004000000}">
          <x14:formula1>
            <xm:f>'Tabla Valoración controles'!$D$11:$D$12</xm:f>
          </x14:formula1>
          <xm:sqref>AC13:AC72</xm:sqref>
        </x14:dataValidation>
        <x14:dataValidation type="list" allowBlank="1" showInputMessage="1" showErrorMessage="1" xr:uid="{00000000-0002-0000-0300-000005000000}">
          <x14:formula1>
            <xm:f>'Tabla Valoración controles'!$D$13:$D$14</xm:f>
          </x14:formula1>
          <xm:sqref>AD13:AD72</xm:sqref>
        </x14:dataValidation>
        <x14:dataValidation type="list" allowBlank="1" showInputMessage="1" showErrorMessage="1" xr:uid="{00000000-0002-0000-0300-000006000000}">
          <x14:formula1>
            <xm:f>Listas!$E$2:$E$4</xm:f>
          </x14:formula1>
          <xm:sqref>B13:B72</xm:sqref>
        </x14:dataValidation>
        <x14:dataValidation type="list" allowBlank="1" showInputMessage="1" showErrorMessage="1" xr:uid="{00000000-0002-0000-0300-000007000000}">
          <x14:formula1>
            <xm:f>Listas!$B$2:$B$5</xm:f>
          </x14:formula1>
          <xm:sqref>AK13:AK72</xm:sqref>
        </x14:dataValidation>
        <x14:dataValidation type="list" allowBlank="1" showInputMessage="1" showErrorMessage="1" xr:uid="{00000000-0002-0000-0300-000008000000}">
          <x14:formula1>
            <xm:f>'Tabla Impacto'!$F$211:$F$222</xm:f>
          </x14:formula1>
          <xm:sqref>Q13:Q72</xm:sqref>
        </x14:dataValidation>
        <x14:dataValidation type="custom" allowBlank="1" showInputMessage="1" showErrorMessage="1" error="Recuerde que las acciones se generan bajo la medida de mitigar el riesgo" xr:uid="{00000000-0002-0000-0300-00000F000000}">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00000000-0002-0000-0300-00000C000000}">
          <x14:formula1>
            <xm:f>Listas!$B$12:$B$16</xm:f>
          </x14:formula1>
          <xm:sqref>F13:F72</xm:sqref>
        </x14:dataValidation>
        <x14:dataValidation type="list" allowBlank="1" showInputMessage="1" showErrorMessage="1" xr:uid="{56974EBC-92AA-46D7-A563-12DC1F3E81D0}">
          <x14:formula1>
            <xm:f>Listas!$F$8:$F$9</xm:f>
          </x14:formula1>
          <xm:sqref>G13:G72</xm:sqref>
        </x14:dataValidation>
        <x14:dataValidation type="list" allowBlank="1" showInputMessage="1" showErrorMessage="1" xr:uid="{00000000-0002-0000-0300-000010000000}">
          <x14:formula1>
            <xm:f>Intructivo!$C$300:$C$316</xm:f>
          </x14:formula1>
          <xm:sqref>C6 U6:V6</xm:sqref>
        </x14:dataValidation>
        <x14:dataValidation type="list" allowBlank="1" showInputMessage="1" showErrorMessage="1" xr:uid="{03058C6C-7F42-42BB-9770-ED87FDA682A3}">
          <x14:formula1>
            <xm:f>Listas!$H$8:$H$12</xm:f>
          </x14:formula1>
          <xm:sqref>L13:L72</xm:sqref>
        </x14:dataValidation>
        <x14:dataValidation type="list" allowBlank="1" showInputMessage="1" showErrorMessage="1" xr:uid="{ED0225A5-353B-484A-9502-C16753E9C895}">
          <x14:formula1>
            <xm:f>Listas!$H$14:$H$18</xm:f>
          </x14:formula1>
          <xm:sqref>M13:M72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382" t="s">
        <v>248</v>
      </c>
      <c r="C2" s="382"/>
      <c r="D2" s="382"/>
      <c r="E2" s="382"/>
      <c r="F2" s="382"/>
      <c r="G2" s="382"/>
      <c r="H2" s="382"/>
      <c r="I2" s="382"/>
      <c r="J2" s="419" t="s">
        <v>15</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382"/>
      <c r="C3" s="382"/>
      <c r="D3" s="382"/>
      <c r="E3" s="382"/>
      <c r="F3" s="382"/>
      <c r="G3" s="382"/>
      <c r="H3" s="382"/>
      <c r="I3" s="382"/>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382"/>
      <c r="C4" s="382"/>
      <c r="D4" s="382"/>
      <c r="E4" s="382"/>
      <c r="F4" s="382"/>
      <c r="G4" s="382"/>
      <c r="H4" s="382"/>
      <c r="I4" s="382"/>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30" t="s">
        <v>249</v>
      </c>
      <c r="C6" s="430"/>
      <c r="D6" s="431"/>
      <c r="E6" s="420" t="s">
        <v>250</v>
      </c>
      <c r="F6" s="421"/>
      <c r="G6" s="421"/>
      <c r="H6" s="421"/>
      <c r="I6" s="422"/>
      <c r="J6" s="416" t="str">
        <f>IF(AND('Riesgos de Gestión'!$O$13="Muy Alta",'Riesgos de Gestión'!$S$13="Leve"),CONCATENATE("R",'Riesgos de Gestión'!$A$13),"")</f>
        <v/>
      </c>
      <c r="K6" s="417"/>
      <c r="L6" s="417" t="str">
        <f>IF(AND('Riesgos de Gestión'!$O$19="Muy Alta",'Riesgos de Gestión'!$S$19="Leve"),CONCATENATE("R",'Riesgos de Gestión'!$A$19),"")</f>
        <v/>
      </c>
      <c r="M6" s="417"/>
      <c r="N6" s="417" t="str">
        <f>IF(AND('Riesgos de Gestión'!$O$25="Muy Alta",'Riesgos de Gestión'!$S$25="Leve"),CONCATENATE("R",'Riesgos de Gestión'!$A$25),"")</f>
        <v/>
      </c>
      <c r="O6" s="418"/>
      <c r="P6" s="416" t="str">
        <f>IF(AND('Riesgos de Gestión'!$O$13="Muy Alta",'Riesgos de Gestión'!$S$13="Menor"),CONCATENATE("R",'Riesgos de Gestión'!$A$13),"")</f>
        <v/>
      </c>
      <c r="Q6" s="417"/>
      <c r="R6" s="417" t="str">
        <f>IF(AND('Riesgos de Gestión'!$O$19="Muy Alta",'Riesgos de Gestión'!$S$19="Menor"),CONCATENATE("R",'Riesgos de Gestión'!$A$19),"")</f>
        <v/>
      </c>
      <c r="S6" s="417"/>
      <c r="T6" s="417" t="str">
        <f>IF(AND('Riesgos de Gestión'!$O$25="Muy Alta",'Riesgos de Gestión'!$S$25="Menor"),CONCATENATE("R",'Riesgos de Gestión'!$A$25),"")</f>
        <v/>
      </c>
      <c r="U6" s="418"/>
      <c r="V6" s="416" t="str">
        <f>IF(AND('Riesgos de Gestión'!$O$13="Muy Alta",'Riesgos de Gestión'!$S$13="Moderado"),CONCATENATE("R",'Riesgos de Gestión'!$A$13),"")</f>
        <v/>
      </c>
      <c r="W6" s="417"/>
      <c r="X6" s="417" t="str">
        <f>IF(AND('Riesgos de Gestión'!$O$19="Muy Alta",'Riesgos de Gestión'!$S$19="Moderado"),CONCATENATE("R",'Riesgos de Gestión'!$A$19),"")</f>
        <v/>
      </c>
      <c r="Y6" s="417"/>
      <c r="Z6" s="417" t="str">
        <f>IF(AND('Riesgos de Gestión'!$O$25="Muy Alta",'Riesgos de Gestión'!$S$25="Moderado"),CONCATENATE("R",'Riesgos de Gestión'!$A$25),"")</f>
        <v/>
      </c>
      <c r="AA6" s="418"/>
      <c r="AB6" s="416" t="str">
        <f>IF(AND('Riesgos de Gestión'!$O$13="Muy Alta",'Riesgos de Gestión'!$S$13="Mayor"),CONCATENATE("R",'Riesgos de Gestión'!$A$13),"")</f>
        <v/>
      </c>
      <c r="AC6" s="417"/>
      <c r="AD6" s="417" t="str">
        <f>IF(AND('Riesgos de Gestión'!$O$19="Muy Alta",'Riesgos de Gestión'!$S$19="Mayor"),CONCATENATE("R",'Riesgos de Gestión'!$A$19),"")</f>
        <v/>
      </c>
      <c r="AE6" s="417"/>
      <c r="AF6" s="417" t="str">
        <f>IF(AND('Riesgos de Gestión'!$O$25="Muy Alta",'Riesgos de Gestión'!$S$25="Mayor"),CONCATENATE("R",'Riesgos de Gestión'!$A$25),"")</f>
        <v/>
      </c>
      <c r="AG6" s="418"/>
      <c r="AH6" s="407" t="str">
        <f>IF(AND('Riesgos de Gestión'!$O$13="Muy Alta",'Riesgos de Gestión'!$S$13="Catastrófico"),CONCATENATE("R",'Riesgos de Gestión'!$A$13),"")</f>
        <v/>
      </c>
      <c r="AI6" s="408"/>
      <c r="AJ6" s="408" t="str">
        <f>IF(AND('Riesgos de Gestión'!$O$19="Muy Alta",'Riesgos de Gestión'!$S$19="Catastrófico"),CONCATENATE("R",'Riesgos de Gestión'!$A$19),"")</f>
        <v/>
      </c>
      <c r="AK6" s="408"/>
      <c r="AL6" s="408" t="str">
        <f>IF(AND('Riesgos de Gestión'!$O$25="Muy Alta",'Riesgos de Gestión'!$S$25="Catastrófico"),CONCATENATE("R",'Riesgos de Gestión'!$A$25),"")</f>
        <v/>
      </c>
      <c r="AM6" s="409"/>
      <c r="AO6" s="432" t="s">
        <v>251</v>
      </c>
      <c r="AP6" s="433"/>
      <c r="AQ6" s="433"/>
      <c r="AR6" s="433"/>
      <c r="AS6" s="433"/>
      <c r="AT6" s="434"/>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30"/>
      <c r="C7" s="430"/>
      <c r="D7" s="431"/>
      <c r="E7" s="423"/>
      <c r="F7" s="424"/>
      <c r="G7" s="424"/>
      <c r="H7" s="424"/>
      <c r="I7" s="425"/>
      <c r="J7" s="410"/>
      <c r="K7" s="411"/>
      <c r="L7" s="411"/>
      <c r="M7" s="411"/>
      <c r="N7" s="411"/>
      <c r="O7" s="412"/>
      <c r="P7" s="410"/>
      <c r="Q7" s="411"/>
      <c r="R7" s="411"/>
      <c r="S7" s="411"/>
      <c r="T7" s="411"/>
      <c r="U7" s="412"/>
      <c r="V7" s="410"/>
      <c r="W7" s="411"/>
      <c r="X7" s="411"/>
      <c r="Y7" s="411"/>
      <c r="Z7" s="411"/>
      <c r="AA7" s="412"/>
      <c r="AB7" s="410"/>
      <c r="AC7" s="411"/>
      <c r="AD7" s="411"/>
      <c r="AE7" s="411"/>
      <c r="AF7" s="411"/>
      <c r="AG7" s="412"/>
      <c r="AH7" s="401"/>
      <c r="AI7" s="402"/>
      <c r="AJ7" s="402"/>
      <c r="AK7" s="402"/>
      <c r="AL7" s="402"/>
      <c r="AM7" s="403"/>
      <c r="AN7" s="66"/>
      <c r="AO7" s="435"/>
      <c r="AP7" s="436"/>
      <c r="AQ7" s="436"/>
      <c r="AR7" s="436"/>
      <c r="AS7" s="436"/>
      <c r="AT7" s="437"/>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30"/>
      <c r="C8" s="430"/>
      <c r="D8" s="431"/>
      <c r="E8" s="423"/>
      <c r="F8" s="424"/>
      <c r="G8" s="424"/>
      <c r="H8" s="424"/>
      <c r="I8" s="425"/>
      <c r="J8" s="410" t="str">
        <f>IF(AND('Riesgos de Gestión'!$O$31="Muy Alta",'Riesgos de Gestión'!$S$31="Leve"),CONCATENATE("R",'Riesgos de Gestión'!$A$31),"")</f>
        <v/>
      </c>
      <c r="K8" s="411"/>
      <c r="L8" s="411" t="str">
        <f>IF(AND('Riesgos de Gestión'!$O$37="Muy Alta",'Riesgos de Gestión'!$S$37="Leve"),CONCATENATE("R",'Riesgos de Gestión'!$A$37),"")</f>
        <v/>
      </c>
      <c r="M8" s="411"/>
      <c r="N8" s="411" t="str">
        <f>IF(AND('Riesgos de Gestión'!$O$43="Muy Alta",'Riesgos de Gestión'!$S$43="Leve"),CONCATENATE("R",'Riesgos de Gestión'!$A$43),"")</f>
        <v/>
      </c>
      <c r="O8" s="412"/>
      <c r="P8" s="410" t="str">
        <f>IF(AND('Riesgos de Gestión'!$O$31="Muy Alta",'Riesgos de Gestión'!$S$31="Menor"),CONCATENATE("R",'Riesgos de Gestión'!$A$31),"")</f>
        <v/>
      </c>
      <c r="Q8" s="411"/>
      <c r="R8" s="411" t="str">
        <f>IF(AND('Riesgos de Gestión'!$O$37="Muy Alta",'Riesgos de Gestión'!$S$37="Menor"),CONCATENATE("R",'Riesgos de Gestión'!$A$37),"")</f>
        <v/>
      </c>
      <c r="S8" s="411"/>
      <c r="T8" s="411" t="str">
        <f>IF(AND('Riesgos de Gestión'!$O$43="Muy Alta",'Riesgos de Gestión'!$S$43="Menor"),CONCATENATE("R",'Riesgos de Gestión'!$A$43),"")</f>
        <v/>
      </c>
      <c r="U8" s="412"/>
      <c r="V8" s="410" t="str">
        <f>IF(AND('Riesgos de Gestión'!$O$31="Muy Alta",'Riesgos de Gestión'!$S$31="Moderado"),CONCATENATE("R",'Riesgos de Gestión'!$A$31),"")</f>
        <v/>
      </c>
      <c r="W8" s="411"/>
      <c r="X8" s="411" t="str">
        <f>IF(AND('Riesgos de Gestión'!$O$37="Muy Alta",'Riesgos de Gestión'!$S$37="Moderado"),CONCATENATE("R",'Riesgos de Gestión'!$A$37),"")</f>
        <v/>
      </c>
      <c r="Y8" s="411"/>
      <c r="Z8" s="411" t="str">
        <f>IF(AND('Riesgos de Gestión'!$O$43="Muy Alta",'Riesgos de Gestión'!$S$43="Moderado"),CONCATENATE("R",'Riesgos de Gestión'!$A$43),"")</f>
        <v/>
      </c>
      <c r="AA8" s="412"/>
      <c r="AB8" s="410" t="str">
        <f>IF(AND('Riesgos de Gestión'!$O$31="Muy Alta",'Riesgos de Gestión'!$S$31="Mayor"),CONCATENATE("R",'Riesgos de Gestión'!$A$31),"")</f>
        <v/>
      </c>
      <c r="AC8" s="411"/>
      <c r="AD8" s="411" t="str">
        <f>IF(AND('Riesgos de Gestión'!$O$37="Muy Alta",'Riesgos de Gestión'!$S$37="Mayor"),CONCATENATE("R",'Riesgos de Gestión'!$A$37),"")</f>
        <v/>
      </c>
      <c r="AE8" s="411"/>
      <c r="AF8" s="411" t="str">
        <f>IF(AND('Riesgos de Gestión'!$O$43="Muy Alta",'Riesgos de Gestión'!$S$43="Mayor"),CONCATENATE("R",'Riesgos de Gestión'!$A$43),"")</f>
        <v/>
      </c>
      <c r="AG8" s="412"/>
      <c r="AH8" s="401" t="str">
        <f>IF(AND('Riesgos de Gestión'!$O$31="Muy Alta",'Riesgos de Gestión'!$S$31="Catastrófico"),CONCATENATE("R",'Riesgos de Gestión'!$A$31),"")</f>
        <v/>
      </c>
      <c r="AI8" s="402"/>
      <c r="AJ8" s="402" t="str">
        <f>IF(AND('Riesgos de Gestión'!$O$37="Muy Alta",'Riesgos de Gestión'!$S$37="Catastrófico"),CONCATENATE("R",'Riesgos de Gestión'!$A$37),"")</f>
        <v/>
      </c>
      <c r="AK8" s="402"/>
      <c r="AL8" s="402" t="str">
        <f>IF(AND('Riesgos de Gestión'!$O$43="Muy Alta",'Riesgos de Gestión'!$S$43="Catastrófico"),CONCATENATE("R",'Riesgos de Gestión'!$A$43),"")</f>
        <v/>
      </c>
      <c r="AM8" s="403"/>
      <c r="AN8" s="66"/>
      <c r="AO8" s="435"/>
      <c r="AP8" s="436"/>
      <c r="AQ8" s="436"/>
      <c r="AR8" s="436"/>
      <c r="AS8" s="436"/>
      <c r="AT8" s="437"/>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30"/>
      <c r="C9" s="430"/>
      <c r="D9" s="431"/>
      <c r="E9" s="423"/>
      <c r="F9" s="424"/>
      <c r="G9" s="424"/>
      <c r="H9" s="424"/>
      <c r="I9" s="425"/>
      <c r="J9" s="410"/>
      <c r="K9" s="411"/>
      <c r="L9" s="411"/>
      <c r="M9" s="411"/>
      <c r="N9" s="411"/>
      <c r="O9" s="412"/>
      <c r="P9" s="410"/>
      <c r="Q9" s="411"/>
      <c r="R9" s="411"/>
      <c r="S9" s="411"/>
      <c r="T9" s="411"/>
      <c r="U9" s="412"/>
      <c r="V9" s="410"/>
      <c r="W9" s="411"/>
      <c r="X9" s="411"/>
      <c r="Y9" s="411"/>
      <c r="Z9" s="411"/>
      <c r="AA9" s="412"/>
      <c r="AB9" s="410"/>
      <c r="AC9" s="411"/>
      <c r="AD9" s="411"/>
      <c r="AE9" s="411"/>
      <c r="AF9" s="411"/>
      <c r="AG9" s="412"/>
      <c r="AH9" s="401"/>
      <c r="AI9" s="402"/>
      <c r="AJ9" s="402"/>
      <c r="AK9" s="402"/>
      <c r="AL9" s="402"/>
      <c r="AM9" s="403"/>
      <c r="AN9" s="66"/>
      <c r="AO9" s="435"/>
      <c r="AP9" s="436"/>
      <c r="AQ9" s="436"/>
      <c r="AR9" s="436"/>
      <c r="AS9" s="436"/>
      <c r="AT9" s="437"/>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30"/>
      <c r="C10" s="430"/>
      <c r="D10" s="431"/>
      <c r="E10" s="423"/>
      <c r="F10" s="424"/>
      <c r="G10" s="424"/>
      <c r="H10" s="424"/>
      <c r="I10" s="425"/>
      <c r="J10" s="410" t="str">
        <f>IF(AND('Riesgos de Gestión'!$O$49="Muy Alta",'Riesgos de Gestión'!$S$49="Leve"),CONCATENATE("R",'Riesgos de Gestión'!$A$49),"")</f>
        <v/>
      </c>
      <c r="K10" s="411"/>
      <c r="L10" s="411" t="str">
        <f>IF(AND('Riesgos de Gestión'!$O$55="Muy Alta",'Riesgos de Gestión'!$S$55="Leve"),CONCATENATE("R",'Riesgos de Gestión'!$A$55),"")</f>
        <v/>
      </c>
      <c r="M10" s="411"/>
      <c r="N10" s="411" t="str">
        <f>IF(AND('Riesgos de Gestión'!$O$61="Muy Alta",'Riesgos de Gestión'!$S$61="Leve"),CONCATENATE("R",'Riesgos de Gestión'!$A$61),"")</f>
        <v/>
      </c>
      <c r="O10" s="412"/>
      <c r="P10" s="410" t="str">
        <f>IF(AND('Riesgos de Gestión'!$O$49="Muy Alta",'Riesgos de Gestión'!$S$49="Menor"),CONCATENATE("R",'Riesgos de Gestión'!$A$49),"")</f>
        <v/>
      </c>
      <c r="Q10" s="411"/>
      <c r="R10" s="411" t="str">
        <f>IF(AND('Riesgos de Gestión'!$O$55="Muy Alta",'Riesgos de Gestión'!$S$55="Menor"),CONCATENATE("R",'Riesgos de Gestión'!$A$55),"")</f>
        <v/>
      </c>
      <c r="S10" s="411"/>
      <c r="T10" s="411" t="str">
        <f>IF(AND('Riesgos de Gestión'!$O$61="Muy Alta",'Riesgos de Gestión'!$S$61="Menor"),CONCATENATE("R",'Riesgos de Gestión'!$A$61),"")</f>
        <v/>
      </c>
      <c r="U10" s="412"/>
      <c r="V10" s="410" t="str">
        <f>IF(AND('Riesgos de Gestión'!$O$49="Muy Alta",'Riesgos de Gestión'!$S$49="Moderado"),CONCATENATE("R",'Riesgos de Gestión'!$A$49),"")</f>
        <v/>
      </c>
      <c r="W10" s="411"/>
      <c r="X10" s="411" t="str">
        <f>IF(AND('Riesgos de Gestión'!$O$55="Muy Alta",'Riesgos de Gestión'!$S$55="Moderado"),CONCATENATE("R",'Riesgos de Gestión'!$A$55),"")</f>
        <v/>
      </c>
      <c r="Y10" s="411"/>
      <c r="Z10" s="411" t="str">
        <f>IF(AND('Riesgos de Gestión'!$O$61="Muy Alta",'Riesgos de Gestión'!$S$61="Moderado"),CONCATENATE("R",'Riesgos de Gestión'!$A$61),"")</f>
        <v/>
      </c>
      <c r="AA10" s="412"/>
      <c r="AB10" s="410" t="str">
        <f>IF(AND('Riesgos de Gestión'!$O$49="Muy Alta",'Riesgos de Gestión'!$S$49="Mayor"),CONCATENATE("R",'Riesgos de Gestión'!$A$49),"")</f>
        <v/>
      </c>
      <c r="AC10" s="411"/>
      <c r="AD10" s="411" t="str">
        <f>IF(AND('Riesgos de Gestión'!$O$55="Muy Alta",'Riesgos de Gestión'!$S$55="Mayor"),CONCATENATE("R",'Riesgos de Gestión'!$A$55),"")</f>
        <v/>
      </c>
      <c r="AE10" s="411"/>
      <c r="AF10" s="411" t="str">
        <f>IF(AND('Riesgos de Gestión'!$O$61="Muy Alta",'Riesgos de Gestión'!$S$61="Mayor"),CONCATENATE("R",'Riesgos de Gestión'!$A$61),"")</f>
        <v/>
      </c>
      <c r="AG10" s="412"/>
      <c r="AH10" s="401" t="str">
        <f>IF(AND('Riesgos de Gestión'!$O$49="Muy Alta",'Riesgos de Gestión'!$S$49="Catastrófico"),CONCATENATE("R",'Riesgos de Gestión'!$A$49),"")</f>
        <v/>
      </c>
      <c r="AI10" s="402"/>
      <c r="AJ10" s="402" t="str">
        <f>IF(AND('Riesgos de Gestión'!$O$55="Muy Alta",'Riesgos de Gestión'!$S$55="Catastrófico"),CONCATENATE("R",'Riesgos de Gestión'!$A$55),"")</f>
        <v/>
      </c>
      <c r="AK10" s="402"/>
      <c r="AL10" s="402" t="str">
        <f>IF(AND('Riesgos de Gestión'!$O$61="Muy Alta",'Riesgos de Gestión'!$S$61="Catastrófico"),CONCATENATE("R",'Riesgos de Gestión'!$A$61),"")</f>
        <v/>
      </c>
      <c r="AM10" s="403"/>
      <c r="AN10" s="66"/>
      <c r="AO10" s="435"/>
      <c r="AP10" s="436"/>
      <c r="AQ10" s="436"/>
      <c r="AR10" s="436"/>
      <c r="AS10" s="436"/>
      <c r="AT10" s="437"/>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30"/>
      <c r="C11" s="430"/>
      <c r="D11" s="431"/>
      <c r="E11" s="423"/>
      <c r="F11" s="424"/>
      <c r="G11" s="424"/>
      <c r="H11" s="424"/>
      <c r="I11" s="425"/>
      <c r="J11" s="410"/>
      <c r="K11" s="411"/>
      <c r="L11" s="411"/>
      <c r="M11" s="411"/>
      <c r="N11" s="411"/>
      <c r="O11" s="412"/>
      <c r="P11" s="410"/>
      <c r="Q11" s="411"/>
      <c r="R11" s="411"/>
      <c r="S11" s="411"/>
      <c r="T11" s="411"/>
      <c r="U11" s="412"/>
      <c r="V11" s="410"/>
      <c r="W11" s="411"/>
      <c r="X11" s="411"/>
      <c r="Y11" s="411"/>
      <c r="Z11" s="411"/>
      <c r="AA11" s="412"/>
      <c r="AB11" s="410"/>
      <c r="AC11" s="411"/>
      <c r="AD11" s="411"/>
      <c r="AE11" s="411"/>
      <c r="AF11" s="411"/>
      <c r="AG11" s="412"/>
      <c r="AH11" s="401"/>
      <c r="AI11" s="402"/>
      <c r="AJ11" s="402"/>
      <c r="AK11" s="402"/>
      <c r="AL11" s="402"/>
      <c r="AM11" s="403"/>
      <c r="AN11" s="66"/>
      <c r="AO11" s="435"/>
      <c r="AP11" s="436"/>
      <c r="AQ11" s="436"/>
      <c r="AR11" s="436"/>
      <c r="AS11" s="436"/>
      <c r="AT11" s="437"/>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30"/>
      <c r="C12" s="430"/>
      <c r="D12" s="431"/>
      <c r="E12" s="423"/>
      <c r="F12" s="424"/>
      <c r="G12" s="424"/>
      <c r="H12" s="424"/>
      <c r="I12" s="425"/>
      <c r="J12" s="410" t="str">
        <f>IF(AND('Riesgos de Gestión'!$O$67="Muy Alta",'Riesgos de Gestión'!$S$67="Leve"),CONCATENATE("R",'Riesgos de Gestión'!$A$67),"")</f>
        <v/>
      </c>
      <c r="K12" s="411"/>
      <c r="L12" s="411" t="str">
        <f>IF(AND('Riesgos de Gestión'!$P$73="Muy Alta",'Riesgos de Gestión'!$T$73="Leve"),CONCATENATE("R",'Riesgos de Gestión'!$A$73),"")</f>
        <v/>
      </c>
      <c r="M12" s="411"/>
      <c r="N12" s="411" t="str">
        <f>IF(AND('Riesgos de Gestión'!$P$79="Muy Alta",'Riesgos de Gestión'!$T$79="Leve"),CONCATENATE("R",'Riesgos de Gestión'!$A$79),"")</f>
        <v/>
      </c>
      <c r="O12" s="412"/>
      <c r="P12" s="410" t="str">
        <f>IF(AND('Riesgos de Gestión'!$O$67="Muy Alta",'Riesgos de Gestión'!$S$67="Menor"),CONCATENATE("R",'Riesgos de Gestión'!$A$67),"")</f>
        <v/>
      </c>
      <c r="Q12" s="411"/>
      <c r="R12" s="411" t="str">
        <f>IF(AND('Riesgos de Gestión'!$P$73="Muy Alta",'Riesgos de Gestión'!$T$73="Menor"),CONCATENATE("R",'Riesgos de Gestión'!$A$73),"")</f>
        <v/>
      </c>
      <c r="S12" s="411"/>
      <c r="T12" s="411" t="str">
        <f>IF(AND('Riesgos de Gestión'!$P$79="Muy Alta",'Riesgos de Gestión'!$T$79="Menor"),CONCATENATE("R",'Riesgos de Gestión'!$A$79),"")</f>
        <v/>
      </c>
      <c r="U12" s="412"/>
      <c r="V12" s="410" t="str">
        <f>IF(AND('Riesgos de Gestión'!$O$67="Muy Alta",'Riesgos de Gestión'!$S$67="Moderado"),CONCATENATE("R",'Riesgos de Gestión'!$A$67),"")</f>
        <v/>
      </c>
      <c r="W12" s="411"/>
      <c r="X12" s="411" t="str">
        <f>IF(AND('Riesgos de Gestión'!$P$73="Muy Alta",'Riesgos de Gestión'!$T$73="Moderado"),CONCATENATE("R",'Riesgos de Gestión'!$A$73),"")</f>
        <v/>
      </c>
      <c r="Y12" s="411"/>
      <c r="Z12" s="411" t="str">
        <f>IF(AND('Riesgos de Gestión'!$P$79="Muy Alta",'Riesgos de Gestión'!$T$79="Moderado"),CONCATENATE("R",'Riesgos de Gestión'!$A$79),"")</f>
        <v/>
      </c>
      <c r="AA12" s="412"/>
      <c r="AB12" s="410" t="str">
        <f>IF(AND('Riesgos de Gestión'!$O$67="Muy Alta",'Riesgos de Gestión'!$S$67="Mayor"),CONCATENATE("R",'Riesgos de Gestión'!$A$67),"")</f>
        <v/>
      </c>
      <c r="AC12" s="411"/>
      <c r="AD12" s="411" t="str">
        <f>IF(AND('Riesgos de Gestión'!$P$73="Muy Alta",'Riesgos de Gestión'!$T$73="Mayor"),CONCATENATE("R",'Riesgos de Gestión'!$A$73),"")</f>
        <v/>
      </c>
      <c r="AE12" s="411"/>
      <c r="AF12" s="411" t="str">
        <f>IF(AND('Riesgos de Gestión'!$P$79="Muy Alta",'Riesgos de Gestión'!$T$79="Mayor"),CONCATENATE("R",'Riesgos de Gestión'!$A$79),"")</f>
        <v/>
      </c>
      <c r="AG12" s="412"/>
      <c r="AH12" s="401" t="str">
        <f>IF(AND('Riesgos de Gestión'!$O$67="Muy Alta",'Riesgos de Gestión'!$S$67="Catastrófico"),CONCATENATE("R",'Riesgos de Gestión'!$A$67),"")</f>
        <v/>
      </c>
      <c r="AI12" s="402"/>
      <c r="AJ12" s="402" t="str">
        <f>IF(AND('Riesgos de Gestión'!$P$73="Muy Alta",'Riesgos de Gestión'!$T$73="Catastrófico"),CONCATENATE("R",'Riesgos de Gestión'!$A$73),"")</f>
        <v/>
      </c>
      <c r="AK12" s="402"/>
      <c r="AL12" s="402" t="str">
        <f>IF(AND('Riesgos de Gestión'!$P$79="Muy Alta",'Riesgos de Gestión'!$T$79="Catastrófico"),CONCATENATE("R",'Riesgos de Gestión'!$A$79),"")</f>
        <v/>
      </c>
      <c r="AM12" s="403"/>
      <c r="AN12" s="66"/>
      <c r="AO12" s="435"/>
      <c r="AP12" s="436"/>
      <c r="AQ12" s="436"/>
      <c r="AR12" s="436"/>
      <c r="AS12" s="436"/>
      <c r="AT12" s="437"/>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30"/>
      <c r="C13" s="430"/>
      <c r="D13" s="431"/>
      <c r="E13" s="426"/>
      <c r="F13" s="427"/>
      <c r="G13" s="427"/>
      <c r="H13" s="427"/>
      <c r="I13" s="428"/>
      <c r="J13" s="410"/>
      <c r="K13" s="411"/>
      <c r="L13" s="411"/>
      <c r="M13" s="411"/>
      <c r="N13" s="411"/>
      <c r="O13" s="412"/>
      <c r="P13" s="410"/>
      <c r="Q13" s="411"/>
      <c r="R13" s="411"/>
      <c r="S13" s="411"/>
      <c r="T13" s="411"/>
      <c r="U13" s="412"/>
      <c r="V13" s="410"/>
      <c r="W13" s="411"/>
      <c r="X13" s="411"/>
      <c r="Y13" s="411"/>
      <c r="Z13" s="411"/>
      <c r="AA13" s="412"/>
      <c r="AB13" s="410"/>
      <c r="AC13" s="411"/>
      <c r="AD13" s="411"/>
      <c r="AE13" s="411"/>
      <c r="AF13" s="411"/>
      <c r="AG13" s="412"/>
      <c r="AH13" s="404"/>
      <c r="AI13" s="405"/>
      <c r="AJ13" s="405"/>
      <c r="AK13" s="405"/>
      <c r="AL13" s="405"/>
      <c r="AM13" s="406"/>
      <c r="AN13" s="66"/>
      <c r="AO13" s="438"/>
      <c r="AP13" s="439"/>
      <c r="AQ13" s="439"/>
      <c r="AR13" s="439"/>
      <c r="AS13" s="439"/>
      <c r="AT13" s="440"/>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30"/>
      <c r="C14" s="430"/>
      <c r="D14" s="431"/>
      <c r="E14" s="420" t="s">
        <v>252</v>
      </c>
      <c r="F14" s="421"/>
      <c r="G14" s="421"/>
      <c r="H14" s="421"/>
      <c r="I14" s="421"/>
      <c r="J14" s="398" t="str">
        <f>IF(AND('Riesgos de Gestión'!$O$13="Alta",'Riesgos de Gestión'!$S$13="Leve"),CONCATENATE("R",'Riesgos de Gestión'!$A$13),"")</f>
        <v/>
      </c>
      <c r="K14" s="399"/>
      <c r="L14" s="399" t="str">
        <f>IF(AND('Riesgos de Gestión'!$O$19="Alta",'Riesgos de Gestión'!$S$19="Leve"),CONCATENATE("R",'Riesgos de Gestión'!$A$19),"")</f>
        <v/>
      </c>
      <c r="M14" s="399"/>
      <c r="N14" s="399" t="str">
        <f>IF(AND('Riesgos de Gestión'!$O$25="Alta",'Riesgos de Gestión'!$S$25="Leve"),CONCATENATE("R",'Riesgos de Gestión'!$A$25),"")</f>
        <v/>
      </c>
      <c r="O14" s="400"/>
      <c r="P14" s="398" t="str">
        <f>IF(AND('Riesgos de Gestión'!$O$13="Alta",'Riesgos de Gestión'!$S$13="Menor"),CONCATENATE("R",'Riesgos de Gestión'!$A$13),"")</f>
        <v/>
      </c>
      <c r="Q14" s="399"/>
      <c r="R14" s="399" t="str">
        <f>IF(AND('Riesgos de Gestión'!$O$19="Alta",'Riesgos de Gestión'!$S$19="Menor"),CONCATENATE("R",'Riesgos de Gestión'!$A$19),"")</f>
        <v/>
      </c>
      <c r="S14" s="399"/>
      <c r="T14" s="399" t="str">
        <f>IF(AND('Riesgos de Gestión'!$O$25="Alta",'Riesgos de Gestión'!$S$25="Menor"),CONCATENATE("R",'Riesgos de Gestión'!$A$25),"")</f>
        <v/>
      </c>
      <c r="U14" s="400"/>
      <c r="V14" s="416" t="str">
        <f>IF(AND('Riesgos de Gestión'!$O$13="Alta",'Riesgos de Gestión'!$S$13="Moderado"),CONCATENATE("R",'Riesgos de Gestión'!$A$13),"")</f>
        <v/>
      </c>
      <c r="W14" s="417"/>
      <c r="X14" s="417" t="str">
        <f>IF(AND('Riesgos de Gestión'!$O$19="Alta",'Riesgos de Gestión'!$S$19="Moderado"),CONCATENATE("R",'Riesgos de Gestión'!$A$19),"")</f>
        <v/>
      </c>
      <c r="Y14" s="417"/>
      <c r="Z14" s="417" t="str">
        <f>IF(AND('Riesgos de Gestión'!$O$25="Alta",'Riesgos de Gestión'!$S$25="Moderado"),CONCATENATE("R",'Riesgos de Gestión'!$A$25),"")</f>
        <v/>
      </c>
      <c r="AA14" s="418"/>
      <c r="AB14" s="416" t="str">
        <f>IF(AND('Riesgos de Gestión'!$O$13="Alta",'Riesgos de Gestión'!$S$13="Mayor"),CONCATENATE("R",'Riesgos de Gestión'!$A$13),"")</f>
        <v/>
      </c>
      <c r="AC14" s="417"/>
      <c r="AD14" s="417" t="str">
        <f>IF(AND('Riesgos de Gestión'!$O$19="Alta",'Riesgos de Gestión'!$S$19="Mayor"),CONCATENATE("R",'Riesgos de Gestión'!$A$19),"")</f>
        <v/>
      </c>
      <c r="AE14" s="417"/>
      <c r="AF14" s="417" t="str">
        <f>IF(AND('Riesgos de Gestión'!$O$25="Alta",'Riesgos de Gestión'!$S$25="Mayor"),CONCATENATE("R",'Riesgos de Gestión'!$A$25),"")</f>
        <v/>
      </c>
      <c r="AG14" s="418"/>
      <c r="AH14" s="407" t="str">
        <f>IF(AND('Riesgos de Gestión'!$O$13="Alta",'Riesgos de Gestión'!$S$13="Catastrófico"),CONCATENATE("R",'Riesgos de Gestión'!$A$13),"")</f>
        <v/>
      </c>
      <c r="AI14" s="408"/>
      <c r="AJ14" s="408" t="str">
        <f>IF(AND('Riesgos de Gestión'!$O$19="Alta",'Riesgos de Gestión'!$S$19="Catastrófico"),CONCATENATE("R",'Riesgos de Gestión'!$A$19),"")</f>
        <v/>
      </c>
      <c r="AK14" s="408"/>
      <c r="AL14" s="408" t="str">
        <f>IF(AND('Riesgos de Gestión'!$O$25="Alta",'Riesgos de Gestión'!$S$25="Catastrófico"),CONCATENATE("R",'Riesgos de Gestión'!$A$25),"")</f>
        <v/>
      </c>
      <c r="AM14" s="409"/>
      <c r="AN14" s="66"/>
      <c r="AO14" s="441" t="s">
        <v>253</v>
      </c>
      <c r="AP14" s="442"/>
      <c r="AQ14" s="442"/>
      <c r="AR14" s="442"/>
      <c r="AS14" s="442"/>
      <c r="AT14" s="44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30"/>
      <c r="C15" s="430"/>
      <c r="D15" s="431"/>
      <c r="E15" s="423"/>
      <c r="F15" s="424"/>
      <c r="G15" s="424"/>
      <c r="H15" s="424"/>
      <c r="I15" s="424"/>
      <c r="J15" s="392"/>
      <c r="K15" s="393"/>
      <c r="L15" s="393"/>
      <c r="M15" s="393"/>
      <c r="N15" s="393"/>
      <c r="O15" s="394"/>
      <c r="P15" s="392"/>
      <c r="Q15" s="393"/>
      <c r="R15" s="393"/>
      <c r="S15" s="393"/>
      <c r="T15" s="393"/>
      <c r="U15" s="394"/>
      <c r="V15" s="410"/>
      <c r="W15" s="411"/>
      <c r="X15" s="411"/>
      <c r="Y15" s="411"/>
      <c r="Z15" s="411"/>
      <c r="AA15" s="412"/>
      <c r="AB15" s="410"/>
      <c r="AC15" s="411"/>
      <c r="AD15" s="411"/>
      <c r="AE15" s="411"/>
      <c r="AF15" s="411"/>
      <c r="AG15" s="412"/>
      <c r="AH15" s="401"/>
      <c r="AI15" s="402"/>
      <c r="AJ15" s="402"/>
      <c r="AK15" s="402"/>
      <c r="AL15" s="402"/>
      <c r="AM15" s="403"/>
      <c r="AN15" s="66"/>
      <c r="AO15" s="444"/>
      <c r="AP15" s="445"/>
      <c r="AQ15" s="445"/>
      <c r="AR15" s="445"/>
      <c r="AS15" s="445"/>
      <c r="AT15" s="44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30"/>
      <c r="C16" s="430"/>
      <c r="D16" s="431"/>
      <c r="E16" s="423"/>
      <c r="F16" s="424"/>
      <c r="G16" s="424"/>
      <c r="H16" s="424"/>
      <c r="I16" s="424"/>
      <c r="J16" s="392" t="str">
        <f>IF(AND('Riesgos de Gestión'!$O$31="Alta",'Riesgos de Gestión'!$S$31="Leve"),CONCATENATE("R",'Riesgos de Gestión'!$A$31),"")</f>
        <v/>
      </c>
      <c r="K16" s="393"/>
      <c r="L16" s="393" t="str">
        <f>IF(AND('Riesgos de Gestión'!$O$37="Alta",'Riesgos de Gestión'!$S$37="Leve"),CONCATENATE("R",'Riesgos de Gestión'!$A$37),"")</f>
        <v/>
      </c>
      <c r="M16" s="393"/>
      <c r="N16" s="393" t="str">
        <f>IF(AND('Riesgos de Gestión'!$O$43="Alta",'Riesgos de Gestión'!$S$43="Leve"),CONCATENATE("R",'Riesgos de Gestión'!$A$43),"")</f>
        <v/>
      </c>
      <c r="O16" s="394"/>
      <c r="P16" s="392" t="str">
        <f>IF(AND('Riesgos de Gestión'!$O$31="Alta",'Riesgos de Gestión'!$S$31="Menor"),CONCATENATE("R",'Riesgos de Gestión'!$A$31),"")</f>
        <v/>
      </c>
      <c r="Q16" s="393"/>
      <c r="R16" s="393" t="str">
        <f>IF(AND('Riesgos de Gestión'!$O$37="Alta",'Riesgos de Gestión'!$S$37="Menor"),CONCATENATE("R",'Riesgos de Gestión'!$A$37),"")</f>
        <v/>
      </c>
      <c r="S16" s="393"/>
      <c r="T16" s="393" t="str">
        <f>IF(AND('Riesgos de Gestión'!$O$43="Alta",'Riesgos de Gestión'!$S$43="Menor"),CONCATENATE("R",'Riesgos de Gestión'!$A$43),"")</f>
        <v/>
      </c>
      <c r="U16" s="394"/>
      <c r="V16" s="410" t="str">
        <f>IF(AND('Riesgos de Gestión'!$O$31="Alta",'Riesgos de Gestión'!$S$31="Moderado"),CONCATENATE("R",'Riesgos de Gestión'!$A$31),"")</f>
        <v/>
      </c>
      <c r="W16" s="411"/>
      <c r="X16" s="411" t="str">
        <f>IF(AND('Riesgos de Gestión'!$O$37="Alta",'Riesgos de Gestión'!$S$37="Moderado"),CONCATENATE("R",'Riesgos de Gestión'!$A$37),"")</f>
        <v/>
      </c>
      <c r="Y16" s="411"/>
      <c r="Z16" s="411" t="str">
        <f>IF(AND('Riesgos de Gestión'!$O$43="Alta",'Riesgos de Gestión'!$S$43="Moderado"),CONCATENATE("R",'Riesgos de Gestión'!$A$43),"")</f>
        <v/>
      </c>
      <c r="AA16" s="412"/>
      <c r="AB16" s="410" t="str">
        <f>IF(AND('Riesgos de Gestión'!$O$31="Alta",'Riesgos de Gestión'!$S$31="Mayor"),CONCATENATE("R",'Riesgos de Gestión'!$A$31),"")</f>
        <v/>
      </c>
      <c r="AC16" s="411"/>
      <c r="AD16" s="411" t="str">
        <f>IF(AND('Riesgos de Gestión'!$O$37="Alta",'Riesgos de Gestión'!$S$37="Mayor"),CONCATENATE("R",'Riesgos de Gestión'!$A$37),"")</f>
        <v/>
      </c>
      <c r="AE16" s="411"/>
      <c r="AF16" s="411" t="str">
        <f>IF(AND('Riesgos de Gestión'!$O$43="Alta",'Riesgos de Gestión'!$S$43="Mayor"),CONCATENATE("R",'Riesgos de Gestión'!$A$43),"")</f>
        <v/>
      </c>
      <c r="AG16" s="412"/>
      <c r="AH16" s="401" t="str">
        <f>IF(AND('Riesgos de Gestión'!$O$31="Alta",'Riesgos de Gestión'!$S$31="Catastrófico"),CONCATENATE("R",'Riesgos de Gestión'!$A$31),"")</f>
        <v/>
      </c>
      <c r="AI16" s="402"/>
      <c r="AJ16" s="402" t="str">
        <f>IF(AND('Riesgos de Gestión'!$O$37="Alta",'Riesgos de Gestión'!$S$37="Catastrófico"),CONCATENATE("R",'Riesgos de Gestión'!$A$37),"")</f>
        <v/>
      </c>
      <c r="AK16" s="402"/>
      <c r="AL16" s="402" t="str">
        <f>IF(AND('Riesgos de Gestión'!$O$43="Alta",'Riesgos de Gestión'!$S$43="Catastrófico"),CONCATENATE("R",'Riesgos de Gestión'!$A$43),"")</f>
        <v/>
      </c>
      <c r="AM16" s="403"/>
      <c r="AN16" s="66"/>
      <c r="AO16" s="444"/>
      <c r="AP16" s="445"/>
      <c r="AQ16" s="445"/>
      <c r="AR16" s="445"/>
      <c r="AS16" s="445"/>
      <c r="AT16" s="44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30"/>
      <c r="C17" s="430"/>
      <c r="D17" s="431"/>
      <c r="E17" s="423"/>
      <c r="F17" s="424"/>
      <c r="G17" s="424"/>
      <c r="H17" s="424"/>
      <c r="I17" s="424"/>
      <c r="J17" s="392"/>
      <c r="K17" s="393"/>
      <c r="L17" s="393"/>
      <c r="M17" s="393"/>
      <c r="N17" s="393"/>
      <c r="O17" s="394"/>
      <c r="P17" s="392"/>
      <c r="Q17" s="393"/>
      <c r="R17" s="393"/>
      <c r="S17" s="393"/>
      <c r="T17" s="393"/>
      <c r="U17" s="394"/>
      <c r="V17" s="410"/>
      <c r="W17" s="411"/>
      <c r="X17" s="411"/>
      <c r="Y17" s="411"/>
      <c r="Z17" s="411"/>
      <c r="AA17" s="412"/>
      <c r="AB17" s="410"/>
      <c r="AC17" s="411"/>
      <c r="AD17" s="411"/>
      <c r="AE17" s="411"/>
      <c r="AF17" s="411"/>
      <c r="AG17" s="412"/>
      <c r="AH17" s="401"/>
      <c r="AI17" s="402"/>
      <c r="AJ17" s="402"/>
      <c r="AK17" s="402"/>
      <c r="AL17" s="402"/>
      <c r="AM17" s="403"/>
      <c r="AN17" s="66"/>
      <c r="AO17" s="444"/>
      <c r="AP17" s="445"/>
      <c r="AQ17" s="445"/>
      <c r="AR17" s="445"/>
      <c r="AS17" s="445"/>
      <c r="AT17" s="44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30"/>
      <c r="C18" s="430"/>
      <c r="D18" s="431"/>
      <c r="E18" s="423"/>
      <c r="F18" s="424"/>
      <c r="G18" s="424"/>
      <c r="H18" s="424"/>
      <c r="I18" s="424"/>
      <c r="J18" s="392" t="str">
        <f>IF(AND('Riesgos de Gestión'!$O$49="Alta",'Riesgos de Gestión'!$S$49="Leve"),CONCATENATE("R",'Riesgos de Gestión'!$A$49),"")</f>
        <v/>
      </c>
      <c r="K18" s="393"/>
      <c r="L18" s="393" t="str">
        <f>IF(AND('Riesgos de Gestión'!$O$55="Alta",'Riesgos de Gestión'!$S$55="Leve"),CONCATENATE("R",'Riesgos de Gestión'!$A$55),"")</f>
        <v/>
      </c>
      <c r="M18" s="393"/>
      <c r="N18" s="393" t="str">
        <f>IF(AND('Riesgos de Gestión'!$O$61="Alta",'Riesgos de Gestión'!$S$61="Leve"),CONCATENATE("R",'Riesgos de Gestión'!$A$61),"")</f>
        <v/>
      </c>
      <c r="O18" s="394"/>
      <c r="P18" s="392" t="str">
        <f>IF(AND('Riesgos de Gestión'!$O$49="Alta",'Riesgos de Gestión'!$S$49="Menor"),CONCATENATE("R",'Riesgos de Gestión'!$A$49),"")</f>
        <v/>
      </c>
      <c r="Q18" s="393"/>
      <c r="R18" s="393" t="str">
        <f>IF(AND('Riesgos de Gestión'!$O$55="Alta",'Riesgos de Gestión'!$S$55="Menor"),CONCATENATE("R",'Riesgos de Gestión'!$A$55),"")</f>
        <v/>
      </c>
      <c r="S18" s="393"/>
      <c r="T18" s="393" t="str">
        <f>IF(AND('Riesgos de Gestión'!$O$61="Alta",'Riesgos de Gestión'!$S$61="Menor"),CONCATENATE("R",'Riesgos de Gestión'!$A$61),"")</f>
        <v/>
      </c>
      <c r="U18" s="394"/>
      <c r="V18" s="410" t="str">
        <f>IF(AND('Riesgos de Gestión'!$O$49="Alta",'Riesgos de Gestión'!$S$49="Moderado"),CONCATENATE("R",'Riesgos de Gestión'!$A$49),"")</f>
        <v/>
      </c>
      <c r="W18" s="411"/>
      <c r="X18" s="411" t="str">
        <f>IF(AND('Riesgos de Gestión'!$O$55="Alta",'Riesgos de Gestión'!$S$55="Moderado"),CONCATENATE("R",'Riesgos de Gestión'!$A$55),"")</f>
        <v/>
      </c>
      <c r="Y18" s="411"/>
      <c r="Z18" s="411" t="str">
        <f>IF(AND('Riesgos de Gestión'!$O$61="Alta",'Riesgos de Gestión'!$S$61="Moderado"),CONCATENATE("R",'Riesgos de Gestión'!$A$61),"")</f>
        <v/>
      </c>
      <c r="AA18" s="412"/>
      <c r="AB18" s="410" t="str">
        <f>IF(AND('Riesgos de Gestión'!$O$49="Alta",'Riesgos de Gestión'!$S$49="Mayor"),CONCATENATE("R",'Riesgos de Gestión'!$A$49),"")</f>
        <v/>
      </c>
      <c r="AC18" s="411"/>
      <c r="AD18" s="411" t="str">
        <f>IF(AND('Riesgos de Gestión'!$O$55="Alta",'Riesgos de Gestión'!$S$55="Mayor"),CONCATENATE("R",'Riesgos de Gestión'!$A$55),"")</f>
        <v/>
      </c>
      <c r="AE18" s="411"/>
      <c r="AF18" s="411" t="str">
        <f>IF(AND('Riesgos de Gestión'!$O$61="Alta",'Riesgos de Gestión'!$S$61="Mayor"),CONCATENATE("R",'Riesgos de Gestión'!$A$61),"")</f>
        <v/>
      </c>
      <c r="AG18" s="412"/>
      <c r="AH18" s="401" t="str">
        <f>IF(AND('Riesgos de Gestión'!$O$49="Alta",'Riesgos de Gestión'!$S$49="Catastrófico"),CONCATENATE("R",'Riesgos de Gestión'!$A$49),"")</f>
        <v/>
      </c>
      <c r="AI18" s="402"/>
      <c r="AJ18" s="402" t="str">
        <f>IF(AND('Riesgos de Gestión'!$O$55="Alta",'Riesgos de Gestión'!$S$55="Catastrófico"),CONCATENATE("R",'Riesgos de Gestión'!$A$55),"")</f>
        <v/>
      </c>
      <c r="AK18" s="402"/>
      <c r="AL18" s="402" t="str">
        <f>IF(AND('Riesgos de Gestión'!$O$61="Alta",'Riesgos de Gestión'!$S$61="Catastrófico"),CONCATENATE("R",'Riesgos de Gestión'!$A$61),"")</f>
        <v/>
      </c>
      <c r="AM18" s="403"/>
      <c r="AN18" s="66"/>
      <c r="AO18" s="444"/>
      <c r="AP18" s="445"/>
      <c r="AQ18" s="445"/>
      <c r="AR18" s="445"/>
      <c r="AS18" s="445"/>
      <c r="AT18" s="44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30"/>
      <c r="C19" s="430"/>
      <c r="D19" s="431"/>
      <c r="E19" s="423"/>
      <c r="F19" s="424"/>
      <c r="G19" s="424"/>
      <c r="H19" s="424"/>
      <c r="I19" s="424"/>
      <c r="J19" s="392"/>
      <c r="K19" s="393"/>
      <c r="L19" s="393"/>
      <c r="M19" s="393"/>
      <c r="N19" s="393"/>
      <c r="O19" s="394"/>
      <c r="P19" s="392"/>
      <c r="Q19" s="393"/>
      <c r="R19" s="393"/>
      <c r="S19" s="393"/>
      <c r="T19" s="393"/>
      <c r="U19" s="394"/>
      <c r="V19" s="410"/>
      <c r="W19" s="411"/>
      <c r="X19" s="411"/>
      <c r="Y19" s="411"/>
      <c r="Z19" s="411"/>
      <c r="AA19" s="412"/>
      <c r="AB19" s="410"/>
      <c r="AC19" s="411"/>
      <c r="AD19" s="411"/>
      <c r="AE19" s="411"/>
      <c r="AF19" s="411"/>
      <c r="AG19" s="412"/>
      <c r="AH19" s="401"/>
      <c r="AI19" s="402"/>
      <c r="AJ19" s="402"/>
      <c r="AK19" s="402"/>
      <c r="AL19" s="402"/>
      <c r="AM19" s="403"/>
      <c r="AN19" s="66"/>
      <c r="AO19" s="444"/>
      <c r="AP19" s="445"/>
      <c r="AQ19" s="445"/>
      <c r="AR19" s="445"/>
      <c r="AS19" s="445"/>
      <c r="AT19" s="44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30"/>
      <c r="C20" s="430"/>
      <c r="D20" s="431"/>
      <c r="E20" s="423"/>
      <c r="F20" s="424"/>
      <c r="G20" s="424"/>
      <c r="H20" s="424"/>
      <c r="I20" s="424"/>
      <c r="J20" s="392" t="str">
        <f>IF(AND('Riesgos de Gestión'!$O$67="Alta",'Riesgos de Gestión'!$S$67="Leve"),CONCATENATE("R",'Riesgos de Gestión'!$A$67),"")</f>
        <v/>
      </c>
      <c r="K20" s="393"/>
      <c r="L20" s="393" t="str">
        <f>IF(AND('Riesgos de Gestión'!$P$73="Alta",'Riesgos de Gestión'!$T$73="Leve"),CONCATENATE("R",'Riesgos de Gestión'!$A$73),"")</f>
        <v/>
      </c>
      <c r="M20" s="393"/>
      <c r="N20" s="393" t="str">
        <f>IF(AND('Riesgos de Gestión'!$P$79="Alta",'Riesgos de Gestión'!$T$79="Leve"),CONCATENATE("R",'Riesgos de Gestión'!$A$79),"")</f>
        <v/>
      </c>
      <c r="O20" s="394"/>
      <c r="P20" s="392" t="str">
        <f>IF(AND('Riesgos de Gestión'!$O$67="Alta",'Riesgos de Gestión'!$S$67="Menor"),CONCATENATE("R",'Riesgos de Gestión'!$A$67),"")</f>
        <v/>
      </c>
      <c r="Q20" s="393"/>
      <c r="R20" s="393" t="str">
        <f>IF(AND('Riesgos de Gestión'!$P$73="Alta",'Riesgos de Gestión'!$T$73="Menor"),CONCATENATE("R",'Riesgos de Gestión'!$A$73),"")</f>
        <v/>
      </c>
      <c r="S20" s="393"/>
      <c r="T20" s="393" t="str">
        <f>IF(AND('Riesgos de Gestión'!$P$79="Alta",'Riesgos de Gestión'!$T$79="Menor"),CONCATENATE("R",'Riesgos de Gestión'!$A$79),"")</f>
        <v/>
      </c>
      <c r="U20" s="394"/>
      <c r="V20" s="410" t="str">
        <f>IF(AND('Riesgos de Gestión'!$O$67="Alta",'Riesgos de Gestión'!$S$67="Moderado"),CONCATENATE("R",'Riesgos de Gestión'!$A$67),"")</f>
        <v/>
      </c>
      <c r="W20" s="411"/>
      <c r="X20" s="411" t="str">
        <f>IF(AND('Riesgos de Gestión'!$P$73="Alta",'Riesgos de Gestión'!$T$73="Moderado"),CONCATENATE("R",'Riesgos de Gestión'!$A$73),"")</f>
        <v/>
      </c>
      <c r="Y20" s="411"/>
      <c r="Z20" s="411" t="str">
        <f>IF(AND('Riesgos de Gestión'!$P$79="Alta",'Riesgos de Gestión'!$T$79="Moderado"),CONCATENATE("R",'Riesgos de Gestión'!$A$79),"")</f>
        <v/>
      </c>
      <c r="AA20" s="412"/>
      <c r="AB20" s="410" t="str">
        <f>IF(AND('Riesgos de Gestión'!$O$67="Alta",'Riesgos de Gestión'!$S$67="Mayor"),CONCATENATE("R",'Riesgos de Gestión'!$A$67),"")</f>
        <v/>
      </c>
      <c r="AC20" s="411"/>
      <c r="AD20" s="411" t="str">
        <f>IF(AND('Riesgos de Gestión'!$P$73="Alta",'Riesgos de Gestión'!$T$73="Mayor"),CONCATENATE("R",'Riesgos de Gestión'!$A$73),"")</f>
        <v/>
      </c>
      <c r="AE20" s="411"/>
      <c r="AF20" s="411" t="str">
        <f>IF(AND('Riesgos de Gestión'!$P$79="Alta",'Riesgos de Gestión'!$T$79="Mayor"),CONCATENATE("R",'Riesgos de Gestión'!$A$79),"")</f>
        <v/>
      </c>
      <c r="AG20" s="412"/>
      <c r="AH20" s="401" t="str">
        <f>IF(AND('Riesgos de Gestión'!$O$67="Alta",'Riesgos de Gestión'!$S$67="Catastrófico"),CONCATENATE("R",'Riesgos de Gestión'!$A$67),"")</f>
        <v/>
      </c>
      <c r="AI20" s="402"/>
      <c r="AJ20" s="402" t="str">
        <f>IF(AND('Riesgos de Gestión'!$P$73="Alta",'Riesgos de Gestión'!$T$73="Catastrófico"),CONCATENATE("R",'Riesgos de Gestión'!$A$73),"")</f>
        <v/>
      </c>
      <c r="AK20" s="402"/>
      <c r="AL20" s="402" t="str">
        <f>IF(AND('Riesgos de Gestión'!$P$79="Alta",'Riesgos de Gestión'!$T$79="Catastrófico"),CONCATENATE("R",'Riesgos de Gestión'!$A$79),"")</f>
        <v/>
      </c>
      <c r="AM20" s="403"/>
      <c r="AN20" s="66"/>
      <c r="AO20" s="444"/>
      <c r="AP20" s="445"/>
      <c r="AQ20" s="445"/>
      <c r="AR20" s="445"/>
      <c r="AS20" s="445"/>
      <c r="AT20" s="44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30"/>
      <c r="C21" s="430"/>
      <c r="D21" s="431"/>
      <c r="E21" s="426"/>
      <c r="F21" s="427"/>
      <c r="G21" s="427"/>
      <c r="H21" s="427"/>
      <c r="I21" s="427"/>
      <c r="J21" s="395"/>
      <c r="K21" s="396"/>
      <c r="L21" s="396"/>
      <c r="M21" s="396"/>
      <c r="N21" s="396"/>
      <c r="O21" s="397"/>
      <c r="P21" s="395"/>
      <c r="Q21" s="396"/>
      <c r="R21" s="396"/>
      <c r="S21" s="396"/>
      <c r="T21" s="396"/>
      <c r="U21" s="397"/>
      <c r="V21" s="413"/>
      <c r="W21" s="414"/>
      <c r="X21" s="414"/>
      <c r="Y21" s="414"/>
      <c r="Z21" s="414"/>
      <c r="AA21" s="415"/>
      <c r="AB21" s="413"/>
      <c r="AC21" s="414"/>
      <c r="AD21" s="414"/>
      <c r="AE21" s="414"/>
      <c r="AF21" s="414"/>
      <c r="AG21" s="415"/>
      <c r="AH21" s="404"/>
      <c r="AI21" s="405"/>
      <c r="AJ21" s="405"/>
      <c r="AK21" s="405"/>
      <c r="AL21" s="405"/>
      <c r="AM21" s="406"/>
      <c r="AN21" s="66"/>
      <c r="AO21" s="447"/>
      <c r="AP21" s="448"/>
      <c r="AQ21" s="448"/>
      <c r="AR21" s="448"/>
      <c r="AS21" s="448"/>
      <c r="AT21" s="44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30"/>
      <c r="C22" s="430"/>
      <c r="D22" s="431"/>
      <c r="E22" s="420" t="s">
        <v>254</v>
      </c>
      <c r="F22" s="421"/>
      <c r="G22" s="421"/>
      <c r="H22" s="421"/>
      <c r="I22" s="422"/>
      <c r="J22" s="398" t="str">
        <f>IF(AND('Riesgos de Gestión'!$O$13="Media",'Riesgos de Gestión'!$S$13="Leve"),CONCATENATE("R",'Riesgos de Gestión'!$A$13),"")</f>
        <v/>
      </c>
      <c r="K22" s="399"/>
      <c r="L22" s="399" t="str">
        <f>IF(AND('Riesgos de Gestión'!$O$19="Media",'Riesgos de Gestión'!$S$19="Leve"),CONCATENATE("R",'Riesgos de Gestión'!$A$19),"")</f>
        <v/>
      </c>
      <c r="M22" s="399"/>
      <c r="N22" s="399" t="str">
        <f>IF(AND('Riesgos de Gestión'!$O$25="Media",'Riesgos de Gestión'!$S$25="Leve"),CONCATENATE("R",'Riesgos de Gestión'!$A$25),"")</f>
        <v/>
      </c>
      <c r="O22" s="400"/>
      <c r="P22" s="398" t="str">
        <f>IF(AND('Riesgos de Gestión'!$O$13="Media",'Riesgos de Gestión'!$S$13="Menor"),CONCATENATE("R",'Riesgos de Gestión'!$A$13),"")</f>
        <v/>
      </c>
      <c r="Q22" s="399"/>
      <c r="R22" s="399" t="str">
        <f>IF(AND('Riesgos de Gestión'!$O$19="Media",'Riesgos de Gestión'!$S$19="Menor"),CONCATENATE("R",'Riesgos de Gestión'!$A$19),"")</f>
        <v/>
      </c>
      <c r="S22" s="399"/>
      <c r="T22" s="399" t="str">
        <f>IF(AND('Riesgos de Gestión'!$O$25="Media",'Riesgos de Gestión'!$S$25="Menor"),CONCATENATE("R",'Riesgos de Gestión'!$A$25),"")</f>
        <v/>
      </c>
      <c r="U22" s="400"/>
      <c r="V22" s="398" t="str">
        <f>IF(AND('Riesgos de Gestión'!$O$13="Media",'Riesgos de Gestión'!$S$13="Moderado"),CONCATENATE("R",'Riesgos de Gestión'!$A$13),"")</f>
        <v/>
      </c>
      <c r="W22" s="399"/>
      <c r="X22" s="399" t="str">
        <f>IF(AND('Riesgos de Gestión'!$O$19="Media",'Riesgos de Gestión'!$S$19="Moderado"),CONCATENATE("R",'Riesgos de Gestión'!$A$19),"")</f>
        <v/>
      </c>
      <c r="Y22" s="399"/>
      <c r="Z22" s="399" t="str">
        <f>IF(AND('Riesgos de Gestión'!$O$25="Media",'Riesgos de Gestión'!$S$25="Moderado"),CONCATENATE("R",'Riesgos de Gestión'!$A$25),"")</f>
        <v/>
      </c>
      <c r="AA22" s="400"/>
      <c r="AB22" s="416" t="str">
        <f>IF(AND('Riesgos de Gestión'!$O$13="Media",'Riesgos de Gestión'!$S$13="Mayor"),CONCATENATE("R",'Riesgos de Gestión'!$A$13),"")</f>
        <v/>
      </c>
      <c r="AC22" s="417"/>
      <c r="AD22" s="417" t="str">
        <f>IF(AND('Riesgos de Gestión'!$O$19="Media",'Riesgos de Gestión'!$S$19="Mayor"),CONCATENATE("R",'Riesgos de Gestión'!$A$19),"")</f>
        <v/>
      </c>
      <c r="AE22" s="417"/>
      <c r="AF22" s="417" t="str">
        <f>IF(AND('Riesgos de Gestión'!$O$25="Media",'Riesgos de Gestión'!$S$25="Mayor"),CONCATENATE("R",'Riesgos de Gestión'!$A$25),"")</f>
        <v/>
      </c>
      <c r="AG22" s="418"/>
      <c r="AH22" s="407" t="str">
        <f>IF(AND('Riesgos de Gestión'!$O$13="Media",'Riesgos de Gestión'!$S$13="Catastrófico"),CONCATENATE("R",'Riesgos de Gestión'!$A$13),"")</f>
        <v/>
      </c>
      <c r="AI22" s="408"/>
      <c r="AJ22" s="408" t="str">
        <f>IF(AND('Riesgos de Gestión'!$O$19="Media",'Riesgos de Gestión'!$S$19="Catastrófico"),CONCATENATE("R",'Riesgos de Gestión'!$A$19),"")</f>
        <v/>
      </c>
      <c r="AK22" s="408"/>
      <c r="AL22" s="408" t="str">
        <f>IF(AND('Riesgos de Gestión'!$O$25="Media",'Riesgos de Gestión'!$S$25="Catastrófico"),CONCATENATE("R",'Riesgos de Gestión'!$A$25),"")</f>
        <v/>
      </c>
      <c r="AM22" s="409"/>
      <c r="AN22" s="66"/>
      <c r="AO22" s="450" t="s">
        <v>255</v>
      </c>
      <c r="AP22" s="451"/>
      <c r="AQ22" s="451"/>
      <c r="AR22" s="451"/>
      <c r="AS22" s="451"/>
      <c r="AT22" s="452"/>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30"/>
      <c r="C23" s="430"/>
      <c r="D23" s="431"/>
      <c r="E23" s="423"/>
      <c r="F23" s="424"/>
      <c r="G23" s="424"/>
      <c r="H23" s="424"/>
      <c r="I23" s="425"/>
      <c r="J23" s="392"/>
      <c r="K23" s="393"/>
      <c r="L23" s="393"/>
      <c r="M23" s="393"/>
      <c r="N23" s="393"/>
      <c r="O23" s="394"/>
      <c r="P23" s="392"/>
      <c r="Q23" s="393"/>
      <c r="R23" s="393"/>
      <c r="S23" s="393"/>
      <c r="T23" s="393"/>
      <c r="U23" s="394"/>
      <c r="V23" s="392"/>
      <c r="W23" s="393"/>
      <c r="X23" s="393"/>
      <c r="Y23" s="393"/>
      <c r="Z23" s="393"/>
      <c r="AA23" s="394"/>
      <c r="AB23" s="410"/>
      <c r="AC23" s="411"/>
      <c r="AD23" s="411"/>
      <c r="AE23" s="411"/>
      <c r="AF23" s="411"/>
      <c r="AG23" s="412"/>
      <c r="AH23" s="401"/>
      <c r="AI23" s="402"/>
      <c r="AJ23" s="402"/>
      <c r="AK23" s="402"/>
      <c r="AL23" s="402"/>
      <c r="AM23" s="403"/>
      <c r="AN23" s="66"/>
      <c r="AO23" s="453"/>
      <c r="AP23" s="454"/>
      <c r="AQ23" s="454"/>
      <c r="AR23" s="454"/>
      <c r="AS23" s="454"/>
      <c r="AT23" s="455"/>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30"/>
      <c r="C24" s="430"/>
      <c r="D24" s="431"/>
      <c r="E24" s="423"/>
      <c r="F24" s="424"/>
      <c r="G24" s="424"/>
      <c r="H24" s="424"/>
      <c r="I24" s="425"/>
      <c r="J24" s="392" t="str">
        <f>IF(AND('Riesgos de Gestión'!$O$31="Media",'Riesgos de Gestión'!$S$31="Leve"),CONCATENATE("R",'Riesgos de Gestión'!$A$31),"")</f>
        <v/>
      </c>
      <c r="K24" s="393"/>
      <c r="L24" s="393" t="str">
        <f>IF(AND('Riesgos de Gestión'!$O$37="Media",'Riesgos de Gestión'!$S$37="Leve"),CONCATENATE("R",'Riesgos de Gestión'!$A$37),"")</f>
        <v/>
      </c>
      <c r="M24" s="393"/>
      <c r="N24" s="393" t="str">
        <f>IF(AND('Riesgos de Gestión'!$O$43="Media",'Riesgos de Gestión'!$S$43="Leve"),CONCATENATE("R",'Riesgos de Gestión'!$A$43),"")</f>
        <v/>
      </c>
      <c r="O24" s="394"/>
      <c r="P24" s="392" t="str">
        <f>IF(AND('Riesgos de Gestión'!$O$31="Media",'Riesgos de Gestión'!$S$31="Menor"),CONCATENATE("R",'Riesgos de Gestión'!$A$31),"")</f>
        <v/>
      </c>
      <c r="Q24" s="393"/>
      <c r="R24" s="393" t="str">
        <f>IF(AND('Riesgos de Gestión'!$O$37="Media",'Riesgos de Gestión'!$S$37="Menor"),CONCATENATE("R",'Riesgos de Gestión'!$A$37),"")</f>
        <v/>
      </c>
      <c r="S24" s="393"/>
      <c r="T24" s="393" t="str">
        <f>IF(AND('Riesgos de Gestión'!$O$43="Media",'Riesgos de Gestión'!$S$43="Menor"),CONCATENATE("R",'Riesgos de Gestión'!$A$43),"")</f>
        <v/>
      </c>
      <c r="U24" s="394"/>
      <c r="V24" s="392" t="str">
        <f>IF(AND('Riesgos de Gestión'!$O$31="Media",'Riesgos de Gestión'!$S$31="Moderado"),CONCATENATE("R",'Riesgos de Gestión'!$A$31),"")</f>
        <v/>
      </c>
      <c r="W24" s="393"/>
      <c r="X24" s="393" t="str">
        <f>IF(AND('Riesgos de Gestión'!$O$37="Media",'Riesgos de Gestión'!$S$37="Moderado"),CONCATENATE("R",'Riesgos de Gestión'!$A$37),"")</f>
        <v/>
      </c>
      <c r="Y24" s="393"/>
      <c r="Z24" s="393" t="str">
        <f>IF(AND('Riesgos de Gestión'!$O$43="Media",'Riesgos de Gestión'!$S$43="Moderado"),CONCATENATE("R",'Riesgos de Gestión'!$A$43),"")</f>
        <v/>
      </c>
      <c r="AA24" s="394"/>
      <c r="AB24" s="410" t="str">
        <f>IF(AND('Riesgos de Gestión'!$O$31="Media",'Riesgos de Gestión'!$S$31="Mayor"),CONCATENATE("R",'Riesgos de Gestión'!$A$31),"")</f>
        <v/>
      </c>
      <c r="AC24" s="411"/>
      <c r="AD24" s="411" t="str">
        <f>IF(AND('Riesgos de Gestión'!$O$37="Media",'Riesgos de Gestión'!$S$37="Mayor"),CONCATENATE("R",'Riesgos de Gestión'!$A$37),"")</f>
        <v/>
      </c>
      <c r="AE24" s="411"/>
      <c r="AF24" s="411" t="str">
        <f>IF(AND('Riesgos de Gestión'!$O$43="Media",'Riesgos de Gestión'!$S$43="Mayor"),CONCATENATE("R",'Riesgos de Gestión'!$A$43),"")</f>
        <v/>
      </c>
      <c r="AG24" s="412"/>
      <c r="AH24" s="401" t="str">
        <f>IF(AND('Riesgos de Gestión'!$O$31="Media",'Riesgos de Gestión'!$S$31="Catastrófico"),CONCATENATE("R",'Riesgos de Gestión'!$A$31),"")</f>
        <v/>
      </c>
      <c r="AI24" s="402"/>
      <c r="AJ24" s="402" t="str">
        <f>IF(AND('Riesgos de Gestión'!$O$37="Media",'Riesgos de Gestión'!$S$37="Catastrófico"),CONCATENATE("R",'Riesgos de Gestión'!$A$37),"")</f>
        <v/>
      </c>
      <c r="AK24" s="402"/>
      <c r="AL24" s="402" t="str">
        <f>IF(AND('Riesgos de Gestión'!$O$43="Media",'Riesgos de Gestión'!$S$43="Catastrófico"),CONCATENATE("R",'Riesgos de Gestión'!$A$43),"")</f>
        <v/>
      </c>
      <c r="AM24" s="403"/>
      <c r="AN24" s="66"/>
      <c r="AO24" s="453"/>
      <c r="AP24" s="454"/>
      <c r="AQ24" s="454"/>
      <c r="AR24" s="454"/>
      <c r="AS24" s="454"/>
      <c r="AT24" s="455"/>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30"/>
      <c r="C25" s="430"/>
      <c r="D25" s="431"/>
      <c r="E25" s="423"/>
      <c r="F25" s="424"/>
      <c r="G25" s="424"/>
      <c r="H25" s="424"/>
      <c r="I25" s="425"/>
      <c r="J25" s="392"/>
      <c r="K25" s="393"/>
      <c r="L25" s="393"/>
      <c r="M25" s="393"/>
      <c r="N25" s="393"/>
      <c r="O25" s="394"/>
      <c r="P25" s="392"/>
      <c r="Q25" s="393"/>
      <c r="R25" s="393"/>
      <c r="S25" s="393"/>
      <c r="T25" s="393"/>
      <c r="U25" s="394"/>
      <c r="V25" s="392"/>
      <c r="W25" s="393"/>
      <c r="X25" s="393"/>
      <c r="Y25" s="393"/>
      <c r="Z25" s="393"/>
      <c r="AA25" s="394"/>
      <c r="AB25" s="410"/>
      <c r="AC25" s="411"/>
      <c r="AD25" s="411"/>
      <c r="AE25" s="411"/>
      <c r="AF25" s="411"/>
      <c r="AG25" s="412"/>
      <c r="AH25" s="401"/>
      <c r="AI25" s="402"/>
      <c r="AJ25" s="402"/>
      <c r="AK25" s="402"/>
      <c r="AL25" s="402"/>
      <c r="AM25" s="403"/>
      <c r="AN25" s="66"/>
      <c r="AO25" s="453"/>
      <c r="AP25" s="454"/>
      <c r="AQ25" s="454"/>
      <c r="AR25" s="454"/>
      <c r="AS25" s="454"/>
      <c r="AT25" s="455"/>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30"/>
      <c r="C26" s="430"/>
      <c r="D26" s="431"/>
      <c r="E26" s="423"/>
      <c r="F26" s="424"/>
      <c r="G26" s="424"/>
      <c r="H26" s="424"/>
      <c r="I26" s="425"/>
      <c r="J26" s="392" t="str">
        <f>IF(AND('Riesgos de Gestión'!$O$49="Media",'Riesgos de Gestión'!$S$49="Leve"),CONCATENATE("R",'Riesgos de Gestión'!$A$49),"")</f>
        <v/>
      </c>
      <c r="K26" s="393"/>
      <c r="L26" s="393" t="str">
        <f>IF(AND('Riesgos de Gestión'!$O$55="Media",'Riesgos de Gestión'!$S$55="Leve"),CONCATENATE("R",'Riesgos de Gestión'!$A$55),"")</f>
        <v/>
      </c>
      <c r="M26" s="393"/>
      <c r="N26" s="393" t="str">
        <f>IF(AND('Riesgos de Gestión'!$O$61="Media",'Riesgos de Gestión'!$S$61="Leve"),CONCATENATE("R",'Riesgos de Gestión'!$A$61),"")</f>
        <v/>
      </c>
      <c r="O26" s="394"/>
      <c r="P26" s="392" t="str">
        <f>IF(AND('Riesgos de Gestión'!$O$49="Media",'Riesgos de Gestión'!$S$49="Menor"),CONCATENATE("R",'Riesgos de Gestión'!$A$49),"")</f>
        <v/>
      </c>
      <c r="Q26" s="393"/>
      <c r="R26" s="393" t="str">
        <f>IF(AND('Riesgos de Gestión'!$O$55="Media",'Riesgos de Gestión'!$S$55="Menor"),CONCATENATE("R",'Riesgos de Gestión'!$A$55),"")</f>
        <v/>
      </c>
      <c r="S26" s="393"/>
      <c r="T26" s="393" t="str">
        <f>IF(AND('Riesgos de Gestión'!$O$61="Media",'Riesgos de Gestión'!$S$61="Menor"),CONCATENATE("R",'Riesgos de Gestión'!$A$61),"")</f>
        <v/>
      </c>
      <c r="U26" s="394"/>
      <c r="V26" s="392" t="str">
        <f>IF(AND('Riesgos de Gestión'!$O$49="Media",'Riesgos de Gestión'!$S$49="Moderado"),CONCATENATE("R",'Riesgos de Gestión'!$A$49),"")</f>
        <v/>
      </c>
      <c r="W26" s="393"/>
      <c r="X26" s="393" t="str">
        <f>IF(AND('Riesgos de Gestión'!$O$55="Media",'Riesgos de Gestión'!$S$55="Moderado"),CONCATENATE("R",'Riesgos de Gestión'!$A$55),"")</f>
        <v/>
      </c>
      <c r="Y26" s="393"/>
      <c r="Z26" s="393" t="str">
        <f>IF(AND('Riesgos de Gestión'!$O$61="Media",'Riesgos de Gestión'!$S$61="Moderado"),CONCATENATE("R",'Riesgos de Gestión'!$A$61),"")</f>
        <v/>
      </c>
      <c r="AA26" s="394"/>
      <c r="AB26" s="410" t="str">
        <f>IF(AND('Riesgos de Gestión'!$O$49="Media",'Riesgos de Gestión'!$S$49="Mayor"),CONCATENATE("R",'Riesgos de Gestión'!$A$49),"")</f>
        <v/>
      </c>
      <c r="AC26" s="411"/>
      <c r="AD26" s="411" t="str">
        <f>IF(AND('Riesgos de Gestión'!$O$55="Media",'Riesgos de Gestión'!$S$55="Mayor"),CONCATENATE("R",'Riesgos de Gestión'!$A$55),"")</f>
        <v/>
      </c>
      <c r="AE26" s="411"/>
      <c r="AF26" s="411" t="str">
        <f>IF(AND('Riesgos de Gestión'!$O$61="Media",'Riesgos de Gestión'!$S$61="Mayor"),CONCATENATE("R",'Riesgos de Gestión'!$A$61),"")</f>
        <v/>
      </c>
      <c r="AG26" s="412"/>
      <c r="AH26" s="401" t="str">
        <f>IF(AND('Riesgos de Gestión'!$O$49="Media",'Riesgos de Gestión'!$S$49="Catastrófico"),CONCATENATE("R",'Riesgos de Gestión'!$A$49),"")</f>
        <v/>
      </c>
      <c r="AI26" s="402"/>
      <c r="AJ26" s="402" t="str">
        <f>IF(AND('Riesgos de Gestión'!$O$55="Media",'Riesgos de Gestión'!$S$55="Catastrófico"),CONCATENATE("R",'Riesgos de Gestión'!$A$55),"")</f>
        <v/>
      </c>
      <c r="AK26" s="402"/>
      <c r="AL26" s="402" t="str">
        <f>IF(AND('Riesgos de Gestión'!$O$61="Media",'Riesgos de Gestión'!$S$61="Catastrófico"),CONCATENATE("R",'Riesgos de Gestión'!$A$61),"")</f>
        <v/>
      </c>
      <c r="AM26" s="403"/>
      <c r="AN26" s="66"/>
      <c r="AO26" s="453"/>
      <c r="AP26" s="454"/>
      <c r="AQ26" s="454"/>
      <c r="AR26" s="454"/>
      <c r="AS26" s="454"/>
      <c r="AT26" s="455"/>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30"/>
      <c r="C27" s="430"/>
      <c r="D27" s="431"/>
      <c r="E27" s="423"/>
      <c r="F27" s="424"/>
      <c r="G27" s="424"/>
      <c r="H27" s="424"/>
      <c r="I27" s="425"/>
      <c r="J27" s="392"/>
      <c r="K27" s="393"/>
      <c r="L27" s="393"/>
      <c r="M27" s="393"/>
      <c r="N27" s="393"/>
      <c r="O27" s="394"/>
      <c r="P27" s="392"/>
      <c r="Q27" s="393"/>
      <c r="R27" s="393"/>
      <c r="S27" s="393"/>
      <c r="T27" s="393"/>
      <c r="U27" s="394"/>
      <c r="V27" s="392"/>
      <c r="W27" s="393"/>
      <c r="X27" s="393"/>
      <c r="Y27" s="393"/>
      <c r="Z27" s="393"/>
      <c r="AA27" s="394"/>
      <c r="AB27" s="410"/>
      <c r="AC27" s="411"/>
      <c r="AD27" s="411"/>
      <c r="AE27" s="411"/>
      <c r="AF27" s="411"/>
      <c r="AG27" s="412"/>
      <c r="AH27" s="401"/>
      <c r="AI27" s="402"/>
      <c r="AJ27" s="402"/>
      <c r="AK27" s="402"/>
      <c r="AL27" s="402"/>
      <c r="AM27" s="403"/>
      <c r="AN27" s="66"/>
      <c r="AO27" s="453"/>
      <c r="AP27" s="454"/>
      <c r="AQ27" s="454"/>
      <c r="AR27" s="454"/>
      <c r="AS27" s="454"/>
      <c r="AT27" s="455"/>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30"/>
      <c r="C28" s="430"/>
      <c r="D28" s="431"/>
      <c r="E28" s="423"/>
      <c r="F28" s="424"/>
      <c r="G28" s="424"/>
      <c r="H28" s="424"/>
      <c r="I28" s="425"/>
      <c r="J28" s="392" t="str">
        <f>IF(AND('Riesgos de Gestión'!$O$67="Media",'Riesgos de Gestión'!$S$67="Leve"),CONCATENATE("R",'Riesgos de Gestión'!$A$67),"")</f>
        <v/>
      </c>
      <c r="K28" s="393"/>
      <c r="L28" s="393" t="str">
        <f>IF(AND('Riesgos de Gestión'!$P$73="Media",'Riesgos de Gestión'!$T$73="Leve"),CONCATENATE("R",'Riesgos de Gestión'!$A$73),"")</f>
        <v/>
      </c>
      <c r="M28" s="393"/>
      <c r="N28" s="393" t="str">
        <f>IF(AND('Riesgos de Gestión'!$P$79="Media",'Riesgos de Gestión'!$T$79="Leve"),CONCATENATE("R",'Riesgos de Gestión'!$A$79),"")</f>
        <v/>
      </c>
      <c r="O28" s="394"/>
      <c r="P28" s="392" t="str">
        <f>IF(AND('Riesgos de Gestión'!$O$67="Media",'Riesgos de Gestión'!$S$67="Menor"),CONCATENATE("R",'Riesgos de Gestión'!$A$67),"")</f>
        <v/>
      </c>
      <c r="Q28" s="393"/>
      <c r="R28" s="393" t="str">
        <f>IF(AND('Riesgos de Gestión'!$P$73="Media",'Riesgos de Gestión'!$T$73="Menor"),CONCATENATE("R",'Riesgos de Gestión'!$A$73),"")</f>
        <v/>
      </c>
      <c r="S28" s="393"/>
      <c r="T28" s="393" t="str">
        <f>IF(AND('Riesgos de Gestión'!$P$79="Media",'Riesgos de Gestión'!$T$79="Menor"),CONCATENATE("R",'Riesgos de Gestión'!$A$79),"")</f>
        <v/>
      </c>
      <c r="U28" s="394"/>
      <c r="V28" s="392" t="str">
        <f>IF(AND('Riesgos de Gestión'!$O$67="Media",'Riesgos de Gestión'!$S$67="Moderado"),CONCATENATE("R",'Riesgos de Gestión'!$A$67),"")</f>
        <v/>
      </c>
      <c r="W28" s="393"/>
      <c r="X28" s="393" t="str">
        <f>IF(AND('Riesgos de Gestión'!$P$73="Media",'Riesgos de Gestión'!$T$73="Moderado"),CONCATENATE("R",'Riesgos de Gestión'!$A$73),"")</f>
        <v/>
      </c>
      <c r="Y28" s="393"/>
      <c r="Z28" s="393" t="str">
        <f>IF(AND('Riesgos de Gestión'!$P$79="Media",'Riesgos de Gestión'!$T$79="Moderado"),CONCATENATE("R",'Riesgos de Gestión'!$A$79),"")</f>
        <v/>
      </c>
      <c r="AA28" s="394"/>
      <c r="AB28" s="410" t="str">
        <f>IF(AND('Riesgos de Gestión'!$O$67="Media",'Riesgos de Gestión'!$S$67="Mayor"),CONCATENATE("R",'Riesgos de Gestión'!$A$67),"")</f>
        <v/>
      </c>
      <c r="AC28" s="411"/>
      <c r="AD28" s="411" t="str">
        <f>IF(AND('Riesgos de Gestión'!$P$73="Media",'Riesgos de Gestión'!$T$73="Mayor"),CONCATENATE("R",'Riesgos de Gestión'!$A$73),"")</f>
        <v/>
      </c>
      <c r="AE28" s="411"/>
      <c r="AF28" s="411" t="str">
        <f>IF(AND('Riesgos de Gestión'!$P$79="Media",'Riesgos de Gestión'!$T$79="Mayor"),CONCATENATE("R",'Riesgos de Gestión'!$A$79),"")</f>
        <v/>
      </c>
      <c r="AG28" s="412"/>
      <c r="AH28" s="401" t="str">
        <f>IF(AND('Riesgos de Gestión'!$O$67="Media",'Riesgos de Gestión'!$S$67="Catastrófico"),CONCATENATE("R",'Riesgos de Gestión'!$A$67),"")</f>
        <v/>
      </c>
      <c r="AI28" s="402"/>
      <c r="AJ28" s="402" t="str">
        <f>IF(AND('Riesgos de Gestión'!$P$73="Media",'Riesgos de Gestión'!$T$73="Catastrófico"),CONCATENATE("R",'Riesgos de Gestión'!$A$73),"")</f>
        <v/>
      </c>
      <c r="AK28" s="402"/>
      <c r="AL28" s="402" t="str">
        <f>IF(AND('Riesgos de Gestión'!$P$79="Media",'Riesgos de Gestión'!$T$79="Catastrófico"),CONCATENATE("R",'Riesgos de Gestión'!$A$79),"")</f>
        <v/>
      </c>
      <c r="AM28" s="403"/>
      <c r="AN28" s="66"/>
      <c r="AO28" s="453"/>
      <c r="AP28" s="454"/>
      <c r="AQ28" s="454"/>
      <c r="AR28" s="454"/>
      <c r="AS28" s="454"/>
      <c r="AT28" s="455"/>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30"/>
      <c r="C29" s="430"/>
      <c r="D29" s="431"/>
      <c r="E29" s="426"/>
      <c r="F29" s="427"/>
      <c r="G29" s="427"/>
      <c r="H29" s="427"/>
      <c r="I29" s="428"/>
      <c r="J29" s="392"/>
      <c r="K29" s="393"/>
      <c r="L29" s="393"/>
      <c r="M29" s="393"/>
      <c r="N29" s="393"/>
      <c r="O29" s="394"/>
      <c r="P29" s="395"/>
      <c r="Q29" s="396"/>
      <c r="R29" s="396"/>
      <c r="S29" s="396"/>
      <c r="T29" s="396"/>
      <c r="U29" s="397"/>
      <c r="V29" s="395"/>
      <c r="W29" s="396"/>
      <c r="X29" s="396"/>
      <c r="Y29" s="396"/>
      <c r="Z29" s="396"/>
      <c r="AA29" s="397"/>
      <c r="AB29" s="413"/>
      <c r="AC29" s="414"/>
      <c r="AD29" s="414"/>
      <c r="AE29" s="414"/>
      <c r="AF29" s="414"/>
      <c r="AG29" s="415"/>
      <c r="AH29" s="404"/>
      <c r="AI29" s="405"/>
      <c r="AJ29" s="405"/>
      <c r="AK29" s="405"/>
      <c r="AL29" s="405"/>
      <c r="AM29" s="406"/>
      <c r="AN29" s="66"/>
      <c r="AO29" s="456"/>
      <c r="AP29" s="457"/>
      <c r="AQ29" s="457"/>
      <c r="AR29" s="457"/>
      <c r="AS29" s="457"/>
      <c r="AT29" s="458"/>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30"/>
      <c r="C30" s="430"/>
      <c r="D30" s="431"/>
      <c r="E30" s="420" t="s">
        <v>256</v>
      </c>
      <c r="F30" s="421"/>
      <c r="G30" s="421"/>
      <c r="H30" s="421"/>
      <c r="I30" s="421"/>
      <c r="J30" s="389" t="str">
        <f>IF(AND('Riesgos de Gestión'!$O$13="Baja",'Riesgos de Gestión'!$S$13="Leve"),CONCATENATE("R",'Riesgos de Gestión'!$A$13),"")</f>
        <v/>
      </c>
      <c r="K30" s="390"/>
      <c r="L30" s="390" t="str">
        <f>IF(AND('Riesgos de Gestión'!$O$19="Baja",'Riesgos de Gestión'!$S$19="Leve"),CONCATENATE("R",'Riesgos de Gestión'!$A$19),"")</f>
        <v/>
      </c>
      <c r="M30" s="390"/>
      <c r="N30" s="390" t="str">
        <f>IF(AND('Riesgos de Gestión'!$O$25="Baja",'Riesgos de Gestión'!$S$25="Leve"),CONCATENATE("R",'Riesgos de Gestión'!$A$25),"")</f>
        <v/>
      </c>
      <c r="O30" s="391"/>
      <c r="P30" s="399" t="str">
        <f>IF(AND('Riesgos de Gestión'!$O$13="Baja",'Riesgos de Gestión'!$S$13="Menor"),CONCATENATE("R",'Riesgos de Gestión'!$A$13),"")</f>
        <v>R1</v>
      </c>
      <c r="Q30" s="399"/>
      <c r="R30" s="399" t="str">
        <f>IF(AND('Riesgos de Gestión'!$O$19="Baja",'Riesgos de Gestión'!$S$19="Menor"),CONCATENATE("R",'Riesgos de Gestión'!$A$19),"")</f>
        <v/>
      </c>
      <c r="S30" s="399"/>
      <c r="T30" s="399" t="str">
        <f>IF(AND('Riesgos de Gestión'!$O$25="Baja",'Riesgos de Gestión'!$S$25="Menor"),CONCATENATE("R",'Riesgos de Gestión'!$A$25),"")</f>
        <v/>
      </c>
      <c r="U30" s="400"/>
      <c r="V30" s="398" t="str">
        <f>IF(AND('Riesgos de Gestión'!$O$13="Baja",'Riesgos de Gestión'!$S$13="Moderado"),CONCATENATE("R",'Riesgos de Gestión'!$A$13),"")</f>
        <v/>
      </c>
      <c r="W30" s="399"/>
      <c r="X30" s="399" t="str">
        <f>IF(AND('Riesgos de Gestión'!$O$19="Baja",'Riesgos de Gestión'!$S$19="Moderado"),CONCATENATE("R",'Riesgos de Gestión'!$A$19),"")</f>
        <v/>
      </c>
      <c r="Y30" s="399"/>
      <c r="Z30" s="399" t="str">
        <f>IF(AND('Riesgos de Gestión'!$O$25="Baja",'Riesgos de Gestión'!$S$25="Moderado"),CONCATENATE("R",'Riesgos de Gestión'!$A$25),"")</f>
        <v/>
      </c>
      <c r="AA30" s="400"/>
      <c r="AB30" s="416" t="str">
        <f>IF(AND('Riesgos de Gestión'!$O$13="Baja",'Riesgos de Gestión'!$S$13="Mayor"),CONCATENATE("R",'Riesgos de Gestión'!$A$13),"")</f>
        <v/>
      </c>
      <c r="AC30" s="417"/>
      <c r="AD30" s="417" t="str">
        <f>IF(AND('Riesgos de Gestión'!$O$19="Baja",'Riesgos de Gestión'!$S$19="Mayor"),CONCATENATE("R",'Riesgos de Gestión'!$A$19),"")</f>
        <v/>
      </c>
      <c r="AE30" s="417"/>
      <c r="AF30" s="417" t="str">
        <f>IF(AND('Riesgos de Gestión'!$O$25="Baja",'Riesgos de Gestión'!$S$25="Mayor"),CONCATENATE("R",'Riesgos de Gestión'!$A$25),"")</f>
        <v/>
      </c>
      <c r="AG30" s="418"/>
      <c r="AH30" s="407" t="str">
        <f>IF(AND('Riesgos de Gestión'!$O$13="Baja",'Riesgos de Gestión'!$S$13="Catastrófico"),CONCATENATE("R",'Riesgos de Gestión'!$A$13),"")</f>
        <v/>
      </c>
      <c r="AI30" s="408"/>
      <c r="AJ30" s="408" t="str">
        <f>IF(AND('Riesgos de Gestión'!$O$19="Baja",'Riesgos de Gestión'!$S$19="Catastrófico"),CONCATENATE("R",'Riesgos de Gestión'!$A$19),"")</f>
        <v/>
      </c>
      <c r="AK30" s="408"/>
      <c r="AL30" s="408" t="str">
        <f>IF(AND('Riesgos de Gestión'!$O$25="Baja",'Riesgos de Gestión'!$S$25="Catastrófico"),CONCATENATE("R",'Riesgos de Gestión'!$A$25),"")</f>
        <v/>
      </c>
      <c r="AM30" s="409"/>
      <c r="AN30" s="66"/>
      <c r="AO30" s="459" t="s">
        <v>257</v>
      </c>
      <c r="AP30" s="460"/>
      <c r="AQ30" s="460"/>
      <c r="AR30" s="460"/>
      <c r="AS30" s="460"/>
      <c r="AT30" s="461"/>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30"/>
      <c r="C31" s="430"/>
      <c r="D31" s="431"/>
      <c r="E31" s="423"/>
      <c r="F31" s="424"/>
      <c r="G31" s="424"/>
      <c r="H31" s="424"/>
      <c r="I31" s="424"/>
      <c r="J31" s="383"/>
      <c r="K31" s="384"/>
      <c r="L31" s="384"/>
      <c r="M31" s="384"/>
      <c r="N31" s="384"/>
      <c r="O31" s="385"/>
      <c r="P31" s="393"/>
      <c r="Q31" s="393"/>
      <c r="R31" s="393"/>
      <c r="S31" s="393"/>
      <c r="T31" s="393"/>
      <c r="U31" s="394"/>
      <c r="V31" s="392"/>
      <c r="W31" s="393"/>
      <c r="X31" s="393"/>
      <c r="Y31" s="393"/>
      <c r="Z31" s="393"/>
      <c r="AA31" s="394"/>
      <c r="AB31" s="410"/>
      <c r="AC31" s="411"/>
      <c r="AD31" s="411"/>
      <c r="AE31" s="411"/>
      <c r="AF31" s="411"/>
      <c r="AG31" s="412"/>
      <c r="AH31" s="401"/>
      <c r="AI31" s="402"/>
      <c r="AJ31" s="402"/>
      <c r="AK31" s="402"/>
      <c r="AL31" s="402"/>
      <c r="AM31" s="403"/>
      <c r="AN31" s="66"/>
      <c r="AO31" s="462"/>
      <c r="AP31" s="463"/>
      <c r="AQ31" s="463"/>
      <c r="AR31" s="463"/>
      <c r="AS31" s="463"/>
      <c r="AT31" s="464"/>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30"/>
      <c r="C32" s="430"/>
      <c r="D32" s="431"/>
      <c r="E32" s="423"/>
      <c r="F32" s="424"/>
      <c r="G32" s="424"/>
      <c r="H32" s="424"/>
      <c r="I32" s="424"/>
      <c r="J32" s="383" t="str">
        <f>IF(AND('Riesgos de Gestión'!$O$31="Baja",'Riesgos de Gestión'!$S$31="Leve"),CONCATENATE("R",'Riesgos de Gestión'!$A$31),"")</f>
        <v/>
      </c>
      <c r="K32" s="384"/>
      <c r="L32" s="384" t="str">
        <f>IF(AND('Riesgos de Gestión'!$O$37="Baja",'Riesgos de Gestión'!$S$37="Leve"),CONCATENATE("R",'Riesgos de Gestión'!$A$37),"")</f>
        <v/>
      </c>
      <c r="M32" s="384"/>
      <c r="N32" s="384" t="str">
        <f>IF(AND('Riesgos de Gestión'!$O$43="Baja",'Riesgos de Gestión'!$S$43="Leve"),CONCATENATE("R",'Riesgos de Gestión'!$A$43),"")</f>
        <v/>
      </c>
      <c r="O32" s="385"/>
      <c r="P32" s="393" t="str">
        <f>IF(AND('Riesgos de Gestión'!$O$31="Baja",'Riesgos de Gestión'!$S$31="Menor"),CONCATENATE("R",'Riesgos de Gestión'!$A$31),"")</f>
        <v/>
      </c>
      <c r="Q32" s="393"/>
      <c r="R32" s="393" t="str">
        <f>IF(AND('Riesgos de Gestión'!$O$37="Baja",'Riesgos de Gestión'!$S$37="Menor"),CONCATENATE("R",'Riesgos de Gestión'!$A$37),"")</f>
        <v/>
      </c>
      <c r="S32" s="393"/>
      <c r="T32" s="393" t="str">
        <f>IF(AND('Riesgos de Gestión'!$O$43="Baja",'Riesgos de Gestión'!$S$43="Menor"),CONCATENATE("R",'Riesgos de Gestión'!$A$43),"")</f>
        <v/>
      </c>
      <c r="U32" s="394"/>
      <c r="V32" s="392" t="str">
        <f>IF(AND('Riesgos de Gestión'!$O$31="Baja",'Riesgos de Gestión'!$S$31="Moderado"),CONCATENATE("R",'Riesgos de Gestión'!$A$31),"")</f>
        <v/>
      </c>
      <c r="W32" s="393"/>
      <c r="X32" s="393" t="str">
        <f>IF(AND('Riesgos de Gestión'!$O$37="Baja",'Riesgos de Gestión'!$S$37="Moderado"),CONCATENATE("R",'Riesgos de Gestión'!$A$37),"")</f>
        <v/>
      </c>
      <c r="Y32" s="393"/>
      <c r="Z32" s="393" t="str">
        <f>IF(AND('Riesgos de Gestión'!$O$43="Baja",'Riesgos de Gestión'!$S$43="Moderado"),CONCATENATE("R",'Riesgos de Gestión'!$A$43),"")</f>
        <v/>
      </c>
      <c r="AA32" s="394"/>
      <c r="AB32" s="410" t="str">
        <f>IF(AND('Riesgos de Gestión'!$O$31="Baja",'Riesgos de Gestión'!$S$31="Mayor"),CONCATENATE("R",'Riesgos de Gestión'!$A$31),"")</f>
        <v/>
      </c>
      <c r="AC32" s="411"/>
      <c r="AD32" s="411" t="str">
        <f>IF(AND('Riesgos de Gestión'!$O$37="Baja",'Riesgos de Gestión'!$S$37="Mayor"),CONCATENATE("R",'Riesgos de Gestión'!$A$37),"")</f>
        <v/>
      </c>
      <c r="AE32" s="411"/>
      <c r="AF32" s="411" t="str">
        <f>IF(AND('Riesgos de Gestión'!$O$43="Baja",'Riesgos de Gestión'!$S$43="Mayor"),CONCATENATE("R",'Riesgos de Gestión'!$A$43),"")</f>
        <v/>
      </c>
      <c r="AG32" s="412"/>
      <c r="AH32" s="401" t="str">
        <f>IF(AND('Riesgos de Gestión'!$O$31="Baja",'Riesgos de Gestión'!$S$31="Catastrófico"),CONCATENATE("R",'Riesgos de Gestión'!$A$31),"")</f>
        <v/>
      </c>
      <c r="AI32" s="402"/>
      <c r="AJ32" s="402" t="str">
        <f>IF(AND('Riesgos de Gestión'!$O$37="Baja",'Riesgos de Gestión'!$S$37="Catastrófico"),CONCATENATE("R",'Riesgos de Gestión'!$A$37),"")</f>
        <v/>
      </c>
      <c r="AK32" s="402"/>
      <c r="AL32" s="402" t="str">
        <f>IF(AND('Riesgos de Gestión'!$O$43="Baja",'Riesgos de Gestión'!$S$43="Catastrófico"),CONCATENATE("R",'Riesgos de Gestión'!$A$43),"")</f>
        <v/>
      </c>
      <c r="AM32" s="403"/>
      <c r="AN32" s="66"/>
      <c r="AO32" s="462"/>
      <c r="AP32" s="463"/>
      <c r="AQ32" s="463"/>
      <c r="AR32" s="463"/>
      <c r="AS32" s="463"/>
      <c r="AT32" s="464"/>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30"/>
      <c r="C33" s="430"/>
      <c r="D33" s="431"/>
      <c r="E33" s="423"/>
      <c r="F33" s="424"/>
      <c r="G33" s="424"/>
      <c r="H33" s="424"/>
      <c r="I33" s="424"/>
      <c r="J33" s="383"/>
      <c r="K33" s="384"/>
      <c r="L33" s="384"/>
      <c r="M33" s="384"/>
      <c r="N33" s="384"/>
      <c r="O33" s="385"/>
      <c r="P33" s="393"/>
      <c r="Q33" s="393"/>
      <c r="R33" s="393"/>
      <c r="S33" s="393"/>
      <c r="T33" s="393"/>
      <c r="U33" s="394"/>
      <c r="V33" s="392"/>
      <c r="W33" s="393"/>
      <c r="X33" s="393"/>
      <c r="Y33" s="393"/>
      <c r="Z33" s="393"/>
      <c r="AA33" s="394"/>
      <c r="AB33" s="410"/>
      <c r="AC33" s="411"/>
      <c r="AD33" s="411"/>
      <c r="AE33" s="411"/>
      <c r="AF33" s="411"/>
      <c r="AG33" s="412"/>
      <c r="AH33" s="401"/>
      <c r="AI33" s="402"/>
      <c r="AJ33" s="402"/>
      <c r="AK33" s="402"/>
      <c r="AL33" s="402"/>
      <c r="AM33" s="403"/>
      <c r="AN33" s="66"/>
      <c r="AO33" s="462"/>
      <c r="AP33" s="463"/>
      <c r="AQ33" s="463"/>
      <c r="AR33" s="463"/>
      <c r="AS33" s="463"/>
      <c r="AT33" s="464"/>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30"/>
      <c r="C34" s="430"/>
      <c r="D34" s="431"/>
      <c r="E34" s="423"/>
      <c r="F34" s="424"/>
      <c r="G34" s="424"/>
      <c r="H34" s="424"/>
      <c r="I34" s="424"/>
      <c r="J34" s="383" t="str">
        <f>IF(AND('Riesgos de Gestión'!$O$49="Baja",'Riesgos de Gestión'!$S$49="Leve"),CONCATENATE("R",'Riesgos de Gestión'!$A$49),"")</f>
        <v/>
      </c>
      <c r="K34" s="384"/>
      <c r="L34" s="384" t="str">
        <f>IF(AND('Riesgos de Gestión'!$O$55="Baja",'Riesgos de Gestión'!$S$55="Leve"),CONCATENATE("R",'Riesgos de Gestión'!$A$55),"")</f>
        <v/>
      </c>
      <c r="M34" s="384"/>
      <c r="N34" s="384" t="str">
        <f>IF(AND('Riesgos de Gestión'!$O$61="Baja",'Riesgos de Gestión'!$S$61="Leve"),CONCATENATE("R",'Riesgos de Gestión'!$A$61),"")</f>
        <v/>
      </c>
      <c r="O34" s="385"/>
      <c r="P34" s="393" t="str">
        <f>IF(AND('Riesgos de Gestión'!$O$49="Baja",'Riesgos de Gestión'!$S$49="Menor"),CONCATENATE("R",'Riesgos de Gestión'!$A$49),"")</f>
        <v/>
      </c>
      <c r="Q34" s="393"/>
      <c r="R34" s="393" t="str">
        <f>IF(AND('Riesgos de Gestión'!$O$55="Baja",'Riesgos de Gestión'!$S$55="Menor"),CONCATENATE("R",'Riesgos de Gestión'!$A$55),"")</f>
        <v/>
      </c>
      <c r="S34" s="393"/>
      <c r="T34" s="393" t="str">
        <f>IF(AND('Riesgos de Gestión'!$O$61="Baja",'Riesgos de Gestión'!$S$61="Menor"),CONCATENATE("R",'Riesgos de Gestión'!$A$61),"")</f>
        <v/>
      </c>
      <c r="U34" s="394"/>
      <c r="V34" s="392" t="str">
        <f>IF(AND('Riesgos de Gestión'!$O$49="Baja",'Riesgos de Gestión'!$S$49="Moderado"),CONCATENATE("R",'Riesgos de Gestión'!$A$49),"")</f>
        <v/>
      </c>
      <c r="W34" s="393"/>
      <c r="X34" s="393" t="str">
        <f>IF(AND('Riesgos de Gestión'!$O$55="Baja",'Riesgos de Gestión'!$S$55="Moderado"),CONCATENATE("R",'Riesgos de Gestión'!$A$55),"")</f>
        <v/>
      </c>
      <c r="Y34" s="393"/>
      <c r="Z34" s="393" t="str">
        <f>IF(AND('Riesgos de Gestión'!$O$61="Baja",'Riesgos de Gestión'!$S$61="Moderado"),CONCATENATE("R",'Riesgos de Gestión'!$A$61),"")</f>
        <v/>
      </c>
      <c r="AA34" s="394"/>
      <c r="AB34" s="410" t="str">
        <f>IF(AND('Riesgos de Gestión'!$O$49="Baja",'Riesgos de Gestión'!$S$49="Mayor"),CONCATENATE("R",'Riesgos de Gestión'!$A$49),"")</f>
        <v/>
      </c>
      <c r="AC34" s="411"/>
      <c r="AD34" s="411" t="str">
        <f>IF(AND('Riesgos de Gestión'!$O$55="Baja",'Riesgos de Gestión'!$S$55="Mayor"),CONCATENATE("R",'Riesgos de Gestión'!$A$55),"")</f>
        <v/>
      </c>
      <c r="AE34" s="411"/>
      <c r="AF34" s="411" t="str">
        <f>IF(AND('Riesgos de Gestión'!$O$61="Baja",'Riesgos de Gestión'!$S$61="Mayor"),CONCATENATE("R",'Riesgos de Gestión'!$A$61),"")</f>
        <v/>
      </c>
      <c r="AG34" s="412"/>
      <c r="AH34" s="401" t="str">
        <f>IF(AND('Riesgos de Gestión'!$O$49="Baja",'Riesgos de Gestión'!$S$49="Catastrófico"),CONCATENATE("R",'Riesgos de Gestión'!$A$49),"")</f>
        <v/>
      </c>
      <c r="AI34" s="402"/>
      <c r="AJ34" s="402" t="str">
        <f>IF(AND('Riesgos de Gestión'!$O$55="Baja",'Riesgos de Gestión'!$S$55="Catastrófico"),CONCATENATE("R",'Riesgos de Gestión'!$A$55),"")</f>
        <v/>
      </c>
      <c r="AK34" s="402"/>
      <c r="AL34" s="402" t="str">
        <f>IF(AND('Riesgos de Gestión'!$O$61="Baja",'Riesgos de Gestión'!$S$61="Catastrófico"),CONCATENATE("R",'Riesgos de Gestión'!$A$61),"")</f>
        <v/>
      </c>
      <c r="AM34" s="403"/>
      <c r="AN34" s="66"/>
      <c r="AO34" s="462"/>
      <c r="AP34" s="463"/>
      <c r="AQ34" s="463"/>
      <c r="AR34" s="463"/>
      <c r="AS34" s="463"/>
      <c r="AT34" s="464"/>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30"/>
      <c r="C35" s="430"/>
      <c r="D35" s="431"/>
      <c r="E35" s="423"/>
      <c r="F35" s="424"/>
      <c r="G35" s="424"/>
      <c r="H35" s="424"/>
      <c r="I35" s="424"/>
      <c r="J35" s="383"/>
      <c r="K35" s="384"/>
      <c r="L35" s="384"/>
      <c r="M35" s="384"/>
      <c r="N35" s="384"/>
      <c r="O35" s="385"/>
      <c r="P35" s="393"/>
      <c r="Q35" s="393"/>
      <c r="R35" s="393"/>
      <c r="S35" s="393"/>
      <c r="T35" s="393"/>
      <c r="U35" s="394"/>
      <c r="V35" s="392"/>
      <c r="W35" s="393"/>
      <c r="X35" s="393"/>
      <c r="Y35" s="393"/>
      <c r="Z35" s="393"/>
      <c r="AA35" s="394"/>
      <c r="AB35" s="410"/>
      <c r="AC35" s="411"/>
      <c r="AD35" s="411"/>
      <c r="AE35" s="411"/>
      <c r="AF35" s="411"/>
      <c r="AG35" s="412"/>
      <c r="AH35" s="401"/>
      <c r="AI35" s="402"/>
      <c r="AJ35" s="402"/>
      <c r="AK35" s="402"/>
      <c r="AL35" s="402"/>
      <c r="AM35" s="403"/>
      <c r="AN35" s="66"/>
      <c r="AO35" s="462"/>
      <c r="AP35" s="463"/>
      <c r="AQ35" s="463"/>
      <c r="AR35" s="463"/>
      <c r="AS35" s="463"/>
      <c r="AT35" s="464"/>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30"/>
      <c r="C36" s="430"/>
      <c r="D36" s="431"/>
      <c r="E36" s="423"/>
      <c r="F36" s="424"/>
      <c r="G36" s="424"/>
      <c r="H36" s="424"/>
      <c r="I36" s="424"/>
      <c r="J36" s="383" t="str">
        <f>IF(AND('Riesgos de Gestión'!$O$67="Baja",'Riesgos de Gestión'!$S$67="Leve"),CONCATENATE("R",'Riesgos de Gestión'!$A$67),"")</f>
        <v/>
      </c>
      <c r="K36" s="384"/>
      <c r="L36" s="384" t="str">
        <f>IF(AND('Riesgos de Gestión'!$P$73="Baja",'Riesgos de Gestión'!$T$73="Leve"),CONCATENATE("R",'Riesgos de Gestión'!$A$73),"")</f>
        <v/>
      </c>
      <c r="M36" s="384"/>
      <c r="N36" s="384" t="str">
        <f>IF(AND('Riesgos de Gestión'!$P$79="Baja",'Riesgos de Gestión'!$T$79="Leve"),CONCATENATE("R",'Riesgos de Gestión'!$A$79),"")</f>
        <v/>
      </c>
      <c r="O36" s="385"/>
      <c r="P36" s="393" t="str">
        <f>IF(AND('Riesgos de Gestión'!$O$67="Baja",'Riesgos de Gestión'!$S$67="Menor"),CONCATENATE("R",'Riesgos de Gestión'!$A$67),"")</f>
        <v/>
      </c>
      <c r="Q36" s="393"/>
      <c r="R36" s="393" t="str">
        <f>IF(AND('Riesgos de Gestión'!$P$73="Baja",'Riesgos de Gestión'!$T$73="Menor"),CONCATENATE("R",'Riesgos de Gestión'!$A$73),"")</f>
        <v/>
      </c>
      <c r="S36" s="393"/>
      <c r="T36" s="393" t="str">
        <f>IF(AND('Riesgos de Gestión'!$P$79="Baja",'Riesgos de Gestión'!$T$79="Menor"),CONCATENATE("R",'Riesgos de Gestión'!$A$79),"")</f>
        <v/>
      </c>
      <c r="U36" s="394"/>
      <c r="V36" s="392" t="str">
        <f>IF(AND('Riesgos de Gestión'!$O$67="Baja",'Riesgos de Gestión'!$S$67="Moderado"),CONCATENATE("R",'Riesgos de Gestión'!$A$67),"")</f>
        <v/>
      </c>
      <c r="W36" s="393"/>
      <c r="X36" s="393" t="str">
        <f>IF(AND('Riesgos de Gestión'!$P$73="Baja",'Riesgos de Gestión'!$T$73="Moderado"),CONCATENATE("R",'Riesgos de Gestión'!$A$73),"")</f>
        <v/>
      </c>
      <c r="Y36" s="393"/>
      <c r="Z36" s="393" t="str">
        <f>IF(AND('Riesgos de Gestión'!$P$79="Baja",'Riesgos de Gestión'!$T$79="Moderado"),CONCATENATE("R",'Riesgos de Gestión'!$A$79),"")</f>
        <v/>
      </c>
      <c r="AA36" s="394"/>
      <c r="AB36" s="410" t="str">
        <f>IF(AND('Riesgos de Gestión'!$O$67="Baja",'Riesgos de Gestión'!$S$67="Mayor"),CONCATENATE("R",'Riesgos de Gestión'!$A$67),"")</f>
        <v/>
      </c>
      <c r="AC36" s="411"/>
      <c r="AD36" s="411" t="str">
        <f>IF(AND('Riesgos de Gestión'!$P$73="Baja",'Riesgos de Gestión'!$T$73="Mayor"),CONCATENATE("R",'Riesgos de Gestión'!$A$73),"")</f>
        <v/>
      </c>
      <c r="AE36" s="411"/>
      <c r="AF36" s="411" t="str">
        <f>IF(AND('Riesgos de Gestión'!$P$79="Baja",'Riesgos de Gestión'!$T$79="Mayor"),CONCATENATE("R",'Riesgos de Gestión'!$A$79),"")</f>
        <v/>
      </c>
      <c r="AG36" s="412"/>
      <c r="AH36" s="401" t="str">
        <f>IF(AND('Riesgos de Gestión'!$O$67="Baja",'Riesgos de Gestión'!$S$67="Catastrófico"),CONCATENATE("R",'Riesgos de Gestión'!$A$67),"")</f>
        <v/>
      </c>
      <c r="AI36" s="402"/>
      <c r="AJ36" s="402" t="str">
        <f>IF(AND('Riesgos de Gestión'!$P$73="Baja",'Riesgos de Gestión'!$T$73="Catastrófico"),CONCATENATE("R",'Riesgos de Gestión'!$A$73),"")</f>
        <v/>
      </c>
      <c r="AK36" s="402"/>
      <c r="AL36" s="402" t="str">
        <f>IF(AND('Riesgos de Gestión'!$P$79="Baja",'Riesgos de Gestión'!$T$79="Catastrófico"),CONCATENATE("R",'Riesgos de Gestión'!$A$79),"")</f>
        <v/>
      </c>
      <c r="AM36" s="403"/>
      <c r="AN36" s="66"/>
      <c r="AO36" s="462"/>
      <c r="AP36" s="463"/>
      <c r="AQ36" s="463"/>
      <c r="AR36" s="463"/>
      <c r="AS36" s="463"/>
      <c r="AT36" s="46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30"/>
      <c r="C37" s="430"/>
      <c r="D37" s="431"/>
      <c r="E37" s="426"/>
      <c r="F37" s="427"/>
      <c r="G37" s="427"/>
      <c r="H37" s="427"/>
      <c r="I37" s="427"/>
      <c r="J37" s="386"/>
      <c r="K37" s="387"/>
      <c r="L37" s="387"/>
      <c r="M37" s="387"/>
      <c r="N37" s="387"/>
      <c r="O37" s="388"/>
      <c r="P37" s="396"/>
      <c r="Q37" s="396"/>
      <c r="R37" s="396"/>
      <c r="S37" s="396"/>
      <c r="T37" s="396"/>
      <c r="U37" s="397"/>
      <c r="V37" s="395"/>
      <c r="W37" s="396"/>
      <c r="X37" s="396"/>
      <c r="Y37" s="396"/>
      <c r="Z37" s="396"/>
      <c r="AA37" s="397"/>
      <c r="AB37" s="413"/>
      <c r="AC37" s="414"/>
      <c r="AD37" s="414"/>
      <c r="AE37" s="414"/>
      <c r="AF37" s="414"/>
      <c r="AG37" s="415"/>
      <c r="AH37" s="404"/>
      <c r="AI37" s="405"/>
      <c r="AJ37" s="405"/>
      <c r="AK37" s="405"/>
      <c r="AL37" s="405"/>
      <c r="AM37" s="406"/>
      <c r="AN37" s="66"/>
      <c r="AO37" s="465"/>
      <c r="AP37" s="466"/>
      <c r="AQ37" s="466"/>
      <c r="AR37" s="466"/>
      <c r="AS37" s="466"/>
      <c r="AT37" s="46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30"/>
      <c r="C38" s="430"/>
      <c r="D38" s="431"/>
      <c r="E38" s="420" t="s">
        <v>258</v>
      </c>
      <c r="F38" s="421"/>
      <c r="G38" s="421"/>
      <c r="H38" s="421"/>
      <c r="I38" s="422"/>
      <c r="J38" s="389" t="str">
        <f>IF(AND('Riesgos de Gestión'!$O$13="Muy Baja",'Riesgos de Gestión'!$S$13="Leve"),CONCATENATE("R",'Riesgos de Gestión'!$A$13),"")</f>
        <v/>
      </c>
      <c r="K38" s="390"/>
      <c r="L38" s="390" t="str">
        <f>IF(AND('Riesgos de Gestión'!$O$19="Muy Baja",'Riesgos de Gestión'!$S$19="Leve"),CONCATENATE("R",'Riesgos de Gestión'!$A$19),"")</f>
        <v/>
      </c>
      <c r="M38" s="390"/>
      <c r="N38" s="390" t="str">
        <f>IF(AND('Riesgos de Gestión'!$O$25="Muy Baja",'Riesgos de Gestión'!$S$25="Leve"),CONCATENATE("R",'Riesgos de Gestión'!$A$25),"")</f>
        <v/>
      </c>
      <c r="O38" s="391"/>
      <c r="P38" s="389" t="str">
        <f>IF(AND('Riesgos de Gestión'!$O$13="Muy Baja",'Riesgos de Gestión'!$S$13="Menor"),CONCATENATE("R",'Riesgos de Gestión'!$A$13),"")</f>
        <v/>
      </c>
      <c r="Q38" s="390"/>
      <c r="R38" s="390" t="str">
        <f>IF(AND('Riesgos de Gestión'!$O$19="Muy Baja",'Riesgos de Gestión'!$S$19="Menor"),CONCATENATE("R",'Riesgos de Gestión'!$A$19),"")</f>
        <v/>
      </c>
      <c r="S38" s="390"/>
      <c r="T38" s="390" t="str">
        <f>IF(AND('Riesgos de Gestión'!$O$25="Muy Baja",'Riesgos de Gestión'!$S$25="Menor"),CONCATENATE("R",'Riesgos de Gestión'!$A$25),"")</f>
        <v/>
      </c>
      <c r="U38" s="391"/>
      <c r="V38" s="398" t="str">
        <f>IF(AND('Riesgos de Gestión'!$O$13="Muy Baja",'Riesgos de Gestión'!$S$13="Moderado"),CONCATENATE("R",'Riesgos de Gestión'!$A$13),"")</f>
        <v/>
      </c>
      <c r="W38" s="399"/>
      <c r="X38" s="399" t="str">
        <f>IF(AND('Riesgos de Gestión'!$O$19="Muy Baja",'Riesgos de Gestión'!$S$19="Moderado"),CONCATENATE("R",'Riesgos de Gestión'!$A$19),"")</f>
        <v/>
      </c>
      <c r="Y38" s="399"/>
      <c r="Z38" s="399" t="str">
        <f>IF(AND('Riesgos de Gestión'!$O$25="Muy Baja",'Riesgos de Gestión'!$S$25="Moderado"),CONCATENATE("R",'Riesgos de Gestión'!$A$25),"")</f>
        <v/>
      </c>
      <c r="AA38" s="400"/>
      <c r="AB38" s="416" t="str">
        <f>IF(AND('Riesgos de Gestión'!$O$13="Muy Baja",'Riesgos de Gestión'!$S$13="Mayor"),CONCATENATE("R",'Riesgos de Gestión'!$A$13),"")</f>
        <v/>
      </c>
      <c r="AC38" s="417"/>
      <c r="AD38" s="417" t="str">
        <f>IF(AND('Riesgos de Gestión'!$O$19="Muy Baja",'Riesgos de Gestión'!$S$19="Mayor"),CONCATENATE("R",'Riesgos de Gestión'!$A$19),"")</f>
        <v/>
      </c>
      <c r="AE38" s="417"/>
      <c r="AF38" s="417" t="str">
        <f>IF(AND('Riesgos de Gestión'!$O$25="Muy Baja",'Riesgos de Gestión'!$S$25="Mayor"),CONCATENATE("R",'Riesgos de Gestión'!$A$25),"")</f>
        <v/>
      </c>
      <c r="AG38" s="418"/>
      <c r="AH38" s="407" t="str">
        <f>IF(AND('Riesgos de Gestión'!$O$13="Muy Baja",'Riesgos de Gestión'!$S$13="Catastrófico"),CONCATENATE("R",'Riesgos de Gestión'!$A$13),"")</f>
        <v/>
      </c>
      <c r="AI38" s="408"/>
      <c r="AJ38" s="408" t="str">
        <f>IF(AND('Riesgos de Gestión'!$O$19="Muy Baja",'Riesgos de Gestión'!$S$19="Catastrófico"),CONCATENATE("R",'Riesgos de Gestión'!$A$19),"")</f>
        <v/>
      </c>
      <c r="AK38" s="408"/>
      <c r="AL38" s="408" t="str">
        <f>IF(AND('Riesgos de Gestión'!$O$25="Muy Baja",'Riesgos de Gestión'!$S$25="Catastrófico"),CONCATENATE("R",'Riesgos de Gestión'!$A$25),"")</f>
        <v/>
      </c>
      <c r="AM38" s="409"/>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30"/>
      <c r="C39" s="430"/>
      <c r="D39" s="431"/>
      <c r="E39" s="423"/>
      <c r="F39" s="424"/>
      <c r="G39" s="424"/>
      <c r="H39" s="424"/>
      <c r="I39" s="425"/>
      <c r="J39" s="383"/>
      <c r="K39" s="384"/>
      <c r="L39" s="384"/>
      <c r="M39" s="384"/>
      <c r="N39" s="384"/>
      <c r="O39" s="385"/>
      <c r="P39" s="383"/>
      <c r="Q39" s="384"/>
      <c r="R39" s="384"/>
      <c r="S39" s="384"/>
      <c r="T39" s="384"/>
      <c r="U39" s="385"/>
      <c r="V39" s="392"/>
      <c r="W39" s="393"/>
      <c r="X39" s="393"/>
      <c r="Y39" s="393"/>
      <c r="Z39" s="393"/>
      <c r="AA39" s="394"/>
      <c r="AB39" s="410"/>
      <c r="AC39" s="411"/>
      <c r="AD39" s="411"/>
      <c r="AE39" s="411"/>
      <c r="AF39" s="411"/>
      <c r="AG39" s="412"/>
      <c r="AH39" s="401"/>
      <c r="AI39" s="402"/>
      <c r="AJ39" s="402"/>
      <c r="AK39" s="402"/>
      <c r="AL39" s="402"/>
      <c r="AM39" s="403"/>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30"/>
      <c r="C40" s="430"/>
      <c r="D40" s="431"/>
      <c r="E40" s="423"/>
      <c r="F40" s="424"/>
      <c r="G40" s="424"/>
      <c r="H40" s="424"/>
      <c r="I40" s="425"/>
      <c r="J40" s="383" t="str">
        <f>IF(AND('Riesgos de Gestión'!$O$31="Muy Baja",'Riesgos de Gestión'!$S$31="Leve"),CONCATENATE("R",'Riesgos de Gestión'!$A$31),"")</f>
        <v/>
      </c>
      <c r="K40" s="384"/>
      <c r="L40" s="384" t="str">
        <f>IF(AND('Riesgos de Gestión'!$O$37="Muy Baja",'Riesgos de Gestión'!$S$37="Leve"),CONCATENATE("R",'Riesgos de Gestión'!$A$37),"")</f>
        <v/>
      </c>
      <c r="M40" s="384"/>
      <c r="N40" s="384" t="str">
        <f>IF(AND('Riesgos de Gestión'!$O$43="Muy Baja",'Riesgos de Gestión'!$S$43="Leve"),CONCATENATE("R",'Riesgos de Gestión'!$A$43),"")</f>
        <v/>
      </c>
      <c r="O40" s="385"/>
      <c r="P40" s="383" t="str">
        <f>IF(AND('Riesgos de Gestión'!$O$31="Muy Baja",'Riesgos de Gestión'!$S$31="Menor"),CONCATENATE("R",'Riesgos de Gestión'!$A$31),"")</f>
        <v/>
      </c>
      <c r="Q40" s="384"/>
      <c r="R40" s="384" t="str">
        <f>IF(AND('Riesgos de Gestión'!$O$37="Muy Baja",'Riesgos de Gestión'!$S$37="Menor"),CONCATENATE("R",'Riesgos de Gestión'!$A$37),"")</f>
        <v/>
      </c>
      <c r="S40" s="384"/>
      <c r="T40" s="384" t="str">
        <f>IF(AND('Riesgos de Gestión'!$O$43="Muy Baja",'Riesgos de Gestión'!$S$43="Menor"),CONCATENATE("R",'Riesgos de Gestión'!$A$43),"")</f>
        <v/>
      </c>
      <c r="U40" s="385"/>
      <c r="V40" s="392" t="str">
        <f>IF(AND('Riesgos de Gestión'!$O$31="Muy Baja",'Riesgos de Gestión'!$S$31="Moderado"),CONCATENATE("R",'Riesgos de Gestión'!$A$31),"")</f>
        <v/>
      </c>
      <c r="W40" s="393"/>
      <c r="X40" s="393" t="str">
        <f>IF(AND('Riesgos de Gestión'!$O$37="Muy Baja",'Riesgos de Gestión'!$S$37="Moderado"),CONCATENATE("R",'Riesgos de Gestión'!$A$37),"")</f>
        <v/>
      </c>
      <c r="Y40" s="393"/>
      <c r="Z40" s="393" t="str">
        <f>IF(AND('Riesgos de Gestión'!$O$43="Muy Baja",'Riesgos de Gestión'!$S$43="Moderado"),CONCATENATE("R",'Riesgos de Gestión'!$A$43),"")</f>
        <v/>
      </c>
      <c r="AA40" s="394"/>
      <c r="AB40" s="410" t="str">
        <f>IF(AND('Riesgos de Gestión'!$O$31="Muy Baja",'Riesgos de Gestión'!$S$31="Mayor"),CONCATENATE("R",'Riesgos de Gestión'!$A$31),"")</f>
        <v/>
      </c>
      <c r="AC40" s="411"/>
      <c r="AD40" s="411" t="str">
        <f>IF(AND('Riesgos de Gestión'!$O$37="Muy Baja",'Riesgos de Gestión'!$S$37="Mayor"),CONCATENATE("R",'Riesgos de Gestión'!$A$37),"")</f>
        <v/>
      </c>
      <c r="AE40" s="411"/>
      <c r="AF40" s="411" t="str">
        <f>IF(AND('Riesgos de Gestión'!$O$43="Muy Baja",'Riesgos de Gestión'!$S$43="Mayor"),CONCATENATE("R",'Riesgos de Gestión'!$A$43),"")</f>
        <v/>
      </c>
      <c r="AG40" s="412"/>
      <c r="AH40" s="401" t="str">
        <f>IF(AND('Riesgos de Gestión'!$O$31="Muy Baja",'Riesgos de Gestión'!$S$31="Catastrófico"),CONCATENATE("R",'Riesgos de Gestión'!$A$31),"")</f>
        <v/>
      </c>
      <c r="AI40" s="402"/>
      <c r="AJ40" s="402" t="str">
        <f>IF(AND('Riesgos de Gestión'!$O$37="Muy Baja",'Riesgos de Gestión'!$S$37="Catastrófico"),CONCATENATE("R",'Riesgos de Gestión'!$A$37),"")</f>
        <v/>
      </c>
      <c r="AK40" s="402"/>
      <c r="AL40" s="402" t="str">
        <f>IF(AND('Riesgos de Gestión'!$O$43="Muy Baja",'Riesgos de Gestión'!$S$43="Catastrófico"),CONCATENATE("R",'Riesgos de Gestión'!$A$43),"")</f>
        <v/>
      </c>
      <c r="AM40" s="403"/>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30"/>
      <c r="C41" s="430"/>
      <c r="D41" s="431"/>
      <c r="E41" s="423"/>
      <c r="F41" s="424"/>
      <c r="G41" s="424"/>
      <c r="H41" s="424"/>
      <c r="I41" s="425"/>
      <c r="J41" s="383"/>
      <c r="K41" s="384"/>
      <c r="L41" s="384"/>
      <c r="M41" s="384"/>
      <c r="N41" s="384"/>
      <c r="O41" s="385"/>
      <c r="P41" s="383"/>
      <c r="Q41" s="384"/>
      <c r="R41" s="384"/>
      <c r="S41" s="384"/>
      <c r="T41" s="384"/>
      <c r="U41" s="385"/>
      <c r="V41" s="392"/>
      <c r="W41" s="393"/>
      <c r="X41" s="393"/>
      <c r="Y41" s="393"/>
      <c r="Z41" s="393"/>
      <c r="AA41" s="394"/>
      <c r="AB41" s="410"/>
      <c r="AC41" s="411"/>
      <c r="AD41" s="411"/>
      <c r="AE41" s="411"/>
      <c r="AF41" s="411"/>
      <c r="AG41" s="412"/>
      <c r="AH41" s="401"/>
      <c r="AI41" s="402"/>
      <c r="AJ41" s="402"/>
      <c r="AK41" s="402"/>
      <c r="AL41" s="402"/>
      <c r="AM41" s="403"/>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30"/>
      <c r="C42" s="430"/>
      <c r="D42" s="431"/>
      <c r="E42" s="423"/>
      <c r="F42" s="424"/>
      <c r="G42" s="424"/>
      <c r="H42" s="424"/>
      <c r="I42" s="425"/>
      <c r="J42" s="383" t="str">
        <f>IF(AND('Riesgos de Gestión'!$O$49="Muy Baja",'Riesgos de Gestión'!$S$49="Leve"),CONCATENATE("R",'Riesgos de Gestión'!$A$49),"")</f>
        <v/>
      </c>
      <c r="K42" s="384"/>
      <c r="L42" s="384" t="str">
        <f>IF(AND('Riesgos de Gestión'!$O$55="Muy Baja",'Riesgos de Gestión'!$S$55="Leve"),CONCATENATE("R",'Riesgos de Gestión'!$A$55),"")</f>
        <v/>
      </c>
      <c r="M42" s="384"/>
      <c r="N42" s="384" t="str">
        <f>IF(AND('Riesgos de Gestión'!$O$61="Muy Baja",'Riesgos de Gestión'!$S$61="Leve"),CONCATENATE("R",'Riesgos de Gestión'!$A$61),"")</f>
        <v/>
      </c>
      <c r="O42" s="385"/>
      <c r="P42" s="383" t="str">
        <f>IF(AND('Riesgos de Gestión'!$O$49="Muy Baja",'Riesgos de Gestión'!$S$49="Menor"),CONCATENATE("R",'Riesgos de Gestión'!$A$49),"")</f>
        <v/>
      </c>
      <c r="Q42" s="384"/>
      <c r="R42" s="384" t="str">
        <f>IF(AND('Riesgos de Gestión'!$O$55="Muy Baja",'Riesgos de Gestión'!$S$55="Menor"),CONCATENATE("R",'Riesgos de Gestión'!$A$55),"")</f>
        <v/>
      </c>
      <c r="S42" s="384"/>
      <c r="T42" s="384" t="str">
        <f>IF(AND('Riesgos de Gestión'!$O$61="Muy Baja",'Riesgos de Gestión'!$S$61="Menor"),CONCATENATE("R",'Riesgos de Gestión'!$A$61),"")</f>
        <v/>
      </c>
      <c r="U42" s="385"/>
      <c r="V42" s="392" t="str">
        <f>IF(AND('Riesgos de Gestión'!$O$49="Muy Baja",'Riesgos de Gestión'!$S$49="Moderado"),CONCATENATE("R",'Riesgos de Gestión'!$A$49),"")</f>
        <v/>
      </c>
      <c r="W42" s="393"/>
      <c r="X42" s="393" t="str">
        <f>IF(AND('Riesgos de Gestión'!$O$55="Muy Baja",'Riesgos de Gestión'!$S$55="Moderado"),CONCATENATE("R",'Riesgos de Gestión'!$A$55),"")</f>
        <v/>
      </c>
      <c r="Y42" s="393"/>
      <c r="Z42" s="393" t="str">
        <f>IF(AND('Riesgos de Gestión'!$O$61="Muy Baja",'Riesgos de Gestión'!$S$61="Moderado"),CONCATENATE("R",'Riesgos de Gestión'!$A$61),"")</f>
        <v/>
      </c>
      <c r="AA42" s="394"/>
      <c r="AB42" s="410" t="str">
        <f>IF(AND('Riesgos de Gestión'!$O$49="Muy Baja",'Riesgos de Gestión'!$S$49="Mayor"),CONCATENATE("R",'Riesgos de Gestión'!$A$49),"")</f>
        <v/>
      </c>
      <c r="AC42" s="411"/>
      <c r="AD42" s="411" t="str">
        <f>IF(AND('Riesgos de Gestión'!$O$55="Muy Baja",'Riesgos de Gestión'!$S$55="Mayor"),CONCATENATE("R",'Riesgos de Gestión'!$A$55),"")</f>
        <v/>
      </c>
      <c r="AE42" s="411"/>
      <c r="AF42" s="411" t="str">
        <f>IF(AND('Riesgos de Gestión'!$O$61="Muy Baja",'Riesgos de Gestión'!$S$61="Mayor"),CONCATENATE("R",'Riesgos de Gestión'!$A$61),"")</f>
        <v/>
      </c>
      <c r="AG42" s="412"/>
      <c r="AH42" s="401" t="str">
        <f>IF(AND('Riesgos de Gestión'!$O$49="Muy Baja",'Riesgos de Gestión'!$S$49="Catastrófico"),CONCATENATE("R",'Riesgos de Gestión'!$A$49),"")</f>
        <v/>
      </c>
      <c r="AI42" s="402"/>
      <c r="AJ42" s="402" t="str">
        <f>IF(AND('Riesgos de Gestión'!$O$55="Muy Baja",'Riesgos de Gestión'!$S$55="Catastrófico"),CONCATENATE("R",'Riesgos de Gestión'!$A$55),"")</f>
        <v/>
      </c>
      <c r="AK42" s="402"/>
      <c r="AL42" s="402" t="str">
        <f>IF(AND('Riesgos de Gestión'!$O$61="Muy Baja",'Riesgos de Gestión'!$S$61="Catastrófico"),CONCATENATE("R",'Riesgos de Gestión'!$A$61),"")</f>
        <v/>
      </c>
      <c r="AM42" s="403"/>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30"/>
      <c r="C43" s="430"/>
      <c r="D43" s="431"/>
      <c r="E43" s="423"/>
      <c r="F43" s="424"/>
      <c r="G43" s="424"/>
      <c r="H43" s="424"/>
      <c r="I43" s="425"/>
      <c r="J43" s="383"/>
      <c r="K43" s="384"/>
      <c r="L43" s="384"/>
      <c r="M43" s="384"/>
      <c r="N43" s="384"/>
      <c r="O43" s="385"/>
      <c r="P43" s="383"/>
      <c r="Q43" s="384"/>
      <c r="R43" s="384"/>
      <c r="S43" s="384"/>
      <c r="T43" s="384"/>
      <c r="U43" s="385"/>
      <c r="V43" s="392"/>
      <c r="W43" s="393"/>
      <c r="X43" s="393"/>
      <c r="Y43" s="393"/>
      <c r="Z43" s="393"/>
      <c r="AA43" s="394"/>
      <c r="AB43" s="410"/>
      <c r="AC43" s="411"/>
      <c r="AD43" s="411"/>
      <c r="AE43" s="411"/>
      <c r="AF43" s="411"/>
      <c r="AG43" s="412"/>
      <c r="AH43" s="401"/>
      <c r="AI43" s="402"/>
      <c r="AJ43" s="402"/>
      <c r="AK43" s="402"/>
      <c r="AL43" s="402"/>
      <c r="AM43" s="403"/>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30"/>
      <c r="C44" s="430"/>
      <c r="D44" s="431"/>
      <c r="E44" s="423"/>
      <c r="F44" s="424"/>
      <c r="G44" s="424"/>
      <c r="H44" s="424"/>
      <c r="I44" s="425"/>
      <c r="J44" s="383" t="str">
        <f>IF(AND('Riesgos de Gestión'!$O$67="Muy Baja",'Riesgos de Gestión'!$S$67="Leve"),CONCATENATE("R",'Riesgos de Gestión'!$A$67),"")</f>
        <v/>
      </c>
      <c r="K44" s="384"/>
      <c r="L44" s="384" t="str">
        <f>IF(AND('Riesgos de Gestión'!$P$73="Muy Baja",'Riesgos de Gestión'!$T$73="Leve"),CONCATENATE("R",'Riesgos de Gestión'!$A$73),"")</f>
        <v/>
      </c>
      <c r="M44" s="384"/>
      <c r="N44" s="384" t="str">
        <f>IF(AND('Riesgos de Gestión'!$P$79="Muy Baja",'Riesgos de Gestión'!$T$79="Leve"),CONCATENATE("R",'Riesgos de Gestión'!$A$79),"")</f>
        <v/>
      </c>
      <c r="O44" s="385"/>
      <c r="P44" s="383" t="str">
        <f>IF(AND('Riesgos de Gestión'!$O$67="Muy Baja",'Riesgos de Gestión'!$S$67="Menor"),CONCATENATE("R",'Riesgos de Gestión'!$A$67),"")</f>
        <v/>
      </c>
      <c r="Q44" s="384"/>
      <c r="R44" s="384" t="str">
        <f>IF(AND('Riesgos de Gestión'!$P$73="Muy Baja",'Riesgos de Gestión'!$T$73="Menor"),CONCATENATE("R",'Riesgos de Gestión'!$A$73),"")</f>
        <v/>
      </c>
      <c r="S44" s="384"/>
      <c r="T44" s="384" t="str">
        <f>IF(AND('Riesgos de Gestión'!$P$79="Muy Baja",'Riesgos de Gestión'!$T$79="Menor"),CONCATENATE("R",'Riesgos de Gestión'!$A$79),"")</f>
        <v/>
      </c>
      <c r="U44" s="385"/>
      <c r="V44" s="392" t="str">
        <f>IF(AND('Riesgos de Gestión'!$O$67="Muy Baja",'Riesgos de Gestión'!$S$67="Moderado"),CONCATENATE("R",'Riesgos de Gestión'!$A$67),"")</f>
        <v/>
      </c>
      <c r="W44" s="393"/>
      <c r="X44" s="393" t="str">
        <f>IF(AND('Riesgos de Gestión'!$P$73="Muy Baja",'Riesgos de Gestión'!$T$73="Moderado"),CONCATENATE("R",'Riesgos de Gestión'!$A$73),"")</f>
        <v/>
      </c>
      <c r="Y44" s="393"/>
      <c r="Z44" s="393" t="str">
        <f>IF(AND('Riesgos de Gestión'!$P$79="Muy Baja",'Riesgos de Gestión'!$T$79="Moderado"),CONCATENATE("R",'Riesgos de Gestión'!$A$79),"")</f>
        <v/>
      </c>
      <c r="AA44" s="394"/>
      <c r="AB44" s="410" t="str">
        <f>IF(AND('Riesgos de Gestión'!$O$67="Muy Baja",'Riesgos de Gestión'!$S$67="Mayor"),CONCATENATE("R",'Riesgos de Gestión'!$A$67),"")</f>
        <v/>
      </c>
      <c r="AC44" s="411"/>
      <c r="AD44" s="411" t="str">
        <f>IF(AND('Riesgos de Gestión'!$P$73="Muy Baja",'Riesgos de Gestión'!$T$73="Mayor"),CONCATENATE("R",'Riesgos de Gestión'!$A$73),"")</f>
        <v/>
      </c>
      <c r="AE44" s="411"/>
      <c r="AF44" s="411" t="str">
        <f>IF(AND('Riesgos de Gestión'!$P$79="Muy Baja",'Riesgos de Gestión'!$T$79="Mayor"),CONCATENATE("R",'Riesgos de Gestión'!$A$79),"")</f>
        <v/>
      </c>
      <c r="AG44" s="412"/>
      <c r="AH44" s="401" t="str">
        <f>IF(AND('Riesgos de Gestión'!$O$67="Muy Baja",'Riesgos de Gestión'!$S$67="Catastrófico"),CONCATENATE("R",'Riesgos de Gestión'!$A$67),"")</f>
        <v/>
      </c>
      <c r="AI44" s="402"/>
      <c r="AJ44" s="402" t="str">
        <f>IF(AND('Riesgos de Gestión'!$P$73="Muy Baja",'Riesgos de Gestión'!$T$73="Catastrófico"),CONCATENATE("R",'Riesgos de Gestión'!$A$73),"")</f>
        <v/>
      </c>
      <c r="AK44" s="402"/>
      <c r="AL44" s="402" t="str">
        <f>IF(AND('Riesgos de Gestión'!$P$79="Muy Baja",'Riesgos de Gestión'!$T$79="Catastrófico"),CONCATENATE("R",'Riesgos de Gestión'!$A$79),"")</f>
        <v/>
      </c>
      <c r="AM44" s="403"/>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30"/>
      <c r="C45" s="430"/>
      <c r="D45" s="431"/>
      <c r="E45" s="426"/>
      <c r="F45" s="427"/>
      <c r="G45" s="427"/>
      <c r="H45" s="427"/>
      <c r="I45" s="428"/>
      <c r="J45" s="386"/>
      <c r="K45" s="387"/>
      <c r="L45" s="387"/>
      <c r="M45" s="387"/>
      <c r="N45" s="387"/>
      <c r="O45" s="388"/>
      <c r="P45" s="386"/>
      <c r="Q45" s="387"/>
      <c r="R45" s="387"/>
      <c r="S45" s="387"/>
      <c r="T45" s="387"/>
      <c r="U45" s="388"/>
      <c r="V45" s="395"/>
      <c r="W45" s="396"/>
      <c r="X45" s="396"/>
      <c r="Y45" s="396"/>
      <c r="Z45" s="396"/>
      <c r="AA45" s="397"/>
      <c r="AB45" s="413"/>
      <c r="AC45" s="414"/>
      <c r="AD45" s="414"/>
      <c r="AE45" s="414"/>
      <c r="AF45" s="414"/>
      <c r="AG45" s="415"/>
      <c r="AH45" s="404"/>
      <c r="AI45" s="405"/>
      <c r="AJ45" s="405"/>
      <c r="AK45" s="405"/>
      <c r="AL45" s="405"/>
      <c r="AM45" s="40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20" t="s">
        <v>259</v>
      </c>
      <c r="K46" s="421"/>
      <c r="L46" s="421"/>
      <c r="M46" s="421"/>
      <c r="N46" s="421"/>
      <c r="O46" s="422"/>
      <c r="P46" s="420" t="s">
        <v>260</v>
      </c>
      <c r="Q46" s="421"/>
      <c r="R46" s="421"/>
      <c r="S46" s="421"/>
      <c r="T46" s="421"/>
      <c r="U46" s="422"/>
      <c r="V46" s="420" t="s">
        <v>261</v>
      </c>
      <c r="W46" s="421"/>
      <c r="X46" s="421"/>
      <c r="Y46" s="421"/>
      <c r="Z46" s="421"/>
      <c r="AA46" s="422"/>
      <c r="AB46" s="420" t="s">
        <v>262</v>
      </c>
      <c r="AC46" s="429"/>
      <c r="AD46" s="421"/>
      <c r="AE46" s="421"/>
      <c r="AF46" s="421"/>
      <c r="AG46" s="422"/>
      <c r="AH46" s="420" t="s">
        <v>263</v>
      </c>
      <c r="AI46" s="421"/>
      <c r="AJ46" s="421"/>
      <c r="AK46" s="421"/>
      <c r="AL46" s="421"/>
      <c r="AM46" s="422"/>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23"/>
      <c r="K47" s="424"/>
      <c r="L47" s="424"/>
      <c r="M47" s="424"/>
      <c r="N47" s="424"/>
      <c r="O47" s="425"/>
      <c r="P47" s="423"/>
      <c r="Q47" s="424"/>
      <c r="R47" s="424"/>
      <c r="S47" s="424"/>
      <c r="T47" s="424"/>
      <c r="U47" s="425"/>
      <c r="V47" s="423"/>
      <c r="W47" s="424"/>
      <c r="X47" s="424"/>
      <c r="Y47" s="424"/>
      <c r="Z47" s="424"/>
      <c r="AA47" s="425"/>
      <c r="AB47" s="423"/>
      <c r="AC47" s="424"/>
      <c r="AD47" s="424"/>
      <c r="AE47" s="424"/>
      <c r="AF47" s="424"/>
      <c r="AG47" s="425"/>
      <c r="AH47" s="423"/>
      <c r="AI47" s="424"/>
      <c r="AJ47" s="424"/>
      <c r="AK47" s="424"/>
      <c r="AL47" s="424"/>
      <c r="AM47" s="425"/>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23"/>
      <c r="K48" s="424"/>
      <c r="L48" s="424"/>
      <c r="M48" s="424"/>
      <c r="N48" s="424"/>
      <c r="O48" s="425"/>
      <c r="P48" s="423"/>
      <c r="Q48" s="424"/>
      <c r="R48" s="424"/>
      <c r="S48" s="424"/>
      <c r="T48" s="424"/>
      <c r="U48" s="425"/>
      <c r="V48" s="423"/>
      <c r="W48" s="424"/>
      <c r="X48" s="424"/>
      <c r="Y48" s="424"/>
      <c r="Z48" s="424"/>
      <c r="AA48" s="425"/>
      <c r="AB48" s="423"/>
      <c r="AC48" s="424"/>
      <c r="AD48" s="424"/>
      <c r="AE48" s="424"/>
      <c r="AF48" s="424"/>
      <c r="AG48" s="425"/>
      <c r="AH48" s="423"/>
      <c r="AI48" s="424"/>
      <c r="AJ48" s="424"/>
      <c r="AK48" s="424"/>
      <c r="AL48" s="424"/>
      <c r="AM48" s="425"/>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23"/>
      <c r="K49" s="424"/>
      <c r="L49" s="424"/>
      <c r="M49" s="424"/>
      <c r="N49" s="424"/>
      <c r="O49" s="425"/>
      <c r="P49" s="423"/>
      <c r="Q49" s="424"/>
      <c r="R49" s="424"/>
      <c r="S49" s="424"/>
      <c r="T49" s="424"/>
      <c r="U49" s="425"/>
      <c r="V49" s="423"/>
      <c r="W49" s="424"/>
      <c r="X49" s="424"/>
      <c r="Y49" s="424"/>
      <c r="Z49" s="424"/>
      <c r="AA49" s="425"/>
      <c r="AB49" s="423"/>
      <c r="AC49" s="424"/>
      <c r="AD49" s="424"/>
      <c r="AE49" s="424"/>
      <c r="AF49" s="424"/>
      <c r="AG49" s="425"/>
      <c r="AH49" s="423"/>
      <c r="AI49" s="424"/>
      <c r="AJ49" s="424"/>
      <c r="AK49" s="424"/>
      <c r="AL49" s="424"/>
      <c r="AM49" s="425"/>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23"/>
      <c r="K50" s="424"/>
      <c r="L50" s="424"/>
      <c r="M50" s="424"/>
      <c r="N50" s="424"/>
      <c r="O50" s="425"/>
      <c r="P50" s="423"/>
      <c r="Q50" s="424"/>
      <c r="R50" s="424"/>
      <c r="S50" s="424"/>
      <c r="T50" s="424"/>
      <c r="U50" s="425"/>
      <c r="V50" s="423"/>
      <c r="W50" s="424"/>
      <c r="X50" s="424"/>
      <c r="Y50" s="424"/>
      <c r="Z50" s="424"/>
      <c r="AA50" s="425"/>
      <c r="AB50" s="423"/>
      <c r="AC50" s="424"/>
      <c r="AD50" s="424"/>
      <c r="AE50" s="424"/>
      <c r="AF50" s="424"/>
      <c r="AG50" s="425"/>
      <c r="AH50" s="423"/>
      <c r="AI50" s="424"/>
      <c r="AJ50" s="424"/>
      <c r="AK50" s="424"/>
      <c r="AL50" s="424"/>
      <c r="AM50" s="425"/>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26"/>
      <c r="K51" s="427"/>
      <c r="L51" s="427"/>
      <c r="M51" s="427"/>
      <c r="N51" s="427"/>
      <c r="O51" s="428"/>
      <c r="P51" s="426"/>
      <c r="Q51" s="427"/>
      <c r="R51" s="427"/>
      <c r="S51" s="427"/>
      <c r="T51" s="427"/>
      <c r="U51" s="428"/>
      <c r="V51" s="426"/>
      <c r="W51" s="427"/>
      <c r="X51" s="427"/>
      <c r="Y51" s="427"/>
      <c r="Z51" s="427"/>
      <c r="AA51" s="428"/>
      <c r="AB51" s="426"/>
      <c r="AC51" s="427"/>
      <c r="AD51" s="427"/>
      <c r="AE51" s="427"/>
      <c r="AF51" s="427"/>
      <c r="AG51" s="428"/>
      <c r="AH51" s="426"/>
      <c r="AI51" s="427"/>
      <c r="AJ51" s="427"/>
      <c r="AK51" s="427"/>
      <c r="AL51" s="427"/>
      <c r="AM51" s="428"/>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V27" sqref="V27:AA3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497" t="s">
        <v>264</v>
      </c>
      <c r="C2" s="498"/>
      <c r="D2" s="498"/>
      <c r="E2" s="498"/>
      <c r="F2" s="498"/>
      <c r="G2" s="498"/>
      <c r="H2" s="498"/>
      <c r="I2" s="498"/>
      <c r="J2" s="419" t="s">
        <v>15</v>
      </c>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M2" s="41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498"/>
      <c r="C3" s="498"/>
      <c r="D3" s="498"/>
      <c r="E3" s="498"/>
      <c r="F3" s="498"/>
      <c r="G3" s="498"/>
      <c r="H3" s="498"/>
      <c r="I3" s="498"/>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498"/>
      <c r="C4" s="498"/>
      <c r="D4" s="498"/>
      <c r="E4" s="498"/>
      <c r="F4" s="498"/>
      <c r="G4" s="498"/>
      <c r="H4" s="498"/>
      <c r="I4" s="498"/>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I4" s="419"/>
      <c r="AJ4" s="419"/>
      <c r="AK4" s="419"/>
      <c r="AL4" s="419"/>
      <c r="AM4" s="41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30" t="s">
        <v>249</v>
      </c>
      <c r="C6" s="430"/>
      <c r="D6" s="431"/>
      <c r="E6" s="468" t="s">
        <v>250</v>
      </c>
      <c r="F6" s="469"/>
      <c r="G6" s="469"/>
      <c r="H6" s="469"/>
      <c r="I6" s="470"/>
      <c r="J6" s="29" t="str">
        <f>IF(AND('Riesgos de Gestión'!$AF$13="Muy Alta",'Riesgos de Gestión'!$AH$13="Leve"),CONCATENATE("R1C",'Riesgos de Gestión'!$V$13),"")</f>
        <v/>
      </c>
      <c r="K6" s="30" t="str">
        <f>IF(AND('Riesgos de Gestión'!$AF$14="Muy Alta",'Riesgos de Gestión'!$AH$14="Leve"),CONCATENATE("R1C",'Riesgos de Gestión'!$V$14),"")</f>
        <v/>
      </c>
      <c r="L6" s="30" t="str">
        <f>IF(AND('Riesgos de Gestión'!$AF$15="Muy Alta",'Riesgos de Gestión'!$AH$15="Leve"),CONCATENATE("R1C",'Riesgos de Gestión'!$V$15),"")</f>
        <v/>
      </c>
      <c r="M6" s="30" t="str">
        <f>IF(AND('Riesgos de Gestión'!$AF$16="Muy Alta",'Riesgos de Gestión'!$AH$16="Leve"),CONCATENATE("R1C",'Riesgos de Gestión'!$V$16),"")</f>
        <v/>
      </c>
      <c r="N6" s="30" t="str">
        <f>IF(AND('Riesgos de Gestión'!$AF$17="Muy Alta",'Riesgos de Gestión'!$AH$17="Leve"),CONCATENATE("R1C",'Riesgos de Gestión'!$V$17),"")</f>
        <v/>
      </c>
      <c r="O6" s="31" t="str">
        <f>IF(AND('Riesgos de Gestión'!$AF$18="Muy Alta",'Riesgos de Gestión'!$AH$18="Leve"),CONCATENATE("R1C",'Riesgos de Gestión'!$V$18),"")</f>
        <v/>
      </c>
      <c r="P6" s="29" t="str">
        <f>IF(AND('Riesgos de Gestión'!$AF$13="Muy Alta",'Riesgos de Gestión'!$AH$13="Menor"),CONCATENATE("R1C",'Riesgos de Gestión'!$V$13),"")</f>
        <v/>
      </c>
      <c r="Q6" s="30" t="str">
        <f>IF(AND('Riesgos de Gestión'!$AF$14="Muy Alta",'Riesgos de Gestión'!$AH$14="Menor"),CONCATENATE("R1C",'Riesgos de Gestión'!$V$14),"")</f>
        <v/>
      </c>
      <c r="R6" s="30" t="str">
        <f>IF(AND('Riesgos de Gestión'!$AF$15="Muy Alta",'Riesgos de Gestión'!$AH$15="Menor"),CONCATENATE("R1C",'Riesgos de Gestión'!$V$15),"")</f>
        <v/>
      </c>
      <c r="S6" s="30" t="str">
        <f>IF(AND('Riesgos de Gestión'!$AF$16="Muy Alta",'Riesgos de Gestión'!$AH$16="Menor"),CONCATENATE("R1C",'Riesgos de Gestión'!$V$16),"")</f>
        <v/>
      </c>
      <c r="T6" s="30" t="str">
        <f>IF(AND('Riesgos de Gestión'!$AF$17="Muy Alta",'Riesgos de Gestión'!$AH$17="Menor"),CONCATENATE("R1C",'Riesgos de Gestión'!$V$17),"")</f>
        <v/>
      </c>
      <c r="U6" s="31" t="str">
        <f>IF(AND('Riesgos de Gestión'!$AF$18="Muy Alta",'Riesgos de Gestión'!$AH$18="Menor"),CONCATENATE("R1C",'Riesgos de Gestión'!$V$18),"")</f>
        <v/>
      </c>
      <c r="V6" s="29" t="str">
        <f>IF(AND('Riesgos de Gestión'!$AF$13="Muy Alta",'Riesgos de Gestión'!$AH$13="Moderado"),CONCATENATE("R1C",'Riesgos de Gestión'!$V$13),"")</f>
        <v/>
      </c>
      <c r="W6" s="30" t="str">
        <f>IF(AND('Riesgos de Gestión'!$AF$14="Muy Alta",'Riesgos de Gestión'!$AH$14="Moderado"),CONCATENATE("R1C",'Riesgos de Gestión'!$V$14),"")</f>
        <v/>
      </c>
      <c r="X6" s="30" t="str">
        <f>IF(AND('Riesgos de Gestión'!$AF$15="Muy Alta",'Riesgos de Gestión'!$AH$15="Moderado"),CONCATENATE("R1C",'Riesgos de Gestión'!$V$15),"")</f>
        <v/>
      </c>
      <c r="Y6" s="30" t="str">
        <f>IF(AND('Riesgos de Gestión'!$AF$16="Muy Alta",'Riesgos de Gestión'!$AH$16="Moderado"),CONCATENATE("R1C",'Riesgos de Gestión'!$V$16),"")</f>
        <v/>
      </c>
      <c r="Z6" s="30" t="str">
        <f>IF(AND('Riesgos de Gestión'!$AF$17="Muy Alta",'Riesgos de Gestión'!$AH$17="Moderado"),CONCATENATE("R1C",'Riesgos de Gestión'!$V$17),"")</f>
        <v/>
      </c>
      <c r="AA6" s="31" t="str">
        <f>IF(AND('Riesgos de Gestión'!$AF$18="Muy Alta",'Riesgos de Gestión'!$AH$18="Moderado"),CONCATENATE("R1C",'Riesgos de Gestión'!$V$18),"")</f>
        <v/>
      </c>
      <c r="AB6" s="29" t="str">
        <f>IF(AND('Riesgos de Gestión'!$AF$13="Muy Alta",'Riesgos de Gestión'!$AH$13="Mayor"),CONCATENATE("R1C",'Riesgos de Gestión'!$V$13),"")</f>
        <v/>
      </c>
      <c r="AC6" s="30" t="str">
        <f>IF(AND('Riesgos de Gestión'!$AF$14="Muy Alta",'Riesgos de Gestión'!$AH$14="Mayor"),CONCATENATE("R1C",'Riesgos de Gestión'!$V$14),"")</f>
        <v/>
      </c>
      <c r="AD6" s="30" t="str">
        <f>IF(AND('Riesgos de Gestión'!$AF$15="Muy Alta",'Riesgos de Gestión'!$AH$15="Mayor"),CONCATENATE("R1C",'Riesgos de Gestión'!$V$15),"")</f>
        <v/>
      </c>
      <c r="AE6" s="30" t="str">
        <f>IF(AND('Riesgos de Gestión'!$AF$16="Muy Alta",'Riesgos de Gestión'!$AH$16="Mayor"),CONCATENATE("R1C",'Riesgos de Gestión'!$V$16),"")</f>
        <v/>
      </c>
      <c r="AF6" s="30" t="str">
        <f>IF(AND('Riesgos de Gestión'!$AF$17="Muy Alta",'Riesgos de Gestión'!$AH$17="Mayor"),CONCATENATE("R1C",'Riesgos de Gestión'!$V$17),"")</f>
        <v/>
      </c>
      <c r="AG6" s="31" t="str">
        <f>IF(AND('Riesgos de Gestión'!$AF$18="Muy Alta",'Riesgos de Gestión'!$AH$18="Mayor"),CONCATENATE("R1C",'Riesgos de Gestión'!$V$18),"")</f>
        <v/>
      </c>
      <c r="AH6" s="32" t="str">
        <f>IF(AND('Riesgos de Gestión'!$AF$13="Muy Alta",'Riesgos de Gestión'!$AH$13="Catastrófico"),CONCATENATE("R1C",'Riesgos de Gestión'!$V$13),"")</f>
        <v/>
      </c>
      <c r="AI6" s="33" t="str">
        <f>IF(AND('Riesgos de Gestión'!$AF$14="Muy Alta",'Riesgos de Gestión'!$AH$14="Catastrófico"),CONCATENATE("R1C",'Riesgos de Gestión'!$V$14),"")</f>
        <v/>
      </c>
      <c r="AJ6" s="33" t="str">
        <f>IF(AND('Riesgos de Gestión'!$AF$15="Muy Alta",'Riesgos de Gestión'!$AH$15="Catastrófico"),CONCATENATE("R1C",'Riesgos de Gestión'!$V$15),"")</f>
        <v/>
      </c>
      <c r="AK6" s="33" t="str">
        <f>IF(AND('Riesgos de Gestión'!$AF$16="Muy Alta",'Riesgos de Gestión'!$AH$16="Catastrófico"),CONCATENATE("R1C",'Riesgos de Gestión'!$V$16),"")</f>
        <v/>
      </c>
      <c r="AL6" s="33" t="str">
        <f>IF(AND('Riesgos de Gestión'!$AF$17="Muy Alta",'Riesgos de Gestión'!$AH$17="Catastrófico"),CONCATENATE("R1C",'Riesgos de Gestión'!$V$17),"")</f>
        <v/>
      </c>
      <c r="AM6" s="34" t="str">
        <f>IF(AND('Riesgos de Gestión'!$AF$18="Muy Alta",'Riesgos de Gestión'!$AH$18="Catastrófico"),CONCATENATE("R1C",'Riesgos de Gestión'!$V$18),"")</f>
        <v/>
      </c>
      <c r="AN6" s="66"/>
      <c r="AO6" s="488" t="s">
        <v>251</v>
      </c>
      <c r="AP6" s="489"/>
      <c r="AQ6" s="489"/>
      <c r="AR6" s="489"/>
      <c r="AS6" s="489"/>
      <c r="AT6" s="49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30"/>
      <c r="C7" s="430"/>
      <c r="D7" s="431"/>
      <c r="E7" s="471"/>
      <c r="F7" s="472"/>
      <c r="G7" s="472"/>
      <c r="H7" s="472"/>
      <c r="I7" s="473"/>
      <c r="J7" s="35" t="str">
        <f>IF(AND('Riesgos de Gestión'!$AF$19="Muy Alta",'Riesgos de Gestión'!$AH$19="Leve"),CONCATENATE("R2C",'Riesgos de Gestión'!$V$19),"")</f>
        <v/>
      </c>
      <c r="K7" s="36" t="str">
        <f>IF(AND('Riesgos de Gestión'!$AF$20="Muy Alta",'Riesgos de Gestión'!$AH$20="Leve"),CONCATENATE("R2C",'Riesgos de Gestión'!$V$20),"")</f>
        <v/>
      </c>
      <c r="L7" s="36" t="str">
        <f>IF(AND('Riesgos de Gestión'!$AF$21="Muy Alta",'Riesgos de Gestión'!$AH$21="Leve"),CONCATENATE("R2C",'Riesgos de Gestión'!$V$21),"")</f>
        <v/>
      </c>
      <c r="M7" s="36" t="str">
        <f>IF(AND('Riesgos de Gestión'!$AF$22="Muy Alta",'Riesgos de Gestión'!$AH$22="Leve"),CONCATENATE("R2C",'Riesgos de Gestión'!$V$22),"")</f>
        <v/>
      </c>
      <c r="N7" s="36" t="str">
        <f>IF(AND('Riesgos de Gestión'!$AF$23="Muy Alta",'Riesgos de Gestión'!$AH$23="Leve"),CONCATENATE("R2C",'Riesgos de Gestión'!$V$23),"")</f>
        <v/>
      </c>
      <c r="O7" s="37" t="str">
        <f>IF(AND('Riesgos de Gestión'!$AF$24="Muy Alta",'Riesgos de Gestión'!$AH$24="Leve"),CONCATENATE("R2C",'Riesgos de Gestión'!$V$24),"")</f>
        <v/>
      </c>
      <c r="P7" s="35" t="str">
        <f>IF(AND('Riesgos de Gestión'!$AF$19="Muy Alta",'Riesgos de Gestión'!$AH$19="Menor"),CONCATENATE("R2C",'Riesgos de Gestión'!$V$19),"")</f>
        <v/>
      </c>
      <c r="Q7" s="36" t="str">
        <f>IF(AND('Riesgos de Gestión'!$AF$20="Muy Alta",'Riesgos de Gestión'!$AH$20="Menor"),CONCATENATE("R2C",'Riesgos de Gestión'!$V$20),"")</f>
        <v/>
      </c>
      <c r="R7" s="36" t="str">
        <f>IF(AND('Riesgos de Gestión'!$AF$21="Muy Alta",'Riesgos de Gestión'!$AH$21="Menor"),CONCATENATE("R2C",'Riesgos de Gestión'!$V$21),"")</f>
        <v/>
      </c>
      <c r="S7" s="36" t="str">
        <f>IF(AND('Riesgos de Gestión'!$AF$22="Muy Alta",'Riesgos de Gestión'!$AH$22="Menor"),CONCATENATE("R2C",'Riesgos de Gestión'!$V$22),"")</f>
        <v/>
      </c>
      <c r="T7" s="36" t="str">
        <f>IF(AND('Riesgos de Gestión'!$AF$23="Muy Alta",'Riesgos de Gestión'!$AH$23="Menor"),CONCATENATE("R2C",'Riesgos de Gestión'!$V$23),"")</f>
        <v/>
      </c>
      <c r="U7" s="37" t="str">
        <f>IF(AND('Riesgos de Gestión'!$AF$24="Muy Alta",'Riesgos de Gestión'!$AH$24="Menor"),CONCATENATE("R2C",'Riesgos de Gestión'!$V$24),"")</f>
        <v/>
      </c>
      <c r="V7" s="35" t="str">
        <f>IF(AND('Riesgos de Gestión'!$AF$19="Muy Alta",'Riesgos de Gestión'!$AH$19="Moderado"),CONCATENATE("R2C",'Riesgos de Gestión'!$V$19),"")</f>
        <v/>
      </c>
      <c r="W7" s="36" t="str">
        <f>IF(AND('Riesgos de Gestión'!$AF$20="Muy Alta",'Riesgos de Gestión'!$AH$20="Moderado"),CONCATENATE("R2C",'Riesgos de Gestión'!$V$20),"")</f>
        <v/>
      </c>
      <c r="X7" s="36" t="str">
        <f>IF(AND('Riesgos de Gestión'!$AF$21="Muy Alta",'Riesgos de Gestión'!$AH$21="Moderado"),CONCATENATE("R2C",'Riesgos de Gestión'!$V$21),"")</f>
        <v/>
      </c>
      <c r="Y7" s="36" t="str">
        <f>IF(AND('Riesgos de Gestión'!$AF$22="Muy Alta",'Riesgos de Gestión'!$AH$22="Moderado"),CONCATENATE("R2C",'Riesgos de Gestión'!$V$22),"")</f>
        <v/>
      </c>
      <c r="Z7" s="36" t="str">
        <f>IF(AND('Riesgos de Gestión'!$AF$23="Muy Alta",'Riesgos de Gestión'!$AH$23="Moderado"),CONCATENATE("R2C",'Riesgos de Gestión'!$V$23),"")</f>
        <v/>
      </c>
      <c r="AA7" s="37" t="str">
        <f>IF(AND('Riesgos de Gestión'!$AF$24="Muy Alta",'Riesgos de Gestión'!$AH$24="Moderado"),CONCATENATE("R2C",'Riesgos de Gestión'!$V$24),"")</f>
        <v/>
      </c>
      <c r="AB7" s="35" t="str">
        <f>IF(AND('Riesgos de Gestión'!$AF$19="Muy Alta",'Riesgos de Gestión'!$AH$19="Mayor"),CONCATENATE("R2C",'Riesgos de Gestión'!$V$19),"")</f>
        <v/>
      </c>
      <c r="AC7" s="36" t="str">
        <f>IF(AND('Riesgos de Gestión'!$AF$20="Muy Alta",'Riesgos de Gestión'!$AH$20="Mayor"),CONCATENATE("R2C",'Riesgos de Gestión'!$V$20),"")</f>
        <v/>
      </c>
      <c r="AD7" s="36" t="str">
        <f>IF(AND('Riesgos de Gestión'!$AF$21="Muy Alta",'Riesgos de Gestión'!$AH$21="Mayor"),CONCATENATE("R2C",'Riesgos de Gestión'!$V$21),"")</f>
        <v/>
      </c>
      <c r="AE7" s="36" t="str">
        <f>IF(AND('Riesgos de Gestión'!$AF$22="Muy Alta",'Riesgos de Gestión'!$AH$22="Mayor"),CONCATENATE("R2C",'Riesgos de Gestión'!$V$22),"")</f>
        <v/>
      </c>
      <c r="AF7" s="36" t="str">
        <f>IF(AND('Riesgos de Gestión'!$AF$23="Muy Alta",'Riesgos de Gestión'!$AH$23="Mayor"),CONCATENATE("R2C",'Riesgos de Gestión'!$V$23),"")</f>
        <v/>
      </c>
      <c r="AG7" s="37" t="str">
        <f>IF(AND('Riesgos de Gestión'!$AF$24="Muy Alta",'Riesgos de Gestión'!$AH$24="Mayor"),CONCATENATE("R2C",'Riesgos de Gestión'!$V$24),"")</f>
        <v/>
      </c>
      <c r="AH7" s="38" t="str">
        <f>IF(AND('Riesgos de Gestión'!$AF$19="Muy Alta",'Riesgos de Gestión'!$AH$19="Catastrófico"),CONCATENATE("R2C",'Riesgos de Gestión'!$V$19),"")</f>
        <v/>
      </c>
      <c r="AI7" s="39" t="str">
        <f>IF(AND('Riesgos de Gestión'!$AF$20="Muy Alta",'Riesgos de Gestión'!$AH$20="Catastrófico"),CONCATENATE("R2C",'Riesgos de Gestión'!$V$20),"")</f>
        <v/>
      </c>
      <c r="AJ7" s="39" t="str">
        <f>IF(AND('Riesgos de Gestión'!$AF$21="Muy Alta",'Riesgos de Gestión'!$AH$21="Catastrófico"),CONCATENATE("R2C",'Riesgos de Gestión'!$V$21),"")</f>
        <v/>
      </c>
      <c r="AK7" s="39" t="str">
        <f>IF(AND('Riesgos de Gestión'!$AF$22="Muy Alta",'Riesgos de Gestión'!$AH$22="Catastrófico"),CONCATENATE("R2C",'Riesgos de Gestión'!$V$22),"")</f>
        <v/>
      </c>
      <c r="AL7" s="39" t="str">
        <f>IF(AND('Riesgos de Gestión'!$AF$23="Muy Alta",'Riesgos de Gestión'!$AH$23="Catastrófico"),CONCATENATE("R2C",'Riesgos de Gestión'!$V$23),"")</f>
        <v/>
      </c>
      <c r="AM7" s="40" t="str">
        <f>IF(AND('Riesgos de Gestión'!$AF$24="Muy Alta",'Riesgos de Gestión'!$AH$24="Catastrófico"),CONCATENATE("R2C",'Riesgos de Gestión'!$V$24),"")</f>
        <v/>
      </c>
      <c r="AN7" s="66"/>
      <c r="AO7" s="491"/>
      <c r="AP7" s="492"/>
      <c r="AQ7" s="492"/>
      <c r="AR7" s="492"/>
      <c r="AS7" s="492"/>
      <c r="AT7" s="49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30"/>
      <c r="C8" s="430"/>
      <c r="D8" s="431"/>
      <c r="E8" s="471"/>
      <c r="F8" s="472"/>
      <c r="G8" s="472"/>
      <c r="H8" s="472"/>
      <c r="I8" s="473"/>
      <c r="J8" s="35" t="str">
        <f>IF(AND('Riesgos de Gestión'!$AF$25="Muy Alta",'Riesgos de Gestión'!$AH$25="Leve"),CONCATENATE("R3C",'Riesgos de Gestión'!$V$25),"")</f>
        <v/>
      </c>
      <c r="K8" s="36" t="str">
        <f>IF(AND('Riesgos de Gestión'!$AF$26="Muy Alta",'Riesgos de Gestión'!$AH$26="Leve"),CONCATENATE("R3C",'Riesgos de Gestión'!$V$26),"")</f>
        <v/>
      </c>
      <c r="L8" s="36" t="str">
        <f>IF(AND('Riesgos de Gestión'!$AF$27="Muy Alta",'Riesgos de Gestión'!$AH$27="Leve"),CONCATENATE("R3C",'Riesgos de Gestión'!$V$27),"")</f>
        <v/>
      </c>
      <c r="M8" s="36" t="str">
        <f>IF(AND('Riesgos de Gestión'!$AF$28="Muy Alta",'Riesgos de Gestión'!$AH$28="Leve"),CONCATENATE("R3C",'Riesgos de Gestión'!$V$28),"")</f>
        <v/>
      </c>
      <c r="N8" s="36" t="str">
        <f>IF(AND('Riesgos de Gestión'!$AF$29="Muy Alta",'Riesgos de Gestión'!$AH$29="Leve"),CONCATENATE("R3C",'Riesgos de Gestión'!$V$29),"")</f>
        <v/>
      </c>
      <c r="O8" s="37" t="str">
        <f>IF(AND('Riesgos de Gestión'!$AF$30="Muy Alta",'Riesgos de Gestión'!$AH$30="Leve"),CONCATENATE("R3C",'Riesgos de Gestión'!$V$30),"")</f>
        <v/>
      </c>
      <c r="P8" s="35" t="str">
        <f>IF(AND('Riesgos de Gestión'!$AF$25="Muy Alta",'Riesgos de Gestión'!$AH$25="Menor"),CONCATENATE("R3C",'Riesgos de Gestión'!$V$25),"")</f>
        <v/>
      </c>
      <c r="Q8" s="36" t="str">
        <f>IF(AND('Riesgos de Gestión'!$AF$26="Muy Alta",'Riesgos de Gestión'!$AH$26="Menor"),CONCATENATE("R3C",'Riesgos de Gestión'!$V$26),"")</f>
        <v/>
      </c>
      <c r="R8" s="36" t="str">
        <f>IF(AND('Riesgos de Gestión'!$AF$27="Muy Alta",'Riesgos de Gestión'!$AH$27="Menor"),CONCATENATE("R3C",'Riesgos de Gestión'!$V$27),"")</f>
        <v/>
      </c>
      <c r="S8" s="36" t="str">
        <f>IF(AND('Riesgos de Gestión'!$AF$28="Muy Alta",'Riesgos de Gestión'!$AH$28="Menor"),CONCATENATE("R3C",'Riesgos de Gestión'!$V$28),"")</f>
        <v/>
      </c>
      <c r="T8" s="36" t="str">
        <f>IF(AND('Riesgos de Gestión'!$AF$29="Muy Alta",'Riesgos de Gestión'!$AH$29="Menor"),CONCATENATE("R3C",'Riesgos de Gestión'!$V$29),"")</f>
        <v/>
      </c>
      <c r="U8" s="37" t="str">
        <f>IF(AND('Riesgos de Gestión'!$AF$30="Muy Alta",'Riesgos de Gestión'!$AH$30="Menor"),CONCATENATE("R3C",'Riesgos de Gestión'!$V$30),"")</f>
        <v/>
      </c>
      <c r="V8" s="35" t="str">
        <f>IF(AND('Riesgos de Gestión'!$AF$25="Muy Alta",'Riesgos de Gestión'!$AH$25="Moderado"),CONCATENATE("R3C",'Riesgos de Gestión'!$V$25),"")</f>
        <v/>
      </c>
      <c r="W8" s="36" t="str">
        <f>IF(AND('Riesgos de Gestión'!$AF$26="Muy Alta",'Riesgos de Gestión'!$AH$26="Moderado"),CONCATENATE("R3C",'Riesgos de Gestión'!$V$26),"")</f>
        <v/>
      </c>
      <c r="X8" s="36" t="str">
        <f>IF(AND('Riesgos de Gestión'!$AF$27="Muy Alta",'Riesgos de Gestión'!$AH$27="Moderado"),CONCATENATE("R3C",'Riesgos de Gestión'!$V$27),"")</f>
        <v/>
      </c>
      <c r="Y8" s="36" t="str">
        <f>IF(AND('Riesgos de Gestión'!$AF$28="Muy Alta",'Riesgos de Gestión'!$AH$28="Moderado"),CONCATENATE("R3C",'Riesgos de Gestión'!$V$28),"")</f>
        <v/>
      </c>
      <c r="Z8" s="36" t="str">
        <f>IF(AND('Riesgos de Gestión'!$AF$29="Muy Alta",'Riesgos de Gestión'!$AH$29="Moderado"),CONCATENATE("R3C",'Riesgos de Gestión'!$V$29),"")</f>
        <v/>
      </c>
      <c r="AA8" s="37" t="str">
        <f>IF(AND('Riesgos de Gestión'!$AF$30="Muy Alta",'Riesgos de Gestión'!$AH$30="Moderado"),CONCATENATE("R3C",'Riesgos de Gestión'!$V$30),"")</f>
        <v/>
      </c>
      <c r="AB8" s="35" t="str">
        <f>IF(AND('Riesgos de Gestión'!$AF$25="Muy Alta",'Riesgos de Gestión'!$AH$25="Mayor"),CONCATENATE("R3C",'Riesgos de Gestión'!$V$25),"")</f>
        <v/>
      </c>
      <c r="AC8" s="36" t="str">
        <f>IF(AND('Riesgos de Gestión'!$AF$26="Muy Alta",'Riesgos de Gestión'!$AH$26="Mayor"),CONCATENATE("R3C",'Riesgos de Gestión'!$V$26),"")</f>
        <v/>
      </c>
      <c r="AD8" s="36" t="str">
        <f>IF(AND('Riesgos de Gestión'!$AF$27="Muy Alta",'Riesgos de Gestión'!$AH$27="Mayor"),CONCATENATE("R3C",'Riesgos de Gestión'!$V$27),"")</f>
        <v/>
      </c>
      <c r="AE8" s="36" t="str">
        <f>IF(AND('Riesgos de Gestión'!$AF$28="Muy Alta",'Riesgos de Gestión'!$AH$28="Mayor"),CONCATENATE("R3C",'Riesgos de Gestión'!$V$28),"")</f>
        <v/>
      </c>
      <c r="AF8" s="36" t="str">
        <f>IF(AND('Riesgos de Gestión'!$AF$29="Muy Alta",'Riesgos de Gestión'!$AH$29="Mayor"),CONCATENATE("R3C",'Riesgos de Gestión'!$V$29),"")</f>
        <v/>
      </c>
      <c r="AG8" s="37" t="str">
        <f>IF(AND('Riesgos de Gestión'!$AF$30="Muy Alta",'Riesgos de Gestión'!$AH$30="Mayor"),CONCATENATE("R3C",'Riesgos de Gestión'!$V$30),"")</f>
        <v/>
      </c>
      <c r="AH8" s="38" t="str">
        <f>IF(AND('Riesgos de Gestión'!$AF$25="Muy Alta",'Riesgos de Gestión'!$AH$25="Catastrófico"),CONCATENATE("R3C",'Riesgos de Gestión'!$V$25),"")</f>
        <v/>
      </c>
      <c r="AI8" s="39" t="str">
        <f>IF(AND('Riesgos de Gestión'!$AF$26="Muy Alta",'Riesgos de Gestión'!$AH$26="Catastrófico"),CONCATENATE("R3C",'Riesgos de Gestión'!$V$26),"")</f>
        <v/>
      </c>
      <c r="AJ8" s="39" t="str">
        <f>IF(AND('Riesgos de Gestión'!$AF$27="Muy Alta",'Riesgos de Gestión'!$AH$27="Catastrófico"),CONCATENATE("R3C",'Riesgos de Gestión'!$V$27),"")</f>
        <v/>
      </c>
      <c r="AK8" s="39" t="str">
        <f>IF(AND('Riesgos de Gestión'!$AF$28="Muy Alta",'Riesgos de Gestión'!$AH$28="Catastrófico"),CONCATENATE("R3C",'Riesgos de Gestión'!$V$28),"")</f>
        <v/>
      </c>
      <c r="AL8" s="39" t="str">
        <f>IF(AND('Riesgos de Gestión'!$AF$29="Muy Alta",'Riesgos de Gestión'!$AH$29="Catastrófico"),CONCATENATE("R3C",'Riesgos de Gestión'!$V$29),"")</f>
        <v/>
      </c>
      <c r="AM8" s="40" t="str">
        <f>IF(AND('Riesgos de Gestión'!$AF$30="Muy Alta",'Riesgos de Gestión'!$AH$30="Catastrófico"),CONCATENATE("R3C",'Riesgos de Gestión'!$V$30),"")</f>
        <v/>
      </c>
      <c r="AN8" s="66"/>
      <c r="AO8" s="491"/>
      <c r="AP8" s="492"/>
      <c r="AQ8" s="492"/>
      <c r="AR8" s="492"/>
      <c r="AS8" s="492"/>
      <c r="AT8" s="49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30"/>
      <c r="C9" s="430"/>
      <c r="D9" s="431"/>
      <c r="E9" s="471"/>
      <c r="F9" s="472"/>
      <c r="G9" s="472"/>
      <c r="H9" s="472"/>
      <c r="I9" s="473"/>
      <c r="J9" s="35" t="str">
        <f>IF(AND('Riesgos de Gestión'!$AF$31="Muy Alta",'Riesgos de Gestión'!$AH$31="Leve"),CONCATENATE("R4C",'Riesgos de Gestión'!$V$31),"")</f>
        <v/>
      </c>
      <c r="K9" s="36" t="str">
        <f>IF(AND('Riesgos de Gestión'!$AF$32="Muy Alta",'Riesgos de Gestión'!$AH$32="Leve"),CONCATENATE("R4C",'Riesgos de Gestión'!$V$32),"")</f>
        <v/>
      </c>
      <c r="L9" s="36" t="str">
        <f>IF(AND('Riesgos de Gestión'!$AF$33="Muy Alta",'Riesgos de Gestión'!$AH$33="Leve"),CONCATENATE("R4C",'Riesgos de Gestión'!$V$33),"")</f>
        <v/>
      </c>
      <c r="M9" s="36" t="str">
        <f>IF(AND('Riesgos de Gestión'!$AF$34="Muy Alta",'Riesgos de Gestión'!$AH$34="Leve"),CONCATENATE("R4C",'Riesgos de Gestión'!$V$34),"")</f>
        <v/>
      </c>
      <c r="N9" s="36" t="str">
        <f>IF(AND('Riesgos de Gestión'!$AF$35="Muy Alta",'Riesgos de Gestión'!$AH$35="Leve"),CONCATENATE("R4C",'Riesgos de Gestión'!$V$35),"")</f>
        <v/>
      </c>
      <c r="O9" s="37" t="str">
        <f>IF(AND('Riesgos de Gestión'!$AF$36="Muy Alta",'Riesgos de Gestión'!$AH$36="Leve"),CONCATENATE("R4C",'Riesgos de Gestión'!$V$36),"")</f>
        <v/>
      </c>
      <c r="P9" s="35" t="str">
        <f>IF(AND('Riesgos de Gestión'!$AF$31="Muy Alta",'Riesgos de Gestión'!$AH$31="Menor"),CONCATENATE("R4C",'Riesgos de Gestión'!$V$31),"")</f>
        <v/>
      </c>
      <c r="Q9" s="36" t="str">
        <f>IF(AND('Riesgos de Gestión'!$AF$32="Muy Alta",'Riesgos de Gestión'!$AH$32="Menor"),CONCATENATE("R4C",'Riesgos de Gestión'!$V$32),"")</f>
        <v/>
      </c>
      <c r="R9" s="36" t="str">
        <f>IF(AND('Riesgos de Gestión'!$AF$33="Muy Alta",'Riesgos de Gestión'!$AH$33="Menor"),CONCATENATE("R4C",'Riesgos de Gestión'!$V$33),"")</f>
        <v/>
      </c>
      <c r="S9" s="36" t="str">
        <f>IF(AND('Riesgos de Gestión'!$AF$34="Muy Alta",'Riesgos de Gestión'!$AH$34="Menor"),CONCATENATE("R4C",'Riesgos de Gestión'!$V$34),"")</f>
        <v/>
      </c>
      <c r="T9" s="36" t="str">
        <f>IF(AND('Riesgos de Gestión'!$AF$35="Muy Alta",'Riesgos de Gestión'!$AH$35="Menor"),CONCATENATE("R4C",'Riesgos de Gestión'!$V$35),"")</f>
        <v/>
      </c>
      <c r="U9" s="37" t="str">
        <f>IF(AND('Riesgos de Gestión'!$AF$36="Muy Alta",'Riesgos de Gestión'!$AH$36="Menor"),CONCATENATE("R4C",'Riesgos de Gestión'!$V$36),"")</f>
        <v/>
      </c>
      <c r="V9" s="35" t="str">
        <f>IF(AND('Riesgos de Gestión'!$AF$31="Muy Alta",'Riesgos de Gestión'!$AH$31="Moderado"),CONCATENATE("R4C",'Riesgos de Gestión'!$V$31),"")</f>
        <v/>
      </c>
      <c r="W9" s="36" t="str">
        <f>IF(AND('Riesgos de Gestión'!$AF$32="Muy Alta",'Riesgos de Gestión'!$AH$32="Moderado"),CONCATENATE("R4C",'Riesgos de Gestión'!$V$32),"")</f>
        <v/>
      </c>
      <c r="X9" s="36" t="str">
        <f>IF(AND('Riesgos de Gestión'!$AF$33="Muy Alta",'Riesgos de Gestión'!$AH$33="Moderado"),CONCATENATE("R4C",'Riesgos de Gestión'!$V$33),"")</f>
        <v/>
      </c>
      <c r="Y9" s="36" t="str">
        <f>IF(AND('Riesgos de Gestión'!$AF$34="Muy Alta",'Riesgos de Gestión'!$AH$34="Moderado"),CONCATENATE("R4C",'Riesgos de Gestión'!$V$34),"")</f>
        <v/>
      </c>
      <c r="Z9" s="36" t="str">
        <f>IF(AND('Riesgos de Gestión'!$AF$35="Muy Alta",'Riesgos de Gestión'!$AH$35="Moderado"),CONCATENATE("R4C",'Riesgos de Gestión'!$V$35),"")</f>
        <v/>
      </c>
      <c r="AA9" s="37" t="str">
        <f>IF(AND('Riesgos de Gestión'!$AF$36="Muy Alta",'Riesgos de Gestión'!$AH$36="Moderado"),CONCATENATE("R4C",'Riesgos de Gestión'!$V$36),"")</f>
        <v/>
      </c>
      <c r="AB9" s="35" t="str">
        <f>IF(AND('Riesgos de Gestión'!$AF$31="Muy Alta",'Riesgos de Gestión'!$AH$31="Mayor"),CONCATENATE("R4C",'Riesgos de Gestión'!$V$31),"")</f>
        <v/>
      </c>
      <c r="AC9" s="36" t="str">
        <f>IF(AND('Riesgos de Gestión'!$AF$32="Muy Alta",'Riesgos de Gestión'!$AH$32="Mayor"),CONCATENATE("R4C",'Riesgos de Gestión'!$V$32),"")</f>
        <v/>
      </c>
      <c r="AD9" s="36" t="str">
        <f>IF(AND('Riesgos de Gestión'!$AF$33="Muy Alta",'Riesgos de Gestión'!$AH$33="Mayor"),CONCATENATE("R4C",'Riesgos de Gestión'!$V$33),"")</f>
        <v/>
      </c>
      <c r="AE9" s="36" t="str">
        <f>IF(AND('Riesgos de Gestión'!$AF$34="Muy Alta",'Riesgos de Gestión'!$AH$34="Mayor"),CONCATENATE("R4C",'Riesgos de Gestión'!$V$34),"")</f>
        <v/>
      </c>
      <c r="AF9" s="36" t="str">
        <f>IF(AND('Riesgos de Gestión'!$AF$35="Muy Alta",'Riesgos de Gestión'!$AH$35="Mayor"),CONCATENATE("R4C",'Riesgos de Gestión'!$V$35),"")</f>
        <v/>
      </c>
      <c r="AG9" s="37" t="str">
        <f>IF(AND('Riesgos de Gestión'!$AF$36="Muy Alta",'Riesgos de Gestión'!$AH$36="Mayor"),CONCATENATE("R4C",'Riesgos de Gestión'!$V$36),"")</f>
        <v/>
      </c>
      <c r="AH9" s="38" t="str">
        <f>IF(AND('Riesgos de Gestión'!$AF$31="Muy Alta",'Riesgos de Gestión'!$AH$31="Catastrófico"),CONCATENATE("R4C",'Riesgos de Gestión'!$V$31),"")</f>
        <v/>
      </c>
      <c r="AI9" s="39" t="str">
        <f>IF(AND('Riesgos de Gestión'!$AF$32="Muy Alta",'Riesgos de Gestión'!$AH$32="Catastrófico"),CONCATENATE("R4C",'Riesgos de Gestión'!$V$32),"")</f>
        <v/>
      </c>
      <c r="AJ9" s="39" t="str">
        <f>IF(AND('Riesgos de Gestión'!$AF$33="Muy Alta",'Riesgos de Gestión'!$AH$33="Catastrófico"),CONCATENATE("R4C",'Riesgos de Gestión'!$V$33),"")</f>
        <v/>
      </c>
      <c r="AK9" s="39" t="str">
        <f>IF(AND('Riesgos de Gestión'!$AF$34="Muy Alta",'Riesgos de Gestión'!$AH$34="Catastrófico"),CONCATENATE("R4C",'Riesgos de Gestión'!$V$34),"")</f>
        <v/>
      </c>
      <c r="AL9" s="39" t="str">
        <f>IF(AND('Riesgos de Gestión'!$AF$35="Muy Alta",'Riesgos de Gestión'!$AH$35="Catastrófico"),CONCATENATE("R4C",'Riesgos de Gestión'!$V$35),"")</f>
        <v/>
      </c>
      <c r="AM9" s="40" t="str">
        <f>IF(AND('Riesgos de Gestión'!$AF$36="Muy Alta",'Riesgos de Gestión'!$AH$36="Catastrófico"),CONCATENATE("R4C",'Riesgos de Gestión'!$V$36),"")</f>
        <v/>
      </c>
      <c r="AN9" s="66"/>
      <c r="AO9" s="491"/>
      <c r="AP9" s="492"/>
      <c r="AQ9" s="492"/>
      <c r="AR9" s="492"/>
      <c r="AS9" s="492"/>
      <c r="AT9" s="49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30"/>
      <c r="C10" s="430"/>
      <c r="D10" s="431"/>
      <c r="E10" s="471"/>
      <c r="F10" s="472"/>
      <c r="G10" s="472"/>
      <c r="H10" s="472"/>
      <c r="I10" s="473"/>
      <c r="J10" s="35" t="str">
        <f>IF(AND('Riesgos de Gestión'!$AF$37="Muy Alta",'Riesgos de Gestión'!$AH$37="Leve"),CONCATENATE("R5C",'Riesgos de Gestión'!$V$37),"")</f>
        <v/>
      </c>
      <c r="K10" s="36" t="str">
        <f>IF(AND('Riesgos de Gestión'!$AF$38="Muy Alta",'Riesgos de Gestión'!$AH$38="Leve"),CONCATENATE("R5C",'Riesgos de Gestión'!$V$38),"")</f>
        <v/>
      </c>
      <c r="L10" s="36" t="str">
        <f>IF(AND('Riesgos de Gestión'!$AF$39="Muy Alta",'Riesgos de Gestión'!$AH$39="Leve"),CONCATENATE("R5C",'Riesgos de Gestión'!$V$39),"")</f>
        <v/>
      </c>
      <c r="M10" s="36" t="str">
        <f>IF(AND('Riesgos de Gestión'!$AF$40="Muy Alta",'Riesgos de Gestión'!$AH$40="Leve"),CONCATENATE("R5C",'Riesgos de Gestión'!$V$40),"")</f>
        <v/>
      </c>
      <c r="N10" s="36" t="str">
        <f>IF(AND('Riesgos de Gestión'!$AF$41="Muy Alta",'Riesgos de Gestión'!$AH$41="Leve"),CONCATENATE("R5C",'Riesgos de Gestión'!$V$41),"")</f>
        <v/>
      </c>
      <c r="O10" s="37" t="str">
        <f>IF(AND('Riesgos de Gestión'!$AF$42="Muy Alta",'Riesgos de Gestión'!$AH$42="Leve"),CONCATENATE("R5C",'Riesgos de Gestión'!$V$42),"")</f>
        <v/>
      </c>
      <c r="P10" s="35" t="str">
        <f>IF(AND('Riesgos de Gestión'!$AF$37="Muy Alta",'Riesgos de Gestión'!$AH$37="Menor"),CONCATENATE("R5C",'Riesgos de Gestión'!$V$37),"")</f>
        <v/>
      </c>
      <c r="Q10" s="36" t="str">
        <f>IF(AND('Riesgos de Gestión'!$AF$38="Muy Alta",'Riesgos de Gestión'!$AH$38="Menor"),CONCATENATE("R5C",'Riesgos de Gestión'!$V$38),"")</f>
        <v/>
      </c>
      <c r="R10" s="36" t="str">
        <f>IF(AND('Riesgos de Gestión'!$AF$39="Muy Alta",'Riesgos de Gestión'!$AH$39="Menor"),CONCATENATE("R5C",'Riesgos de Gestión'!$V$39),"")</f>
        <v/>
      </c>
      <c r="S10" s="36" t="str">
        <f>IF(AND('Riesgos de Gestión'!$AF$40="Muy Alta",'Riesgos de Gestión'!$AH$40="Menor"),CONCATENATE("R5C",'Riesgos de Gestión'!$V$40),"")</f>
        <v/>
      </c>
      <c r="T10" s="36" t="str">
        <f>IF(AND('Riesgos de Gestión'!$AF$41="Muy Alta",'Riesgos de Gestión'!$AH$41="Menor"),CONCATENATE("R5C",'Riesgos de Gestión'!$V$41),"")</f>
        <v/>
      </c>
      <c r="U10" s="37" t="str">
        <f>IF(AND('Riesgos de Gestión'!$AF$42="Muy Alta",'Riesgos de Gestión'!$AH$42="Menor"),CONCATENATE("R5C",'Riesgos de Gestión'!$V$42),"")</f>
        <v/>
      </c>
      <c r="V10" s="35" t="str">
        <f>IF(AND('Riesgos de Gestión'!$AF$37="Muy Alta",'Riesgos de Gestión'!$AH$37="Moderado"),CONCATENATE("R5C",'Riesgos de Gestión'!$V$37),"")</f>
        <v/>
      </c>
      <c r="W10" s="36" t="str">
        <f>IF(AND('Riesgos de Gestión'!$AF$38="Muy Alta",'Riesgos de Gestión'!$AH$38="Moderado"),CONCATENATE("R5C",'Riesgos de Gestión'!$V$38),"")</f>
        <v/>
      </c>
      <c r="X10" s="36" t="str">
        <f>IF(AND('Riesgos de Gestión'!$AF$39="Muy Alta",'Riesgos de Gestión'!$AH$39="Moderado"),CONCATENATE("R5C",'Riesgos de Gestión'!$V$39),"")</f>
        <v/>
      </c>
      <c r="Y10" s="36" t="str">
        <f>IF(AND('Riesgos de Gestión'!$AF$40="Muy Alta",'Riesgos de Gestión'!$AH$40="Moderado"),CONCATENATE("R5C",'Riesgos de Gestión'!$V$40),"")</f>
        <v/>
      </c>
      <c r="Z10" s="36" t="str">
        <f>IF(AND('Riesgos de Gestión'!$AF$41="Muy Alta",'Riesgos de Gestión'!$AH$41="Moderado"),CONCATENATE("R5C",'Riesgos de Gestión'!$V$41),"")</f>
        <v/>
      </c>
      <c r="AA10" s="37" t="str">
        <f>IF(AND('Riesgos de Gestión'!$AF$42="Muy Alta",'Riesgos de Gestión'!$AH$42="Moderado"),CONCATENATE("R5C",'Riesgos de Gestión'!$V$42),"")</f>
        <v/>
      </c>
      <c r="AB10" s="35" t="str">
        <f>IF(AND('Riesgos de Gestión'!$AF$37="Muy Alta",'Riesgos de Gestión'!$AH$37="Mayor"),CONCATENATE("R5C",'Riesgos de Gestión'!$V$37),"")</f>
        <v/>
      </c>
      <c r="AC10" s="36" t="str">
        <f>IF(AND('Riesgos de Gestión'!$AF$38="Muy Alta",'Riesgos de Gestión'!$AH$38="Mayor"),CONCATENATE("R5C",'Riesgos de Gestión'!$V$38),"")</f>
        <v/>
      </c>
      <c r="AD10" s="36" t="str">
        <f>IF(AND('Riesgos de Gestión'!$AF$39="Muy Alta",'Riesgos de Gestión'!$AH$39="Mayor"),CONCATENATE("R5C",'Riesgos de Gestión'!$V$39),"")</f>
        <v/>
      </c>
      <c r="AE10" s="36" t="str">
        <f>IF(AND('Riesgos de Gestión'!$AF$40="Muy Alta",'Riesgos de Gestión'!$AH$40="Mayor"),CONCATENATE("R5C",'Riesgos de Gestión'!$V$40),"")</f>
        <v/>
      </c>
      <c r="AF10" s="36" t="str">
        <f>IF(AND('Riesgos de Gestión'!$AF$41="Muy Alta",'Riesgos de Gestión'!$AH$41="Mayor"),CONCATENATE("R5C",'Riesgos de Gestión'!$V$41),"")</f>
        <v/>
      </c>
      <c r="AG10" s="37" t="str">
        <f>IF(AND('Riesgos de Gestión'!$AF$42="Muy Alta",'Riesgos de Gestión'!$AH$42="Mayor"),CONCATENATE("R5C",'Riesgos de Gestión'!$V$42),"")</f>
        <v/>
      </c>
      <c r="AH10" s="38" t="str">
        <f>IF(AND('Riesgos de Gestión'!$AF$37="Muy Alta",'Riesgos de Gestión'!$AH$37="Catastrófico"),CONCATENATE("R5C",'Riesgos de Gestión'!$V$37),"")</f>
        <v/>
      </c>
      <c r="AI10" s="39" t="str">
        <f>IF(AND('Riesgos de Gestión'!$AF$38="Muy Alta",'Riesgos de Gestión'!$AH$38="Catastrófico"),CONCATENATE("R5C",'Riesgos de Gestión'!$V$38),"")</f>
        <v/>
      </c>
      <c r="AJ10" s="39" t="str">
        <f>IF(AND('Riesgos de Gestión'!$AF$39="Muy Alta",'Riesgos de Gestión'!$AH$39="Catastrófico"),CONCATENATE("R5C",'Riesgos de Gestión'!$V$39),"")</f>
        <v/>
      </c>
      <c r="AK10" s="39" t="str">
        <f>IF(AND('Riesgos de Gestión'!$AF$40="Muy Alta",'Riesgos de Gestión'!$AH$40="Catastrófico"),CONCATENATE("R5C",'Riesgos de Gestión'!$V$40),"")</f>
        <v/>
      </c>
      <c r="AL10" s="39" t="str">
        <f>IF(AND('Riesgos de Gestión'!$AF$41="Muy Alta",'Riesgos de Gestión'!$AH$41="Catastrófico"),CONCATENATE("R5C",'Riesgos de Gestión'!$V$41),"")</f>
        <v/>
      </c>
      <c r="AM10" s="40" t="str">
        <f>IF(AND('Riesgos de Gestión'!$AF$42="Muy Alta",'Riesgos de Gestión'!$AH$42="Catastrófico"),CONCATENATE("R5C",'Riesgos de Gestión'!$V$42),"")</f>
        <v/>
      </c>
      <c r="AN10" s="66"/>
      <c r="AO10" s="491"/>
      <c r="AP10" s="492"/>
      <c r="AQ10" s="492"/>
      <c r="AR10" s="492"/>
      <c r="AS10" s="492"/>
      <c r="AT10" s="49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30"/>
      <c r="C11" s="430"/>
      <c r="D11" s="431"/>
      <c r="E11" s="471"/>
      <c r="F11" s="472"/>
      <c r="G11" s="472"/>
      <c r="H11" s="472"/>
      <c r="I11" s="473"/>
      <c r="J11" s="35" t="str">
        <f>IF(AND('Riesgos de Gestión'!$AF$43="Muy Alta",'Riesgos de Gestión'!$AH$43="Leve"),CONCATENATE("R6C",'Riesgos de Gestión'!$V$43),"")</f>
        <v/>
      </c>
      <c r="K11" s="36" t="str">
        <f>IF(AND('Riesgos de Gestión'!$AF$44="Muy Alta",'Riesgos de Gestión'!$AH$44="Leve"),CONCATENATE("R6C",'Riesgos de Gestión'!$V$44),"")</f>
        <v/>
      </c>
      <c r="L11" s="36" t="str">
        <f>IF(AND('Riesgos de Gestión'!$AF$45="Muy Alta",'Riesgos de Gestión'!$AH$45="Leve"),CONCATENATE("R6C",'Riesgos de Gestión'!$V$45),"")</f>
        <v/>
      </c>
      <c r="M11" s="36" t="str">
        <f>IF(AND('Riesgos de Gestión'!$AF$46="Muy Alta",'Riesgos de Gestión'!$AH$46="Leve"),CONCATENATE("R6C",'Riesgos de Gestión'!$V$46),"")</f>
        <v/>
      </c>
      <c r="N11" s="36" t="str">
        <f>IF(AND('Riesgos de Gestión'!$AF$47="Muy Alta",'Riesgos de Gestión'!$AH$47="Leve"),CONCATENATE("R6C",'Riesgos de Gestión'!$V$47),"")</f>
        <v/>
      </c>
      <c r="O11" s="37" t="str">
        <f>IF(AND('Riesgos de Gestión'!$AF$48="Muy Alta",'Riesgos de Gestión'!$AH$48="Leve"),CONCATENATE("R6C",'Riesgos de Gestión'!$V$48),"")</f>
        <v/>
      </c>
      <c r="P11" s="35" t="str">
        <f>IF(AND('Riesgos de Gestión'!$AF$43="Muy Alta",'Riesgos de Gestión'!$AH$43="Menor"),CONCATENATE("R6C",'Riesgos de Gestión'!$V$43),"")</f>
        <v/>
      </c>
      <c r="Q11" s="36" t="str">
        <f>IF(AND('Riesgos de Gestión'!$AF$44="Muy Alta",'Riesgos de Gestión'!$AH$44="Menor"),CONCATENATE("R6C",'Riesgos de Gestión'!$V$44),"")</f>
        <v/>
      </c>
      <c r="R11" s="36" t="str">
        <f>IF(AND('Riesgos de Gestión'!$AF$45="Muy Alta",'Riesgos de Gestión'!$AH$45="Menor"),CONCATENATE("R6C",'Riesgos de Gestión'!$V$45),"")</f>
        <v/>
      </c>
      <c r="S11" s="36" t="str">
        <f>IF(AND('Riesgos de Gestión'!$AF$46="Muy Alta",'Riesgos de Gestión'!$AH$46="Menor"),CONCATENATE("R6C",'Riesgos de Gestión'!$V$46),"")</f>
        <v/>
      </c>
      <c r="T11" s="36" t="str">
        <f>IF(AND('Riesgos de Gestión'!$AF$47="Muy Alta",'Riesgos de Gestión'!$AH$47="Menor"),CONCATENATE("R6C",'Riesgos de Gestión'!$V$47),"")</f>
        <v/>
      </c>
      <c r="U11" s="37" t="str">
        <f>IF(AND('Riesgos de Gestión'!$AF$48="Muy Alta",'Riesgos de Gestión'!$AH$48="Menor"),CONCATENATE("R6C",'Riesgos de Gestión'!$V$48),"")</f>
        <v/>
      </c>
      <c r="V11" s="35" t="str">
        <f>IF(AND('Riesgos de Gestión'!$AF$43="Muy Alta",'Riesgos de Gestión'!$AH$43="Moderado"),CONCATENATE("R6C",'Riesgos de Gestión'!$V$43),"")</f>
        <v/>
      </c>
      <c r="W11" s="36" t="str">
        <f>IF(AND('Riesgos de Gestión'!$AF$44="Muy Alta",'Riesgos de Gestión'!$AH$44="Moderado"),CONCATENATE("R6C",'Riesgos de Gestión'!$V$44),"")</f>
        <v/>
      </c>
      <c r="X11" s="36" t="str">
        <f>IF(AND('Riesgos de Gestión'!$AF$45="Muy Alta",'Riesgos de Gestión'!$AH$45="Moderado"),CONCATENATE("R6C",'Riesgos de Gestión'!$V$45),"")</f>
        <v/>
      </c>
      <c r="Y11" s="36" t="str">
        <f>IF(AND('Riesgos de Gestión'!$AF$46="Muy Alta",'Riesgos de Gestión'!$AH$46="Moderado"),CONCATENATE("R6C",'Riesgos de Gestión'!$V$46),"")</f>
        <v/>
      </c>
      <c r="Z11" s="36" t="str">
        <f>IF(AND('Riesgos de Gestión'!$AF$47="Muy Alta",'Riesgos de Gestión'!$AH$47="Moderado"),CONCATENATE("R6C",'Riesgos de Gestión'!$V$47),"")</f>
        <v/>
      </c>
      <c r="AA11" s="37" t="str">
        <f>IF(AND('Riesgos de Gestión'!$AF$48="Muy Alta",'Riesgos de Gestión'!$AH$48="Moderado"),CONCATENATE("R6C",'Riesgos de Gestión'!$V$48),"")</f>
        <v/>
      </c>
      <c r="AB11" s="35" t="str">
        <f>IF(AND('Riesgos de Gestión'!$AF$43="Muy Alta",'Riesgos de Gestión'!$AH$43="Mayor"),CONCATENATE("R6C",'Riesgos de Gestión'!$V$43),"")</f>
        <v/>
      </c>
      <c r="AC11" s="36" t="str">
        <f>IF(AND('Riesgos de Gestión'!$AF$44="Muy Alta",'Riesgos de Gestión'!$AH$44="Mayor"),CONCATENATE("R6C",'Riesgos de Gestión'!$V$44),"")</f>
        <v/>
      </c>
      <c r="AD11" s="36" t="str">
        <f>IF(AND('Riesgos de Gestión'!$AF$45="Muy Alta",'Riesgos de Gestión'!$AH$45="Mayor"),CONCATENATE("R6C",'Riesgos de Gestión'!$V$45),"")</f>
        <v/>
      </c>
      <c r="AE11" s="36" t="str">
        <f>IF(AND('Riesgos de Gestión'!$AF$46="Muy Alta",'Riesgos de Gestión'!$AH$46="Mayor"),CONCATENATE("R6C",'Riesgos de Gestión'!$V$46),"")</f>
        <v/>
      </c>
      <c r="AF11" s="36" t="str">
        <f>IF(AND('Riesgos de Gestión'!$AF$47="Muy Alta",'Riesgos de Gestión'!$AH$47="Mayor"),CONCATENATE("R6C",'Riesgos de Gestión'!$V$47),"")</f>
        <v/>
      </c>
      <c r="AG11" s="37" t="str">
        <f>IF(AND('Riesgos de Gestión'!$AF$48="Muy Alta",'Riesgos de Gestión'!$AH$48="Mayor"),CONCATENATE("R6C",'Riesgos de Gestión'!$V$48),"")</f>
        <v/>
      </c>
      <c r="AH11" s="38" t="str">
        <f>IF(AND('Riesgos de Gestión'!$AF$43="Muy Alta",'Riesgos de Gestión'!$AH$43="Catastrófico"),CONCATENATE("R6C",'Riesgos de Gestión'!$V$43),"")</f>
        <v/>
      </c>
      <c r="AI11" s="39" t="str">
        <f>IF(AND('Riesgos de Gestión'!$AF$44="Muy Alta",'Riesgos de Gestión'!$AH$44="Catastrófico"),CONCATENATE("R6C",'Riesgos de Gestión'!$V$44),"")</f>
        <v/>
      </c>
      <c r="AJ11" s="39" t="str">
        <f>IF(AND('Riesgos de Gestión'!$AF$45="Muy Alta",'Riesgos de Gestión'!$AH$45="Catastrófico"),CONCATENATE("R6C",'Riesgos de Gestión'!$V$45),"")</f>
        <v/>
      </c>
      <c r="AK11" s="39" t="str">
        <f>IF(AND('Riesgos de Gestión'!$AF$46="Muy Alta",'Riesgos de Gestión'!$AH$46="Catastrófico"),CONCATENATE("R6C",'Riesgos de Gestión'!$V$46),"")</f>
        <v/>
      </c>
      <c r="AL11" s="39" t="str">
        <f>IF(AND('Riesgos de Gestión'!$AF$47="Muy Alta",'Riesgos de Gestión'!$AH$47="Catastrófico"),CONCATENATE("R6C",'Riesgos de Gestión'!$V$47),"")</f>
        <v/>
      </c>
      <c r="AM11" s="40" t="str">
        <f>IF(AND('Riesgos de Gestión'!$AF$48="Muy Alta",'Riesgos de Gestión'!$AH$48="Catastrófico"),CONCATENATE("R6C",'Riesgos de Gestión'!$V$48),"")</f>
        <v/>
      </c>
      <c r="AN11" s="66"/>
      <c r="AO11" s="491"/>
      <c r="AP11" s="492"/>
      <c r="AQ11" s="492"/>
      <c r="AR11" s="492"/>
      <c r="AS11" s="492"/>
      <c r="AT11" s="49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30"/>
      <c r="C12" s="430"/>
      <c r="D12" s="431"/>
      <c r="E12" s="471"/>
      <c r="F12" s="472"/>
      <c r="G12" s="472"/>
      <c r="H12" s="472"/>
      <c r="I12" s="473"/>
      <c r="J12" s="35" t="str">
        <f>IF(AND('Riesgos de Gestión'!$AF$49="Muy Alta",'Riesgos de Gestión'!$AH$49="Leve"),CONCATENATE("R7C",'Riesgos de Gestión'!$V$49),"")</f>
        <v/>
      </c>
      <c r="K12" s="36" t="str">
        <f>IF(AND('Riesgos de Gestión'!$AF$50="Muy Alta",'Riesgos de Gestión'!$AH$50="Leve"),CONCATENATE("R7C",'Riesgos de Gestión'!$V$50),"")</f>
        <v/>
      </c>
      <c r="L12" s="36" t="str">
        <f>IF(AND('Riesgos de Gestión'!$AF$51="Muy Alta",'Riesgos de Gestión'!$AH$51="Leve"),CONCATENATE("R7C",'Riesgos de Gestión'!$V$51),"")</f>
        <v/>
      </c>
      <c r="M12" s="36" t="str">
        <f>IF(AND('Riesgos de Gestión'!$AF$52="Muy Alta",'Riesgos de Gestión'!$AH$52="Leve"),CONCATENATE("R7C",'Riesgos de Gestión'!$V$52),"")</f>
        <v/>
      </c>
      <c r="N12" s="36" t="str">
        <f>IF(AND('Riesgos de Gestión'!$AF$53="Muy Alta",'Riesgos de Gestión'!$AH$53="Leve"),CONCATENATE("R7C",'Riesgos de Gestión'!$V$53),"")</f>
        <v/>
      </c>
      <c r="O12" s="37" t="str">
        <f>IF(AND('Riesgos de Gestión'!$AF$54="Muy Alta",'Riesgos de Gestión'!$AH$54="Leve"),CONCATENATE("R7C",'Riesgos de Gestión'!$V$54),"")</f>
        <v/>
      </c>
      <c r="P12" s="35" t="str">
        <f>IF(AND('Riesgos de Gestión'!$AF$49="Muy Alta",'Riesgos de Gestión'!$AH$49="Menor"),CONCATENATE("R7C",'Riesgos de Gestión'!$V$49),"")</f>
        <v/>
      </c>
      <c r="Q12" s="36" t="str">
        <f>IF(AND('Riesgos de Gestión'!$AF$50="Muy Alta",'Riesgos de Gestión'!$AH$50="Menor"),CONCATENATE("R7C",'Riesgos de Gestión'!$V$50),"")</f>
        <v/>
      </c>
      <c r="R12" s="36" t="str">
        <f>IF(AND('Riesgos de Gestión'!$AF$51="Muy Alta",'Riesgos de Gestión'!$AH$51="Menor"),CONCATENATE("R7C",'Riesgos de Gestión'!$V$51),"")</f>
        <v/>
      </c>
      <c r="S12" s="36" t="str">
        <f>IF(AND('Riesgos de Gestión'!$AF$52="Muy Alta",'Riesgos de Gestión'!$AH$52="Menor"),CONCATENATE("R7C",'Riesgos de Gestión'!$V$52),"")</f>
        <v/>
      </c>
      <c r="T12" s="36" t="str">
        <f>IF(AND('Riesgos de Gestión'!$AF$53="Muy Alta",'Riesgos de Gestión'!$AH$53="Menor"),CONCATENATE("R7C",'Riesgos de Gestión'!$V$53),"")</f>
        <v/>
      </c>
      <c r="U12" s="37" t="str">
        <f>IF(AND('Riesgos de Gestión'!$AF$54="Muy Alta",'Riesgos de Gestión'!$AH$54="Menor"),CONCATENATE("R7C",'Riesgos de Gestión'!$V$54),"")</f>
        <v/>
      </c>
      <c r="V12" s="35" t="str">
        <f>IF(AND('Riesgos de Gestión'!$AF$49="Muy Alta",'Riesgos de Gestión'!$AH$49="Moderado"),CONCATENATE("R7C",'Riesgos de Gestión'!$V$49),"")</f>
        <v/>
      </c>
      <c r="W12" s="36" t="str">
        <f>IF(AND('Riesgos de Gestión'!$AF$50="Muy Alta",'Riesgos de Gestión'!$AH$50="Moderado"),CONCATENATE("R7C",'Riesgos de Gestión'!$V$50),"")</f>
        <v/>
      </c>
      <c r="X12" s="36" t="str">
        <f>IF(AND('Riesgos de Gestión'!$AF$51="Muy Alta",'Riesgos de Gestión'!$AH$51="Moderado"),CONCATENATE("R7C",'Riesgos de Gestión'!$V$51),"")</f>
        <v/>
      </c>
      <c r="Y12" s="36" t="str">
        <f>IF(AND('Riesgos de Gestión'!$AF$52="Muy Alta",'Riesgos de Gestión'!$AH$52="Moderado"),CONCATENATE("R7C",'Riesgos de Gestión'!$V$52),"")</f>
        <v/>
      </c>
      <c r="Z12" s="36" t="str">
        <f>IF(AND('Riesgos de Gestión'!$AF$53="Muy Alta",'Riesgos de Gestión'!$AH$53="Moderado"),CONCATENATE("R7C",'Riesgos de Gestión'!$V$53),"")</f>
        <v/>
      </c>
      <c r="AA12" s="37" t="str">
        <f>IF(AND('Riesgos de Gestión'!$AF$54="Muy Alta",'Riesgos de Gestión'!$AH$54="Moderado"),CONCATENATE("R7C",'Riesgos de Gestión'!$V$54),"")</f>
        <v/>
      </c>
      <c r="AB12" s="35" t="str">
        <f>IF(AND('Riesgos de Gestión'!$AF$49="Muy Alta",'Riesgos de Gestión'!$AH$49="Mayor"),CONCATENATE("R7C",'Riesgos de Gestión'!$V$49),"")</f>
        <v/>
      </c>
      <c r="AC12" s="36" t="str">
        <f>IF(AND('Riesgos de Gestión'!$AF$50="Muy Alta",'Riesgos de Gestión'!$AH$50="Mayor"),CONCATENATE("R7C",'Riesgos de Gestión'!$V$50),"")</f>
        <v/>
      </c>
      <c r="AD12" s="36" t="str">
        <f>IF(AND('Riesgos de Gestión'!$AF$51="Muy Alta",'Riesgos de Gestión'!$AH$51="Mayor"),CONCATENATE("R7C",'Riesgos de Gestión'!$V$51),"")</f>
        <v/>
      </c>
      <c r="AE12" s="36" t="str">
        <f>IF(AND('Riesgos de Gestión'!$AF$52="Muy Alta",'Riesgos de Gestión'!$AH$52="Mayor"),CONCATENATE("R7C",'Riesgos de Gestión'!$V$52),"")</f>
        <v/>
      </c>
      <c r="AF12" s="36" t="str">
        <f>IF(AND('Riesgos de Gestión'!$AF$53="Muy Alta",'Riesgos de Gestión'!$AH$53="Mayor"),CONCATENATE("R7C",'Riesgos de Gestión'!$V$53),"")</f>
        <v/>
      </c>
      <c r="AG12" s="37" t="str">
        <f>IF(AND('Riesgos de Gestión'!$AF$54="Muy Alta",'Riesgos de Gestión'!$AH$54="Mayor"),CONCATENATE("R7C",'Riesgos de Gestión'!$V$54),"")</f>
        <v/>
      </c>
      <c r="AH12" s="38" t="str">
        <f>IF(AND('Riesgos de Gestión'!$AF$49="Muy Alta",'Riesgos de Gestión'!$AH$49="Catastrófico"),CONCATENATE("R7C",'Riesgos de Gestión'!$V$49),"")</f>
        <v/>
      </c>
      <c r="AI12" s="39" t="str">
        <f>IF(AND('Riesgos de Gestión'!$AF$50="Muy Alta",'Riesgos de Gestión'!$AH$50="Catastrófico"),CONCATENATE("R7C",'Riesgos de Gestión'!$V$50),"")</f>
        <v/>
      </c>
      <c r="AJ12" s="39" t="str">
        <f>IF(AND('Riesgos de Gestión'!$AF$51="Muy Alta",'Riesgos de Gestión'!$AH$51="Catastrófico"),CONCATENATE("R7C",'Riesgos de Gestión'!$V$51),"")</f>
        <v/>
      </c>
      <c r="AK12" s="39" t="str">
        <f>IF(AND('Riesgos de Gestión'!$AF$52="Muy Alta",'Riesgos de Gestión'!$AH$52="Catastrófico"),CONCATENATE("R7C",'Riesgos de Gestión'!$V$52),"")</f>
        <v/>
      </c>
      <c r="AL12" s="39" t="str">
        <f>IF(AND('Riesgos de Gestión'!$AF$53="Muy Alta",'Riesgos de Gestión'!$AH$53="Catastrófico"),CONCATENATE("R7C",'Riesgos de Gestión'!$V$53),"")</f>
        <v/>
      </c>
      <c r="AM12" s="40" t="str">
        <f>IF(AND('Riesgos de Gestión'!$AF$54="Muy Alta",'Riesgos de Gestión'!$AH$54="Catastrófico"),CONCATENATE("R7C",'Riesgos de Gestión'!$V$54),"")</f>
        <v/>
      </c>
      <c r="AN12" s="66"/>
      <c r="AO12" s="491"/>
      <c r="AP12" s="492"/>
      <c r="AQ12" s="492"/>
      <c r="AR12" s="492"/>
      <c r="AS12" s="492"/>
      <c r="AT12" s="49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30"/>
      <c r="C13" s="430"/>
      <c r="D13" s="431"/>
      <c r="E13" s="471"/>
      <c r="F13" s="472"/>
      <c r="G13" s="472"/>
      <c r="H13" s="472"/>
      <c r="I13" s="473"/>
      <c r="J13" s="35" t="str">
        <f>IF(AND('Riesgos de Gestión'!$AF$55="Muy Alta",'Riesgos de Gestión'!$AH$55="Leve"),CONCATENATE("R8C",'Riesgos de Gestión'!$V$55),"")</f>
        <v/>
      </c>
      <c r="K13" s="36" t="str">
        <f>IF(AND('Riesgos de Gestión'!$AF$56="Muy Alta",'Riesgos de Gestión'!$AH$56="Leve"),CONCATENATE("R8C",'Riesgos de Gestión'!$V$56),"")</f>
        <v/>
      </c>
      <c r="L13" s="36" t="str">
        <f>IF(AND('Riesgos de Gestión'!$AF$57="Muy Alta",'Riesgos de Gestión'!$AH$57="Leve"),CONCATENATE("R8C",'Riesgos de Gestión'!$V$57),"")</f>
        <v/>
      </c>
      <c r="M13" s="36" t="str">
        <f>IF(AND('Riesgos de Gestión'!$AF$58="Muy Alta",'Riesgos de Gestión'!$AH$58="Leve"),CONCATENATE("R8C",'Riesgos de Gestión'!$V$58),"")</f>
        <v/>
      </c>
      <c r="N13" s="36" t="str">
        <f>IF(AND('Riesgos de Gestión'!$AF$59="Muy Alta",'Riesgos de Gestión'!$AH$59="Leve"),CONCATENATE("R8C",'Riesgos de Gestión'!$V$59),"")</f>
        <v/>
      </c>
      <c r="O13" s="37" t="str">
        <f>IF(AND('Riesgos de Gestión'!$AF$60="Muy Alta",'Riesgos de Gestión'!$AH$60="Leve"),CONCATENATE("R8C",'Riesgos de Gestión'!$V$60),"")</f>
        <v/>
      </c>
      <c r="P13" s="35" t="str">
        <f>IF(AND('Riesgos de Gestión'!$AF$55="Muy Alta",'Riesgos de Gestión'!$AH$55="Menor"),CONCATENATE("R8C",'Riesgos de Gestión'!$V$55),"")</f>
        <v/>
      </c>
      <c r="Q13" s="36" t="str">
        <f>IF(AND('Riesgos de Gestión'!$AF$56="Muy Alta",'Riesgos de Gestión'!$AH$56="Menor"),CONCATENATE("R8C",'Riesgos de Gestión'!$V$56),"")</f>
        <v/>
      </c>
      <c r="R13" s="36" t="str">
        <f>IF(AND('Riesgos de Gestión'!$AF$57="Muy Alta",'Riesgos de Gestión'!$AH$57="Menor"),CONCATENATE("R8C",'Riesgos de Gestión'!$V$57),"")</f>
        <v/>
      </c>
      <c r="S13" s="36" t="str">
        <f>IF(AND('Riesgos de Gestión'!$AF$58="Muy Alta",'Riesgos de Gestión'!$AH$58="Menor"),CONCATENATE("R8C",'Riesgos de Gestión'!$V$58),"")</f>
        <v/>
      </c>
      <c r="T13" s="36" t="str">
        <f>IF(AND('Riesgos de Gestión'!$AF$59="Muy Alta",'Riesgos de Gestión'!$AH$59="Menor"),CONCATENATE("R8C",'Riesgos de Gestión'!$V$59),"")</f>
        <v/>
      </c>
      <c r="U13" s="37" t="str">
        <f>IF(AND('Riesgos de Gestión'!$AF$60="Muy Alta",'Riesgos de Gestión'!$AH$60="Menor"),CONCATENATE("R8C",'Riesgos de Gestión'!$V$60),"")</f>
        <v/>
      </c>
      <c r="V13" s="35" t="str">
        <f>IF(AND('Riesgos de Gestión'!$AF$55="Muy Alta",'Riesgos de Gestión'!$AH$55="Moderado"),CONCATENATE("R8C",'Riesgos de Gestión'!$V$55),"")</f>
        <v/>
      </c>
      <c r="W13" s="36" t="str">
        <f>IF(AND('Riesgos de Gestión'!$AF$56="Muy Alta",'Riesgos de Gestión'!$AH$56="Moderado"),CONCATENATE("R8C",'Riesgos de Gestión'!$V$56),"")</f>
        <v/>
      </c>
      <c r="X13" s="36" t="str">
        <f>IF(AND('Riesgos de Gestión'!$AF$57="Muy Alta",'Riesgos de Gestión'!$AH$57="Moderado"),CONCATENATE("R8C",'Riesgos de Gestión'!$V$57),"")</f>
        <v/>
      </c>
      <c r="Y13" s="36" t="str">
        <f>IF(AND('Riesgos de Gestión'!$AF$58="Muy Alta",'Riesgos de Gestión'!$AH$58="Moderado"),CONCATENATE("R8C",'Riesgos de Gestión'!$V$58),"")</f>
        <v/>
      </c>
      <c r="Z13" s="36" t="str">
        <f>IF(AND('Riesgos de Gestión'!$AF$59="Muy Alta",'Riesgos de Gestión'!$AH$59="Moderado"),CONCATENATE("R8C",'Riesgos de Gestión'!$V$59),"")</f>
        <v/>
      </c>
      <c r="AA13" s="37" t="str">
        <f>IF(AND('Riesgos de Gestión'!$AF$60="Muy Alta",'Riesgos de Gestión'!$AH$60="Moderado"),CONCATENATE("R8C",'Riesgos de Gestión'!$V$60),"")</f>
        <v/>
      </c>
      <c r="AB13" s="35" t="str">
        <f>IF(AND('Riesgos de Gestión'!$AF$55="Muy Alta",'Riesgos de Gestión'!$AH$55="Mayor"),CONCATENATE("R8C",'Riesgos de Gestión'!$V$55),"")</f>
        <v/>
      </c>
      <c r="AC13" s="36" t="str">
        <f>IF(AND('Riesgos de Gestión'!$AF$56="Muy Alta",'Riesgos de Gestión'!$AH$56="Mayor"),CONCATENATE("R8C",'Riesgos de Gestión'!$V$56),"")</f>
        <v/>
      </c>
      <c r="AD13" s="36" t="str">
        <f>IF(AND('Riesgos de Gestión'!$AF$57="Muy Alta",'Riesgos de Gestión'!$AH$57="Mayor"),CONCATENATE("R8C",'Riesgos de Gestión'!$V$57),"")</f>
        <v/>
      </c>
      <c r="AE13" s="36" t="str">
        <f>IF(AND('Riesgos de Gestión'!$AF$58="Muy Alta",'Riesgos de Gestión'!$AH$58="Mayor"),CONCATENATE("R8C",'Riesgos de Gestión'!$V$58),"")</f>
        <v/>
      </c>
      <c r="AF13" s="36" t="str">
        <f>IF(AND('Riesgos de Gestión'!$AF$59="Muy Alta",'Riesgos de Gestión'!$AH$59="Mayor"),CONCATENATE("R8C",'Riesgos de Gestión'!$V$59),"")</f>
        <v/>
      </c>
      <c r="AG13" s="37" t="str">
        <f>IF(AND('Riesgos de Gestión'!$AF$60="Muy Alta",'Riesgos de Gestión'!$AH$60="Mayor"),CONCATENATE("R8C",'Riesgos de Gestión'!$V$60),"")</f>
        <v/>
      </c>
      <c r="AH13" s="38" t="str">
        <f>IF(AND('Riesgos de Gestión'!$AF$55="Muy Alta",'Riesgos de Gestión'!$AH$55="Catastrófico"),CONCATENATE("R8C",'Riesgos de Gestión'!$V$55),"")</f>
        <v/>
      </c>
      <c r="AI13" s="39" t="str">
        <f>IF(AND('Riesgos de Gestión'!$AF$56="Muy Alta",'Riesgos de Gestión'!$AH$56="Catastrófico"),CONCATENATE("R8C",'Riesgos de Gestión'!$V$56),"")</f>
        <v/>
      </c>
      <c r="AJ13" s="39" t="str">
        <f>IF(AND('Riesgos de Gestión'!$AF$57="Muy Alta",'Riesgos de Gestión'!$AH$57="Catastrófico"),CONCATENATE("R8C",'Riesgos de Gestión'!$V$57),"")</f>
        <v/>
      </c>
      <c r="AK13" s="39" t="str">
        <f>IF(AND('Riesgos de Gestión'!$AF$58="Muy Alta",'Riesgos de Gestión'!$AH$58="Catastrófico"),CONCATENATE("R8C",'Riesgos de Gestión'!$V$58),"")</f>
        <v/>
      </c>
      <c r="AL13" s="39" t="str">
        <f>IF(AND('Riesgos de Gestión'!$AF$59="Muy Alta",'Riesgos de Gestión'!$AH$59="Catastrófico"),CONCATENATE("R8C",'Riesgos de Gestión'!$V$59),"")</f>
        <v/>
      </c>
      <c r="AM13" s="40" t="str">
        <f>IF(AND('Riesgos de Gestión'!$AF$60="Muy Alta",'Riesgos de Gestión'!$AH$60="Catastrófico"),CONCATENATE("R8C",'Riesgos de Gestión'!$V$60),"")</f>
        <v/>
      </c>
      <c r="AN13" s="66"/>
      <c r="AO13" s="491"/>
      <c r="AP13" s="492"/>
      <c r="AQ13" s="492"/>
      <c r="AR13" s="492"/>
      <c r="AS13" s="492"/>
      <c r="AT13" s="49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30"/>
      <c r="C14" s="430"/>
      <c r="D14" s="431"/>
      <c r="E14" s="471"/>
      <c r="F14" s="472"/>
      <c r="G14" s="472"/>
      <c r="H14" s="472"/>
      <c r="I14" s="473"/>
      <c r="J14" s="35" t="str">
        <f>IF(AND('Riesgos de Gestión'!$AF$61="Muy Alta",'Riesgos de Gestión'!$AH$61="Leve"),CONCATENATE("R9C",'Riesgos de Gestión'!$V$61),"")</f>
        <v/>
      </c>
      <c r="K14" s="36" t="str">
        <f>IF(AND('Riesgos de Gestión'!$AF$62="Muy Alta",'Riesgos de Gestión'!$AH$62="Leve"),CONCATENATE("R9C",'Riesgos de Gestión'!$V$62),"")</f>
        <v/>
      </c>
      <c r="L14" s="36" t="str">
        <f>IF(AND('Riesgos de Gestión'!$AF$63="Muy Alta",'Riesgos de Gestión'!$AH$63="Leve"),CONCATENATE("R9C",'Riesgos de Gestión'!$V$63),"")</f>
        <v/>
      </c>
      <c r="M14" s="36" t="str">
        <f>IF(AND('Riesgos de Gestión'!$AF$64="Muy Alta",'Riesgos de Gestión'!$AH$64="Leve"),CONCATENATE("R9C",'Riesgos de Gestión'!$V$64),"")</f>
        <v/>
      </c>
      <c r="N14" s="36" t="str">
        <f>IF(AND('Riesgos de Gestión'!$AF$65="Muy Alta",'Riesgos de Gestión'!$AH$65="Leve"),CONCATENATE("R9C",'Riesgos de Gestión'!$V$65),"")</f>
        <v/>
      </c>
      <c r="O14" s="37" t="str">
        <f>IF(AND('Riesgos de Gestión'!$AF$66="Muy Alta",'Riesgos de Gestión'!$AH$66="Leve"),CONCATENATE("R9C",'Riesgos de Gestión'!$V$66),"")</f>
        <v/>
      </c>
      <c r="P14" s="35" t="str">
        <f>IF(AND('Riesgos de Gestión'!$AF$61="Muy Alta",'Riesgos de Gestión'!$AH$61="Menor"),CONCATENATE("R9C",'Riesgos de Gestión'!$V$61),"")</f>
        <v/>
      </c>
      <c r="Q14" s="36" t="str">
        <f>IF(AND('Riesgos de Gestión'!$AF$62="Muy Alta",'Riesgos de Gestión'!$AH$62="Menor"),CONCATENATE("R9C",'Riesgos de Gestión'!$V$62),"")</f>
        <v/>
      </c>
      <c r="R14" s="36" t="str">
        <f>IF(AND('Riesgos de Gestión'!$AF$63="Muy Alta",'Riesgos de Gestión'!$AH$63="Menor"),CONCATENATE("R9C",'Riesgos de Gestión'!$V$63),"")</f>
        <v/>
      </c>
      <c r="S14" s="36" t="str">
        <f>IF(AND('Riesgos de Gestión'!$AF$64="Muy Alta",'Riesgos de Gestión'!$AH$64="Menor"),CONCATENATE("R9C",'Riesgos de Gestión'!$V$64),"")</f>
        <v/>
      </c>
      <c r="T14" s="36" t="str">
        <f>IF(AND('Riesgos de Gestión'!$AF$65="Muy Alta",'Riesgos de Gestión'!$AH$65="Menor"),CONCATENATE("R9C",'Riesgos de Gestión'!$V$65),"")</f>
        <v/>
      </c>
      <c r="U14" s="37" t="str">
        <f>IF(AND('Riesgos de Gestión'!$AF$66="Muy Alta",'Riesgos de Gestión'!$AH$66="Menor"),CONCATENATE("R9C",'Riesgos de Gestión'!$V$66),"")</f>
        <v/>
      </c>
      <c r="V14" s="35" t="str">
        <f>IF(AND('Riesgos de Gestión'!$AF$61="Muy Alta",'Riesgos de Gestión'!$AH$61="Moderado"),CONCATENATE("R9C",'Riesgos de Gestión'!$V$61),"")</f>
        <v/>
      </c>
      <c r="W14" s="36" t="str">
        <f>IF(AND('Riesgos de Gestión'!$AF$62="Muy Alta",'Riesgos de Gestión'!$AH$62="Moderado"),CONCATENATE("R9C",'Riesgos de Gestión'!$V$62),"")</f>
        <v/>
      </c>
      <c r="X14" s="36" t="str">
        <f>IF(AND('Riesgos de Gestión'!$AF$63="Muy Alta",'Riesgos de Gestión'!$AH$63="Moderado"),CONCATENATE("R9C",'Riesgos de Gestión'!$V$63),"")</f>
        <v/>
      </c>
      <c r="Y14" s="36" t="str">
        <f>IF(AND('Riesgos de Gestión'!$AF$64="Muy Alta",'Riesgos de Gestión'!$AH$64="Moderado"),CONCATENATE("R9C",'Riesgos de Gestión'!$V$64),"")</f>
        <v/>
      </c>
      <c r="Z14" s="36" t="str">
        <f>IF(AND('Riesgos de Gestión'!$AF$65="Muy Alta",'Riesgos de Gestión'!$AH$65="Moderado"),CONCATENATE("R9C",'Riesgos de Gestión'!$V$65),"")</f>
        <v/>
      </c>
      <c r="AA14" s="37" t="str">
        <f>IF(AND('Riesgos de Gestión'!$AF$66="Muy Alta",'Riesgos de Gestión'!$AH$66="Moderado"),CONCATENATE("R9C",'Riesgos de Gestión'!$V$66),"")</f>
        <v/>
      </c>
      <c r="AB14" s="35" t="str">
        <f>IF(AND('Riesgos de Gestión'!$AF$61="Muy Alta",'Riesgos de Gestión'!$AH$61="Mayor"),CONCATENATE("R9C",'Riesgos de Gestión'!$V$61),"")</f>
        <v/>
      </c>
      <c r="AC14" s="36" t="str">
        <f>IF(AND('Riesgos de Gestión'!$AF$62="Muy Alta",'Riesgos de Gestión'!$AH$62="Mayor"),CONCATENATE("R9C",'Riesgos de Gestión'!$V$62),"")</f>
        <v/>
      </c>
      <c r="AD14" s="36" t="str">
        <f>IF(AND('Riesgos de Gestión'!$AF$63="Muy Alta",'Riesgos de Gestión'!$AH$63="Mayor"),CONCATENATE("R9C",'Riesgos de Gestión'!$V$63),"")</f>
        <v/>
      </c>
      <c r="AE14" s="36" t="str">
        <f>IF(AND('Riesgos de Gestión'!$AF$64="Muy Alta",'Riesgos de Gestión'!$AH$64="Mayor"),CONCATENATE("R9C",'Riesgos de Gestión'!$V$64),"")</f>
        <v/>
      </c>
      <c r="AF14" s="36" t="str">
        <f>IF(AND('Riesgos de Gestión'!$AF$65="Muy Alta",'Riesgos de Gestión'!$AH$65="Mayor"),CONCATENATE("R9C",'Riesgos de Gestión'!$V$65),"")</f>
        <v/>
      </c>
      <c r="AG14" s="37" t="str">
        <f>IF(AND('Riesgos de Gestión'!$AF$66="Muy Alta",'Riesgos de Gestión'!$AH$66="Mayor"),CONCATENATE("R9C",'Riesgos de Gestión'!$V$66),"")</f>
        <v/>
      </c>
      <c r="AH14" s="38" t="str">
        <f>IF(AND('Riesgos de Gestión'!$AF$61="Muy Alta",'Riesgos de Gestión'!$AH$61="Catastrófico"),CONCATENATE("R9C",'Riesgos de Gestión'!$V$61),"")</f>
        <v/>
      </c>
      <c r="AI14" s="39" t="str">
        <f>IF(AND('Riesgos de Gestión'!$AF$62="Muy Alta",'Riesgos de Gestión'!$AH$62="Catastrófico"),CONCATENATE("R9C",'Riesgos de Gestión'!$V$62),"")</f>
        <v/>
      </c>
      <c r="AJ14" s="39" t="str">
        <f>IF(AND('Riesgos de Gestión'!$AF$63="Muy Alta",'Riesgos de Gestión'!$AH$63="Catastrófico"),CONCATENATE("R9C",'Riesgos de Gestión'!$V$63),"")</f>
        <v/>
      </c>
      <c r="AK14" s="39" t="str">
        <f>IF(AND('Riesgos de Gestión'!$AF$64="Muy Alta",'Riesgos de Gestión'!$AH$64="Catastrófico"),CONCATENATE("R9C",'Riesgos de Gestión'!$V$64),"")</f>
        <v/>
      </c>
      <c r="AL14" s="39" t="str">
        <f>IF(AND('Riesgos de Gestión'!$AF$65="Muy Alta",'Riesgos de Gestión'!$AH$65="Catastrófico"),CONCATENATE("R9C",'Riesgos de Gestión'!$V$65),"")</f>
        <v/>
      </c>
      <c r="AM14" s="40" t="str">
        <f>IF(AND('Riesgos de Gestión'!$AF$66="Muy Alta",'Riesgos de Gestión'!$AH$66="Catastrófico"),CONCATENATE("R9C",'Riesgos de Gestión'!$V$66),"")</f>
        <v/>
      </c>
      <c r="AN14" s="66"/>
      <c r="AO14" s="491"/>
      <c r="AP14" s="492"/>
      <c r="AQ14" s="492"/>
      <c r="AR14" s="492"/>
      <c r="AS14" s="492"/>
      <c r="AT14" s="49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30"/>
      <c r="C15" s="430"/>
      <c r="D15" s="431"/>
      <c r="E15" s="474"/>
      <c r="F15" s="475"/>
      <c r="G15" s="475"/>
      <c r="H15" s="475"/>
      <c r="I15" s="476"/>
      <c r="J15" s="41" t="str">
        <f>IF(AND('Riesgos de Gestión'!$AF$67="Muy Alta",'Riesgos de Gestión'!$AH$67="Leve"),CONCATENATE("R10C",'Riesgos de Gestión'!$V$67),"")</f>
        <v/>
      </c>
      <c r="K15" s="42" t="str">
        <f>IF(AND('Riesgos de Gestión'!$AF$68="Muy Alta",'Riesgos de Gestión'!$AH$68="Leve"),CONCATENATE("R10C",'Riesgos de Gestión'!$V$68),"")</f>
        <v/>
      </c>
      <c r="L15" s="42" t="str">
        <f>IF(AND('Riesgos de Gestión'!$AF$69="Muy Alta",'Riesgos de Gestión'!$AH$69="Leve"),CONCATENATE("R10C",'Riesgos de Gestión'!$V$69),"")</f>
        <v/>
      </c>
      <c r="M15" s="42" t="str">
        <f>IF(AND('Riesgos de Gestión'!$AF$70="Muy Alta",'Riesgos de Gestión'!$AH$70="Leve"),CONCATENATE("R10C",'Riesgos de Gestión'!$V$70),"")</f>
        <v/>
      </c>
      <c r="N15" s="42" t="str">
        <f>IF(AND('Riesgos de Gestión'!$AF$71="Muy Alta",'Riesgos de Gestión'!$AH$71="Leve"),CONCATENATE("R10C",'Riesgos de Gestión'!$V$71),"")</f>
        <v/>
      </c>
      <c r="O15" s="43" t="str">
        <f>IF(AND('Riesgos de Gestión'!$AF$72="Muy Alta",'Riesgos de Gestión'!$AH$72="Leve"),CONCATENATE("R10C",'Riesgos de Gestión'!$V$72),"")</f>
        <v/>
      </c>
      <c r="P15" s="35" t="str">
        <f>IF(AND('Riesgos de Gestión'!$AF$67="Muy Alta",'Riesgos de Gestión'!$AH$67="Menor"),CONCATENATE("R10C",'Riesgos de Gestión'!$V$67),"")</f>
        <v/>
      </c>
      <c r="Q15" s="36" t="str">
        <f>IF(AND('Riesgos de Gestión'!$AF$68="Muy Alta",'Riesgos de Gestión'!$AH$68="Menor"),CONCATENATE("R10C",'Riesgos de Gestión'!$V$68),"")</f>
        <v/>
      </c>
      <c r="R15" s="36" t="str">
        <f>IF(AND('Riesgos de Gestión'!$AF$69="Muy Alta",'Riesgos de Gestión'!$AH$69="Menor"),CONCATENATE("R10C",'Riesgos de Gestión'!$V$69),"")</f>
        <v/>
      </c>
      <c r="S15" s="36" t="str">
        <f>IF(AND('Riesgos de Gestión'!$AF$70="Muy Alta",'Riesgos de Gestión'!$AH$70="Menor"),CONCATENATE("R10C",'Riesgos de Gestión'!$V$70),"")</f>
        <v/>
      </c>
      <c r="T15" s="36" t="str">
        <f>IF(AND('Riesgos de Gestión'!$AF$71="Muy Alta",'Riesgos de Gestión'!$AH$71="Menor"),CONCATENATE("R10C",'Riesgos de Gestión'!$V$71),"")</f>
        <v/>
      </c>
      <c r="U15" s="37" t="str">
        <f>IF(AND('Riesgos de Gestión'!$AF$72="Muy Alta",'Riesgos de Gestión'!$AH$72="Menor"),CONCATENATE("R10C",'Riesgos de Gestión'!$V$72),"")</f>
        <v/>
      </c>
      <c r="V15" s="41" t="str">
        <f>IF(AND('Riesgos de Gestión'!$AF$67="Muy Alta",'Riesgos de Gestión'!$AH$67="Moderado"),CONCATENATE("R10C",'Riesgos de Gestión'!$V$67),"")</f>
        <v/>
      </c>
      <c r="W15" s="42" t="str">
        <f>IF(AND('Riesgos de Gestión'!$AF$68="Muy Alta",'Riesgos de Gestión'!$AH$68="Moderado"),CONCATENATE("R10C",'Riesgos de Gestión'!$V$68),"")</f>
        <v/>
      </c>
      <c r="X15" s="42" t="str">
        <f>IF(AND('Riesgos de Gestión'!$AF$69="Muy Alta",'Riesgos de Gestión'!$AH$69="Moderado"),CONCATENATE("R10C",'Riesgos de Gestión'!$V$69),"")</f>
        <v/>
      </c>
      <c r="Y15" s="42" t="str">
        <f>IF(AND('Riesgos de Gestión'!$AF$70="Muy Alta",'Riesgos de Gestión'!$AH$70="Moderado"),CONCATENATE("R10C",'Riesgos de Gestión'!$V$70),"")</f>
        <v/>
      </c>
      <c r="Z15" s="42" t="str">
        <f>IF(AND('Riesgos de Gestión'!$AF$71="Muy Alta",'Riesgos de Gestión'!$AH$71="Moderado"),CONCATENATE("R10C",'Riesgos de Gestión'!$V$71),"")</f>
        <v/>
      </c>
      <c r="AA15" s="43" t="str">
        <f>IF(AND('Riesgos de Gestión'!$AF$72="Muy Alta",'Riesgos de Gestión'!$AH$72="Moderado"),CONCATENATE("R10C",'Riesgos de Gestión'!$V$72),"")</f>
        <v/>
      </c>
      <c r="AB15" s="35" t="str">
        <f>IF(AND('Riesgos de Gestión'!$AF$67="Muy Alta",'Riesgos de Gestión'!$AH$67="Mayor"),CONCATENATE("R10C",'Riesgos de Gestión'!$V$67),"")</f>
        <v/>
      </c>
      <c r="AC15" s="36" t="str">
        <f>IF(AND('Riesgos de Gestión'!$AF$68="Muy Alta",'Riesgos de Gestión'!$AH$68="Mayor"),CONCATENATE("R10C",'Riesgos de Gestión'!$V$68),"")</f>
        <v/>
      </c>
      <c r="AD15" s="36" t="str">
        <f>IF(AND('Riesgos de Gestión'!$AF$69="Muy Alta",'Riesgos de Gestión'!$AH$69="Mayor"),CONCATENATE("R10C",'Riesgos de Gestión'!$V$69),"")</f>
        <v/>
      </c>
      <c r="AE15" s="36" t="str">
        <f>IF(AND('Riesgos de Gestión'!$AF$70="Muy Alta",'Riesgos de Gestión'!$AH$70="Mayor"),CONCATENATE("R10C",'Riesgos de Gestión'!$V$70),"")</f>
        <v/>
      </c>
      <c r="AF15" s="36" t="str">
        <f>IF(AND('Riesgos de Gestión'!$AF$71="Muy Alta",'Riesgos de Gestión'!$AH$71="Mayor"),CONCATENATE("R10C",'Riesgos de Gestión'!$V$71),"")</f>
        <v/>
      </c>
      <c r="AG15" s="37" t="str">
        <f>IF(AND('Riesgos de Gestión'!$AF$72="Muy Alta",'Riesgos de Gestión'!$AH$72="Mayor"),CONCATENATE("R10C",'Riesgos de Gestión'!$V$72),"")</f>
        <v/>
      </c>
      <c r="AH15" s="44" t="str">
        <f>IF(AND('Riesgos de Gestión'!$AF$67="Muy Alta",'Riesgos de Gestión'!$AH$67="Catastrófico"),CONCATENATE("R10C",'Riesgos de Gestión'!$V$67),"")</f>
        <v/>
      </c>
      <c r="AI15" s="45" t="str">
        <f>IF(AND('Riesgos de Gestión'!$AF$68="Muy Alta",'Riesgos de Gestión'!$AH$68="Catastrófico"),CONCATENATE("R10C",'Riesgos de Gestión'!$V$68),"")</f>
        <v/>
      </c>
      <c r="AJ15" s="45" t="str">
        <f>IF(AND('Riesgos de Gestión'!$AF$69="Muy Alta",'Riesgos de Gestión'!$AH$69="Catastrófico"),CONCATENATE("R10C",'Riesgos de Gestión'!$V$69),"")</f>
        <v/>
      </c>
      <c r="AK15" s="45" t="str">
        <f>IF(AND('Riesgos de Gestión'!$AF$70="Muy Alta",'Riesgos de Gestión'!$AH$70="Catastrófico"),CONCATENATE("R10C",'Riesgos de Gestión'!$V$70),"")</f>
        <v/>
      </c>
      <c r="AL15" s="45" t="str">
        <f>IF(AND('Riesgos de Gestión'!$AF$71="Muy Alta",'Riesgos de Gestión'!$AH$71="Catastrófico"),CONCATENATE("R10C",'Riesgos de Gestión'!$V$71),"")</f>
        <v/>
      </c>
      <c r="AM15" s="46" t="str">
        <f>IF(AND('Riesgos de Gestión'!$AF$72="Muy Alta",'Riesgos de Gestión'!$AH$72="Catastrófico"),CONCATENATE("R10C",'Riesgos de Gestión'!$V$72),"")</f>
        <v/>
      </c>
      <c r="AN15" s="66"/>
      <c r="AO15" s="494"/>
      <c r="AP15" s="495"/>
      <c r="AQ15" s="495"/>
      <c r="AR15" s="495"/>
      <c r="AS15" s="495"/>
      <c r="AT15" s="49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30"/>
      <c r="C16" s="430"/>
      <c r="D16" s="431"/>
      <c r="E16" s="468" t="s">
        <v>252</v>
      </c>
      <c r="F16" s="469"/>
      <c r="G16" s="469"/>
      <c r="H16" s="469"/>
      <c r="I16" s="469"/>
      <c r="J16" s="47" t="str">
        <f>IF(AND('Riesgos de Gestión'!$AF$13="Alta",'Riesgos de Gestión'!$AH$13="Leve"),CONCATENATE("R1C",'Riesgos de Gestión'!$V$13),"")</f>
        <v/>
      </c>
      <c r="K16" s="48" t="str">
        <f>IF(AND('Riesgos de Gestión'!$AF$14="Alta",'Riesgos de Gestión'!$AH$14="Leve"),CONCATENATE("R1C",'Riesgos de Gestión'!$V$14),"")</f>
        <v/>
      </c>
      <c r="L16" s="48" t="str">
        <f>IF(AND('Riesgos de Gestión'!$AF$15="Alta",'Riesgos de Gestión'!$AH$15="Leve"),CONCATENATE("R1C",'Riesgos de Gestión'!$V$15),"")</f>
        <v/>
      </c>
      <c r="M16" s="48" t="str">
        <f>IF(AND('Riesgos de Gestión'!$AF$16="Alta",'Riesgos de Gestión'!$AH$16="Leve"),CONCATENATE("R1C",'Riesgos de Gestión'!$V$16),"")</f>
        <v/>
      </c>
      <c r="N16" s="48" t="str">
        <f>IF(AND('Riesgos de Gestión'!$AF$17="Alta",'Riesgos de Gestión'!$AH$17="Leve"),CONCATENATE("R1C",'Riesgos de Gestión'!$V$17),"")</f>
        <v/>
      </c>
      <c r="O16" s="49" t="str">
        <f>IF(AND('Riesgos de Gestión'!$AF$18="Alta",'Riesgos de Gestión'!$AH$18="Leve"),CONCATENATE("R1C",'Riesgos de Gestión'!$V$18),"")</f>
        <v/>
      </c>
      <c r="P16" s="47" t="str">
        <f>IF(AND('Riesgos de Gestión'!$AF$13="Alta",'Riesgos de Gestión'!$AH$13="Menor"),CONCATENATE("R1C",'Riesgos de Gestión'!$V$13),"")</f>
        <v/>
      </c>
      <c r="Q16" s="48" t="str">
        <f>IF(AND('Riesgos de Gestión'!$AF$14="Alta",'Riesgos de Gestión'!$AH$14="Menor"),CONCATENATE("R1C",'Riesgos de Gestión'!$V$14),"")</f>
        <v/>
      </c>
      <c r="R16" s="48" t="str">
        <f>IF(AND('Riesgos de Gestión'!$AF$15="Alta",'Riesgos de Gestión'!$AH$15="Menor"),CONCATENATE("R1C",'Riesgos de Gestión'!$V$15),"")</f>
        <v/>
      </c>
      <c r="S16" s="48" t="str">
        <f>IF(AND('Riesgos de Gestión'!$AF$16="Alta",'Riesgos de Gestión'!$AH$16="Menor"),CONCATENATE("R1C",'Riesgos de Gestión'!$V$16),"")</f>
        <v/>
      </c>
      <c r="T16" s="48" t="str">
        <f>IF(AND('Riesgos de Gestión'!$AF$17="Alta",'Riesgos de Gestión'!$AH$17="Menor"),CONCATENATE("R1C",'Riesgos de Gestión'!$V$17),"")</f>
        <v/>
      </c>
      <c r="U16" s="49" t="str">
        <f>IF(AND('Riesgos de Gestión'!$AF$18="Alta",'Riesgos de Gestión'!$AH$18="Menor"),CONCATENATE("R1C",'Riesgos de Gestión'!$V$18),"")</f>
        <v/>
      </c>
      <c r="V16" s="29" t="str">
        <f>IF(AND('Riesgos de Gestión'!$AF$13="Alta",'Riesgos de Gestión'!$AH$13="Moderado"),CONCATENATE("R1C",'Riesgos de Gestión'!$V$13),"")</f>
        <v/>
      </c>
      <c r="W16" s="30" t="str">
        <f>IF(AND('Riesgos de Gestión'!$AF$14="Alta",'Riesgos de Gestión'!$AH$14="Moderado"),CONCATENATE("R1C",'Riesgos de Gestión'!$V$14),"")</f>
        <v/>
      </c>
      <c r="X16" s="30" t="str">
        <f>IF(AND('Riesgos de Gestión'!$AF$15="Alta",'Riesgos de Gestión'!$AH$15="Moderado"),CONCATENATE("R1C",'Riesgos de Gestión'!$V$15),"")</f>
        <v/>
      </c>
      <c r="Y16" s="30" t="str">
        <f>IF(AND('Riesgos de Gestión'!$AF$16="Alta",'Riesgos de Gestión'!$AH$16="Moderado"),CONCATENATE("R1C",'Riesgos de Gestión'!$V$16),"")</f>
        <v/>
      </c>
      <c r="Z16" s="30" t="str">
        <f>IF(AND('Riesgos de Gestión'!$AF$17="Alta",'Riesgos de Gestión'!$AH$17="Moderado"),CONCATENATE("R1C",'Riesgos de Gestión'!$V$17),"")</f>
        <v/>
      </c>
      <c r="AA16" s="31" t="str">
        <f>IF(AND('Riesgos de Gestión'!$AF$18="Alta",'Riesgos de Gestión'!$AH$18="Moderado"),CONCATENATE("R1C",'Riesgos de Gestión'!$V$18),"")</f>
        <v/>
      </c>
      <c r="AB16" s="29" t="str">
        <f>IF(AND('Riesgos de Gestión'!$AF$13="Alta",'Riesgos de Gestión'!$AH$13="Mayor"),CONCATENATE("R1C",'Riesgos de Gestión'!$V$13),"")</f>
        <v/>
      </c>
      <c r="AC16" s="30" t="str">
        <f>IF(AND('Riesgos de Gestión'!$AF$14="Alta",'Riesgos de Gestión'!$AH$14="Mayor"),CONCATENATE("R1C",'Riesgos de Gestión'!$V$14),"")</f>
        <v/>
      </c>
      <c r="AD16" s="30" t="str">
        <f>IF(AND('Riesgos de Gestión'!$AF$15="Alta",'Riesgos de Gestión'!$AH$15="Mayor"),CONCATENATE("R1C",'Riesgos de Gestión'!$V$15),"")</f>
        <v/>
      </c>
      <c r="AE16" s="30" t="str">
        <f>IF(AND('Riesgos de Gestión'!$AF$16="Alta",'Riesgos de Gestión'!$AH$16="Mayor"),CONCATENATE("R1C",'Riesgos de Gestión'!$V$16),"")</f>
        <v/>
      </c>
      <c r="AF16" s="30" t="str">
        <f>IF(AND('Riesgos de Gestión'!$AF$17="Alta",'Riesgos de Gestión'!$AH$17="Mayor"),CONCATENATE("R1C",'Riesgos de Gestión'!$V$17),"")</f>
        <v/>
      </c>
      <c r="AG16" s="31" t="str">
        <f>IF(AND('Riesgos de Gestión'!$AF$18="Alta",'Riesgos de Gestión'!$AH$18="Mayor"),CONCATENATE("R1C",'Riesgos de Gestión'!$V$18),"")</f>
        <v/>
      </c>
      <c r="AH16" s="32" t="str">
        <f>IF(AND('Riesgos de Gestión'!$AF$13="Alta",'Riesgos de Gestión'!$AH$13="Catastrófico"),CONCATENATE("R1C",'Riesgos de Gestión'!$V$13),"")</f>
        <v/>
      </c>
      <c r="AI16" s="33" t="str">
        <f>IF(AND('Riesgos de Gestión'!$AF$14="Alta",'Riesgos de Gestión'!$AH$14="Catastrófico"),CONCATENATE("R1C",'Riesgos de Gestión'!$V$14),"")</f>
        <v/>
      </c>
      <c r="AJ16" s="33" t="str">
        <f>IF(AND('Riesgos de Gestión'!$AF$15="Alta",'Riesgos de Gestión'!$AH$15="Catastrófico"),CONCATENATE("R1C",'Riesgos de Gestión'!$V$15),"")</f>
        <v/>
      </c>
      <c r="AK16" s="33" t="str">
        <f>IF(AND('Riesgos de Gestión'!$AF$16="Alta",'Riesgos de Gestión'!$AH$16="Catastrófico"),CONCATENATE("R1C",'Riesgos de Gestión'!$V$16),"")</f>
        <v/>
      </c>
      <c r="AL16" s="33" t="str">
        <f>IF(AND('Riesgos de Gestión'!$AF$17="Alta",'Riesgos de Gestión'!$AH$17="Catastrófico"),CONCATENATE("R1C",'Riesgos de Gestión'!$V$17),"")</f>
        <v/>
      </c>
      <c r="AM16" s="34" t="str">
        <f>IF(AND('Riesgos de Gestión'!$AF$18="Alta",'Riesgos de Gestión'!$AH$18="Catastrófico"),CONCATENATE("R1C",'Riesgos de Gestión'!$V$18),"")</f>
        <v/>
      </c>
      <c r="AN16" s="66"/>
      <c r="AO16" s="478" t="s">
        <v>253</v>
      </c>
      <c r="AP16" s="479"/>
      <c r="AQ16" s="479"/>
      <c r="AR16" s="479"/>
      <c r="AS16" s="479"/>
      <c r="AT16" s="480"/>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30"/>
      <c r="C17" s="430"/>
      <c r="D17" s="431"/>
      <c r="E17" s="487"/>
      <c r="F17" s="472"/>
      <c r="G17" s="472"/>
      <c r="H17" s="472"/>
      <c r="I17" s="472"/>
      <c r="J17" s="50" t="str">
        <f>IF(AND('Riesgos de Gestión'!$AF$19="Alta",'Riesgos de Gestión'!$AH$19="Leve"),CONCATENATE("R2C",'Riesgos de Gestión'!$V$19),"")</f>
        <v/>
      </c>
      <c r="K17" s="51" t="str">
        <f>IF(AND('Riesgos de Gestión'!$AF$20="Alta",'Riesgos de Gestión'!$AH$20="Leve"),CONCATENATE("R2C",'Riesgos de Gestión'!$V$20),"")</f>
        <v/>
      </c>
      <c r="L17" s="51" t="str">
        <f>IF(AND('Riesgos de Gestión'!$AF$21="Alta",'Riesgos de Gestión'!$AH$21="Leve"),CONCATENATE("R2C",'Riesgos de Gestión'!$V$21),"")</f>
        <v/>
      </c>
      <c r="M17" s="51" t="str">
        <f>IF(AND('Riesgos de Gestión'!$AF$22="Alta",'Riesgos de Gestión'!$AH$22="Leve"),CONCATENATE("R2C",'Riesgos de Gestión'!$V$22),"")</f>
        <v/>
      </c>
      <c r="N17" s="51" t="str">
        <f>IF(AND('Riesgos de Gestión'!$AF$23="Alta",'Riesgos de Gestión'!$AH$23="Leve"),CONCATENATE("R2C",'Riesgos de Gestión'!$V$23),"")</f>
        <v/>
      </c>
      <c r="O17" s="52" t="str">
        <f>IF(AND('Riesgos de Gestión'!$AF$24="Alta",'Riesgos de Gestión'!$AH$24="Leve"),CONCATENATE("R2C",'Riesgos de Gestión'!$V$24),"")</f>
        <v/>
      </c>
      <c r="P17" s="50" t="str">
        <f>IF(AND('Riesgos de Gestión'!$AF$19="Alta",'Riesgos de Gestión'!$AH$19="Menor"),CONCATENATE("R2C",'Riesgos de Gestión'!$V$19),"")</f>
        <v/>
      </c>
      <c r="Q17" s="51" t="str">
        <f>IF(AND('Riesgos de Gestión'!$AF$20="Alta",'Riesgos de Gestión'!$AH$20="Menor"),CONCATENATE("R2C",'Riesgos de Gestión'!$V$20),"")</f>
        <v/>
      </c>
      <c r="R17" s="51" t="str">
        <f>IF(AND('Riesgos de Gestión'!$AF$21="Alta",'Riesgos de Gestión'!$AH$21="Menor"),CONCATENATE("R2C",'Riesgos de Gestión'!$V$21),"")</f>
        <v/>
      </c>
      <c r="S17" s="51" t="str">
        <f>IF(AND('Riesgos de Gestión'!$AF$22="Alta",'Riesgos de Gestión'!$AH$22="Menor"),CONCATENATE("R2C",'Riesgos de Gestión'!$V$22),"")</f>
        <v/>
      </c>
      <c r="T17" s="51" t="str">
        <f>IF(AND('Riesgos de Gestión'!$AF$23="Alta",'Riesgos de Gestión'!$AH$23="Menor"),CONCATENATE("R2C",'Riesgos de Gestión'!$V$23),"")</f>
        <v/>
      </c>
      <c r="U17" s="52" t="str">
        <f>IF(AND('Riesgos de Gestión'!$AF$24="Alta",'Riesgos de Gestión'!$AH$24="Menor"),CONCATENATE("R2C",'Riesgos de Gestión'!$V$24),"")</f>
        <v/>
      </c>
      <c r="V17" s="35" t="str">
        <f>IF(AND('Riesgos de Gestión'!$AF$19="Alta",'Riesgos de Gestión'!$AH$19="Moderado"),CONCATENATE("R2C",'Riesgos de Gestión'!$V$19),"")</f>
        <v/>
      </c>
      <c r="W17" s="36" t="str">
        <f>IF(AND('Riesgos de Gestión'!$AF$20="Alta",'Riesgos de Gestión'!$AH$20="Moderado"),CONCATENATE("R2C",'Riesgos de Gestión'!$V$20),"")</f>
        <v/>
      </c>
      <c r="X17" s="36" t="str">
        <f>IF(AND('Riesgos de Gestión'!$AF$21="Alta",'Riesgos de Gestión'!$AH$21="Moderado"),CONCATENATE("R2C",'Riesgos de Gestión'!$V$21),"")</f>
        <v/>
      </c>
      <c r="Y17" s="36" t="str">
        <f>IF(AND('Riesgos de Gestión'!$AF$22="Alta",'Riesgos de Gestión'!$AH$22="Moderado"),CONCATENATE("R2C",'Riesgos de Gestión'!$V$22),"")</f>
        <v/>
      </c>
      <c r="Z17" s="36" t="str">
        <f>IF(AND('Riesgos de Gestión'!$AF$23="Alta",'Riesgos de Gestión'!$AH$23="Moderado"),CONCATENATE("R2C",'Riesgos de Gestión'!$V$23),"")</f>
        <v/>
      </c>
      <c r="AA17" s="37" t="str">
        <f>IF(AND('Riesgos de Gestión'!$AF$24="Alta",'Riesgos de Gestión'!$AH$24="Moderado"),CONCATENATE("R2C",'Riesgos de Gestión'!$V$24),"")</f>
        <v/>
      </c>
      <c r="AB17" s="35" t="str">
        <f>IF(AND('Riesgos de Gestión'!$AF$19="Alta",'Riesgos de Gestión'!$AH$19="Mayor"),CONCATENATE("R2C",'Riesgos de Gestión'!$V$19),"")</f>
        <v/>
      </c>
      <c r="AC17" s="36" t="str">
        <f>IF(AND('Riesgos de Gestión'!$AF$20="Alta",'Riesgos de Gestión'!$AH$20="Mayor"),CONCATENATE("R2C",'Riesgos de Gestión'!$V$20),"")</f>
        <v/>
      </c>
      <c r="AD17" s="36" t="str">
        <f>IF(AND('Riesgos de Gestión'!$AF$21="Alta",'Riesgos de Gestión'!$AH$21="Mayor"),CONCATENATE("R2C",'Riesgos de Gestión'!$V$21),"")</f>
        <v/>
      </c>
      <c r="AE17" s="36" t="str">
        <f>IF(AND('Riesgos de Gestión'!$AF$22="Alta",'Riesgos de Gestión'!$AH$22="Mayor"),CONCATENATE("R2C",'Riesgos de Gestión'!$V$22),"")</f>
        <v/>
      </c>
      <c r="AF17" s="36" t="str">
        <f>IF(AND('Riesgos de Gestión'!$AF$23="Alta",'Riesgos de Gestión'!$AH$23="Mayor"),CONCATENATE("R2C",'Riesgos de Gestión'!$V$23),"")</f>
        <v/>
      </c>
      <c r="AG17" s="37" t="str">
        <f>IF(AND('Riesgos de Gestión'!$AF$24="Alta",'Riesgos de Gestión'!$AH$24="Mayor"),CONCATENATE("R2C",'Riesgos de Gestión'!$V$24),"")</f>
        <v/>
      </c>
      <c r="AH17" s="38" t="str">
        <f>IF(AND('Riesgos de Gestión'!$AF$19="Alta",'Riesgos de Gestión'!$AH$19="Catastrófico"),CONCATENATE("R2C",'Riesgos de Gestión'!$V$19),"")</f>
        <v/>
      </c>
      <c r="AI17" s="39" t="str">
        <f>IF(AND('Riesgos de Gestión'!$AF$20="Alta",'Riesgos de Gestión'!$AH$20="Catastrófico"),CONCATENATE("R2C",'Riesgos de Gestión'!$V$20),"")</f>
        <v/>
      </c>
      <c r="AJ17" s="39" t="str">
        <f>IF(AND('Riesgos de Gestión'!$AF$21="Alta",'Riesgos de Gestión'!$AH$21="Catastrófico"),CONCATENATE("R2C",'Riesgos de Gestión'!$V$21),"")</f>
        <v/>
      </c>
      <c r="AK17" s="39" t="str">
        <f>IF(AND('Riesgos de Gestión'!$AF$22="Alta",'Riesgos de Gestión'!$AH$22="Catastrófico"),CONCATENATE("R2C",'Riesgos de Gestión'!$V$22),"")</f>
        <v/>
      </c>
      <c r="AL17" s="39" t="str">
        <f>IF(AND('Riesgos de Gestión'!$AF$23="Alta",'Riesgos de Gestión'!$AH$23="Catastrófico"),CONCATENATE("R2C",'Riesgos de Gestión'!$V$23),"")</f>
        <v/>
      </c>
      <c r="AM17" s="40" t="str">
        <f>IF(AND('Riesgos de Gestión'!$AF$24="Alta",'Riesgos de Gestión'!$AH$24="Catastrófico"),CONCATENATE("R2C",'Riesgos de Gestión'!$V$24),"")</f>
        <v/>
      </c>
      <c r="AN17" s="66"/>
      <c r="AO17" s="481"/>
      <c r="AP17" s="482"/>
      <c r="AQ17" s="482"/>
      <c r="AR17" s="482"/>
      <c r="AS17" s="482"/>
      <c r="AT17" s="483"/>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30"/>
      <c r="C18" s="430"/>
      <c r="D18" s="431"/>
      <c r="E18" s="471"/>
      <c r="F18" s="472"/>
      <c r="G18" s="472"/>
      <c r="H18" s="472"/>
      <c r="I18" s="472"/>
      <c r="J18" s="50" t="str">
        <f>IF(AND('Riesgos de Gestión'!$AF$25="Alta",'Riesgos de Gestión'!$AH$25="Leve"),CONCATENATE("R3C",'Riesgos de Gestión'!$V$25),"")</f>
        <v/>
      </c>
      <c r="K18" s="51" t="str">
        <f>IF(AND('Riesgos de Gestión'!$AF$26="Alta",'Riesgos de Gestión'!$AH$26="Leve"),CONCATENATE("R3C",'Riesgos de Gestión'!$V$26),"")</f>
        <v/>
      </c>
      <c r="L18" s="51" t="str">
        <f>IF(AND('Riesgos de Gestión'!$AF$27="Alta",'Riesgos de Gestión'!$AH$27="Leve"),CONCATENATE("R3C",'Riesgos de Gestión'!$V$27),"")</f>
        <v/>
      </c>
      <c r="M18" s="51" t="str">
        <f>IF(AND('Riesgos de Gestión'!$AF$28="Alta",'Riesgos de Gestión'!$AH$28="Leve"),CONCATENATE("R3C",'Riesgos de Gestión'!$V$28),"")</f>
        <v/>
      </c>
      <c r="N18" s="51" t="str">
        <f>IF(AND('Riesgos de Gestión'!$AF$29="Alta",'Riesgos de Gestión'!$AH$29="Leve"),CONCATENATE("R3C",'Riesgos de Gestión'!$V$29),"")</f>
        <v/>
      </c>
      <c r="O18" s="52" t="str">
        <f>IF(AND('Riesgos de Gestión'!$AF$30="Alta",'Riesgos de Gestión'!$AH$30="Leve"),CONCATENATE("R3C",'Riesgos de Gestión'!$V$30),"")</f>
        <v/>
      </c>
      <c r="P18" s="50" t="str">
        <f>IF(AND('Riesgos de Gestión'!$AF$25="Alta",'Riesgos de Gestión'!$AH$25="Menor"),CONCATENATE("R3C",'Riesgos de Gestión'!$V$25),"")</f>
        <v/>
      </c>
      <c r="Q18" s="51" t="str">
        <f>IF(AND('Riesgos de Gestión'!$AF$26="Alta",'Riesgos de Gestión'!$AH$26="Menor"),CONCATENATE("R3C",'Riesgos de Gestión'!$V$26),"")</f>
        <v/>
      </c>
      <c r="R18" s="51" t="str">
        <f>IF(AND('Riesgos de Gestión'!$AF$27="Alta",'Riesgos de Gestión'!$AH$27="Menor"),CONCATENATE("R3C",'Riesgos de Gestión'!$V$27),"")</f>
        <v/>
      </c>
      <c r="S18" s="51" t="str">
        <f>IF(AND('Riesgos de Gestión'!$AF$28="Alta",'Riesgos de Gestión'!$AH$28="Menor"),CONCATENATE("R3C",'Riesgos de Gestión'!$V$28),"")</f>
        <v/>
      </c>
      <c r="T18" s="51" t="str">
        <f>IF(AND('Riesgos de Gestión'!$AF$29="Alta",'Riesgos de Gestión'!$AH$29="Menor"),CONCATENATE("R3C",'Riesgos de Gestión'!$V$29),"")</f>
        <v/>
      </c>
      <c r="U18" s="52" t="str">
        <f>IF(AND('Riesgos de Gestión'!$AF$30="Alta",'Riesgos de Gestión'!$AH$30="Menor"),CONCATENATE("R3C",'Riesgos de Gestión'!$V$30),"")</f>
        <v/>
      </c>
      <c r="V18" s="35" t="str">
        <f>IF(AND('Riesgos de Gestión'!$AF$25="Alta",'Riesgos de Gestión'!$AH$25="Moderado"),CONCATENATE("R3C",'Riesgos de Gestión'!$V$25),"")</f>
        <v/>
      </c>
      <c r="W18" s="36" t="str">
        <f>IF(AND('Riesgos de Gestión'!$AF$26="Alta",'Riesgos de Gestión'!$AH$26="Moderado"),CONCATENATE("R3C",'Riesgos de Gestión'!$V$26),"")</f>
        <v/>
      </c>
      <c r="X18" s="36" t="str">
        <f>IF(AND('Riesgos de Gestión'!$AF$27="Alta",'Riesgos de Gestión'!$AH$27="Moderado"),CONCATENATE("R3C",'Riesgos de Gestión'!$V$27),"")</f>
        <v/>
      </c>
      <c r="Y18" s="36" t="str">
        <f>IF(AND('Riesgos de Gestión'!$AF$28="Alta",'Riesgos de Gestión'!$AH$28="Moderado"),CONCATENATE("R3C",'Riesgos de Gestión'!$V$28),"")</f>
        <v/>
      </c>
      <c r="Z18" s="36" t="str">
        <f>IF(AND('Riesgos de Gestión'!$AF$29="Alta",'Riesgos de Gestión'!$AH$29="Moderado"),CONCATENATE("R3C",'Riesgos de Gestión'!$V$29),"")</f>
        <v/>
      </c>
      <c r="AA18" s="37" t="str">
        <f>IF(AND('Riesgos de Gestión'!$AF$30="Alta",'Riesgos de Gestión'!$AH$30="Moderado"),CONCATENATE("R3C",'Riesgos de Gestión'!$V$30),"")</f>
        <v/>
      </c>
      <c r="AB18" s="35" t="str">
        <f>IF(AND('Riesgos de Gestión'!$AF$25="Alta",'Riesgos de Gestión'!$AH$25="Mayor"),CONCATENATE("R3C",'Riesgos de Gestión'!$V$25),"")</f>
        <v/>
      </c>
      <c r="AC18" s="36" t="str">
        <f>IF(AND('Riesgos de Gestión'!$AF$26="Alta",'Riesgos de Gestión'!$AH$26="Mayor"),CONCATENATE("R3C",'Riesgos de Gestión'!$V$26),"")</f>
        <v/>
      </c>
      <c r="AD18" s="36" t="str">
        <f>IF(AND('Riesgos de Gestión'!$AF$27="Alta",'Riesgos de Gestión'!$AH$27="Mayor"),CONCATENATE("R3C",'Riesgos de Gestión'!$V$27),"")</f>
        <v/>
      </c>
      <c r="AE18" s="36" t="str">
        <f>IF(AND('Riesgos de Gestión'!$AF$28="Alta",'Riesgos de Gestión'!$AH$28="Mayor"),CONCATENATE("R3C",'Riesgos de Gestión'!$V$28),"")</f>
        <v/>
      </c>
      <c r="AF18" s="36" t="str">
        <f>IF(AND('Riesgos de Gestión'!$AF$29="Alta",'Riesgos de Gestión'!$AH$29="Mayor"),CONCATENATE("R3C",'Riesgos de Gestión'!$V$29),"")</f>
        <v/>
      </c>
      <c r="AG18" s="37" t="str">
        <f>IF(AND('Riesgos de Gestión'!$AF$30="Alta",'Riesgos de Gestión'!$AH$30="Mayor"),CONCATENATE("R3C",'Riesgos de Gestión'!$V$30),"")</f>
        <v/>
      </c>
      <c r="AH18" s="38" t="str">
        <f>IF(AND('Riesgos de Gestión'!$AF$25="Alta",'Riesgos de Gestión'!$AH$25="Catastrófico"),CONCATENATE("R3C",'Riesgos de Gestión'!$V$25),"")</f>
        <v/>
      </c>
      <c r="AI18" s="39" t="str">
        <f>IF(AND('Riesgos de Gestión'!$AF$26="Alta",'Riesgos de Gestión'!$AH$26="Catastrófico"),CONCATENATE("R3C",'Riesgos de Gestión'!$V$26),"")</f>
        <v/>
      </c>
      <c r="AJ18" s="39" t="str">
        <f>IF(AND('Riesgos de Gestión'!$AF$27="Alta",'Riesgos de Gestión'!$AH$27="Catastrófico"),CONCATENATE("R3C",'Riesgos de Gestión'!$V$27),"")</f>
        <v/>
      </c>
      <c r="AK18" s="39" t="str">
        <f>IF(AND('Riesgos de Gestión'!$AF$28="Alta",'Riesgos de Gestión'!$AH$28="Catastrófico"),CONCATENATE("R3C",'Riesgos de Gestión'!$V$28),"")</f>
        <v/>
      </c>
      <c r="AL18" s="39" t="str">
        <f>IF(AND('Riesgos de Gestión'!$AF$29="Alta",'Riesgos de Gestión'!$AH$29="Catastrófico"),CONCATENATE("R3C",'Riesgos de Gestión'!$V$29),"")</f>
        <v/>
      </c>
      <c r="AM18" s="40" t="str">
        <f>IF(AND('Riesgos de Gestión'!$AF$30="Alta",'Riesgos de Gestión'!$AH$30="Catastrófico"),CONCATENATE("R3C",'Riesgos de Gestión'!$V$30),"")</f>
        <v/>
      </c>
      <c r="AN18" s="66"/>
      <c r="AO18" s="481"/>
      <c r="AP18" s="482"/>
      <c r="AQ18" s="482"/>
      <c r="AR18" s="482"/>
      <c r="AS18" s="482"/>
      <c r="AT18" s="483"/>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30"/>
      <c r="C19" s="430"/>
      <c r="D19" s="431"/>
      <c r="E19" s="471"/>
      <c r="F19" s="472"/>
      <c r="G19" s="472"/>
      <c r="H19" s="472"/>
      <c r="I19" s="472"/>
      <c r="J19" s="50" t="str">
        <f>IF(AND('Riesgos de Gestión'!$AF$31="Alta",'Riesgos de Gestión'!$AH$31="Leve"),CONCATENATE("R4C",'Riesgos de Gestión'!$V$31),"")</f>
        <v/>
      </c>
      <c r="K19" s="51" t="str">
        <f>IF(AND('Riesgos de Gestión'!$AF$32="Alta",'Riesgos de Gestión'!$AH$32="Leve"),CONCATENATE("R4C",'Riesgos de Gestión'!$V$32),"")</f>
        <v/>
      </c>
      <c r="L19" s="51" t="str">
        <f>IF(AND('Riesgos de Gestión'!$AF$33="Alta",'Riesgos de Gestión'!$AH$33="Leve"),CONCATENATE("R4C",'Riesgos de Gestión'!$V$33),"")</f>
        <v/>
      </c>
      <c r="M19" s="51" t="str">
        <f>IF(AND('Riesgos de Gestión'!$AF$34="Alta",'Riesgos de Gestión'!$AH$34="Leve"),CONCATENATE("R4C",'Riesgos de Gestión'!$V$34),"")</f>
        <v/>
      </c>
      <c r="N19" s="51" t="str">
        <f>IF(AND('Riesgos de Gestión'!$AF$35="Alta",'Riesgos de Gestión'!$AH$35="Leve"),CONCATENATE("R4C",'Riesgos de Gestión'!$V$35),"")</f>
        <v/>
      </c>
      <c r="O19" s="52" t="str">
        <f>IF(AND('Riesgos de Gestión'!$AF$36="Alta",'Riesgos de Gestión'!$AH$36="Leve"),CONCATENATE("R4C",'Riesgos de Gestión'!$V$36),"")</f>
        <v/>
      </c>
      <c r="P19" s="50" t="str">
        <f>IF(AND('Riesgos de Gestión'!$AF$31="Alta",'Riesgos de Gestión'!$AH$31="Menor"),CONCATENATE("R4C",'Riesgos de Gestión'!$V$31),"")</f>
        <v/>
      </c>
      <c r="Q19" s="51" t="str">
        <f>IF(AND('Riesgos de Gestión'!$AF$32="Alta",'Riesgos de Gestión'!$AH$32="Menor"),CONCATENATE("R4C",'Riesgos de Gestión'!$V$32),"")</f>
        <v/>
      </c>
      <c r="R19" s="51" t="str">
        <f>IF(AND('Riesgos de Gestión'!$AF$33="Alta",'Riesgos de Gestión'!$AH$33="Menor"),CONCATENATE("R4C",'Riesgos de Gestión'!$V$33),"")</f>
        <v/>
      </c>
      <c r="S19" s="51" t="str">
        <f>IF(AND('Riesgos de Gestión'!$AF$34="Alta",'Riesgos de Gestión'!$AH$34="Menor"),CONCATENATE("R4C",'Riesgos de Gestión'!$V$34),"")</f>
        <v/>
      </c>
      <c r="T19" s="51" t="str">
        <f>IF(AND('Riesgos de Gestión'!$AF$35="Alta",'Riesgos de Gestión'!$AH$35="Menor"),CONCATENATE("R4C",'Riesgos de Gestión'!$V$35),"")</f>
        <v/>
      </c>
      <c r="U19" s="52" t="str">
        <f>IF(AND('Riesgos de Gestión'!$AF$36="Alta",'Riesgos de Gestión'!$AH$36="Menor"),CONCATENATE("R4C",'Riesgos de Gestión'!$V$36),"")</f>
        <v/>
      </c>
      <c r="V19" s="35" t="str">
        <f>IF(AND('Riesgos de Gestión'!$AF$31="Alta",'Riesgos de Gestión'!$AH$31="Moderado"),CONCATENATE("R4C",'Riesgos de Gestión'!$V$31),"")</f>
        <v/>
      </c>
      <c r="W19" s="36" t="str">
        <f>IF(AND('Riesgos de Gestión'!$AF$32="Alta",'Riesgos de Gestión'!$AH$32="Moderado"),CONCATENATE("R4C",'Riesgos de Gestión'!$V$32),"")</f>
        <v/>
      </c>
      <c r="X19" s="36" t="str">
        <f>IF(AND('Riesgos de Gestión'!$AF$33="Alta",'Riesgos de Gestión'!$AH$33="Moderado"),CONCATENATE("R4C",'Riesgos de Gestión'!$V$33),"")</f>
        <v/>
      </c>
      <c r="Y19" s="36" t="str">
        <f>IF(AND('Riesgos de Gestión'!$AF$34="Alta",'Riesgos de Gestión'!$AH$34="Moderado"),CONCATENATE("R4C",'Riesgos de Gestión'!$V$34),"")</f>
        <v/>
      </c>
      <c r="Z19" s="36" t="str">
        <f>IF(AND('Riesgos de Gestión'!$AF$35="Alta",'Riesgos de Gestión'!$AH$35="Moderado"),CONCATENATE("R4C",'Riesgos de Gestión'!$V$35),"")</f>
        <v/>
      </c>
      <c r="AA19" s="37" t="str">
        <f>IF(AND('Riesgos de Gestión'!$AF$36="Alta",'Riesgos de Gestión'!$AH$36="Moderado"),CONCATENATE("R4C",'Riesgos de Gestión'!$V$36),"")</f>
        <v/>
      </c>
      <c r="AB19" s="35" t="str">
        <f>IF(AND('Riesgos de Gestión'!$AF$31="Alta",'Riesgos de Gestión'!$AH$31="Mayor"),CONCATENATE("R4C",'Riesgos de Gestión'!$V$31),"")</f>
        <v/>
      </c>
      <c r="AC19" s="36" t="str">
        <f>IF(AND('Riesgos de Gestión'!$AF$32="Alta",'Riesgos de Gestión'!$AH$32="Mayor"),CONCATENATE("R4C",'Riesgos de Gestión'!$V$32),"")</f>
        <v/>
      </c>
      <c r="AD19" s="36" t="str">
        <f>IF(AND('Riesgos de Gestión'!$AF$33="Alta",'Riesgos de Gestión'!$AH$33="Mayor"),CONCATENATE("R4C",'Riesgos de Gestión'!$V$33),"")</f>
        <v/>
      </c>
      <c r="AE19" s="36" t="str">
        <f>IF(AND('Riesgos de Gestión'!$AF$34="Alta",'Riesgos de Gestión'!$AH$34="Mayor"),CONCATENATE("R4C",'Riesgos de Gestión'!$V$34),"")</f>
        <v/>
      </c>
      <c r="AF19" s="36" t="str">
        <f>IF(AND('Riesgos de Gestión'!$AF$35="Alta",'Riesgos de Gestión'!$AH$35="Mayor"),CONCATENATE("R4C",'Riesgos de Gestión'!$V$35),"")</f>
        <v/>
      </c>
      <c r="AG19" s="37" t="str">
        <f>IF(AND('Riesgos de Gestión'!$AF$36="Alta",'Riesgos de Gestión'!$AH$36="Mayor"),CONCATENATE("R4C",'Riesgos de Gestión'!$V$36),"")</f>
        <v/>
      </c>
      <c r="AH19" s="38" t="str">
        <f>IF(AND('Riesgos de Gestión'!$AF$31="Alta",'Riesgos de Gestión'!$AH$31="Catastrófico"),CONCATENATE("R4C",'Riesgos de Gestión'!$V$31),"")</f>
        <v/>
      </c>
      <c r="AI19" s="39" t="str">
        <f>IF(AND('Riesgos de Gestión'!$AF$32="Alta",'Riesgos de Gestión'!$AH$32="Catastrófico"),CONCATENATE("R4C",'Riesgos de Gestión'!$V$32),"")</f>
        <v/>
      </c>
      <c r="AJ19" s="39" t="str">
        <f>IF(AND('Riesgos de Gestión'!$AF$33="Alta",'Riesgos de Gestión'!$AH$33="Catastrófico"),CONCATENATE("R4C",'Riesgos de Gestión'!$V$33),"")</f>
        <v/>
      </c>
      <c r="AK19" s="39" t="str">
        <f>IF(AND('Riesgos de Gestión'!$AF$34="Alta",'Riesgos de Gestión'!$AH$34="Catastrófico"),CONCATENATE("R4C",'Riesgos de Gestión'!$V$34),"")</f>
        <v/>
      </c>
      <c r="AL19" s="39" t="str">
        <f>IF(AND('Riesgos de Gestión'!$AF$35="Alta",'Riesgos de Gestión'!$AH$35="Catastrófico"),CONCATENATE("R4C",'Riesgos de Gestión'!$V$35),"")</f>
        <v/>
      </c>
      <c r="AM19" s="40" t="str">
        <f>IF(AND('Riesgos de Gestión'!$AF$36="Alta",'Riesgos de Gestión'!$AH$36="Catastrófico"),CONCATENATE("R4C",'Riesgos de Gestión'!$V$36),"")</f>
        <v/>
      </c>
      <c r="AN19" s="66"/>
      <c r="AO19" s="481"/>
      <c r="AP19" s="482"/>
      <c r="AQ19" s="482"/>
      <c r="AR19" s="482"/>
      <c r="AS19" s="482"/>
      <c r="AT19" s="483"/>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30"/>
      <c r="C20" s="430"/>
      <c r="D20" s="431"/>
      <c r="E20" s="471"/>
      <c r="F20" s="472"/>
      <c r="G20" s="472"/>
      <c r="H20" s="472"/>
      <c r="I20" s="472"/>
      <c r="J20" s="50" t="str">
        <f>IF(AND('Riesgos de Gestión'!$AF$37="Alta",'Riesgos de Gestión'!$AH$37="Leve"),CONCATENATE("R5C",'Riesgos de Gestión'!$V$37),"")</f>
        <v/>
      </c>
      <c r="K20" s="51" t="str">
        <f>IF(AND('Riesgos de Gestión'!$AF$38="Alta",'Riesgos de Gestión'!$AH$38="Leve"),CONCATENATE("R5C",'Riesgos de Gestión'!$V$38),"")</f>
        <v/>
      </c>
      <c r="L20" s="51" t="str">
        <f>IF(AND('Riesgos de Gestión'!$AF$39="Alta",'Riesgos de Gestión'!$AH$39="Leve"),CONCATENATE("R5C",'Riesgos de Gestión'!$V$39),"")</f>
        <v/>
      </c>
      <c r="M20" s="51" t="str">
        <f>IF(AND('Riesgos de Gestión'!$AF$40="Alta",'Riesgos de Gestión'!$AH$40="Leve"),CONCATENATE("R5C",'Riesgos de Gestión'!$V$40),"")</f>
        <v/>
      </c>
      <c r="N20" s="51" t="str">
        <f>IF(AND('Riesgos de Gestión'!$AF$41="Alta",'Riesgos de Gestión'!$AH$41="Leve"),CONCATENATE("R5C",'Riesgos de Gestión'!$V$41),"")</f>
        <v/>
      </c>
      <c r="O20" s="52" t="str">
        <f>IF(AND('Riesgos de Gestión'!$AF$42="Alta",'Riesgos de Gestión'!$AH$42="Leve"),CONCATENATE("R5C",'Riesgos de Gestión'!$V$42),"")</f>
        <v/>
      </c>
      <c r="P20" s="50" t="str">
        <f>IF(AND('Riesgos de Gestión'!$AF$37="Alta",'Riesgos de Gestión'!$AH$37="Menor"),CONCATENATE("R5C",'Riesgos de Gestión'!$V$37),"")</f>
        <v/>
      </c>
      <c r="Q20" s="51" t="str">
        <f>IF(AND('Riesgos de Gestión'!$AF$38="Alta",'Riesgos de Gestión'!$AH$38="Menor"),CONCATENATE("R5C",'Riesgos de Gestión'!$V$38),"")</f>
        <v/>
      </c>
      <c r="R20" s="51" t="str">
        <f>IF(AND('Riesgos de Gestión'!$AF$39="Alta",'Riesgos de Gestión'!$AH$39="Menor"),CONCATENATE("R5C",'Riesgos de Gestión'!$V$39),"")</f>
        <v/>
      </c>
      <c r="S20" s="51" t="str">
        <f>IF(AND('Riesgos de Gestión'!$AF$40="Alta",'Riesgos de Gestión'!$AH$40="Menor"),CONCATENATE("R5C",'Riesgos de Gestión'!$V$40),"")</f>
        <v/>
      </c>
      <c r="T20" s="51" t="str">
        <f>IF(AND('Riesgos de Gestión'!$AF$41="Alta",'Riesgos de Gestión'!$AH$41="Menor"),CONCATENATE("R5C",'Riesgos de Gestión'!$V$41),"")</f>
        <v/>
      </c>
      <c r="U20" s="52" t="str">
        <f>IF(AND('Riesgos de Gestión'!$AF$42="Alta",'Riesgos de Gestión'!$AH$42="Menor"),CONCATENATE("R5C",'Riesgos de Gestión'!$V$42),"")</f>
        <v/>
      </c>
      <c r="V20" s="35" t="str">
        <f>IF(AND('Riesgos de Gestión'!$AF$37="Alta",'Riesgos de Gestión'!$AH$37="Moderado"),CONCATENATE("R5C",'Riesgos de Gestión'!$V$37),"")</f>
        <v/>
      </c>
      <c r="W20" s="36" t="str">
        <f>IF(AND('Riesgos de Gestión'!$AF$38="Alta",'Riesgos de Gestión'!$AH$38="Moderado"),CONCATENATE("R5C",'Riesgos de Gestión'!$V$38),"")</f>
        <v/>
      </c>
      <c r="X20" s="36" t="str">
        <f>IF(AND('Riesgos de Gestión'!$AF$39="Alta",'Riesgos de Gestión'!$AH$39="Moderado"),CONCATENATE("R5C",'Riesgos de Gestión'!$V$39),"")</f>
        <v/>
      </c>
      <c r="Y20" s="36" t="str">
        <f>IF(AND('Riesgos de Gestión'!$AF$40="Alta",'Riesgos de Gestión'!$AH$40="Moderado"),CONCATENATE("R5C",'Riesgos de Gestión'!$V$40),"")</f>
        <v/>
      </c>
      <c r="Z20" s="36" t="str">
        <f>IF(AND('Riesgos de Gestión'!$AF$41="Alta",'Riesgos de Gestión'!$AH$41="Moderado"),CONCATENATE("R5C",'Riesgos de Gestión'!$V$41),"")</f>
        <v/>
      </c>
      <c r="AA20" s="37" t="str">
        <f>IF(AND('Riesgos de Gestión'!$AF$42="Alta",'Riesgos de Gestión'!$AH$42="Moderado"),CONCATENATE("R5C",'Riesgos de Gestión'!$V$42),"")</f>
        <v/>
      </c>
      <c r="AB20" s="35" t="str">
        <f>IF(AND('Riesgos de Gestión'!$AF$37="Alta",'Riesgos de Gestión'!$AH$37="Mayor"),CONCATENATE("R5C",'Riesgos de Gestión'!$V$37),"")</f>
        <v/>
      </c>
      <c r="AC20" s="36" t="str">
        <f>IF(AND('Riesgos de Gestión'!$AF$38="Alta",'Riesgos de Gestión'!$AH$38="Mayor"),CONCATENATE("R5C",'Riesgos de Gestión'!$V$38),"")</f>
        <v/>
      </c>
      <c r="AD20" s="36" t="str">
        <f>IF(AND('Riesgos de Gestión'!$AF$39="Alta",'Riesgos de Gestión'!$AH$39="Mayor"),CONCATENATE("R5C",'Riesgos de Gestión'!$V$39),"")</f>
        <v/>
      </c>
      <c r="AE20" s="36" t="str">
        <f>IF(AND('Riesgos de Gestión'!$AF$40="Alta",'Riesgos de Gestión'!$AH$40="Mayor"),CONCATENATE("R5C",'Riesgos de Gestión'!$V$40),"")</f>
        <v/>
      </c>
      <c r="AF20" s="36" t="str">
        <f>IF(AND('Riesgos de Gestión'!$AF$41="Alta",'Riesgos de Gestión'!$AH$41="Mayor"),CONCATENATE("R5C",'Riesgos de Gestión'!$V$41),"")</f>
        <v/>
      </c>
      <c r="AG20" s="37" t="str">
        <f>IF(AND('Riesgos de Gestión'!$AF$42="Alta",'Riesgos de Gestión'!$AH$42="Mayor"),CONCATENATE("R5C",'Riesgos de Gestión'!$V$42),"")</f>
        <v/>
      </c>
      <c r="AH20" s="38" t="str">
        <f>IF(AND('Riesgos de Gestión'!$AF$37="Alta",'Riesgos de Gestión'!$AH$37="Catastrófico"),CONCATENATE("R5C",'Riesgos de Gestión'!$V$37),"")</f>
        <v/>
      </c>
      <c r="AI20" s="39" t="str">
        <f>IF(AND('Riesgos de Gestión'!$AF$38="Alta",'Riesgos de Gestión'!$AH$38="Catastrófico"),CONCATENATE("R5C",'Riesgos de Gestión'!$V$38),"")</f>
        <v/>
      </c>
      <c r="AJ20" s="39" t="str">
        <f>IF(AND('Riesgos de Gestión'!$AF$39="Alta",'Riesgos de Gestión'!$AH$39="Catastrófico"),CONCATENATE("R5C",'Riesgos de Gestión'!$V$39),"")</f>
        <v/>
      </c>
      <c r="AK20" s="39" t="str">
        <f>IF(AND('Riesgos de Gestión'!$AF$40="Alta",'Riesgos de Gestión'!$AH$40="Catastrófico"),CONCATENATE("R5C",'Riesgos de Gestión'!$V$40),"")</f>
        <v/>
      </c>
      <c r="AL20" s="39" t="str">
        <f>IF(AND('Riesgos de Gestión'!$AF$41="Alta",'Riesgos de Gestión'!$AH$41="Catastrófico"),CONCATENATE("R5C",'Riesgos de Gestión'!$V$41),"")</f>
        <v/>
      </c>
      <c r="AM20" s="40" t="str">
        <f>IF(AND('Riesgos de Gestión'!$AF$42="Alta",'Riesgos de Gestión'!$AH$42="Catastrófico"),CONCATENATE("R5C",'Riesgos de Gestión'!$V$42),"")</f>
        <v/>
      </c>
      <c r="AN20" s="66"/>
      <c r="AO20" s="481"/>
      <c r="AP20" s="482"/>
      <c r="AQ20" s="482"/>
      <c r="AR20" s="482"/>
      <c r="AS20" s="482"/>
      <c r="AT20" s="483"/>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30"/>
      <c r="C21" s="430"/>
      <c r="D21" s="431"/>
      <c r="E21" s="471"/>
      <c r="F21" s="472"/>
      <c r="G21" s="472"/>
      <c r="H21" s="472"/>
      <c r="I21" s="472"/>
      <c r="J21" s="50" t="str">
        <f>IF(AND('Riesgos de Gestión'!$AF$43="Alta",'Riesgos de Gestión'!$AH$43="Leve"),CONCATENATE("R6C",'Riesgos de Gestión'!$V$43),"")</f>
        <v/>
      </c>
      <c r="K21" s="51" t="str">
        <f>IF(AND('Riesgos de Gestión'!$AF$44="Alta",'Riesgos de Gestión'!$AH$44="Leve"),CONCATENATE("R6C",'Riesgos de Gestión'!$V$44),"")</f>
        <v/>
      </c>
      <c r="L21" s="51" t="str">
        <f>IF(AND('Riesgos de Gestión'!$AF$45="Alta",'Riesgos de Gestión'!$AH$45="Leve"),CONCATENATE("R6C",'Riesgos de Gestión'!$V$45),"")</f>
        <v/>
      </c>
      <c r="M21" s="51" t="str">
        <f>IF(AND('Riesgos de Gestión'!$AF$46="Alta",'Riesgos de Gestión'!$AH$46="Leve"),CONCATENATE("R6C",'Riesgos de Gestión'!$V$46),"")</f>
        <v/>
      </c>
      <c r="N21" s="51" t="str">
        <f>IF(AND('Riesgos de Gestión'!$AF$47="Alta",'Riesgos de Gestión'!$AH$47="Leve"),CONCATENATE("R6C",'Riesgos de Gestión'!$V$47),"")</f>
        <v/>
      </c>
      <c r="O21" s="52" t="str">
        <f>IF(AND('Riesgos de Gestión'!$AF$48="Alta",'Riesgos de Gestión'!$AH$48="Leve"),CONCATENATE("R6C",'Riesgos de Gestión'!$V$48),"")</f>
        <v/>
      </c>
      <c r="P21" s="50" t="str">
        <f>IF(AND('Riesgos de Gestión'!$AF$43="Alta",'Riesgos de Gestión'!$AH$43="Menor"),CONCATENATE("R6C",'Riesgos de Gestión'!$V$43),"")</f>
        <v/>
      </c>
      <c r="Q21" s="51" t="str">
        <f>IF(AND('Riesgos de Gestión'!$AF$44="Alta",'Riesgos de Gestión'!$AH$44="Menor"),CONCATENATE("R6C",'Riesgos de Gestión'!$V$44),"")</f>
        <v/>
      </c>
      <c r="R21" s="51" t="str">
        <f>IF(AND('Riesgos de Gestión'!$AF$45="Alta",'Riesgos de Gestión'!$AH$45="Menor"),CONCATENATE("R6C",'Riesgos de Gestión'!$V$45),"")</f>
        <v/>
      </c>
      <c r="S21" s="51" t="str">
        <f>IF(AND('Riesgos de Gestión'!$AF$46="Alta",'Riesgos de Gestión'!$AH$46="Menor"),CONCATENATE("R6C",'Riesgos de Gestión'!$V$46),"")</f>
        <v/>
      </c>
      <c r="T21" s="51" t="str">
        <f>IF(AND('Riesgos de Gestión'!$AF$47="Alta",'Riesgos de Gestión'!$AH$47="Menor"),CONCATENATE("R6C",'Riesgos de Gestión'!$V$47),"")</f>
        <v/>
      </c>
      <c r="U21" s="52" t="str">
        <f>IF(AND('Riesgos de Gestión'!$AF$48="Alta",'Riesgos de Gestión'!$AH$48="Menor"),CONCATENATE("R6C",'Riesgos de Gestión'!$V$48),"")</f>
        <v/>
      </c>
      <c r="V21" s="35" t="str">
        <f>IF(AND('Riesgos de Gestión'!$AF$43="Alta",'Riesgos de Gestión'!$AH$43="Moderado"),CONCATENATE("R6C",'Riesgos de Gestión'!$V$43),"")</f>
        <v/>
      </c>
      <c r="W21" s="36" t="str">
        <f>IF(AND('Riesgos de Gestión'!$AF$44="Alta",'Riesgos de Gestión'!$AH$44="Moderado"),CONCATENATE("R6C",'Riesgos de Gestión'!$V$44),"")</f>
        <v/>
      </c>
      <c r="X21" s="36" t="str">
        <f>IF(AND('Riesgos de Gestión'!$AF$45="Alta",'Riesgos de Gestión'!$AH$45="Moderado"),CONCATENATE("R6C",'Riesgos de Gestión'!$V$45),"")</f>
        <v/>
      </c>
      <c r="Y21" s="36" t="str">
        <f>IF(AND('Riesgos de Gestión'!$AF$46="Alta",'Riesgos de Gestión'!$AH$46="Moderado"),CONCATENATE("R6C",'Riesgos de Gestión'!$V$46),"")</f>
        <v/>
      </c>
      <c r="Z21" s="36" t="str">
        <f>IF(AND('Riesgos de Gestión'!$AF$47="Alta",'Riesgos de Gestión'!$AH$47="Moderado"),CONCATENATE("R6C",'Riesgos de Gestión'!$V$47),"")</f>
        <v/>
      </c>
      <c r="AA21" s="37" t="str">
        <f>IF(AND('Riesgos de Gestión'!$AF$48="Alta",'Riesgos de Gestión'!$AH$48="Moderado"),CONCATENATE("R6C",'Riesgos de Gestión'!$V$48),"")</f>
        <v/>
      </c>
      <c r="AB21" s="35" t="str">
        <f>IF(AND('Riesgos de Gestión'!$AF$43="Alta",'Riesgos de Gestión'!$AH$43="Mayor"),CONCATENATE("R6C",'Riesgos de Gestión'!$V$43),"")</f>
        <v/>
      </c>
      <c r="AC21" s="36" t="str">
        <f>IF(AND('Riesgos de Gestión'!$AF$44="Alta",'Riesgos de Gestión'!$AH$44="Mayor"),CONCATENATE("R6C",'Riesgos de Gestión'!$V$44),"")</f>
        <v/>
      </c>
      <c r="AD21" s="36" t="str">
        <f>IF(AND('Riesgos de Gestión'!$AF$45="Alta",'Riesgos de Gestión'!$AH$45="Mayor"),CONCATENATE("R6C",'Riesgos de Gestión'!$V$45),"")</f>
        <v/>
      </c>
      <c r="AE21" s="36" t="str">
        <f>IF(AND('Riesgos de Gestión'!$AF$46="Alta",'Riesgos de Gestión'!$AH$46="Mayor"),CONCATENATE("R6C",'Riesgos de Gestión'!$V$46),"")</f>
        <v/>
      </c>
      <c r="AF21" s="36" t="str">
        <f>IF(AND('Riesgos de Gestión'!$AF$47="Alta",'Riesgos de Gestión'!$AH$47="Mayor"),CONCATENATE("R6C",'Riesgos de Gestión'!$V$47),"")</f>
        <v/>
      </c>
      <c r="AG21" s="37" t="str">
        <f>IF(AND('Riesgos de Gestión'!$AF$48="Alta",'Riesgos de Gestión'!$AH$48="Mayor"),CONCATENATE("R6C",'Riesgos de Gestión'!$V$48),"")</f>
        <v/>
      </c>
      <c r="AH21" s="38" t="str">
        <f>IF(AND('Riesgos de Gestión'!$AF$43="Alta",'Riesgos de Gestión'!$AH$43="Catastrófico"),CONCATENATE("R6C",'Riesgos de Gestión'!$V$43),"")</f>
        <v/>
      </c>
      <c r="AI21" s="39" t="str">
        <f>IF(AND('Riesgos de Gestión'!$AF$44="Alta",'Riesgos de Gestión'!$AH$44="Catastrófico"),CONCATENATE("R6C",'Riesgos de Gestión'!$V$44),"")</f>
        <v/>
      </c>
      <c r="AJ21" s="39" t="str">
        <f>IF(AND('Riesgos de Gestión'!$AF$45="Alta",'Riesgos de Gestión'!$AH$45="Catastrófico"),CONCATENATE("R6C",'Riesgos de Gestión'!$V$45),"")</f>
        <v/>
      </c>
      <c r="AK21" s="39" t="str">
        <f>IF(AND('Riesgos de Gestión'!$AF$46="Alta",'Riesgos de Gestión'!$AH$46="Catastrófico"),CONCATENATE("R6C",'Riesgos de Gestión'!$V$46),"")</f>
        <v/>
      </c>
      <c r="AL21" s="39" t="str">
        <f>IF(AND('Riesgos de Gestión'!$AF$47="Alta",'Riesgos de Gestión'!$AH$47="Catastrófico"),CONCATENATE("R6C",'Riesgos de Gestión'!$V$47),"")</f>
        <v/>
      </c>
      <c r="AM21" s="40" t="str">
        <f>IF(AND('Riesgos de Gestión'!$AF$48="Alta",'Riesgos de Gestión'!$AH$48="Catastrófico"),CONCATENATE("R6C",'Riesgos de Gestión'!$V$48),"")</f>
        <v/>
      </c>
      <c r="AN21" s="66"/>
      <c r="AO21" s="481"/>
      <c r="AP21" s="482"/>
      <c r="AQ21" s="482"/>
      <c r="AR21" s="482"/>
      <c r="AS21" s="482"/>
      <c r="AT21" s="483"/>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30"/>
      <c r="C22" s="430"/>
      <c r="D22" s="431"/>
      <c r="E22" s="471"/>
      <c r="F22" s="472"/>
      <c r="G22" s="472"/>
      <c r="H22" s="472"/>
      <c r="I22" s="472"/>
      <c r="J22" s="50" t="str">
        <f>IF(AND('Riesgos de Gestión'!$AF$49="Alta",'Riesgos de Gestión'!$AH$49="Leve"),CONCATENATE("R7C",'Riesgos de Gestión'!$V$49),"")</f>
        <v/>
      </c>
      <c r="K22" s="51" t="str">
        <f>IF(AND('Riesgos de Gestión'!$AF$50="Alta",'Riesgos de Gestión'!$AH$50="Leve"),CONCATENATE("R7C",'Riesgos de Gestión'!$V$50),"")</f>
        <v/>
      </c>
      <c r="L22" s="51" t="str">
        <f>IF(AND('Riesgos de Gestión'!$AF$51="Alta",'Riesgos de Gestión'!$AH$51="Leve"),CONCATENATE("R7C",'Riesgos de Gestión'!$V$51),"")</f>
        <v/>
      </c>
      <c r="M22" s="51" t="str">
        <f>IF(AND('Riesgos de Gestión'!$AF$52="Alta",'Riesgos de Gestión'!$AH$52="Leve"),CONCATENATE("R7C",'Riesgos de Gestión'!$V$52),"")</f>
        <v/>
      </c>
      <c r="N22" s="51" t="str">
        <f>IF(AND('Riesgos de Gestión'!$AF$53="Alta",'Riesgos de Gestión'!$AH$53="Leve"),CONCATENATE("R7C",'Riesgos de Gestión'!$V$53),"")</f>
        <v/>
      </c>
      <c r="O22" s="52" t="str">
        <f>IF(AND('Riesgos de Gestión'!$AF$54="Alta",'Riesgos de Gestión'!$AH$54="Leve"),CONCATENATE("R7C",'Riesgos de Gestión'!$V$54),"")</f>
        <v/>
      </c>
      <c r="P22" s="50" t="str">
        <f>IF(AND('Riesgos de Gestión'!$AF$49="Alta",'Riesgos de Gestión'!$AH$49="Menor"),CONCATENATE("R7C",'Riesgos de Gestión'!$V$49),"")</f>
        <v/>
      </c>
      <c r="Q22" s="51" t="str">
        <f>IF(AND('Riesgos de Gestión'!$AF$50="Alta",'Riesgos de Gestión'!$AH$50="Menor"),CONCATENATE("R7C",'Riesgos de Gestión'!$V$50),"")</f>
        <v/>
      </c>
      <c r="R22" s="51" t="str">
        <f>IF(AND('Riesgos de Gestión'!$AF$51="Alta",'Riesgos de Gestión'!$AH$51="Menor"),CONCATENATE("R7C",'Riesgos de Gestión'!$V$51),"")</f>
        <v/>
      </c>
      <c r="S22" s="51" t="str">
        <f>IF(AND('Riesgos de Gestión'!$AF$52="Alta",'Riesgos de Gestión'!$AH$52="Menor"),CONCATENATE("R7C",'Riesgos de Gestión'!$V$52),"")</f>
        <v/>
      </c>
      <c r="T22" s="51" t="str">
        <f>IF(AND('Riesgos de Gestión'!$AF$53="Alta",'Riesgos de Gestión'!$AH$53="Menor"),CONCATENATE("R7C",'Riesgos de Gestión'!$V$53),"")</f>
        <v/>
      </c>
      <c r="U22" s="52" t="str">
        <f>IF(AND('Riesgos de Gestión'!$AF$54="Alta",'Riesgos de Gestión'!$AH$54="Menor"),CONCATENATE("R7C",'Riesgos de Gestión'!$V$54),"")</f>
        <v/>
      </c>
      <c r="V22" s="35" t="str">
        <f>IF(AND('Riesgos de Gestión'!$AF$49="Alta",'Riesgos de Gestión'!$AH$49="Moderado"),CONCATENATE("R7C",'Riesgos de Gestión'!$V$49),"")</f>
        <v/>
      </c>
      <c r="W22" s="36" t="str">
        <f>IF(AND('Riesgos de Gestión'!$AF$50="Alta",'Riesgos de Gestión'!$AH$50="Moderado"),CONCATENATE("R7C",'Riesgos de Gestión'!$V$50),"")</f>
        <v/>
      </c>
      <c r="X22" s="36" t="str">
        <f>IF(AND('Riesgos de Gestión'!$AF$51="Alta",'Riesgos de Gestión'!$AH$51="Moderado"),CONCATENATE("R7C",'Riesgos de Gestión'!$V$51),"")</f>
        <v/>
      </c>
      <c r="Y22" s="36" t="str">
        <f>IF(AND('Riesgos de Gestión'!$AF$52="Alta",'Riesgos de Gestión'!$AH$52="Moderado"),CONCATENATE("R7C",'Riesgos de Gestión'!$V$52),"")</f>
        <v/>
      </c>
      <c r="Z22" s="36" t="str">
        <f>IF(AND('Riesgos de Gestión'!$AF$53="Alta",'Riesgos de Gestión'!$AH$53="Moderado"),CONCATENATE("R7C",'Riesgos de Gestión'!$V$53),"")</f>
        <v/>
      </c>
      <c r="AA22" s="37" t="str">
        <f>IF(AND('Riesgos de Gestión'!$AF$54="Alta",'Riesgos de Gestión'!$AH$54="Moderado"),CONCATENATE("R7C",'Riesgos de Gestión'!$V$54),"")</f>
        <v/>
      </c>
      <c r="AB22" s="35" t="str">
        <f>IF(AND('Riesgos de Gestión'!$AF$49="Alta",'Riesgos de Gestión'!$AH$49="Mayor"),CONCATENATE("R7C",'Riesgos de Gestión'!$V$49),"")</f>
        <v/>
      </c>
      <c r="AC22" s="36" t="str">
        <f>IF(AND('Riesgos de Gestión'!$AF$50="Alta",'Riesgos de Gestión'!$AH$50="Mayor"),CONCATENATE("R7C",'Riesgos de Gestión'!$V$50),"")</f>
        <v/>
      </c>
      <c r="AD22" s="36" t="str">
        <f>IF(AND('Riesgos de Gestión'!$AF$51="Alta",'Riesgos de Gestión'!$AH$51="Mayor"),CONCATENATE("R7C",'Riesgos de Gestión'!$V$51),"")</f>
        <v/>
      </c>
      <c r="AE22" s="36" t="str">
        <f>IF(AND('Riesgos de Gestión'!$AF$52="Alta",'Riesgos de Gestión'!$AH$52="Mayor"),CONCATENATE("R7C",'Riesgos de Gestión'!$V$52),"")</f>
        <v/>
      </c>
      <c r="AF22" s="36" t="str">
        <f>IF(AND('Riesgos de Gestión'!$AF$53="Alta",'Riesgos de Gestión'!$AH$53="Mayor"),CONCATENATE("R7C",'Riesgos de Gestión'!$V$53),"")</f>
        <v/>
      </c>
      <c r="AG22" s="37" t="str">
        <f>IF(AND('Riesgos de Gestión'!$AF$54="Alta",'Riesgos de Gestión'!$AH$54="Mayor"),CONCATENATE("R7C",'Riesgos de Gestión'!$V$54),"")</f>
        <v/>
      </c>
      <c r="AH22" s="38" t="str">
        <f>IF(AND('Riesgos de Gestión'!$AF$49="Alta",'Riesgos de Gestión'!$AH$49="Catastrófico"),CONCATENATE("R7C",'Riesgos de Gestión'!$V$49),"")</f>
        <v/>
      </c>
      <c r="AI22" s="39" t="str">
        <f>IF(AND('Riesgos de Gestión'!$AF$50="Alta",'Riesgos de Gestión'!$AH$50="Catastrófico"),CONCATENATE("R7C",'Riesgos de Gestión'!$V$50),"")</f>
        <v/>
      </c>
      <c r="AJ22" s="39" t="str">
        <f>IF(AND('Riesgos de Gestión'!$AF$51="Alta",'Riesgos de Gestión'!$AH$51="Catastrófico"),CONCATENATE("R7C",'Riesgos de Gestión'!$V$51),"")</f>
        <v/>
      </c>
      <c r="AK22" s="39" t="str">
        <f>IF(AND('Riesgos de Gestión'!$AF$52="Alta",'Riesgos de Gestión'!$AH$52="Catastrófico"),CONCATENATE("R7C",'Riesgos de Gestión'!$V$52),"")</f>
        <v/>
      </c>
      <c r="AL22" s="39" t="str">
        <f>IF(AND('Riesgos de Gestión'!$AF$53="Alta",'Riesgos de Gestión'!$AH$53="Catastrófico"),CONCATENATE("R7C",'Riesgos de Gestión'!$V$53),"")</f>
        <v/>
      </c>
      <c r="AM22" s="40" t="str">
        <f>IF(AND('Riesgos de Gestión'!$AF$54="Alta",'Riesgos de Gestión'!$AH$54="Catastrófico"),CONCATENATE("R7C",'Riesgos de Gestión'!$V$54),"")</f>
        <v/>
      </c>
      <c r="AN22" s="66"/>
      <c r="AO22" s="481"/>
      <c r="AP22" s="482"/>
      <c r="AQ22" s="482"/>
      <c r="AR22" s="482"/>
      <c r="AS22" s="482"/>
      <c r="AT22" s="483"/>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30"/>
      <c r="C23" s="430"/>
      <c r="D23" s="431"/>
      <c r="E23" s="471"/>
      <c r="F23" s="472"/>
      <c r="G23" s="472"/>
      <c r="H23" s="472"/>
      <c r="I23" s="472"/>
      <c r="J23" s="50" t="str">
        <f>IF(AND('Riesgos de Gestión'!$AF$55="Alta",'Riesgos de Gestión'!$AH$55="Leve"),CONCATENATE("R8C",'Riesgos de Gestión'!$V$55),"")</f>
        <v/>
      </c>
      <c r="K23" s="51" t="str">
        <f>IF(AND('Riesgos de Gestión'!$AF$56="Alta",'Riesgos de Gestión'!$AH$56="Leve"),CONCATENATE("R8C",'Riesgos de Gestión'!$V$56),"")</f>
        <v/>
      </c>
      <c r="L23" s="51" t="str">
        <f>IF(AND('Riesgos de Gestión'!$AF$57="Alta",'Riesgos de Gestión'!$AH$57="Leve"),CONCATENATE("R8C",'Riesgos de Gestión'!$V$57),"")</f>
        <v/>
      </c>
      <c r="M23" s="51" t="str">
        <f>IF(AND('Riesgos de Gestión'!$AF$58="Alta",'Riesgos de Gestión'!$AH$58="Leve"),CONCATENATE("R8C",'Riesgos de Gestión'!$V$58),"")</f>
        <v/>
      </c>
      <c r="N23" s="51" t="str">
        <f>IF(AND('Riesgos de Gestión'!$AF$59="Alta",'Riesgos de Gestión'!$AH$59="Leve"),CONCATENATE("R8C",'Riesgos de Gestión'!$V$59),"")</f>
        <v/>
      </c>
      <c r="O23" s="52" t="str">
        <f>IF(AND('Riesgos de Gestión'!$AF$60="Alta",'Riesgos de Gestión'!$AH$60="Leve"),CONCATENATE("R8C",'Riesgos de Gestión'!$V$60),"")</f>
        <v/>
      </c>
      <c r="P23" s="50" t="str">
        <f>IF(AND('Riesgos de Gestión'!$AF$55="Alta",'Riesgos de Gestión'!$AH$55="Menor"),CONCATENATE("R8C",'Riesgos de Gestión'!$V$55),"")</f>
        <v/>
      </c>
      <c r="Q23" s="51" t="str">
        <f>IF(AND('Riesgos de Gestión'!$AF$56="Alta",'Riesgos de Gestión'!$AH$56="Menor"),CONCATENATE("R8C",'Riesgos de Gestión'!$V$56),"")</f>
        <v/>
      </c>
      <c r="R23" s="51" t="str">
        <f>IF(AND('Riesgos de Gestión'!$AF$57="Alta",'Riesgos de Gestión'!$AH$57="Menor"),CONCATENATE("R8C",'Riesgos de Gestión'!$V$57),"")</f>
        <v/>
      </c>
      <c r="S23" s="51" t="str">
        <f>IF(AND('Riesgos de Gestión'!$AF$58="Alta",'Riesgos de Gestión'!$AH$58="Menor"),CONCATENATE("R8C",'Riesgos de Gestión'!$V$58),"")</f>
        <v/>
      </c>
      <c r="T23" s="51" t="str">
        <f>IF(AND('Riesgos de Gestión'!$AF$59="Alta",'Riesgos de Gestión'!$AH$59="Menor"),CONCATENATE("R8C",'Riesgos de Gestión'!$V$59),"")</f>
        <v/>
      </c>
      <c r="U23" s="52" t="str">
        <f>IF(AND('Riesgos de Gestión'!$AF$60="Alta",'Riesgos de Gestión'!$AH$60="Menor"),CONCATENATE("R8C",'Riesgos de Gestión'!$V$60),"")</f>
        <v/>
      </c>
      <c r="V23" s="35" t="str">
        <f>IF(AND('Riesgos de Gestión'!$AF$55="Alta",'Riesgos de Gestión'!$AH$55="Moderado"),CONCATENATE("R8C",'Riesgos de Gestión'!$V$55),"")</f>
        <v/>
      </c>
      <c r="W23" s="36" t="str">
        <f>IF(AND('Riesgos de Gestión'!$AF$56="Alta",'Riesgos de Gestión'!$AH$56="Moderado"),CONCATENATE("R8C",'Riesgos de Gestión'!$V$56),"")</f>
        <v/>
      </c>
      <c r="X23" s="36" t="str">
        <f>IF(AND('Riesgos de Gestión'!$AF$57="Alta",'Riesgos de Gestión'!$AH$57="Moderado"),CONCATENATE("R8C",'Riesgos de Gestión'!$V$57),"")</f>
        <v/>
      </c>
      <c r="Y23" s="36" t="str">
        <f>IF(AND('Riesgos de Gestión'!$AF$58="Alta",'Riesgos de Gestión'!$AH$58="Moderado"),CONCATENATE("R8C",'Riesgos de Gestión'!$V$58),"")</f>
        <v/>
      </c>
      <c r="Z23" s="36" t="str">
        <f>IF(AND('Riesgos de Gestión'!$AF$59="Alta",'Riesgos de Gestión'!$AH$59="Moderado"),CONCATENATE("R8C",'Riesgos de Gestión'!$V$59),"")</f>
        <v/>
      </c>
      <c r="AA23" s="37" t="str">
        <f>IF(AND('Riesgos de Gestión'!$AF$60="Alta",'Riesgos de Gestión'!$AH$60="Moderado"),CONCATENATE("R8C",'Riesgos de Gestión'!$V$60),"")</f>
        <v/>
      </c>
      <c r="AB23" s="35" t="str">
        <f>IF(AND('Riesgos de Gestión'!$AF$55="Alta",'Riesgos de Gestión'!$AH$55="Mayor"),CONCATENATE("R8C",'Riesgos de Gestión'!$V$55),"")</f>
        <v/>
      </c>
      <c r="AC23" s="36" t="str">
        <f>IF(AND('Riesgos de Gestión'!$AF$56="Alta",'Riesgos de Gestión'!$AH$56="Mayor"),CONCATENATE("R8C",'Riesgos de Gestión'!$V$56),"")</f>
        <v/>
      </c>
      <c r="AD23" s="36" t="str">
        <f>IF(AND('Riesgos de Gestión'!$AF$57="Alta",'Riesgos de Gestión'!$AH$57="Mayor"),CONCATENATE("R8C",'Riesgos de Gestión'!$V$57),"")</f>
        <v/>
      </c>
      <c r="AE23" s="36" t="str">
        <f>IF(AND('Riesgos de Gestión'!$AF$58="Alta",'Riesgos de Gestión'!$AH$58="Mayor"),CONCATENATE("R8C",'Riesgos de Gestión'!$V$58),"")</f>
        <v/>
      </c>
      <c r="AF23" s="36" t="str">
        <f>IF(AND('Riesgos de Gestión'!$AF$59="Alta",'Riesgos de Gestión'!$AH$59="Mayor"),CONCATENATE("R8C",'Riesgos de Gestión'!$V$59),"")</f>
        <v/>
      </c>
      <c r="AG23" s="37" t="str">
        <f>IF(AND('Riesgos de Gestión'!$AF$60="Alta",'Riesgos de Gestión'!$AH$60="Mayor"),CONCATENATE("R8C",'Riesgos de Gestión'!$V$60),"")</f>
        <v/>
      </c>
      <c r="AH23" s="38" t="str">
        <f>IF(AND('Riesgos de Gestión'!$AF$55="Alta",'Riesgos de Gestión'!$AH$55="Catastrófico"),CONCATENATE("R8C",'Riesgos de Gestión'!$V$55),"")</f>
        <v/>
      </c>
      <c r="AI23" s="39" t="str">
        <f>IF(AND('Riesgos de Gestión'!$AF$56="Alta",'Riesgos de Gestión'!$AH$56="Catastrófico"),CONCATENATE("R8C",'Riesgos de Gestión'!$V$56),"")</f>
        <v/>
      </c>
      <c r="AJ23" s="39" t="str">
        <f>IF(AND('Riesgos de Gestión'!$AF$57="Alta",'Riesgos de Gestión'!$AH$57="Catastrófico"),CONCATENATE("R8C",'Riesgos de Gestión'!$V$57),"")</f>
        <v/>
      </c>
      <c r="AK23" s="39" t="str">
        <f>IF(AND('Riesgos de Gestión'!$AF$58="Alta",'Riesgos de Gestión'!$AH$58="Catastrófico"),CONCATENATE("R8C",'Riesgos de Gestión'!$V$58),"")</f>
        <v/>
      </c>
      <c r="AL23" s="39" t="str">
        <f>IF(AND('Riesgos de Gestión'!$AF$59="Alta",'Riesgos de Gestión'!$AH$59="Catastrófico"),CONCATENATE("R8C",'Riesgos de Gestión'!$V$59),"")</f>
        <v/>
      </c>
      <c r="AM23" s="40" t="str">
        <f>IF(AND('Riesgos de Gestión'!$AF$60="Alta",'Riesgos de Gestión'!$AH$60="Catastrófico"),CONCATENATE("R8C",'Riesgos de Gestión'!$V$60),"")</f>
        <v/>
      </c>
      <c r="AN23" s="66"/>
      <c r="AO23" s="481"/>
      <c r="AP23" s="482"/>
      <c r="AQ23" s="482"/>
      <c r="AR23" s="482"/>
      <c r="AS23" s="482"/>
      <c r="AT23" s="483"/>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30"/>
      <c r="C24" s="430"/>
      <c r="D24" s="431"/>
      <c r="E24" s="471"/>
      <c r="F24" s="472"/>
      <c r="G24" s="472"/>
      <c r="H24" s="472"/>
      <c r="I24" s="472"/>
      <c r="J24" s="50" t="str">
        <f>IF(AND('Riesgos de Gestión'!$AF$61="Alta",'Riesgos de Gestión'!$AH$61="Leve"),CONCATENATE("R9C",'Riesgos de Gestión'!$V$61),"")</f>
        <v/>
      </c>
      <c r="K24" s="51" t="str">
        <f>IF(AND('Riesgos de Gestión'!$AF$62="Alta",'Riesgos de Gestión'!$AH$62="Leve"),CONCATENATE("R9C",'Riesgos de Gestión'!$V$62),"")</f>
        <v/>
      </c>
      <c r="L24" s="51" t="str">
        <f>IF(AND('Riesgos de Gestión'!$AF$63="Alta",'Riesgos de Gestión'!$AH$63="Leve"),CONCATENATE("R9C",'Riesgos de Gestión'!$V$63),"")</f>
        <v/>
      </c>
      <c r="M24" s="51" t="str">
        <f>IF(AND('Riesgos de Gestión'!$AF$64="Alta",'Riesgos de Gestión'!$AH$64="Leve"),CONCATENATE("R9C",'Riesgos de Gestión'!$V$64),"")</f>
        <v/>
      </c>
      <c r="N24" s="51" t="str">
        <f>IF(AND('Riesgos de Gestión'!$AF$65="Alta",'Riesgos de Gestión'!$AH$65="Leve"),CONCATENATE("R9C",'Riesgos de Gestión'!$V$65),"")</f>
        <v/>
      </c>
      <c r="O24" s="52" t="str">
        <f>IF(AND('Riesgos de Gestión'!$AF$66="Alta",'Riesgos de Gestión'!$AH$66="Leve"),CONCATENATE("R9C",'Riesgos de Gestión'!$V$66),"")</f>
        <v/>
      </c>
      <c r="P24" s="50" t="str">
        <f>IF(AND('Riesgos de Gestión'!$AF$61="Alta",'Riesgos de Gestión'!$AH$61="Menor"),CONCATENATE("R9C",'Riesgos de Gestión'!$V$61),"")</f>
        <v/>
      </c>
      <c r="Q24" s="51" t="str">
        <f>IF(AND('Riesgos de Gestión'!$AF$62="Alta",'Riesgos de Gestión'!$AH$62="Menor"),CONCATENATE("R9C",'Riesgos de Gestión'!$V$62),"")</f>
        <v/>
      </c>
      <c r="R24" s="51" t="str">
        <f>IF(AND('Riesgos de Gestión'!$AF$63="Alta",'Riesgos de Gestión'!$AH$63="Menor"),CONCATENATE("R9C",'Riesgos de Gestión'!$V$63),"")</f>
        <v/>
      </c>
      <c r="S24" s="51" t="str">
        <f>IF(AND('Riesgos de Gestión'!$AF$64="Alta",'Riesgos de Gestión'!$AH$64="Menor"),CONCATENATE("R9C",'Riesgos de Gestión'!$V$64),"")</f>
        <v/>
      </c>
      <c r="T24" s="51" t="str">
        <f>IF(AND('Riesgos de Gestión'!$AF$65="Alta",'Riesgos de Gestión'!$AH$65="Menor"),CONCATENATE("R9C",'Riesgos de Gestión'!$V$65),"")</f>
        <v/>
      </c>
      <c r="U24" s="52" t="str">
        <f>IF(AND('Riesgos de Gestión'!$AF$66="Alta",'Riesgos de Gestión'!$AH$66="Menor"),CONCATENATE("R9C",'Riesgos de Gestión'!$V$66),"")</f>
        <v/>
      </c>
      <c r="V24" s="35" t="str">
        <f>IF(AND('Riesgos de Gestión'!$AF$61="Alta",'Riesgos de Gestión'!$AH$61="Moderado"),CONCATENATE("R9C",'Riesgos de Gestión'!$V$61),"")</f>
        <v/>
      </c>
      <c r="W24" s="36" t="str">
        <f>IF(AND('Riesgos de Gestión'!$AF$62="Alta",'Riesgos de Gestión'!$AH$62="Moderado"),CONCATENATE("R9C",'Riesgos de Gestión'!$V$62),"")</f>
        <v/>
      </c>
      <c r="X24" s="36" t="str">
        <f>IF(AND('Riesgos de Gestión'!$AF$63="Alta",'Riesgos de Gestión'!$AH$63="Moderado"),CONCATENATE("R9C",'Riesgos de Gestión'!$V$63),"")</f>
        <v/>
      </c>
      <c r="Y24" s="36" t="str">
        <f>IF(AND('Riesgos de Gestión'!$AF$64="Alta",'Riesgos de Gestión'!$AH$64="Moderado"),CONCATENATE("R9C",'Riesgos de Gestión'!$V$64),"")</f>
        <v/>
      </c>
      <c r="Z24" s="36" t="str">
        <f>IF(AND('Riesgos de Gestión'!$AF$65="Alta",'Riesgos de Gestión'!$AH$65="Moderado"),CONCATENATE("R9C",'Riesgos de Gestión'!$V$65),"")</f>
        <v/>
      </c>
      <c r="AA24" s="37" t="str">
        <f>IF(AND('Riesgos de Gestión'!$AF$66="Alta",'Riesgos de Gestión'!$AH$66="Moderado"),CONCATENATE("R9C",'Riesgos de Gestión'!$V$66),"")</f>
        <v/>
      </c>
      <c r="AB24" s="35" t="str">
        <f>IF(AND('Riesgos de Gestión'!$AF$61="Alta",'Riesgos de Gestión'!$AH$61="Mayor"),CONCATENATE("R9C",'Riesgos de Gestión'!$V$61),"")</f>
        <v/>
      </c>
      <c r="AC24" s="36" t="str">
        <f>IF(AND('Riesgos de Gestión'!$AF$62="Alta",'Riesgos de Gestión'!$AH$62="Mayor"),CONCATENATE("R9C",'Riesgos de Gestión'!$V$62),"")</f>
        <v/>
      </c>
      <c r="AD24" s="36" t="str">
        <f>IF(AND('Riesgos de Gestión'!$AF$63="Alta",'Riesgos de Gestión'!$AH$63="Mayor"),CONCATENATE("R9C",'Riesgos de Gestión'!$V$63),"")</f>
        <v/>
      </c>
      <c r="AE24" s="36" t="str">
        <f>IF(AND('Riesgos de Gestión'!$AF$64="Alta",'Riesgos de Gestión'!$AH$64="Mayor"),CONCATENATE("R9C",'Riesgos de Gestión'!$V$64),"")</f>
        <v/>
      </c>
      <c r="AF24" s="36" t="str">
        <f>IF(AND('Riesgos de Gestión'!$AF$65="Alta",'Riesgos de Gestión'!$AH$65="Mayor"),CONCATENATE("R9C",'Riesgos de Gestión'!$V$65),"")</f>
        <v/>
      </c>
      <c r="AG24" s="37" t="str">
        <f>IF(AND('Riesgos de Gestión'!$AF$66="Alta",'Riesgos de Gestión'!$AH$66="Mayor"),CONCATENATE("R9C",'Riesgos de Gestión'!$V$66),"")</f>
        <v/>
      </c>
      <c r="AH24" s="38" t="str">
        <f>IF(AND('Riesgos de Gestión'!$AF$61="Alta",'Riesgos de Gestión'!$AH$61="Catastrófico"),CONCATENATE("R9C",'Riesgos de Gestión'!$V$61),"")</f>
        <v/>
      </c>
      <c r="AI24" s="39" t="str">
        <f>IF(AND('Riesgos de Gestión'!$AF$62="Alta",'Riesgos de Gestión'!$AH$62="Catastrófico"),CONCATENATE("R9C",'Riesgos de Gestión'!$V$62),"")</f>
        <v/>
      </c>
      <c r="AJ24" s="39" t="str">
        <f>IF(AND('Riesgos de Gestión'!$AF$63="Alta",'Riesgos de Gestión'!$AH$63="Catastrófico"),CONCATENATE("R9C",'Riesgos de Gestión'!$V$63),"")</f>
        <v/>
      </c>
      <c r="AK24" s="39" t="str">
        <f>IF(AND('Riesgos de Gestión'!$AF$64="Alta",'Riesgos de Gestión'!$AH$64="Catastrófico"),CONCATENATE("R9C",'Riesgos de Gestión'!$V$64),"")</f>
        <v/>
      </c>
      <c r="AL24" s="39" t="str">
        <f>IF(AND('Riesgos de Gestión'!$AF$65="Alta",'Riesgos de Gestión'!$AH$65="Catastrófico"),CONCATENATE("R9C",'Riesgos de Gestión'!$V$65),"")</f>
        <v/>
      </c>
      <c r="AM24" s="40" t="str">
        <f>IF(AND('Riesgos de Gestión'!$AF$66="Alta",'Riesgos de Gestión'!$AH$66="Catastrófico"),CONCATENATE("R9C",'Riesgos de Gestión'!$V$66),"")</f>
        <v/>
      </c>
      <c r="AN24" s="66"/>
      <c r="AO24" s="481"/>
      <c r="AP24" s="482"/>
      <c r="AQ24" s="482"/>
      <c r="AR24" s="482"/>
      <c r="AS24" s="482"/>
      <c r="AT24" s="483"/>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30"/>
      <c r="C25" s="430"/>
      <c r="D25" s="431"/>
      <c r="E25" s="474"/>
      <c r="F25" s="475"/>
      <c r="G25" s="475"/>
      <c r="H25" s="475"/>
      <c r="I25" s="475"/>
      <c r="J25" s="53" t="str">
        <f>IF(AND('Riesgos de Gestión'!$AF$67="Alta",'Riesgos de Gestión'!$AH$67="Leve"),CONCATENATE("R10C",'Riesgos de Gestión'!$V$67),"")</f>
        <v/>
      </c>
      <c r="K25" s="54" t="str">
        <f>IF(AND('Riesgos de Gestión'!$AF$68="Alta",'Riesgos de Gestión'!$AH$68="Leve"),CONCATENATE("R10C",'Riesgos de Gestión'!$V$68),"")</f>
        <v/>
      </c>
      <c r="L25" s="54" t="str">
        <f>IF(AND('Riesgos de Gestión'!$AF$69="Alta",'Riesgos de Gestión'!$AH$69="Leve"),CONCATENATE("R10C",'Riesgos de Gestión'!$V$69),"")</f>
        <v/>
      </c>
      <c r="M25" s="54" t="str">
        <f>IF(AND('Riesgos de Gestión'!$AF$70="Alta",'Riesgos de Gestión'!$AH$70="Leve"),CONCATENATE("R10C",'Riesgos de Gestión'!$V$70),"")</f>
        <v/>
      </c>
      <c r="N25" s="54" t="str">
        <f>IF(AND('Riesgos de Gestión'!$AF$71="Alta",'Riesgos de Gestión'!$AH$71="Leve"),CONCATENATE("R10C",'Riesgos de Gestión'!$V$71),"")</f>
        <v/>
      </c>
      <c r="O25" s="55" t="str">
        <f>IF(AND('Riesgos de Gestión'!$AF$72="Alta",'Riesgos de Gestión'!$AH$72="Leve"),CONCATENATE("R10C",'Riesgos de Gestión'!$V$72),"")</f>
        <v/>
      </c>
      <c r="P25" s="53" t="str">
        <f>IF(AND('Riesgos de Gestión'!$AF$67="Alta",'Riesgos de Gestión'!$AH$67="Menor"),CONCATENATE("R10C",'Riesgos de Gestión'!$V$67),"")</f>
        <v/>
      </c>
      <c r="Q25" s="54" t="str">
        <f>IF(AND('Riesgos de Gestión'!$AF$68="Alta",'Riesgos de Gestión'!$AH$68="Menor"),CONCATENATE("R10C",'Riesgos de Gestión'!$V$68),"")</f>
        <v/>
      </c>
      <c r="R25" s="54" t="str">
        <f>IF(AND('Riesgos de Gestión'!$AF$69="Alta",'Riesgos de Gestión'!$AH$69="Menor"),CONCATENATE("R10C",'Riesgos de Gestión'!$V$69),"")</f>
        <v/>
      </c>
      <c r="S25" s="54" t="str">
        <f>IF(AND('Riesgos de Gestión'!$AF$70="Alta",'Riesgos de Gestión'!$AH$70="Menor"),CONCATENATE("R10C",'Riesgos de Gestión'!$V$70),"")</f>
        <v/>
      </c>
      <c r="T25" s="54" t="str">
        <f>IF(AND('Riesgos de Gestión'!$AF$71="Alta",'Riesgos de Gestión'!$AH$71="Menor"),CONCATENATE("R10C",'Riesgos de Gestión'!$V$71),"")</f>
        <v/>
      </c>
      <c r="U25" s="55" t="str">
        <f>IF(AND('Riesgos de Gestión'!$AF$72="Alta",'Riesgos de Gestión'!$AH$72="Menor"),CONCATENATE("R10C",'Riesgos de Gestión'!$V$72),"")</f>
        <v/>
      </c>
      <c r="V25" s="41" t="str">
        <f>IF(AND('Riesgos de Gestión'!$AF$67="Alta",'Riesgos de Gestión'!$AH$67="Moderado"),CONCATENATE("R10C",'Riesgos de Gestión'!$V$67),"")</f>
        <v/>
      </c>
      <c r="W25" s="42" t="str">
        <f>IF(AND('Riesgos de Gestión'!$AF$68="Alta",'Riesgos de Gestión'!$AH$68="Moderado"),CONCATENATE("R10C",'Riesgos de Gestión'!$V$68),"")</f>
        <v/>
      </c>
      <c r="X25" s="42" t="str">
        <f>IF(AND('Riesgos de Gestión'!$AF$69="Alta",'Riesgos de Gestión'!$AH$69="Moderado"),CONCATENATE("R10C",'Riesgos de Gestión'!$V$69),"")</f>
        <v/>
      </c>
      <c r="Y25" s="42" t="str">
        <f>IF(AND('Riesgos de Gestión'!$AF$70="Alta",'Riesgos de Gestión'!$AH$70="Moderado"),CONCATENATE("R10C",'Riesgos de Gestión'!$V$70),"")</f>
        <v/>
      </c>
      <c r="Z25" s="42" t="str">
        <f>IF(AND('Riesgos de Gestión'!$AF$71="Alta",'Riesgos de Gestión'!$AH$71="Moderado"),CONCATENATE("R10C",'Riesgos de Gestión'!$V$71),"")</f>
        <v/>
      </c>
      <c r="AA25" s="43" t="str">
        <f>IF(AND('Riesgos de Gestión'!$AF$72="Alta",'Riesgos de Gestión'!$AH$72="Moderado"),CONCATENATE("R10C",'Riesgos de Gestión'!$V$72),"")</f>
        <v/>
      </c>
      <c r="AB25" s="41" t="str">
        <f>IF(AND('Riesgos de Gestión'!$AF$67="Alta",'Riesgos de Gestión'!$AH$67="Mayor"),CONCATENATE("R10C",'Riesgos de Gestión'!$V$67),"")</f>
        <v/>
      </c>
      <c r="AC25" s="42" t="str">
        <f>IF(AND('Riesgos de Gestión'!$AF$68="Alta",'Riesgos de Gestión'!$AH$68="Mayor"),CONCATENATE("R10C",'Riesgos de Gestión'!$V$68),"")</f>
        <v/>
      </c>
      <c r="AD25" s="42" t="str">
        <f>IF(AND('Riesgos de Gestión'!$AF$69="Alta",'Riesgos de Gestión'!$AH$69="Mayor"),CONCATENATE("R10C",'Riesgos de Gestión'!$V$69),"")</f>
        <v/>
      </c>
      <c r="AE25" s="42" t="str">
        <f>IF(AND('Riesgos de Gestión'!$AF$70="Alta",'Riesgos de Gestión'!$AH$70="Mayor"),CONCATENATE("R10C",'Riesgos de Gestión'!$V$70),"")</f>
        <v/>
      </c>
      <c r="AF25" s="42" t="str">
        <f>IF(AND('Riesgos de Gestión'!$AF$71="Alta",'Riesgos de Gestión'!$AH$71="Mayor"),CONCATENATE("R10C",'Riesgos de Gestión'!$V$71),"")</f>
        <v/>
      </c>
      <c r="AG25" s="43" t="str">
        <f>IF(AND('Riesgos de Gestión'!$AF$72="Alta",'Riesgos de Gestión'!$AH$72="Mayor"),CONCATENATE("R10C",'Riesgos de Gestión'!$V$72),"")</f>
        <v/>
      </c>
      <c r="AH25" s="44" t="str">
        <f>IF(AND('Riesgos de Gestión'!$AF$67="Alta",'Riesgos de Gestión'!$AH$67="Catastrófico"),CONCATENATE("R10C",'Riesgos de Gestión'!$V$67),"")</f>
        <v/>
      </c>
      <c r="AI25" s="45" t="str">
        <f>IF(AND('Riesgos de Gestión'!$AF$68="Alta",'Riesgos de Gestión'!$AH$68="Catastrófico"),CONCATENATE("R10C",'Riesgos de Gestión'!$V$68),"")</f>
        <v/>
      </c>
      <c r="AJ25" s="45" t="str">
        <f>IF(AND('Riesgos de Gestión'!$AF$69="Alta",'Riesgos de Gestión'!$AH$69="Catastrófico"),CONCATENATE("R10C",'Riesgos de Gestión'!$V$69),"")</f>
        <v/>
      </c>
      <c r="AK25" s="45" t="str">
        <f>IF(AND('Riesgos de Gestión'!$AF$70="Alta",'Riesgos de Gestión'!$AH$70="Catastrófico"),CONCATENATE("R10C",'Riesgos de Gestión'!$V$70),"")</f>
        <v/>
      </c>
      <c r="AL25" s="45" t="str">
        <f>IF(AND('Riesgos de Gestión'!$AF$71="Alta",'Riesgos de Gestión'!$AH$71="Catastrófico"),CONCATENATE("R10C",'Riesgos de Gestión'!$V$71),"")</f>
        <v/>
      </c>
      <c r="AM25" s="46" t="str">
        <f>IF(AND('Riesgos de Gestión'!$AF$72="Alta",'Riesgos de Gestión'!$AH$72="Catastrófico"),CONCATENATE("R10C",'Riesgos de Gestión'!$V$72),"")</f>
        <v/>
      </c>
      <c r="AN25" s="66"/>
      <c r="AO25" s="484"/>
      <c r="AP25" s="485"/>
      <c r="AQ25" s="485"/>
      <c r="AR25" s="485"/>
      <c r="AS25" s="485"/>
      <c r="AT25" s="48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30"/>
      <c r="C26" s="430"/>
      <c r="D26" s="431"/>
      <c r="E26" s="468" t="s">
        <v>254</v>
      </c>
      <c r="F26" s="469"/>
      <c r="G26" s="469"/>
      <c r="H26" s="469"/>
      <c r="I26" s="470"/>
      <c r="J26" s="47" t="str">
        <f>IF(AND('Riesgos de Gestión'!$AF$13="Media",'Riesgos de Gestión'!$AH$13="Leve"),CONCATENATE("R1C",'Riesgos de Gestión'!$V$13),"")</f>
        <v/>
      </c>
      <c r="K26" s="48" t="str">
        <f>IF(AND('Riesgos de Gestión'!$AF$14="Media",'Riesgos de Gestión'!$AH$14="Leve"),CONCATENATE("R1C",'Riesgos de Gestión'!$V$14),"")</f>
        <v/>
      </c>
      <c r="L26" s="48" t="str">
        <f>IF(AND('Riesgos de Gestión'!$AF$15="Media",'Riesgos de Gestión'!$AH$15="Leve"),CONCATENATE("R1C",'Riesgos de Gestión'!$V$15),"")</f>
        <v/>
      </c>
      <c r="M26" s="48" t="str">
        <f>IF(AND('Riesgos de Gestión'!$AF$16="Media",'Riesgos de Gestión'!$AH$16="Leve"),CONCATENATE("R1C",'Riesgos de Gestión'!$V$16),"")</f>
        <v/>
      </c>
      <c r="N26" s="48" t="str">
        <f>IF(AND('Riesgos de Gestión'!$AF$17="Media",'Riesgos de Gestión'!$AH$17="Leve"),CONCATENATE("R1C",'Riesgos de Gestión'!$V$17),"")</f>
        <v/>
      </c>
      <c r="O26" s="49" t="str">
        <f>IF(AND('Riesgos de Gestión'!$AF$18="Media",'Riesgos de Gestión'!$AH$18="Leve"),CONCATENATE("R1C",'Riesgos de Gestión'!$V$18),"")</f>
        <v/>
      </c>
      <c r="P26" s="47" t="str">
        <f>IF(AND('Riesgos de Gestión'!$AF$13="Media",'Riesgos de Gestión'!$AH$13="Menor"),CONCATENATE("R1C",'Riesgos de Gestión'!$V$13),"")</f>
        <v/>
      </c>
      <c r="Q26" s="48" t="str">
        <f>IF(AND('Riesgos de Gestión'!$AF$14="Media",'Riesgos de Gestión'!$AH$14="Menor"),CONCATENATE("R1C",'Riesgos de Gestión'!$V$14),"")</f>
        <v/>
      </c>
      <c r="R26" s="48" t="str">
        <f>IF(AND('Riesgos de Gestión'!$AF$15="Media",'Riesgos de Gestión'!$AH$15="Menor"),CONCATENATE("R1C",'Riesgos de Gestión'!$V$15),"")</f>
        <v/>
      </c>
      <c r="S26" s="48" t="str">
        <f>IF(AND('Riesgos de Gestión'!$AF$16="Media",'Riesgos de Gestión'!$AH$16="Menor"),CONCATENATE("R1C",'Riesgos de Gestión'!$V$16),"")</f>
        <v/>
      </c>
      <c r="T26" s="48" t="str">
        <f>IF(AND('Riesgos de Gestión'!$AF$17="Media",'Riesgos de Gestión'!$AH$17="Menor"),CONCATENATE("R1C",'Riesgos de Gestión'!$V$17),"")</f>
        <v/>
      </c>
      <c r="U26" s="49" t="str">
        <f>IF(AND('Riesgos de Gestión'!$AF$18="Media",'Riesgos de Gestión'!$AH$18="Menor"),CONCATENATE("R1C",'Riesgos de Gestión'!$V$18),"")</f>
        <v/>
      </c>
      <c r="V26" s="47" t="str">
        <f>IF(AND('Riesgos de Gestión'!$AF$13="Media",'Riesgos de Gestión'!$AH$13="Moderado"),CONCATENATE("R1C",'Riesgos de Gestión'!$V$13),"")</f>
        <v/>
      </c>
      <c r="W26" s="48" t="str">
        <f>IF(AND('Riesgos de Gestión'!$AF$14="Media",'Riesgos de Gestión'!$AH$14="Moderado"),CONCATENATE("R1C",'Riesgos de Gestión'!$V$14),"")</f>
        <v/>
      </c>
      <c r="X26" s="48" t="str">
        <f>IF(AND('Riesgos de Gestión'!$AF$15="Media",'Riesgos de Gestión'!$AH$15="Moderado"),CONCATENATE("R1C",'Riesgos de Gestión'!$V$15),"")</f>
        <v/>
      </c>
      <c r="Y26" s="48" t="str">
        <f>IF(AND('Riesgos de Gestión'!$AF$16="Media",'Riesgos de Gestión'!$AH$16="Moderado"),CONCATENATE("R1C",'Riesgos de Gestión'!$V$16),"")</f>
        <v/>
      </c>
      <c r="Z26" s="48" t="str">
        <f>IF(AND('Riesgos de Gestión'!$AF$17="Media",'Riesgos de Gestión'!$AH$17="Moderado"),CONCATENATE("R1C",'Riesgos de Gestión'!$V$17),"")</f>
        <v/>
      </c>
      <c r="AA26" s="49" t="str">
        <f>IF(AND('Riesgos de Gestión'!$AF$18="Media",'Riesgos de Gestión'!$AH$18="Moderado"),CONCATENATE("R1C",'Riesgos de Gestión'!$V$18),"")</f>
        <v/>
      </c>
      <c r="AB26" s="29" t="str">
        <f>IF(AND('Riesgos de Gestión'!$AF$13="Media",'Riesgos de Gestión'!$AH$13="Mayor"),CONCATENATE("R1C",'Riesgos de Gestión'!$V$13),"")</f>
        <v/>
      </c>
      <c r="AC26" s="30" t="str">
        <f>IF(AND('Riesgos de Gestión'!$AF$14="Media",'Riesgos de Gestión'!$AH$14="Mayor"),CONCATENATE("R1C",'Riesgos de Gestión'!$V$14),"")</f>
        <v/>
      </c>
      <c r="AD26" s="30" t="str">
        <f>IF(AND('Riesgos de Gestión'!$AF$15="Media",'Riesgos de Gestión'!$AH$15="Mayor"),CONCATENATE("R1C",'Riesgos de Gestión'!$V$15),"")</f>
        <v/>
      </c>
      <c r="AE26" s="30" t="str">
        <f>IF(AND('Riesgos de Gestión'!$AF$16="Media",'Riesgos de Gestión'!$AH$16="Mayor"),CONCATENATE("R1C",'Riesgos de Gestión'!$V$16),"")</f>
        <v/>
      </c>
      <c r="AF26" s="30" t="str">
        <f>IF(AND('Riesgos de Gestión'!$AF$17="Media",'Riesgos de Gestión'!$AH$17="Mayor"),CONCATENATE("R1C",'Riesgos de Gestión'!$V$17),"")</f>
        <v/>
      </c>
      <c r="AG26" s="31" t="str">
        <f>IF(AND('Riesgos de Gestión'!$AF$18="Media",'Riesgos de Gestión'!$AH$18="Mayor"),CONCATENATE("R1C",'Riesgos de Gestión'!$V$18),"")</f>
        <v/>
      </c>
      <c r="AH26" s="32" t="str">
        <f>IF(AND('Riesgos de Gestión'!$AF$13="Media",'Riesgos de Gestión'!$AH$13="Catastrófico"),CONCATENATE("R1C",'Riesgos de Gestión'!$V$13),"")</f>
        <v/>
      </c>
      <c r="AI26" s="33" t="str">
        <f>IF(AND('Riesgos de Gestión'!$AF$14="Media",'Riesgos de Gestión'!$AH$14="Catastrófico"),CONCATENATE("R1C",'Riesgos de Gestión'!$V$14),"")</f>
        <v/>
      </c>
      <c r="AJ26" s="33" t="str">
        <f>IF(AND('Riesgos de Gestión'!$AF$15="Media",'Riesgos de Gestión'!$AH$15="Catastrófico"),CONCATENATE("R1C",'Riesgos de Gestión'!$V$15),"")</f>
        <v/>
      </c>
      <c r="AK26" s="33" t="str">
        <f>IF(AND('Riesgos de Gestión'!$AF$16="Media",'Riesgos de Gestión'!$AH$16="Catastrófico"),CONCATENATE("R1C",'Riesgos de Gestión'!$V$16),"")</f>
        <v/>
      </c>
      <c r="AL26" s="33" t="str">
        <f>IF(AND('Riesgos de Gestión'!$AF$17="Media",'Riesgos de Gestión'!$AH$17="Catastrófico"),CONCATENATE("R1C",'Riesgos de Gestión'!$V$17),"")</f>
        <v/>
      </c>
      <c r="AM26" s="34" t="str">
        <f>IF(AND('Riesgos de Gestión'!$AF$18="Media",'Riesgos de Gestión'!$AH$18="Catastrófico"),CONCATENATE("R1C",'Riesgos de Gestión'!$V$18),"")</f>
        <v/>
      </c>
      <c r="AN26" s="66"/>
      <c r="AO26" s="508" t="s">
        <v>255</v>
      </c>
      <c r="AP26" s="509"/>
      <c r="AQ26" s="509"/>
      <c r="AR26" s="509"/>
      <c r="AS26" s="509"/>
      <c r="AT26" s="510"/>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30"/>
      <c r="C27" s="430"/>
      <c r="D27" s="431"/>
      <c r="E27" s="487"/>
      <c r="F27" s="472"/>
      <c r="G27" s="472"/>
      <c r="H27" s="472"/>
      <c r="I27" s="473"/>
      <c r="J27" s="50" t="str">
        <f>IF(AND('Riesgos de Gestión'!$AF$19="Media",'Riesgos de Gestión'!$AH$19="Leve"),CONCATENATE("R2C",'Riesgos de Gestión'!$V$19),"")</f>
        <v/>
      </c>
      <c r="K27" s="51" t="str">
        <f>IF(AND('Riesgos de Gestión'!$AF$20="Media",'Riesgos de Gestión'!$AH$20="Leve"),CONCATENATE("R2C",'Riesgos de Gestión'!$V$20),"")</f>
        <v/>
      </c>
      <c r="L27" s="51" t="str">
        <f>IF(AND('Riesgos de Gestión'!$AF$21="Media",'Riesgos de Gestión'!$AH$21="Leve"),CONCATENATE("R2C",'Riesgos de Gestión'!$V$21),"")</f>
        <v/>
      </c>
      <c r="M27" s="51" t="str">
        <f>IF(AND('Riesgos de Gestión'!$AF$22="Media",'Riesgos de Gestión'!$AH$22="Leve"),CONCATENATE("R2C",'Riesgos de Gestión'!$V$22),"")</f>
        <v/>
      </c>
      <c r="N27" s="51" t="str">
        <f>IF(AND('Riesgos de Gestión'!$AF$23="Media",'Riesgos de Gestión'!$AH$23="Leve"),CONCATENATE("R2C",'Riesgos de Gestión'!$V$23),"")</f>
        <v/>
      </c>
      <c r="O27" s="52" t="str">
        <f>IF(AND('Riesgos de Gestión'!$AF$24="Media",'Riesgos de Gestión'!$AH$24="Leve"),CONCATENATE("R2C",'Riesgos de Gestión'!$V$24),"")</f>
        <v/>
      </c>
      <c r="P27" s="50" t="str">
        <f>IF(AND('Riesgos de Gestión'!$AF$19="Media",'Riesgos de Gestión'!$AH$19="Menor"),CONCATENATE("R2C",'Riesgos de Gestión'!$V$19),"")</f>
        <v/>
      </c>
      <c r="Q27" s="51" t="str">
        <f>IF(AND('Riesgos de Gestión'!$AF$20="Media",'Riesgos de Gestión'!$AH$20="Menor"),CONCATENATE("R2C",'Riesgos de Gestión'!$V$20),"")</f>
        <v/>
      </c>
      <c r="R27" s="51" t="str">
        <f>IF(AND('Riesgos de Gestión'!$AF$21="Media",'Riesgos de Gestión'!$AH$21="Menor"),CONCATENATE("R2C",'Riesgos de Gestión'!$V$21),"")</f>
        <v/>
      </c>
      <c r="S27" s="51" t="str">
        <f>IF(AND('Riesgos de Gestión'!$AF$22="Media",'Riesgos de Gestión'!$AH$22="Menor"),CONCATENATE("R2C",'Riesgos de Gestión'!$V$22),"")</f>
        <v/>
      </c>
      <c r="T27" s="51" t="str">
        <f>IF(AND('Riesgos de Gestión'!$AF$23="Media",'Riesgos de Gestión'!$AH$23="Menor"),CONCATENATE("R2C",'Riesgos de Gestión'!$V$23),"")</f>
        <v/>
      </c>
      <c r="U27" s="52" t="str">
        <f>IF(AND('Riesgos de Gestión'!$AF$24="Media",'Riesgos de Gestión'!$AH$24="Menor"),CONCATENATE("R2C",'Riesgos de Gestión'!$V$24),"")</f>
        <v/>
      </c>
      <c r="V27" s="50" t="str">
        <f>IF(AND('Riesgos de Gestión'!$AF$19="Media",'Riesgos de Gestión'!$AH$19="Moderado"),CONCATENATE("R2C",'Riesgos de Gestión'!$V$19),"")</f>
        <v/>
      </c>
      <c r="W27" s="51" t="str">
        <f>IF(AND('Riesgos de Gestión'!$AF$20="Media",'Riesgos de Gestión'!$AH$20="Moderado"),CONCATENATE("R2C",'Riesgos de Gestión'!$V$20),"")</f>
        <v/>
      </c>
      <c r="X27" s="51" t="str">
        <f>IF(AND('Riesgos de Gestión'!$AF$21="Media",'Riesgos de Gestión'!$AH$21="Moderado"),CONCATENATE("R2C",'Riesgos de Gestión'!$V$21),"")</f>
        <v/>
      </c>
      <c r="Y27" s="51" t="str">
        <f>IF(AND('Riesgos de Gestión'!$AF$22="Media",'Riesgos de Gestión'!$AH$22="Moderado"),CONCATENATE("R2C",'Riesgos de Gestión'!$V$22),"")</f>
        <v/>
      </c>
      <c r="Z27" s="51" t="str">
        <f>IF(AND('Riesgos de Gestión'!$AF$23="Media",'Riesgos de Gestión'!$AH$23="Moderado"),CONCATENATE("R2C",'Riesgos de Gestión'!$V$23),"")</f>
        <v/>
      </c>
      <c r="AA27" s="52" t="str">
        <f>IF(AND('Riesgos de Gestión'!$AF$24="Media",'Riesgos de Gestión'!$AH$24="Moderado"),CONCATENATE("R2C",'Riesgos de Gestión'!$V$24),"")</f>
        <v/>
      </c>
      <c r="AB27" s="35" t="str">
        <f>IF(AND('Riesgos de Gestión'!$AF$19="Media",'Riesgos de Gestión'!$AH$19="Mayor"),CONCATENATE("R2C",'Riesgos de Gestión'!$V$19),"")</f>
        <v/>
      </c>
      <c r="AC27" s="36" t="str">
        <f>IF(AND('Riesgos de Gestión'!$AF$20="Media",'Riesgos de Gestión'!$AH$20="Mayor"),CONCATENATE("R2C",'Riesgos de Gestión'!$V$20),"")</f>
        <v/>
      </c>
      <c r="AD27" s="36" t="str">
        <f>IF(AND('Riesgos de Gestión'!$AF$21="Media",'Riesgos de Gestión'!$AH$21="Mayor"),CONCATENATE("R2C",'Riesgos de Gestión'!$V$21),"")</f>
        <v/>
      </c>
      <c r="AE27" s="36" t="str">
        <f>IF(AND('Riesgos de Gestión'!$AF$22="Media",'Riesgos de Gestión'!$AH$22="Mayor"),CONCATENATE("R2C",'Riesgos de Gestión'!$V$22),"")</f>
        <v/>
      </c>
      <c r="AF27" s="36" t="str">
        <f>IF(AND('Riesgos de Gestión'!$AF$23="Media",'Riesgos de Gestión'!$AH$23="Mayor"),CONCATENATE("R2C",'Riesgos de Gestión'!$V$23),"")</f>
        <v/>
      </c>
      <c r="AG27" s="37" t="str">
        <f>IF(AND('Riesgos de Gestión'!$AF$24="Media",'Riesgos de Gestión'!$AH$24="Mayor"),CONCATENATE("R2C",'Riesgos de Gestión'!$V$24),"")</f>
        <v/>
      </c>
      <c r="AH27" s="38" t="str">
        <f>IF(AND('Riesgos de Gestión'!$AF$19="Media",'Riesgos de Gestión'!$AH$19="Catastrófico"),CONCATENATE("R2C",'Riesgos de Gestión'!$V$19),"")</f>
        <v/>
      </c>
      <c r="AI27" s="39" t="str">
        <f>IF(AND('Riesgos de Gestión'!$AF$20="Media",'Riesgos de Gestión'!$AH$20="Catastrófico"),CONCATENATE("R2C",'Riesgos de Gestión'!$V$20),"")</f>
        <v/>
      </c>
      <c r="AJ27" s="39" t="str">
        <f>IF(AND('Riesgos de Gestión'!$AF$21="Media",'Riesgos de Gestión'!$AH$21="Catastrófico"),CONCATENATE("R2C",'Riesgos de Gestión'!$V$21),"")</f>
        <v/>
      </c>
      <c r="AK27" s="39" t="str">
        <f>IF(AND('Riesgos de Gestión'!$AF$22="Media",'Riesgos de Gestión'!$AH$22="Catastrófico"),CONCATENATE("R2C",'Riesgos de Gestión'!$V$22),"")</f>
        <v/>
      </c>
      <c r="AL27" s="39" t="str">
        <f>IF(AND('Riesgos de Gestión'!$AF$23="Media",'Riesgos de Gestión'!$AH$23="Catastrófico"),CONCATENATE("R2C",'Riesgos de Gestión'!$V$23),"")</f>
        <v/>
      </c>
      <c r="AM27" s="40" t="str">
        <f>IF(AND('Riesgos de Gestión'!$AF$24="Media",'Riesgos de Gestión'!$AH$24="Catastrófico"),CONCATENATE("R2C",'Riesgos de Gestión'!$V$24),"")</f>
        <v/>
      </c>
      <c r="AN27" s="66"/>
      <c r="AO27" s="511"/>
      <c r="AP27" s="512"/>
      <c r="AQ27" s="512"/>
      <c r="AR27" s="512"/>
      <c r="AS27" s="512"/>
      <c r="AT27" s="513"/>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30"/>
      <c r="C28" s="430"/>
      <c r="D28" s="431"/>
      <c r="E28" s="471"/>
      <c r="F28" s="472"/>
      <c r="G28" s="472"/>
      <c r="H28" s="472"/>
      <c r="I28" s="473"/>
      <c r="J28" s="50" t="str">
        <f>IF(AND('Riesgos de Gestión'!$AF$25="Media",'Riesgos de Gestión'!$AH$25="Leve"),CONCATENATE("R3C",'Riesgos de Gestión'!$V$25),"")</f>
        <v/>
      </c>
      <c r="K28" s="51" t="str">
        <f>IF(AND('Riesgos de Gestión'!$AF$26="Media",'Riesgos de Gestión'!$AH$26="Leve"),CONCATENATE("R3C",'Riesgos de Gestión'!$V$26),"")</f>
        <v/>
      </c>
      <c r="L28" s="51" t="str">
        <f>IF(AND('Riesgos de Gestión'!$AF$27="Media",'Riesgos de Gestión'!$AH$27="Leve"),CONCATENATE("R3C",'Riesgos de Gestión'!$V$27),"")</f>
        <v/>
      </c>
      <c r="M28" s="51" t="str">
        <f>IF(AND('Riesgos de Gestión'!$AF$28="Media",'Riesgos de Gestión'!$AH$28="Leve"),CONCATENATE("R3C",'Riesgos de Gestión'!$V$28),"")</f>
        <v/>
      </c>
      <c r="N28" s="51" t="str">
        <f>IF(AND('Riesgos de Gestión'!$AF$29="Media",'Riesgos de Gestión'!$AH$29="Leve"),CONCATENATE("R3C",'Riesgos de Gestión'!$V$29),"")</f>
        <v/>
      </c>
      <c r="O28" s="52" t="str">
        <f>IF(AND('Riesgos de Gestión'!$AF$30="Media",'Riesgos de Gestión'!$AH$30="Leve"),CONCATENATE("R3C",'Riesgos de Gestión'!$V$30),"")</f>
        <v/>
      </c>
      <c r="P28" s="50" t="str">
        <f>IF(AND('Riesgos de Gestión'!$AF$25="Media",'Riesgos de Gestión'!$AH$25="Menor"),CONCATENATE("R3C",'Riesgos de Gestión'!$V$25),"")</f>
        <v/>
      </c>
      <c r="Q28" s="51" t="str">
        <f>IF(AND('Riesgos de Gestión'!$AF$26="Media",'Riesgos de Gestión'!$AH$26="Menor"),CONCATENATE("R3C",'Riesgos de Gestión'!$V$26),"")</f>
        <v/>
      </c>
      <c r="R28" s="51" t="str">
        <f>IF(AND('Riesgos de Gestión'!$AF$27="Media",'Riesgos de Gestión'!$AH$27="Menor"),CONCATENATE("R3C",'Riesgos de Gestión'!$V$27),"")</f>
        <v/>
      </c>
      <c r="S28" s="51" t="str">
        <f>IF(AND('Riesgos de Gestión'!$AF$28="Media",'Riesgos de Gestión'!$AH$28="Menor"),CONCATENATE("R3C",'Riesgos de Gestión'!$V$28),"")</f>
        <v/>
      </c>
      <c r="T28" s="51" t="str">
        <f>IF(AND('Riesgos de Gestión'!$AF$29="Media",'Riesgos de Gestión'!$AH$29="Menor"),CONCATENATE("R3C",'Riesgos de Gestión'!$V$29),"")</f>
        <v/>
      </c>
      <c r="U28" s="52" t="str">
        <f>IF(AND('Riesgos de Gestión'!$AF$30="Media",'Riesgos de Gestión'!$AH$30="Menor"),CONCATENATE("R3C",'Riesgos de Gestión'!$V$30),"")</f>
        <v/>
      </c>
      <c r="V28" s="50" t="str">
        <f>IF(AND('Riesgos de Gestión'!$AF$25="Media",'Riesgos de Gestión'!$AH$25="Moderado"),CONCATENATE("R3C",'Riesgos de Gestión'!$V$25),"")</f>
        <v/>
      </c>
      <c r="W28" s="51" t="str">
        <f>IF(AND('Riesgos de Gestión'!$AF$26="Media",'Riesgos de Gestión'!$AH$26="Moderado"),CONCATENATE("R3C",'Riesgos de Gestión'!$V$26),"")</f>
        <v/>
      </c>
      <c r="X28" s="51" t="str">
        <f>IF(AND('Riesgos de Gestión'!$AF$27="Media",'Riesgos de Gestión'!$AH$27="Moderado"),CONCATENATE("R3C",'Riesgos de Gestión'!$V$27),"")</f>
        <v/>
      </c>
      <c r="Y28" s="51" t="str">
        <f>IF(AND('Riesgos de Gestión'!$AF$28="Media",'Riesgos de Gestión'!$AH$28="Moderado"),CONCATENATE("R3C",'Riesgos de Gestión'!$V$28),"")</f>
        <v/>
      </c>
      <c r="Z28" s="51" t="str">
        <f>IF(AND('Riesgos de Gestión'!$AF$29="Media",'Riesgos de Gestión'!$AH$29="Moderado"),CONCATENATE("R3C",'Riesgos de Gestión'!$V$29),"")</f>
        <v/>
      </c>
      <c r="AA28" s="52" t="str">
        <f>IF(AND('Riesgos de Gestión'!$AF$30="Media",'Riesgos de Gestión'!$AH$30="Moderado"),CONCATENATE("R3C",'Riesgos de Gestión'!$V$30),"")</f>
        <v/>
      </c>
      <c r="AB28" s="35" t="str">
        <f>IF(AND('Riesgos de Gestión'!$AF$25="Media",'Riesgos de Gestión'!$AH$25="Mayor"),CONCATENATE("R3C",'Riesgos de Gestión'!$V$25),"")</f>
        <v/>
      </c>
      <c r="AC28" s="36" t="str">
        <f>IF(AND('Riesgos de Gestión'!$AF$26="Media",'Riesgos de Gestión'!$AH$26="Mayor"),CONCATENATE("R3C",'Riesgos de Gestión'!$V$26),"")</f>
        <v/>
      </c>
      <c r="AD28" s="36" t="str">
        <f>IF(AND('Riesgos de Gestión'!$AF$27="Media",'Riesgos de Gestión'!$AH$27="Mayor"),CONCATENATE("R3C",'Riesgos de Gestión'!$V$27),"")</f>
        <v/>
      </c>
      <c r="AE28" s="36" t="str">
        <f>IF(AND('Riesgos de Gestión'!$AF$28="Media",'Riesgos de Gestión'!$AH$28="Mayor"),CONCATENATE("R3C",'Riesgos de Gestión'!$V$28),"")</f>
        <v/>
      </c>
      <c r="AF28" s="36" t="str">
        <f>IF(AND('Riesgos de Gestión'!$AF$29="Media",'Riesgos de Gestión'!$AH$29="Mayor"),CONCATENATE("R3C",'Riesgos de Gestión'!$V$29),"")</f>
        <v/>
      </c>
      <c r="AG28" s="37" t="str">
        <f>IF(AND('Riesgos de Gestión'!$AF$30="Media",'Riesgos de Gestión'!$AH$30="Mayor"),CONCATENATE("R3C",'Riesgos de Gestión'!$V$30),"")</f>
        <v/>
      </c>
      <c r="AH28" s="38" t="str">
        <f>IF(AND('Riesgos de Gestión'!$AF$25="Media",'Riesgos de Gestión'!$AH$25="Catastrófico"),CONCATENATE("R3C",'Riesgos de Gestión'!$V$25),"")</f>
        <v/>
      </c>
      <c r="AI28" s="39" t="str">
        <f>IF(AND('Riesgos de Gestión'!$AF$26="Media",'Riesgos de Gestión'!$AH$26="Catastrófico"),CONCATENATE("R3C",'Riesgos de Gestión'!$V$26),"")</f>
        <v/>
      </c>
      <c r="AJ28" s="39" t="str">
        <f>IF(AND('Riesgos de Gestión'!$AF$27="Media",'Riesgos de Gestión'!$AH$27="Catastrófico"),CONCATENATE("R3C",'Riesgos de Gestión'!$V$27),"")</f>
        <v/>
      </c>
      <c r="AK28" s="39" t="str">
        <f>IF(AND('Riesgos de Gestión'!$AF$28="Media",'Riesgos de Gestión'!$AH$28="Catastrófico"),CONCATENATE("R3C",'Riesgos de Gestión'!$V$28),"")</f>
        <v/>
      </c>
      <c r="AL28" s="39" t="str">
        <f>IF(AND('Riesgos de Gestión'!$AF$29="Media",'Riesgos de Gestión'!$AH$29="Catastrófico"),CONCATENATE("R3C",'Riesgos de Gestión'!$V$29),"")</f>
        <v/>
      </c>
      <c r="AM28" s="40" t="str">
        <f>IF(AND('Riesgos de Gestión'!$AF$30="Media",'Riesgos de Gestión'!$AH$30="Catastrófico"),CONCATENATE("R3C",'Riesgos de Gestión'!$V$30),"")</f>
        <v/>
      </c>
      <c r="AN28" s="66"/>
      <c r="AO28" s="511"/>
      <c r="AP28" s="512"/>
      <c r="AQ28" s="512"/>
      <c r="AR28" s="512"/>
      <c r="AS28" s="512"/>
      <c r="AT28" s="513"/>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30"/>
      <c r="C29" s="430"/>
      <c r="D29" s="431"/>
      <c r="E29" s="471"/>
      <c r="F29" s="472"/>
      <c r="G29" s="472"/>
      <c r="H29" s="472"/>
      <c r="I29" s="473"/>
      <c r="J29" s="50" t="str">
        <f>IF(AND('Riesgos de Gestión'!$AF$31="Media",'Riesgos de Gestión'!$AH$31="Leve"),CONCATENATE("R4C",'Riesgos de Gestión'!$V$31),"")</f>
        <v/>
      </c>
      <c r="K29" s="51" t="str">
        <f>IF(AND('Riesgos de Gestión'!$AF$32="Media",'Riesgos de Gestión'!$AH$32="Leve"),CONCATENATE("R4C",'Riesgos de Gestión'!$V$32),"")</f>
        <v/>
      </c>
      <c r="L29" s="51" t="str">
        <f>IF(AND('Riesgos de Gestión'!$AF$33="Media",'Riesgos de Gestión'!$AH$33="Leve"),CONCATENATE("R4C",'Riesgos de Gestión'!$V$33),"")</f>
        <v/>
      </c>
      <c r="M29" s="51" t="str">
        <f>IF(AND('Riesgos de Gestión'!$AF$34="Media",'Riesgos de Gestión'!$AH$34="Leve"),CONCATENATE("R4C",'Riesgos de Gestión'!$V$34),"")</f>
        <v/>
      </c>
      <c r="N29" s="51" t="str">
        <f>IF(AND('Riesgos de Gestión'!$AF$35="Media",'Riesgos de Gestión'!$AH$35="Leve"),CONCATENATE("R4C",'Riesgos de Gestión'!$V$35),"")</f>
        <v/>
      </c>
      <c r="O29" s="52" t="str">
        <f>IF(AND('Riesgos de Gestión'!$AF$36="Media",'Riesgos de Gestión'!$AH$36="Leve"),CONCATENATE("R4C",'Riesgos de Gestión'!$V$36),"")</f>
        <v/>
      </c>
      <c r="P29" s="50" t="str">
        <f>IF(AND('Riesgos de Gestión'!$AF$31="Media",'Riesgos de Gestión'!$AH$31="Menor"),CONCATENATE("R4C",'Riesgos de Gestión'!$V$31),"")</f>
        <v/>
      </c>
      <c r="Q29" s="51" t="str">
        <f>IF(AND('Riesgos de Gestión'!$AF$32="Media",'Riesgos de Gestión'!$AH$32="Menor"),CONCATENATE("R4C",'Riesgos de Gestión'!$V$32),"")</f>
        <v/>
      </c>
      <c r="R29" s="51" t="str">
        <f>IF(AND('Riesgos de Gestión'!$AF$33="Media",'Riesgos de Gestión'!$AH$33="Menor"),CONCATENATE("R4C",'Riesgos de Gestión'!$V$33),"")</f>
        <v/>
      </c>
      <c r="S29" s="51" t="str">
        <f>IF(AND('Riesgos de Gestión'!$AF$34="Media",'Riesgos de Gestión'!$AH$34="Menor"),CONCATENATE("R4C",'Riesgos de Gestión'!$V$34),"")</f>
        <v/>
      </c>
      <c r="T29" s="51" t="str">
        <f>IF(AND('Riesgos de Gestión'!$AF$35="Media",'Riesgos de Gestión'!$AH$35="Menor"),CONCATENATE("R4C",'Riesgos de Gestión'!$V$35),"")</f>
        <v/>
      </c>
      <c r="U29" s="52" t="str">
        <f>IF(AND('Riesgos de Gestión'!$AF$36="Media",'Riesgos de Gestión'!$AH$36="Menor"),CONCATENATE("R4C",'Riesgos de Gestión'!$V$36),"")</f>
        <v/>
      </c>
      <c r="V29" s="50" t="str">
        <f>IF(AND('Riesgos de Gestión'!$AF$31="Media",'Riesgos de Gestión'!$AH$31="Moderado"),CONCATENATE("R4C",'Riesgos de Gestión'!$V$31),"")</f>
        <v/>
      </c>
      <c r="W29" s="51" t="str">
        <f>IF(AND('Riesgos de Gestión'!$AF$32="Media",'Riesgos de Gestión'!$AH$32="Moderado"),CONCATENATE("R4C",'Riesgos de Gestión'!$V$32),"")</f>
        <v/>
      </c>
      <c r="X29" s="51" t="str">
        <f>IF(AND('Riesgos de Gestión'!$AF$33="Media",'Riesgos de Gestión'!$AH$33="Moderado"),CONCATENATE("R4C",'Riesgos de Gestión'!$V$33),"")</f>
        <v/>
      </c>
      <c r="Y29" s="51" t="str">
        <f>IF(AND('Riesgos de Gestión'!$AF$34="Media",'Riesgos de Gestión'!$AH$34="Moderado"),CONCATENATE("R4C",'Riesgos de Gestión'!$V$34),"")</f>
        <v/>
      </c>
      <c r="Z29" s="51" t="str">
        <f>IF(AND('Riesgos de Gestión'!$AF$35="Media",'Riesgos de Gestión'!$AH$35="Moderado"),CONCATENATE("R4C",'Riesgos de Gestión'!$V$35),"")</f>
        <v/>
      </c>
      <c r="AA29" s="52" t="str">
        <f>IF(AND('Riesgos de Gestión'!$AF$36="Media",'Riesgos de Gestión'!$AH$36="Moderado"),CONCATENATE("R4C",'Riesgos de Gestión'!$V$36),"")</f>
        <v/>
      </c>
      <c r="AB29" s="35" t="str">
        <f>IF(AND('Riesgos de Gestión'!$AF$31="Media",'Riesgos de Gestión'!$AH$31="Mayor"),CONCATENATE("R4C",'Riesgos de Gestión'!$V$31),"")</f>
        <v/>
      </c>
      <c r="AC29" s="36" t="str">
        <f>IF(AND('Riesgos de Gestión'!$AF$32="Media",'Riesgos de Gestión'!$AH$32="Mayor"),CONCATENATE("R4C",'Riesgos de Gestión'!$V$32),"")</f>
        <v/>
      </c>
      <c r="AD29" s="36" t="str">
        <f>IF(AND('Riesgos de Gestión'!$AF$33="Media",'Riesgos de Gestión'!$AH$33="Mayor"),CONCATENATE("R4C",'Riesgos de Gestión'!$V$33),"")</f>
        <v/>
      </c>
      <c r="AE29" s="36" t="str">
        <f>IF(AND('Riesgos de Gestión'!$AF$34="Media",'Riesgos de Gestión'!$AH$34="Mayor"),CONCATENATE("R4C",'Riesgos de Gestión'!$V$34),"")</f>
        <v/>
      </c>
      <c r="AF29" s="36" t="str">
        <f>IF(AND('Riesgos de Gestión'!$AF$35="Media",'Riesgos de Gestión'!$AH$35="Mayor"),CONCATENATE("R4C",'Riesgos de Gestión'!$V$35),"")</f>
        <v/>
      </c>
      <c r="AG29" s="37" t="str">
        <f>IF(AND('Riesgos de Gestión'!$AF$36="Media",'Riesgos de Gestión'!$AH$36="Mayor"),CONCATENATE("R4C",'Riesgos de Gestión'!$V$36),"")</f>
        <v/>
      </c>
      <c r="AH29" s="38" t="str">
        <f>IF(AND('Riesgos de Gestión'!$AF$31="Media",'Riesgos de Gestión'!$AH$31="Catastrófico"),CONCATENATE("R4C",'Riesgos de Gestión'!$V$31),"")</f>
        <v/>
      </c>
      <c r="AI29" s="39" t="str">
        <f>IF(AND('Riesgos de Gestión'!$AF$32="Media",'Riesgos de Gestión'!$AH$32="Catastrófico"),CONCATENATE("R4C",'Riesgos de Gestión'!$V$32),"")</f>
        <v/>
      </c>
      <c r="AJ29" s="39" t="str">
        <f>IF(AND('Riesgos de Gestión'!$AF$33="Media",'Riesgos de Gestión'!$AH$33="Catastrófico"),CONCATENATE("R4C",'Riesgos de Gestión'!$V$33),"")</f>
        <v/>
      </c>
      <c r="AK29" s="39" t="str">
        <f>IF(AND('Riesgos de Gestión'!$AF$34="Media",'Riesgos de Gestión'!$AH$34="Catastrófico"),CONCATENATE("R4C",'Riesgos de Gestión'!$V$34),"")</f>
        <v/>
      </c>
      <c r="AL29" s="39" t="str">
        <f>IF(AND('Riesgos de Gestión'!$AF$35="Media",'Riesgos de Gestión'!$AH$35="Catastrófico"),CONCATENATE("R4C",'Riesgos de Gestión'!$V$35),"")</f>
        <v/>
      </c>
      <c r="AM29" s="40" t="str">
        <f>IF(AND('Riesgos de Gestión'!$AF$36="Media",'Riesgos de Gestión'!$AH$36="Catastrófico"),CONCATENATE("R4C",'Riesgos de Gestión'!$V$36),"")</f>
        <v/>
      </c>
      <c r="AN29" s="66"/>
      <c r="AO29" s="511"/>
      <c r="AP29" s="512"/>
      <c r="AQ29" s="512"/>
      <c r="AR29" s="512"/>
      <c r="AS29" s="512"/>
      <c r="AT29" s="513"/>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30"/>
      <c r="C30" s="430"/>
      <c r="D30" s="431"/>
      <c r="E30" s="471"/>
      <c r="F30" s="472"/>
      <c r="G30" s="472"/>
      <c r="H30" s="472"/>
      <c r="I30" s="473"/>
      <c r="J30" s="50" t="str">
        <f>IF(AND('Riesgos de Gestión'!$AF$37="Media",'Riesgos de Gestión'!$AH$37="Leve"),CONCATENATE("R5C",'Riesgos de Gestión'!$V$37),"")</f>
        <v/>
      </c>
      <c r="K30" s="51" t="str">
        <f>IF(AND('Riesgos de Gestión'!$AF$38="Media",'Riesgos de Gestión'!$AH$38="Leve"),CONCATENATE("R5C",'Riesgos de Gestión'!$V$38),"")</f>
        <v/>
      </c>
      <c r="L30" s="51" t="str">
        <f>IF(AND('Riesgos de Gestión'!$AF$39="Media",'Riesgos de Gestión'!$AH$39="Leve"),CONCATENATE("R5C",'Riesgos de Gestión'!$V$39),"")</f>
        <v/>
      </c>
      <c r="M30" s="51" t="str">
        <f>IF(AND('Riesgos de Gestión'!$AF$40="Media",'Riesgos de Gestión'!$AH$40="Leve"),CONCATENATE("R5C",'Riesgos de Gestión'!$V$40),"")</f>
        <v/>
      </c>
      <c r="N30" s="51" t="str">
        <f>IF(AND('Riesgos de Gestión'!$AF$41="Media",'Riesgos de Gestión'!$AH$41="Leve"),CONCATENATE("R5C",'Riesgos de Gestión'!$V$41),"")</f>
        <v/>
      </c>
      <c r="O30" s="52" t="str">
        <f>IF(AND('Riesgos de Gestión'!$AF$42="Media",'Riesgos de Gestión'!$AH$42="Leve"),CONCATENATE("R5C",'Riesgos de Gestión'!$V$42),"")</f>
        <v/>
      </c>
      <c r="P30" s="50" t="str">
        <f>IF(AND('Riesgos de Gestión'!$AF$37="Media",'Riesgos de Gestión'!$AH$37="Menor"),CONCATENATE("R5C",'Riesgos de Gestión'!$V$37),"")</f>
        <v/>
      </c>
      <c r="Q30" s="51" t="str">
        <f>IF(AND('Riesgos de Gestión'!$AF$38="Media",'Riesgos de Gestión'!$AH$38="Menor"),CONCATENATE("R5C",'Riesgos de Gestión'!$V$38),"")</f>
        <v/>
      </c>
      <c r="R30" s="51" t="str">
        <f>IF(AND('Riesgos de Gestión'!$AF$39="Media",'Riesgos de Gestión'!$AH$39="Menor"),CONCATENATE("R5C",'Riesgos de Gestión'!$V$39),"")</f>
        <v/>
      </c>
      <c r="S30" s="51" t="str">
        <f>IF(AND('Riesgos de Gestión'!$AF$40="Media",'Riesgos de Gestión'!$AH$40="Menor"),CONCATENATE("R5C",'Riesgos de Gestión'!$V$40),"")</f>
        <v/>
      </c>
      <c r="T30" s="51" t="str">
        <f>IF(AND('Riesgos de Gestión'!$AF$41="Media",'Riesgos de Gestión'!$AH$41="Menor"),CONCATENATE("R5C",'Riesgos de Gestión'!$V$41),"")</f>
        <v/>
      </c>
      <c r="U30" s="52" t="str">
        <f>IF(AND('Riesgos de Gestión'!$AF$42="Media",'Riesgos de Gestión'!$AH$42="Menor"),CONCATENATE("R5C",'Riesgos de Gestión'!$V$42),"")</f>
        <v/>
      </c>
      <c r="V30" s="50" t="str">
        <f>IF(AND('Riesgos de Gestión'!$AF$37="Media",'Riesgos de Gestión'!$AH$37="Moderado"),CONCATENATE("R5C",'Riesgos de Gestión'!$V$37),"")</f>
        <v/>
      </c>
      <c r="W30" s="51" t="str">
        <f>IF(AND('Riesgos de Gestión'!$AF$38="Media",'Riesgos de Gestión'!$AH$38="Moderado"),CONCATENATE("R5C",'Riesgos de Gestión'!$V$38),"")</f>
        <v/>
      </c>
      <c r="X30" s="51" t="str">
        <f>IF(AND('Riesgos de Gestión'!$AF$39="Media",'Riesgos de Gestión'!$AH$39="Moderado"),CONCATENATE("R5C",'Riesgos de Gestión'!$V$39),"")</f>
        <v/>
      </c>
      <c r="Y30" s="51" t="str">
        <f>IF(AND('Riesgos de Gestión'!$AF$40="Media",'Riesgos de Gestión'!$AH$40="Moderado"),CONCATENATE("R5C",'Riesgos de Gestión'!$V$40),"")</f>
        <v/>
      </c>
      <c r="Z30" s="51" t="str">
        <f>IF(AND('Riesgos de Gestión'!$AF$41="Media",'Riesgos de Gestión'!$AH$41="Moderado"),CONCATENATE("R5C",'Riesgos de Gestión'!$V$41),"")</f>
        <v/>
      </c>
      <c r="AA30" s="52" t="str">
        <f>IF(AND('Riesgos de Gestión'!$AF$42="Media",'Riesgos de Gestión'!$AH$42="Moderado"),CONCATENATE("R5C",'Riesgos de Gestión'!$V$42),"")</f>
        <v/>
      </c>
      <c r="AB30" s="35" t="str">
        <f>IF(AND('Riesgos de Gestión'!$AF$37="Media",'Riesgos de Gestión'!$AH$37="Mayor"),CONCATENATE("R5C",'Riesgos de Gestión'!$V$37),"")</f>
        <v/>
      </c>
      <c r="AC30" s="36" t="str">
        <f>IF(AND('Riesgos de Gestión'!$AF$38="Media",'Riesgos de Gestión'!$AH$38="Mayor"),CONCATENATE("R5C",'Riesgos de Gestión'!$V$38),"")</f>
        <v/>
      </c>
      <c r="AD30" s="36" t="str">
        <f>IF(AND('Riesgos de Gestión'!$AF$39="Media",'Riesgos de Gestión'!$AH$39="Mayor"),CONCATENATE("R5C",'Riesgos de Gestión'!$V$39),"")</f>
        <v/>
      </c>
      <c r="AE30" s="36" t="str">
        <f>IF(AND('Riesgos de Gestión'!$AF$40="Media",'Riesgos de Gestión'!$AH$40="Mayor"),CONCATENATE("R5C",'Riesgos de Gestión'!$V$40),"")</f>
        <v/>
      </c>
      <c r="AF30" s="36" t="str">
        <f>IF(AND('Riesgos de Gestión'!$AF$41="Media",'Riesgos de Gestión'!$AH$41="Mayor"),CONCATENATE("R5C",'Riesgos de Gestión'!$V$41),"")</f>
        <v/>
      </c>
      <c r="AG30" s="37" t="str">
        <f>IF(AND('Riesgos de Gestión'!$AF$42="Media",'Riesgos de Gestión'!$AH$42="Mayor"),CONCATENATE("R5C",'Riesgos de Gestión'!$V$42),"")</f>
        <v/>
      </c>
      <c r="AH30" s="38" t="str">
        <f>IF(AND('Riesgos de Gestión'!$AF$37="Media",'Riesgos de Gestión'!$AH$37="Catastrófico"),CONCATENATE("R5C",'Riesgos de Gestión'!$V$37),"")</f>
        <v/>
      </c>
      <c r="AI30" s="39" t="str">
        <f>IF(AND('Riesgos de Gestión'!$AF$38="Media",'Riesgos de Gestión'!$AH$38="Catastrófico"),CONCATENATE("R5C",'Riesgos de Gestión'!$V$38),"")</f>
        <v/>
      </c>
      <c r="AJ30" s="39" t="str">
        <f>IF(AND('Riesgos de Gestión'!$AF$39="Media",'Riesgos de Gestión'!$AH$39="Catastrófico"),CONCATENATE("R5C",'Riesgos de Gestión'!$V$39),"")</f>
        <v/>
      </c>
      <c r="AK30" s="39" t="str">
        <f>IF(AND('Riesgos de Gestión'!$AF$40="Media",'Riesgos de Gestión'!$AH$40="Catastrófico"),CONCATENATE("R5C",'Riesgos de Gestión'!$V$40),"")</f>
        <v/>
      </c>
      <c r="AL30" s="39" t="str">
        <f>IF(AND('Riesgos de Gestión'!$AF$41="Media",'Riesgos de Gestión'!$AH$41="Catastrófico"),CONCATENATE("R5C",'Riesgos de Gestión'!$V$41),"")</f>
        <v/>
      </c>
      <c r="AM30" s="40" t="str">
        <f>IF(AND('Riesgos de Gestión'!$AF$42="Media",'Riesgos de Gestión'!$AH$42="Catastrófico"),CONCATENATE("R5C",'Riesgos de Gestión'!$V$42),"")</f>
        <v/>
      </c>
      <c r="AN30" s="66"/>
      <c r="AO30" s="511"/>
      <c r="AP30" s="512"/>
      <c r="AQ30" s="512"/>
      <c r="AR30" s="512"/>
      <c r="AS30" s="512"/>
      <c r="AT30" s="513"/>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30"/>
      <c r="C31" s="430"/>
      <c r="D31" s="431"/>
      <c r="E31" s="471"/>
      <c r="F31" s="472"/>
      <c r="G31" s="472"/>
      <c r="H31" s="472"/>
      <c r="I31" s="473"/>
      <c r="J31" s="50" t="str">
        <f>IF(AND('Riesgos de Gestión'!$AF$43="Media",'Riesgos de Gestión'!$AH$43="Leve"),CONCATENATE("R6C",'Riesgos de Gestión'!$V$43),"")</f>
        <v/>
      </c>
      <c r="K31" s="51" t="str">
        <f>IF(AND('Riesgos de Gestión'!$AF$44="Media",'Riesgos de Gestión'!$AH$44="Leve"),CONCATENATE("R6C",'Riesgos de Gestión'!$V$44),"")</f>
        <v/>
      </c>
      <c r="L31" s="51" t="str">
        <f>IF(AND('Riesgos de Gestión'!$AF$45="Media",'Riesgos de Gestión'!$AH$45="Leve"),CONCATENATE("R6C",'Riesgos de Gestión'!$V$45),"")</f>
        <v/>
      </c>
      <c r="M31" s="51" t="str">
        <f>IF(AND('Riesgos de Gestión'!$AF$46="Media",'Riesgos de Gestión'!$AH$46="Leve"),CONCATENATE("R6C",'Riesgos de Gestión'!$V$46),"")</f>
        <v/>
      </c>
      <c r="N31" s="51" t="str">
        <f>IF(AND('Riesgos de Gestión'!$AF$47="Media",'Riesgos de Gestión'!$AH$47="Leve"),CONCATENATE("R6C",'Riesgos de Gestión'!$V$47),"")</f>
        <v/>
      </c>
      <c r="O31" s="52" t="str">
        <f>IF(AND('Riesgos de Gestión'!$AF$48="Media",'Riesgos de Gestión'!$AH$48="Leve"),CONCATENATE("R6C",'Riesgos de Gestión'!$V$48),"")</f>
        <v/>
      </c>
      <c r="P31" s="50" t="str">
        <f>IF(AND('Riesgos de Gestión'!$AF$43="Media",'Riesgos de Gestión'!$AH$43="Menor"),CONCATENATE("R6C",'Riesgos de Gestión'!$V$43),"")</f>
        <v/>
      </c>
      <c r="Q31" s="51" t="str">
        <f>IF(AND('Riesgos de Gestión'!$AF$44="Media",'Riesgos de Gestión'!$AH$44="Menor"),CONCATENATE("R6C",'Riesgos de Gestión'!$V$44),"")</f>
        <v/>
      </c>
      <c r="R31" s="51" t="str">
        <f>IF(AND('Riesgos de Gestión'!$AF$45="Media",'Riesgos de Gestión'!$AH$45="Menor"),CONCATENATE("R6C",'Riesgos de Gestión'!$V$45),"")</f>
        <v/>
      </c>
      <c r="S31" s="51" t="str">
        <f>IF(AND('Riesgos de Gestión'!$AF$46="Media",'Riesgos de Gestión'!$AH$46="Menor"),CONCATENATE("R6C",'Riesgos de Gestión'!$V$46),"")</f>
        <v/>
      </c>
      <c r="T31" s="51" t="str">
        <f>IF(AND('Riesgos de Gestión'!$AF$47="Media",'Riesgos de Gestión'!$AH$47="Menor"),CONCATENATE("R6C",'Riesgos de Gestión'!$V$47),"")</f>
        <v/>
      </c>
      <c r="U31" s="52" t="str">
        <f>IF(AND('Riesgos de Gestión'!$AF$48="Media",'Riesgos de Gestión'!$AH$48="Menor"),CONCATENATE("R6C",'Riesgos de Gestión'!$V$48),"")</f>
        <v/>
      </c>
      <c r="V31" s="50" t="str">
        <f>IF(AND('Riesgos de Gestión'!$AF$43="Media",'Riesgos de Gestión'!$AH$43="Moderado"),CONCATENATE("R6C",'Riesgos de Gestión'!$V$43),"")</f>
        <v/>
      </c>
      <c r="W31" s="51" t="str">
        <f>IF(AND('Riesgos de Gestión'!$AF$44="Media",'Riesgos de Gestión'!$AH$44="Moderado"),CONCATENATE("R6C",'Riesgos de Gestión'!$V$44),"")</f>
        <v/>
      </c>
      <c r="X31" s="51" t="str">
        <f>IF(AND('Riesgos de Gestión'!$AF$45="Media",'Riesgos de Gestión'!$AH$45="Moderado"),CONCATENATE("R6C",'Riesgos de Gestión'!$V$45),"")</f>
        <v/>
      </c>
      <c r="Y31" s="51" t="str">
        <f>IF(AND('Riesgos de Gestión'!$AF$46="Media",'Riesgos de Gestión'!$AH$46="Moderado"),CONCATENATE("R6C",'Riesgos de Gestión'!$V$46),"")</f>
        <v/>
      </c>
      <c r="Z31" s="51" t="str">
        <f>IF(AND('Riesgos de Gestión'!$AF$47="Media",'Riesgos de Gestión'!$AH$47="Moderado"),CONCATENATE("R6C",'Riesgos de Gestión'!$V$47),"")</f>
        <v/>
      </c>
      <c r="AA31" s="52" t="str">
        <f>IF(AND('Riesgos de Gestión'!$AF$48="Media",'Riesgos de Gestión'!$AH$48="Moderado"),CONCATENATE("R6C",'Riesgos de Gestión'!$V$48),"")</f>
        <v/>
      </c>
      <c r="AB31" s="35" t="str">
        <f>IF(AND('Riesgos de Gestión'!$AF$43="Media",'Riesgos de Gestión'!$AH$43="Mayor"),CONCATENATE("R6C",'Riesgos de Gestión'!$V$43),"")</f>
        <v/>
      </c>
      <c r="AC31" s="36" t="str">
        <f>IF(AND('Riesgos de Gestión'!$AF$44="Media",'Riesgos de Gestión'!$AH$44="Mayor"),CONCATENATE("R6C",'Riesgos de Gestión'!$V$44),"")</f>
        <v/>
      </c>
      <c r="AD31" s="36" t="str">
        <f>IF(AND('Riesgos de Gestión'!$AF$45="Media",'Riesgos de Gestión'!$AH$45="Mayor"),CONCATENATE("R6C",'Riesgos de Gestión'!$V$45),"")</f>
        <v/>
      </c>
      <c r="AE31" s="36" t="str">
        <f>IF(AND('Riesgos de Gestión'!$AF$46="Media",'Riesgos de Gestión'!$AH$46="Mayor"),CONCATENATE("R6C",'Riesgos de Gestión'!$V$46),"")</f>
        <v/>
      </c>
      <c r="AF31" s="36" t="str">
        <f>IF(AND('Riesgos de Gestión'!$AF$47="Media",'Riesgos de Gestión'!$AH$47="Mayor"),CONCATENATE("R6C",'Riesgos de Gestión'!$V$47),"")</f>
        <v/>
      </c>
      <c r="AG31" s="37" t="str">
        <f>IF(AND('Riesgos de Gestión'!$AF$48="Media",'Riesgos de Gestión'!$AH$48="Mayor"),CONCATENATE("R6C",'Riesgos de Gestión'!$V$48),"")</f>
        <v/>
      </c>
      <c r="AH31" s="38" t="str">
        <f>IF(AND('Riesgos de Gestión'!$AF$43="Media",'Riesgos de Gestión'!$AH$43="Catastrófico"),CONCATENATE("R6C",'Riesgos de Gestión'!$V$43),"")</f>
        <v/>
      </c>
      <c r="AI31" s="39" t="str">
        <f>IF(AND('Riesgos de Gestión'!$AF$44="Media",'Riesgos de Gestión'!$AH$44="Catastrófico"),CONCATENATE("R6C",'Riesgos de Gestión'!$V$44),"")</f>
        <v/>
      </c>
      <c r="AJ31" s="39" t="str">
        <f>IF(AND('Riesgos de Gestión'!$AF$45="Media",'Riesgos de Gestión'!$AH$45="Catastrófico"),CONCATENATE("R6C",'Riesgos de Gestión'!$V$45),"")</f>
        <v/>
      </c>
      <c r="AK31" s="39" t="str">
        <f>IF(AND('Riesgos de Gestión'!$AF$46="Media",'Riesgos de Gestión'!$AH$46="Catastrófico"),CONCATENATE("R6C",'Riesgos de Gestión'!$V$46),"")</f>
        <v/>
      </c>
      <c r="AL31" s="39" t="str">
        <f>IF(AND('Riesgos de Gestión'!$AF$47="Media",'Riesgos de Gestión'!$AH$47="Catastrófico"),CONCATENATE("R6C",'Riesgos de Gestión'!$V$47),"")</f>
        <v/>
      </c>
      <c r="AM31" s="40" t="str">
        <f>IF(AND('Riesgos de Gestión'!$AF$48="Media",'Riesgos de Gestión'!$AH$48="Catastrófico"),CONCATENATE("R6C",'Riesgos de Gestión'!$V$48),"")</f>
        <v/>
      </c>
      <c r="AN31" s="66"/>
      <c r="AO31" s="511"/>
      <c r="AP31" s="512"/>
      <c r="AQ31" s="512"/>
      <c r="AR31" s="512"/>
      <c r="AS31" s="512"/>
      <c r="AT31" s="513"/>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30"/>
      <c r="C32" s="430"/>
      <c r="D32" s="431"/>
      <c r="E32" s="471"/>
      <c r="F32" s="472"/>
      <c r="G32" s="472"/>
      <c r="H32" s="472"/>
      <c r="I32" s="473"/>
      <c r="J32" s="50" t="str">
        <f>IF(AND('Riesgos de Gestión'!$AF$49="Media",'Riesgos de Gestión'!$AH$49="Leve"),CONCATENATE("R7C",'Riesgos de Gestión'!$V$49),"")</f>
        <v/>
      </c>
      <c r="K32" s="51" t="str">
        <f>IF(AND('Riesgos de Gestión'!$AF$50="Media",'Riesgos de Gestión'!$AH$50="Leve"),CONCATENATE("R7C",'Riesgos de Gestión'!$V$50),"")</f>
        <v/>
      </c>
      <c r="L32" s="51" t="str">
        <f>IF(AND('Riesgos de Gestión'!$AF$51="Media",'Riesgos de Gestión'!$AH$51="Leve"),CONCATENATE("R7C",'Riesgos de Gestión'!$V$51),"")</f>
        <v/>
      </c>
      <c r="M32" s="51" t="str">
        <f>IF(AND('Riesgos de Gestión'!$AF$52="Media",'Riesgos de Gestión'!$AH$52="Leve"),CONCATENATE("R7C",'Riesgos de Gestión'!$V$52),"")</f>
        <v/>
      </c>
      <c r="N32" s="51" t="str">
        <f>IF(AND('Riesgos de Gestión'!$AF$53="Media",'Riesgos de Gestión'!$AH$53="Leve"),CONCATENATE("R7C",'Riesgos de Gestión'!$V$53),"")</f>
        <v/>
      </c>
      <c r="O32" s="52" t="str">
        <f>IF(AND('Riesgos de Gestión'!$AF$54="Media",'Riesgos de Gestión'!$AH$54="Leve"),CONCATENATE("R7C",'Riesgos de Gestión'!$V$54),"")</f>
        <v/>
      </c>
      <c r="P32" s="50" t="str">
        <f>IF(AND('Riesgos de Gestión'!$AF$49="Media",'Riesgos de Gestión'!$AH$49="Menor"),CONCATENATE("R7C",'Riesgos de Gestión'!$V$49),"")</f>
        <v/>
      </c>
      <c r="Q32" s="51" t="str">
        <f>IF(AND('Riesgos de Gestión'!$AF$50="Media",'Riesgos de Gestión'!$AH$50="Menor"),CONCATENATE("R7C",'Riesgos de Gestión'!$V$50),"")</f>
        <v/>
      </c>
      <c r="R32" s="51" t="str">
        <f>IF(AND('Riesgos de Gestión'!$AF$51="Media",'Riesgos de Gestión'!$AH$51="Menor"),CONCATENATE("R7C",'Riesgos de Gestión'!$V$51),"")</f>
        <v/>
      </c>
      <c r="S32" s="51" t="str">
        <f>IF(AND('Riesgos de Gestión'!$AF$52="Media",'Riesgos de Gestión'!$AH$52="Menor"),CONCATENATE("R7C",'Riesgos de Gestión'!$V$52),"")</f>
        <v/>
      </c>
      <c r="T32" s="51" t="str">
        <f>IF(AND('Riesgos de Gestión'!$AF$53="Media",'Riesgos de Gestión'!$AH$53="Menor"),CONCATENATE("R7C",'Riesgos de Gestión'!$V$53),"")</f>
        <v/>
      </c>
      <c r="U32" s="52" t="str">
        <f>IF(AND('Riesgos de Gestión'!$AF$54="Media",'Riesgos de Gestión'!$AH$54="Menor"),CONCATENATE("R7C",'Riesgos de Gestión'!$V$54),"")</f>
        <v/>
      </c>
      <c r="V32" s="50" t="str">
        <f>IF(AND('Riesgos de Gestión'!$AF$49="Media",'Riesgos de Gestión'!$AH$49="Moderado"),CONCATENATE("R7C",'Riesgos de Gestión'!$V$49),"")</f>
        <v/>
      </c>
      <c r="W32" s="51" t="str">
        <f>IF(AND('Riesgos de Gestión'!$AF$50="Media",'Riesgos de Gestión'!$AH$50="Moderado"),CONCATENATE("R7C",'Riesgos de Gestión'!$V$50),"")</f>
        <v/>
      </c>
      <c r="X32" s="51" t="str">
        <f>IF(AND('Riesgos de Gestión'!$AF$51="Media",'Riesgos de Gestión'!$AH$51="Moderado"),CONCATENATE("R7C",'Riesgos de Gestión'!$V$51),"")</f>
        <v/>
      </c>
      <c r="Y32" s="51" t="str">
        <f>IF(AND('Riesgos de Gestión'!$AF$52="Media",'Riesgos de Gestión'!$AH$52="Moderado"),CONCATENATE("R7C",'Riesgos de Gestión'!$V$52),"")</f>
        <v/>
      </c>
      <c r="Z32" s="51" t="str">
        <f>IF(AND('Riesgos de Gestión'!$AF$53="Media",'Riesgos de Gestión'!$AH$53="Moderado"),CONCATENATE("R7C",'Riesgos de Gestión'!$V$53),"")</f>
        <v/>
      </c>
      <c r="AA32" s="52" t="str">
        <f>IF(AND('Riesgos de Gestión'!$AF$54="Media",'Riesgos de Gestión'!$AH$54="Moderado"),CONCATENATE("R7C",'Riesgos de Gestión'!$V$54),"")</f>
        <v/>
      </c>
      <c r="AB32" s="35" t="str">
        <f>IF(AND('Riesgos de Gestión'!$AF$49="Media",'Riesgos de Gestión'!$AH$49="Mayor"),CONCATENATE("R7C",'Riesgos de Gestión'!$V$49),"")</f>
        <v/>
      </c>
      <c r="AC32" s="36" t="str">
        <f>IF(AND('Riesgos de Gestión'!$AF$50="Media",'Riesgos de Gestión'!$AH$50="Mayor"),CONCATENATE("R7C",'Riesgos de Gestión'!$V$50),"")</f>
        <v/>
      </c>
      <c r="AD32" s="36" t="str">
        <f>IF(AND('Riesgos de Gestión'!$AF$51="Media",'Riesgos de Gestión'!$AH$51="Mayor"),CONCATENATE("R7C",'Riesgos de Gestión'!$V$51),"")</f>
        <v/>
      </c>
      <c r="AE32" s="36" t="str">
        <f>IF(AND('Riesgos de Gestión'!$AF$52="Media",'Riesgos de Gestión'!$AH$52="Mayor"),CONCATENATE("R7C",'Riesgos de Gestión'!$V$52),"")</f>
        <v/>
      </c>
      <c r="AF32" s="36" t="str">
        <f>IF(AND('Riesgos de Gestión'!$AF$53="Media",'Riesgos de Gestión'!$AH$53="Mayor"),CONCATENATE("R7C",'Riesgos de Gestión'!$V$53),"")</f>
        <v/>
      </c>
      <c r="AG32" s="37" t="str">
        <f>IF(AND('Riesgos de Gestión'!$AF$54="Media",'Riesgos de Gestión'!$AH$54="Mayor"),CONCATENATE("R7C",'Riesgos de Gestión'!$V$54),"")</f>
        <v/>
      </c>
      <c r="AH32" s="38" t="str">
        <f>IF(AND('Riesgos de Gestión'!$AF$49="Media",'Riesgos de Gestión'!$AH$49="Catastrófico"),CONCATENATE("R7C",'Riesgos de Gestión'!$V$49),"")</f>
        <v/>
      </c>
      <c r="AI32" s="39" t="str">
        <f>IF(AND('Riesgos de Gestión'!$AF$50="Media",'Riesgos de Gestión'!$AH$50="Catastrófico"),CONCATENATE("R7C",'Riesgos de Gestión'!$V$50),"")</f>
        <v/>
      </c>
      <c r="AJ32" s="39" t="str">
        <f>IF(AND('Riesgos de Gestión'!$AF$51="Media",'Riesgos de Gestión'!$AH$51="Catastrófico"),CONCATENATE("R7C",'Riesgos de Gestión'!$V$51),"")</f>
        <v/>
      </c>
      <c r="AK32" s="39" t="str">
        <f>IF(AND('Riesgos de Gestión'!$AF$52="Media",'Riesgos de Gestión'!$AH$52="Catastrófico"),CONCATENATE("R7C",'Riesgos de Gestión'!$V$52),"")</f>
        <v/>
      </c>
      <c r="AL32" s="39" t="str">
        <f>IF(AND('Riesgos de Gestión'!$AF$53="Media",'Riesgos de Gestión'!$AH$53="Catastrófico"),CONCATENATE("R7C",'Riesgos de Gestión'!$V$53),"")</f>
        <v/>
      </c>
      <c r="AM32" s="40" t="str">
        <f>IF(AND('Riesgos de Gestión'!$AF$54="Media",'Riesgos de Gestión'!$AH$54="Catastrófico"),CONCATENATE("R7C",'Riesgos de Gestión'!$V$54),"")</f>
        <v/>
      </c>
      <c r="AN32" s="66"/>
      <c r="AO32" s="511"/>
      <c r="AP32" s="512"/>
      <c r="AQ32" s="512"/>
      <c r="AR32" s="512"/>
      <c r="AS32" s="512"/>
      <c r="AT32" s="513"/>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30"/>
      <c r="C33" s="430"/>
      <c r="D33" s="431"/>
      <c r="E33" s="471"/>
      <c r="F33" s="472"/>
      <c r="G33" s="472"/>
      <c r="H33" s="472"/>
      <c r="I33" s="473"/>
      <c r="J33" s="50" t="str">
        <f>IF(AND('Riesgos de Gestión'!$AF$55="Media",'Riesgos de Gestión'!$AH$55="Leve"),CONCATENATE("R8C",'Riesgos de Gestión'!$V$55),"")</f>
        <v/>
      </c>
      <c r="K33" s="51" t="str">
        <f>IF(AND('Riesgos de Gestión'!$AF$56="Media",'Riesgos de Gestión'!$AH$56="Leve"),CONCATENATE("R8C",'Riesgos de Gestión'!$V$56),"")</f>
        <v/>
      </c>
      <c r="L33" s="51" t="str">
        <f>IF(AND('Riesgos de Gestión'!$AF$57="Media",'Riesgos de Gestión'!$AH$57="Leve"),CONCATENATE("R8C",'Riesgos de Gestión'!$V$57),"")</f>
        <v/>
      </c>
      <c r="M33" s="51" t="str">
        <f>IF(AND('Riesgos de Gestión'!$AF$58="Media",'Riesgos de Gestión'!$AH$58="Leve"),CONCATENATE("R8C",'Riesgos de Gestión'!$V$58),"")</f>
        <v/>
      </c>
      <c r="N33" s="51" t="str">
        <f>IF(AND('Riesgos de Gestión'!$AF$59="Media",'Riesgos de Gestión'!$AH$59="Leve"),CONCATENATE("R8C",'Riesgos de Gestión'!$V$59),"")</f>
        <v/>
      </c>
      <c r="O33" s="52" t="str">
        <f>IF(AND('Riesgos de Gestión'!$AF$60="Media",'Riesgos de Gestión'!$AH$60="Leve"),CONCATENATE("R8C",'Riesgos de Gestión'!$V$60),"")</f>
        <v/>
      </c>
      <c r="P33" s="50" t="str">
        <f>IF(AND('Riesgos de Gestión'!$AF$55="Media",'Riesgos de Gestión'!$AH$55="Menor"),CONCATENATE("R8C",'Riesgos de Gestión'!$V$55),"")</f>
        <v/>
      </c>
      <c r="Q33" s="51" t="str">
        <f>IF(AND('Riesgos de Gestión'!$AF$56="Media",'Riesgos de Gestión'!$AH$56="Menor"),CONCATENATE("R8C",'Riesgos de Gestión'!$V$56),"")</f>
        <v/>
      </c>
      <c r="R33" s="51" t="str">
        <f>IF(AND('Riesgos de Gestión'!$AF$57="Media",'Riesgos de Gestión'!$AH$57="Menor"),CONCATENATE("R8C",'Riesgos de Gestión'!$V$57),"")</f>
        <v/>
      </c>
      <c r="S33" s="51" t="str">
        <f>IF(AND('Riesgos de Gestión'!$AF$58="Media",'Riesgos de Gestión'!$AH$58="Menor"),CONCATENATE("R8C",'Riesgos de Gestión'!$V$58),"")</f>
        <v/>
      </c>
      <c r="T33" s="51" t="str">
        <f>IF(AND('Riesgos de Gestión'!$AF$59="Media",'Riesgos de Gestión'!$AH$59="Menor"),CONCATENATE("R8C",'Riesgos de Gestión'!$V$59),"")</f>
        <v/>
      </c>
      <c r="U33" s="52" t="str">
        <f>IF(AND('Riesgos de Gestión'!$AF$60="Media",'Riesgos de Gestión'!$AH$60="Menor"),CONCATENATE("R8C",'Riesgos de Gestión'!$V$60),"")</f>
        <v/>
      </c>
      <c r="V33" s="50" t="str">
        <f>IF(AND('Riesgos de Gestión'!$AF$55="Media",'Riesgos de Gestión'!$AH$55="Moderado"),CONCATENATE("R8C",'Riesgos de Gestión'!$V$55),"")</f>
        <v/>
      </c>
      <c r="W33" s="51" t="str">
        <f>IF(AND('Riesgos de Gestión'!$AF$56="Media",'Riesgos de Gestión'!$AH$56="Moderado"),CONCATENATE("R8C",'Riesgos de Gestión'!$V$56),"")</f>
        <v/>
      </c>
      <c r="X33" s="51" t="str">
        <f>IF(AND('Riesgos de Gestión'!$AF$57="Media",'Riesgos de Gestión'!$AH$57="Moderado"),CONCATENATE("R8C",'Riesgos de Gestión'!$V$57),"")</f>
        <v/>
      </c>
      <c r="Y33" s="51" t="str">
        <f>IF(AND('Riesgos de Gestión'!$AF$58="Media",'Riesgos de Gestión'!$AH$58="Moderado"),CONCATENATE("R8C",'Riesgos de Gestión'!$V$58),"")</f>
        <v/>
      </c>
      <c r="Z33" s="51" t="str">
        <f>IF(AND('Riesgos de Gestión'!$AF$59="Media",'Riesgos de Gestión'!$AH$59="Moderado"),CONCATENATE("R8C",'Riesgos de Gestión'!$V$59),"")</f>
        <v/>
      </c>
      <c r="AA33" s="52" t="str">
        <f>IF(AND('Riesgos de Gestión'!$AF$60="Media",'Riesgos de Gestión'!$AH$60="Moderado"),CONCATENATE("R8C",'Riesgos de Gestión'!$V$60),"")</f>
        <v/>
      </c>
      <c r="AB33" s="35" t="str">
        <f>IF(AND('Riesgos de Gestión'!$AF$55="Media",'Riesgos de Gestión'!$AH$55="Mayor"),CONCATENATE("R8C",'Riesgos de Gestión'!$V$55),"")</f>
        <v/>
      </c>
      <c r="AC33" s="36" t="str">
        <f>IF(AND('Riesgos de Gestión'!$AF$56="Media",'Riesgos de Gestión'!$AH$56="Mayor"),CONCATENATE("R8C",'Riesgos de Gestión'!$V$56),"")</f>
        <v/>
      </c>
      <c r="AD33" s="36" t="str">
        <f>IF(AND('Riesgos de Gestión'!$AF$57="Media",'Riesgos de Gestión'!$AH$57="Mayor"),CONCATENATE("R8C",'Riesgos de Gestión'!$V$57),"")</f>
        <v/>
      </c>
      <c r="AE33" s="36" t="str">
        <f>IF(AND('Riesgos de Gestión'!$AF$58="Media",'Riesgos de Gestión'!$AH$58="Mayor"),CONCATENATE("R8C",'Riesgos de Gestión'!$V$58),"")</f>
        <v/>
      </c>
      <c r="AF33" s="36" t="str">
        <f>IF(AND('Riesgos de Gestión'!$AF$59="Media",'Riesgos de Gestión'!$AH$59="Mayor"),CONCATENATE("R8C",'Riesgos de Gestión'!$V$59),"")</f>
        <v/>
      </c>
      <c r="AG33" s="37" t="str">
        <f>IF(AND('Riesgos de Gestión'!$AF$60="Media",'Riesgos de Gestión'!$AH$60="Mayor"),CONCATENATE("R8C",'Riesgos de Gestión'!$V$60),"")</f>
        <v/>
      </c>
      <c r="AH33" s="38" t="str">
        <f>IF(AND('Riesgos de Gestión'!$AF$55="Media",'Riesgos de Gestión'!$AH$55="Catastrófico"),CONCATENATE("R8C",'Riesgos de Gestión'!$V$55),"")</f>
        <v/>
      </c>
      <c r="AI33" s="39" t="str">
        <f>IF(AND('Riesgos de Gestión'!$AF$56="Media",'Riesgos de Gestión'!$AH$56="Catastrófico"),CONCATENATE("R8C",'Riesgos de Gestión'!$V$56),"")</f>
        <v/>
      </c>
      <c r="AJ33" s="39" t="str">
        <f>IF(AND('Riesgos de Gestión'!$AF$57="Media",'Riesgos de Gestión'!$AH$57="Catastrófico"),CONCATENATE("R8C",'Riesgos de Gestión'!$V$57),"")</f>
        <v/>
      </c>
      <c r="AK33" s="39" t="str">
        <f>IF(AND('Riesgos de Gestión'!$AF$58="Media",'Riesgos de Gestión'!$AH$58="Catastrófico"),CONCATENATE("R8C",'Riesgos de Gestión'!$V$58),"")</f>
        <v/>
      </c>
      <c r="AL33" s="39" t="str">
        <f>IF(AND('Riesgos de Gestión'!$AF$59="Media",'Riesgos de Gestión'!$AH$59="Catastrófico"),CONCATENATE("R8C",'Riesgos de Gestión'!$V$59),"")</f>
        <v/>
      </c>
      <c r="AM33" s="40" t="str">
        <f>IF(AND('Riesgos de Gestión'!$AF$60="Media",'Riesgos de Gestión'!$AH$60="Catastrófico"),CONCATENATE("R8C",'Riesgos de Gestión'!$V$60),"")</f>
        <v/>
      </c>
      <c r="AN33" s="66"/>
      <c r="AO33" s="511"/>
      <c r="AP33" s="512"/>
      <c r="AQ33" s="512"/>
      <c r="AR33" s="512"/>
      <c r="AS33" s="512"/>
      <c r="AT33" s="513"/>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30"/>
      <c r="C34" s="430"/>
      <c r="D34" s="431"/>
      <c r="E34" s="471"/>
      <c r="F34" s="472"/>
      <c r="G34" s="472"/>
      <c r="H34" s="472"/>
      <c r="I34" s="473"/>
      <c r="J34" s="50" t="str">
        <f>IF(AND('Riesgos de Gestión'!$AF$61="Media",'Riesgos de Gestión'!$AH$61="Leve"),CONCATENATE("R9C",'Riesgos de Gestión'!$V$61),"")</f>
        <v/>
      </c>
      <c r="K34" s="51" t="str">
        <f>IF(AND('Riesgos de Gestión'!$AF$62="Media",'Riesgos de Gestión'!$AH$62="Leve"),CONCATENATE("R9C",'Riesgos de Gestión'!$V$62),"")</f>
        <v/>
      </c>
      <c r="L34" s="51" t="str">
        <f>IF(AND('Riesgos de Gestión'!$AF$63="Media",'Riesgos de Gestión'!$AH$63="Leve"),CONCATENATE("R9C",'Riesgos de Gestión'!$V$63),"")</f>
        <v/>
      </c>
      <c r="M34" s="51" t="str">
        <f>IF(AND('Riesgos de Gestión'!$AF$64="Media",'Riesgos de Gestión'!$AH$64="Leve"),CONCATENATE("R9C",'Riesgos de Gestión'!$V$64),"")</f>
        <v/>
      </c>
      <c r="N34" s="51" t="str">
        <f>IF(AND('Riesgos de Gestión'!$AF$65="Media",'Riesgos de Gestión'!$AH$65="Leve"),CONCATENATE("R9C",'Riesgos de Gestión'!$V$65),"")</f>
        <v/>
      </c>
      <c r="O34" s="52" t="str">
        <f>IF(AND('Riesgos de Gestión'!$AF$66="Media",'Riesgos de Gestión'!$AH$66="Leve"),CONCATENATE("R9C",'Riesgos de Gestión'!$V$66),"")</f>
        <v/>
      </c>
      <c r="P34" s="50" t="str">
        <f>IF(AND('Riesgos de Gestión'!$AF$61="Media",'Riesgos de Gestión'!$AH$61="Menor"),CONCATENATE("R9C",'Riesgos de Gestión'!$V$61),"")</f>
        <v/>
      </c>
      <c r="Q34" s="51" t="str">
        <f>IF(AND('Riesgos de Gestión'!$AF$62="Media",'Riesgos de Gestión'!$AH$62="Menor"),CONCATENATE("R9C",'Riesgos de Gestión'!$V$62),"")</f>
        <v/>
      </c>
      <c r="R34" s="51" t="str">
        <f>IF(AND('Riesgos de Gestión'!$AF$63="Media",'Riesgos de Gestión'!$AH$63="Menor"),CONCATENATE("R9C",'Riesgos de Gestión'!$V$63),"")</f>
        <v/>
      </c>
      <c r="S34" s="51" t="str">
        <f>IF(AND('Riesgos de Gestión'!$AF$64="Media",'Riesgos de Gestión'!$AH$64="Menor"),CONCATENATE("R9C",'Riesgos de Gestión'!$V$64),"")</f>
        <v/>
      </c>
      <c r="T34" s="51" t="str">
        <f>IF(AND('Riesgos de Gestión'!$AF$65="Media",'Riesgos de Gestión'!$AH$65="Menor"),CONCATENATE("R9C",'Riesgos de Gestión'!$V$65),"")</f>
        <v/>
      </c>
      <c r="U34" s="52" t="str">
        <f>IF(AND('Riesgos de Gestión'!$AF$66="Media",'Riesgos de Gestión'!$AH$66="Menor"),CONCATENATE("R9C",'Riesgos de Gestión'!$V$66),"")</f>
        <v/>
      </c>
      <c r="V34" s="50" t="str">
        <f>IF(AND('Riesgos de Gestión'!$AF$61="Media",'Riesgos de Gestión'!$AH$61="Moderado"),CONCATENATE("R9C",'Riesgos de Gestión'!$V$61),"")</f>
        <v/>
      </c>
      <c r="W34" s="51" t="str">
        <f>IF(AND('Riesgos de Gestión'!$AF$62="Media",'Riesgos de Gestión'!$AH$62="Moderado"),CONCATENATE("R9C",'Riesgos de Gestión'!$V$62),"")</f>
        <v/>
      </c>
      <c r="X34" s="51" t="str">
        <f>IF(AND('Riesgos de Gestión'!$AF$63="Media",'Riesgos de Gestión'!$AH$63="Moderado"),CONCATENATE("R9C",'Riesgos de Gestión'!$V$63),"")</f>
        <v/>
      </c>
      <c r="Y34" s="51" t="str">
        <f>IF(AND('Riesgos de Gestión'!$AF$64="Media",'Riesgos de Gestión'!$AH$64="Moderado"),CONCATENATE("R9C",'Riesgos de Gestión'!$V$64),"")</f>
        <v/>
      </c>
      <c r="Z34" s="51" t="str">
        <f>IF(AND('Riesgos de Gestión'!$AF$65="Media",'Riesgos de Gestión'!$AH$65="Moderado"),CONCATENATE("R9C",'Riesgos de Gestión'!$V$65),"")</f>
        <v/>
      </c>
      <c r="AA34" s="52" t="str">
        <f>IF(AND('Riesgos de Gestión'!$AF$66="Media",'Riesgos de Gestión'!$AH$66="Moderado"),CONCATENATE("R9C",'Riesgos de Gestión'!$V$66),"")</f>
        <v/>
      </c>
      <c r="AB34" s="35" t="str">
        <f>IF(AND('Riesgos de Gestión'!$AF$61="Media",'Riesgos de Gestión'!$AH$61="Mayor"),CONCATENATE("R9C",'Riesgos de Gestión'!$V$61),"")</f>
        <v/>
      </c>
      <c r="AC34" s="36" t="str">
        <f>IF(AND('Riesgos de Gestión'!$AF$62="Media",'Riesgos de Gestión'!$AH$62="Mayor"),CONCATENATE("R9C",'Riesgos de Gestión'!$V$62),"")</f>
        <v/>
      </c>
      <c r="AD34" s="36" t="str">
        <f>IF(AND('Riesgos de Gestión'!$AF$63="Media",'Riesgos de Gestión'!$AH$63="Mayor"),CONCATENATE("R9C",'Riesgos de Gestión'!$V$63),"")</f>
        <v/>
      </c>
      <c r="AE34" s="36" t="str">
        <f>IF(AND('Riesgos de Gestión'!$AF$64="Media",'Riesgos de Gestión'!$AH$64="Mayor"),CONCATENATE("R9C",'Riesgos de Gestión'!$V$64),"")</f>
        <v/>
      </c>
      <c r="AF34" s="36" t="str">
        <f>IF(AND('Riesgos de Gestión'!$AF$65="Media",'Riesgos de Gestión'!$AH$65="Mayor"),CONCATENATE("R9C",'Riesgos de Gestión'!$V$65),"")</f>
        <v/>
      </c>
      <c r="AG34" s="37" t="str">
        <f>IF(AND('Riesgos de Gestión'!$AF$66="Media",'Riesgos de Gestión'!$AH$66="Mayor"),CONCATENATE("R9C",'Riesgos de Gestión'!$V$66),"")</f>
        <v/>
      </c>
      <c r="AH34" s="38" t="str">
        <f>IF(AND('Riesgos de Gestión'!$AF$61="Media",'Riesgos de Gestión'!$AH$61="Catastrófico"),CONCATENATE("R9C",'Riesgos de Gestión'!$V$61),"")</f>
        <v/>
      </c>
      <c r="AI34" s="39" t="str">
        <f>IF(AND('Riesgos de Gestión'!$AF$62="Media",'Riesgos de Gestión'!$AH$62="Catastrófico"),CONCATENATE("R9C",'Riesgos de Gestión'!$V$62),"")</f>
        <v/>
      </c>
      <c r="AJ34" s="39" t="str">
        <f>IF(AND('Riesgos de Gestión'!$AF$63="Media",'Riesgos de Gestión'!$AH$63="Catastrófico"),CONCATENATE("R9C",'Riesgos de Gestión'!$V$63),"")</f>
        <v/>
      </c>
      <c r="AK34" s="39" t="str">
        <f>IF(AND('Riesgos de Gestión'!$AF$64="Media",'Riesgos de Gestión'!$AH$64="Catastrófico"),CONCATENATE("R9C",'Riesgos de Gestión'!$V$64),"")</f>
        <v/>
      </c>
      <c r="AL34" s="39" t="str">
        <f>IF(AND('Riesgos de Gestión'!$AF$65="Media",'Riesgos de Gestión'!$AH$65="Catastrófico"),CONCATENATE("R9C",'Riesgos de Gestión'!$V$65),"")</f>
        <v/>
      </c>
      <c r="AM34" s="40" t="str">
        <f>IF(AND('Riesgos de Gestión'!$AF$66="Media",'Riesgos de Gestión'!$AH$66="Catastrófico"),CONCATENATE("R9C",'Riesgos de Gestión'!$V$66),"")</f>
        <v/>
      </c>
      <c r="AN34" s="66"/>
      <c r="AO34" s="511"/>
      <c r="AP34" s="512"/>
      <c r="AQ34" s="512"/>
      <c r="AR34" s="512"/>
      <c r="AS34" s="512"/>
      <c r="AT34" s="513"/>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30"/>
      <c r="C35" s="430"/>
      <c r="D35" s="431"/>
      <c r="E35" s="474"/>
      <c r="F35" s="475"/>
      <c r="G35" s="475"/>
      <c r="H35" s="475"/>
      <c r="I35" s="476"/>
      <c r="J35" s="50" t="str">
        <f>IF(AND('Riesgos de Gestión'!$AF$67="Media",'Riesgos de Gestión'!$AH$67="Leve"),CONCATENATE("R10C",'Riesgos de Gestión'!$V$67),"")</f>
        <v/>
      </c>
      <c r="K35" s="51" t="str">
        <f>IF(AND('Riesgos de Gestión'!$AF$68="Media",'Riesgos de Gestión'!$AH$68="Leve"),CONCATENATE("R10C",'Riesgos de Gestión'!$V$68),"")</f>
        <v/>
      </c>
      <c r="L35" s="51" t="str">
        <f>IF(AND('Riesgos de Gestión'!$AF$69="Media",'Riesgos de Gestión'!$AH$69="Leve"),CONCATENATE("R10C",'Riesgos de Gestión'!$V$69),"")</f>
        <v/>
      </c>
      <c r="M35" s="51" t="str">
        <f>IF(AND('Riesgos de Gestión'!$AF$70="Media",'Riesgos de Gestión'!$AH$70="Leve"),CONCATENATE("R10C",'Riesgos de Gestión'!$V$70),"")</f>
        <v/>
      </c>
      <c r="N35" s="51" t="str">
        <f>IF(AND('Riesgos de Gestión'!$AF$71="Media",'Riesgos de Gestión'!$AH$71="Leve"),CONCATENATE("R10C",'Riesgos de Gestión'!$V$71),"")</f>
        <v/>
      </c>
      <c r="O35" s="52" t="str">
        <f>IF(AND('Riesgos de Gestión'!$AF$72="Media",'Riesgos de Gestión'!$AH$72="Leve"),CONCATENATE("R10C",'Riesgos de Gestión'!$V$72),"")</f>
        <v/>
      </c>
      <c r="P35" s="50" t="str">
        <f>IF(AND('Riesgos de Gestión'!$AF$67="Media",'Riesgos de Gestión'!$AH$67="Menor"),CONCATENATE("R10C",'Riesgos de Gestión'!$V$67),"")</f>
        <v/>
      </c>
      <c r="Q35" s="51" t="str">
        <f>IF(AND('Riesgos de Gestión'!$AF$68="Media",'Riesgos de Gestión'!$AH$68="Menor"),CONCATENATE("R10C",'Riesgos de Gestión'!$V$68),"")</f>
        <v/>
      </c>
      <c r="R35" s="51" t="str">
        <f>IF(AND('Riesgos de Gestión'!$AF$69="Media",'Riesgos de Gestión'!$AH$69="Menor"),CONCATENATE("R10C",'Riesgos de Gestión'!$V$69),"")</f>
        <v/>
      </c>
      <c r="S35" s="51" t="str">
        <f>IF(AND('Riesgos de Gestión'!$AF$70="Media",'Riesgos de Gestión'!$AH$70="Menor"),CONCATENATE("R10C",'Riesgos de Gestión'!$V$70),"")</f>
        <v/>
      </c>
      <c r="T35" s="51" t="str">
        <f>IF(AND('Riesgos de Gestión'!$AF$71="Media",'Riesgos de Gestión'!$AH$71="Menor"),CONCATENATE("R10C",'Riesgos de Gestión'!$V$71),"")</f>
        <v/>
      </c>
      <c r="U35" s="52" t="str">
        <f>IF(AND('Riesgos de Gestión'!$AF$72="Media",'Riesgos de Gestión'!$AH$72="Menor"),CONCATENATE("R10C",'Riesgos de Gestión'!$V$72),"")</f>
        <v/>
      </c>
      <c r="V35" s="50" t="str">
        <f>IF(AND('Riesgos de Gestión'!$AF$67="Media",'Riesgos de Gestión'!$AH$67="Moderado"),CONCATENATE("R10C",'Riesgos de Gestión'!$V$67),"")</f>
        <v/>
      </c>
      <c r="W35" s="51" t="str">
        <f>IF(AND('Riesgos de Gestión'!$AF$68="Media",'Riesgos de Gestión'!$AH$68="Moderado"),CONCATENATE("R10C",'Riesgos de Gestión'!$V$68),"")</f>
        <v/>
      </c>
      <c r="X35" s="51" t="str">
        <f>IF(AND('Riesgos de Gestión'!$AF$69="Media",'Riesgos de Gestión'!$AH$69="Moderado"),CONCATENATE("R10C",'Riesgos de Gestión'!$V$69),"")</f>
        <v/>
      </c>
      <c r="Y35" s="51" t="str">
        <f>IF(AND('Riesgos de Gestión'!$AF$70="Media",'Riesgos de Gestión'!$AH$70="Moderado"),CONCATENATE("R10C",'Riesgos de Gestión'!$V$70),"")</f>
        <v/>
      </c>
      <c r="Z35" s="51" t="str">
        <f>IF(AND('Riesgos de Gestión'!$AF$71="Media",'Riesgos de Gestión'!$AH$71="Moderado"),CONCATENATE("R10C",'Riesgos de Gestión'!$V$71),"")</f>
        <v/>
      </c>
      <c r="AA35" s="52" t="str">
        <f>IF(AND('Riesgos de Gestión'!$AF$72="Media",'Riesgos de Gestión'!$AH$72="Moderado"),CONCATENATE("R10C",'Riesgos de Gestión'!$V$72),"")</f>
        <v/>
      </c>
      <c r="AB35" s="41" t="str">
        <f>IF(AND('Riesgos de Gestión'!$AF$67="Media",'Riesgos de Gestión'!$AH$67="Mayor"),CONCATENATE("R10C",'Riesgos de Gestión'!$V$67),"")</f>
        <v/>
      </c>
      <c r="AC35" s="42" t="str">
        <f>IF(AND('Riesgos de Gestión'!$AF$68="Media",'Riesgos de Gestión'!$AH$68="Mayor"),CONCATENATE("R10C",'Riesgos de Gestión'!$V$68),"")</f>
        <v/>
      </c>
      <c r="AD35" s="42" t="str">
        <f>IF(AND('Riesgos de Gestión'!$AF$69="Media",'Riesgos de Gestión'!$AH$69="Mayor"),CONCATENATE("R10C",'Riesgos de Gestión'!$V$69),"")</f>
        <v/>
      </c>
      <c r="AE35" s="42" t="str">
        <f>IF(AND('Riesgos de Gestión'!$AF$70="Media",'Riesgos de Gestión'!$AH$70="Mayor"),CONCATENATE("R10C",'Riesgos de Gestión'!$V$70),"")</f>
        <v/>
      </c>
      <c r="AF35" s="42" t="str">
        <f>IF(AND('Riesgos de Gestión'!$AF$71="Media",'Riesgos de Gestión'!$AH$71="Mayor"),CONCATENATE("R10C",'Riesgos de Gestión'!$V$71),"")</f>
        <v/>
      </c>
      <c r="AG35" s="43" t="str">
        <f>IF(AND('Riesgos de Gestión'!$AF$72="Media",'Riesgos de Gestión'!$AH$72="Mayor"),CONCATENATE("R10C",'Riesgos de Gestión'!$V$72),"")</f>
        <v/>
      </c>
      <c r="AH35" s="44" t="str">
        <f>IF(AND('Riesgos de Gestión'!$AF$67="Media",'Riesgos de Gestión'!$AH$67="Catastrófico"),CONCATENATE("R10C",'Riesgos de Gestión'!$V$67),"")</f>
        <v/>
      </c>
      <c r="AI35" s="45" t="str">
        <f>IF(AND('Riesgos de Gestión'!$AF$68="Media",'Riesgos de Gestión'!$AH$68="Catastrófico"),CONCATENATE("R10C",'Riesgos de Gestión'!$V$68),"")</f>
        <v/>
      </c>
      <c r="AJ35" s="45" t="str">
        <f>IF(AND('Riesgos de Gestión'!$AF$69="Media",'Riesgos de Gestión'!$AH$69="Catastrófico"),CONCATENATE("R10C",'Riesgos de Gestión'!$V$69),"")</f>
        <v/>
      </c>
      <c r="AK35" s="45" t="str">
        <f>IF(AND('Riesgos de Gestión'!$AF$70="Media",'Riesgos de Gestión'!$AH$70="Catastrófico"),CONCATENATE("R10C",'Riesgos de Gestión'!$V$70),"")</f>
        <v/>
      </c>
      <c r="AL35" s="45" t="str">
        <f>IF(AND('Riesgos de Gestión'!$AF$71="Media",'Riesgos de Gestión'!$AH$71="Catastrófico"),CONCATENATE("R10C",'Riesgos de Gestión'!$V$71),"")</f>
        <v/>
      </c>
      <c r="AM35" s="46" t="str">
        <f>IF(AND('Riesgos de Gestión'!$AF$72="Media",'Riesgos de Gestión'!$AH$72="Catastrófico"),CONCATENATE("R10C",'Riesgos de Gestión'!$V$72),"")</f>
        <v/>
      </c>
      <c r="AN35" s="66"/>
      <c r="AO35" s="514"/>
      <c r="AP35" s="515"/>
      <c r="AQ35" s="515"/>
      <c r="AR35" s="515"/>
      <c r="AS35" s="515"/>
      <c r="AT35" s="51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30"/>
      <c r="C36" s="430"/>
      <c r="D36" s="431"/>
      <c r="E36" s="468" t="s">
        <v>256</v>
      </c>
      <c r="F36" s="469"/>
      <c r="G36" s="469"/>
      <c r="H36" s="469"/>
      <c r="I36" s="469"/>
      <c r="J36" s="56" t="str">
        <f>IF(AND('Riesgos de Gestión'!$AF$13="Baja",'Riesgos de Gestión'!$AH$13="Leve"),CONCATENATE("R1C",'Riesgos de Gestión'!$V$13),"")</f>
        <v/>
      </c>
      <c r="K36" s="57" t="str">
        <f>IF(AND('Riesgos de Gestión'!$AF$14="Baja",'Riesgos de Gestión'!$AH$14="Leve"),CONCATENATE("R1C",'Riesgos de Gestión'!$V$14),"")</f>
        <v/>
      </c>
      <c r="L36" s="57" t="str">
        <f>IF(AND('Riesgos de Gestión'!$AF$15="Baja",'Riesgos de Gestión'!$AH$15="Leve"),CONCATENATE("R1C",'Riesgos de Gestión'!$V$15),"")</f>
        <v/>
      </c>
      <c r="M36" s="57" t="str">
        <f>IF(AND('Riesgos de Gestión'!$AF$16="Baja",'Riesgos de Gestión'!$AH$16="Leve"),CONCATENATE("R1C",'Riesgos de Gestión'!$V$16),"")</f>
        <v/>
      </c>
      <c r="N36" s="57" t="str">
        <f>IF(AND('Riesgos de Gestión'!$AF$17="Baja",'Riesgos de Gestión'!$AH$17="Leve"),CONCATENATE("R1C",'Riesgos de Gestión'!$V$17),"")</f>
        <v/>
      </c>
      <c r="O36" s="58" t="str">
        <f>IF(AND('Riesgos de Gestión'!$AF$18="Baja",'Riesgos de Gestión'!$AH$18="Leve"),CONCATENATE("R1C",'Riesgos de Gestión'!$V$18),"")</f>
        <v/>
      </c>
      <c r="P36" s="47" t="str">
        <f>IF(AND('Riesgos de Gestión'!$AF$13="Baja",'Riesgos de Gestión'!$AH$13="Menor"),CONCATENATE("R1C",'Riesgos de Gestión'!$V$13),"")</f>
        <v>R1C1</v>
      </c>
      <c r="Q36" s="48" t="str">
        <f>IF(AND('Riesgos de Gestión'!$AF$14="Baja",'Riesgos de Gestión'!$AH$14="Menor"),CONCATENATE("R1C",'Riesgos de Gestión'!$V$14),"")</f>
        <v>R1C2</v>
      </c>
      <c r="R36" s="48" t="str">
        <f>IF(AND('Riesgos de Gestión'!$AF$15="Baja",'Riesgos de Gestión'!$AH$15="Menor"),CONCATENATE("R1C",'Riesgos de Gestión'!$V$15),"")</f>
        <v/>
      </c>
      <c r="S36" s="48" t="str">
        <f>IF(AND('Riesgos de Gestión'!$AF$16="Baja",'Riesgos de Gestión'!$AH$16="Menor"),CONCATENATE("R1C",'Riesgos de Gestión'!$V$16),"")</f>
        <v/>
      </c>
      <c r="T36" s="48" t="str">
        <f>IF(AND('Riesgos de Gestión'!$AF$17="Baja",'Riesgos de Gestión'!$AH$17="Menor"),CONCATENATE("R1C",'Riesgos de Gestión'!$V$17),"")</f>
        <v/>
      </c>
      <c r="U36" s="49" t="str">
        <f>IF(AND('Riesgos de Gestión'!$AF$18="Baja",'Riesgos de Gestión'!$AH$18="Menor"),CONCATENATE("R1C",'Riesgos de Gestión'!$V$18),"")</f>
        <v/>
      </c>
      <c r="V36" s="47" t="str">
        <f>IF(AND('Riesgos de Gestión'!$AF$13="Baja",'Riesgos de Gestión'!$AH$13="Moderado"),CONCATENATE("R1C",'Riesgos de Gestión'!$V$13),"")</f>
        <v/>
      </c>
      <c r="W36" s="48" t="str">
        <f>IF(AND('Riesgos de Gestión'!$AF$14="Baja",'Riesgos de Gestión'!$AH$14="Moderado"),CONCATENATE("R1C",'Riesgos de Gestión'!$V$14),"")</f>
        <v/>
      </c>
      <c r="X36" s="48" t="str">
        <f>IF(AND('Riesgos de Gestión'!$AF$15="Baja",'Riesgos de Gestión'!$AH$15="Moderado"),CONCATENATE("R1C",'Riesgos de Gestión'!$V$15),"")</f>
        <v/>
      </c>
      <c r="Y36" s="48" t="str">
        <f>IF(AND('Riesgos de Gestión'!$AF$16="Baja",'Riesgos de Gestión'!$AH$16="Moderado"),CONCATENATE("R1C",'Riesgos de Gestión'!$V$16),"")</f>
        <v/>
      </c>
      <c r="Z36" s="48" t="str">
        <f>IF(AND('Riesgos de Gestión'!$AF$17="Baja",'Riesgos de Gestión'!$AH$17="Moderado"),CONCATENATE("R1C",'Riesgos de Gestión'!$V$17),"")</f>
        <v/>
      </c>
      <c r="AA36" s="49" t="str">
        <f>IF(AND('Riesgos de Gestión'!$AF$18="Baja",'Riesgos de Gestión'!$AH$18="Moderado"),CONCATENATE("R1C",'Riesgos de Gestión'!$V$18),"")</f>
        <v/>
      </c>
      <c r="AB36" s="29" t="str">
        <f>IF(AND('Riesgos de Gestión'!$AF$13="Baja",'Riesgos de Gestión'!$AH$13="Mayor"),CONCATENATE("R1C",'Riesgos de Gestión'!$V$13),"")</f>
        <v/>
      </c>
      <c r="AC36" s="30" t="str">
        <f>IF(AND('Riesgos de Gestión'!$AF$14="Baja",'Riesgos de Gestión'!$AH$14="Mayor"),CONCATENATE("R1C",'Riesgos de Gestión'!$V$14),"")</f>
        <v/>
      </c>
      <c r="AD36" s="30" t="str">
        <f>IF(AND('Riesgos de Gestión'!$AF$15="Baja",'Riesgos de Gestión'!$AH$15="Mayor"),CONCATENATE("R1C",'Riesgos de Gestión'!$V$15),"")</f>
        <v/>
      </c>
      <c r="AE36" s="30" t="str">
        <f>IF(AND('Riesgos de Gestión'!$AF$16="Baja",'Riesgos de Gestión'!$AH$16="Mayor"),CONCATENATE("R1C",'Riesgos de Gestión'!$V$16),"")</f>
        <v/>
      </c>
      <c r="AF36" s="30" t="str">
        <f>IF(AND('Riesgos de Gestión'!$AF$17="Baja",'Riesgos de Gestión'!$AH$17="Mayor"),CONCATENATE("R1C",'Riesgos de Gestión'!$V$17),"")</f>
        <v/>
      </c>
      <c r="AG36" s="31" t="str">
        <f>IF(AND('Riesgos de Gestión'!$AF$18="Baja",'Riesgos de Gestión'!$AH$18="Mayor"),CONCATENATE("R1C",'Riesgos de Gestión'!$V$18),"")</f>
        <v/>
      </c>
      <c r="AH36" s="32" t="str">
        <f>IF(AND('Riesgos de Gestión'!$AF$13="Baja",'Riesgos de Gestión'!$AH$13="Catastrófico"),CONCATENATE("R1C",'Riesgos de Gestión'!$V$13),"")</f>
        <v/>
      </c>
      <c r="AI36" s="33" t="str">
        <f>IF(AND('Riesgos de Gestión'!$AF$14="Baja",'Riesgos de Gestión'!$AH$14="Catastrófico"),CONCATENATE("R1C",'Riesgos de Gestión'!$V$14),"")</f>
        <v/>
      </c>
      <c r="AJ36" s="33" t="str">
        <f>IF(AND('Riesgos de Gestión'!$AF$15="Baja",'Riesgos de Gestión'!$AH$15="Catastrófico"),CONCATENATE("R1C",'Riesgos de Gestión'!$V$15),"")</f>
        <v/>
      </c>
      <c r="AK36" s="33" t="str">
        <f>IF(AND('Riesgos de Gestión'!$AF$16="Baja",'Riesgos de Gestión'!$AH$16="Catastrófico"),CONCATENATE("R1C",'Riesgos de Gestión'!$V$16),"")</f>
        <v/>
      </c>
      <c r="AL36" s="33" t="str">
        <f>IF(AND('Riesgos de Gestión'!$AF$17="Baja",'Riesgos de Gestión'!$AH$17="Catastrófico"),CONCATENATE("R1C",'Riesgos de Gestión'!$V$17),"")</f>
        <v/>
      </c>
      <c r="AM36" s="34" t="str">
        <f>IF(AND('Riesgos de Gestión'!$AF$18="Baja",'Riesgos de Gestión'!$AH$18="Catastrófico"),CONCATENATE("R1C",'Riesgos de Gestión'!$V$18),"")</f>
        <v/>
      </c>
      <c r="AN36" s="66"/>
      <c r="AO36" s="499" t="s">
        <v>257</v>
      </c>
      <c r="AP36" s="500"/>
      <c r="AQ36" s="500"/>
      <c r="AR36" s="500"/>
      <c r="AS36" s="500"/>
      <c r="AT36" s="501"/>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30"/>
      <c r="C37" s="430"/>
      <c r="D37" s="431"/>
      <c r="E37" s="487"/>
      <c r="F37" s="472"/>
      <c r="G37" s="472"/>
      <c r="H37" s="472"/>
      <c r="I37" s="472"/>
      <c r="J37" s="59" t="str">
        <f>IF(AND('Riesgos de Gestión'!$AF$19="Baja",'Riesgos de Gestión'!$AH$19="Leve"),CONCATENATE("R2C",'Riesgos de Gestión'!$V$19),"")</f>
        <v/>
      </c>
      <c r="K37" s="60" t="str">
        <f>IF(AND('Riesgos de Gestión'!$AF$20="Baja",'Riesgos de Gestión'!$AH$20="Leve"),CONCATENATE("R2C",'Riesgos de Gestión'!$V$20),"")</f>
        <v/>
      </c>
      <c r="L37" s="60" t="str">
        <f>IF(AND('Riesgos de Gestión'!$AF$21="Baja",'Riesgos de Gestión'!$AH$21="Leve"),CONCATENATE("R2C",'Riesgos de Gestión'!$V$21),"")</f>
        <v/>
      </c>
      <c r="M37" s="60" t="str">
        <f>IF(AND('Riesgos de Gestión'!$AF$22="Baja",'Riesgos de Gestión'!$AH$22="Leve"),CONCATENATE("R2C",'Riesgos de Gestión'!$V$22),"")</f>
        <v/>
      </c>
      <c r="N37" s="60" t="str">
        <f>IF(AND('Riesgos de Gestión'!$AF$23="Baja",'Riesgos de Gestión'!$AH$23="Leve"),CONCATENATE("R2C",'Riesgos de Gestión'!$V$23),"")</f>
        <v/>
      </c>
      <c r="O37" s="61" t="str">
        <f>IF(AND('Riesgos de Gestión'!$AF$24="Baja",'Riesgos de Gestión'!$AH$24="Leve"),CONCATENATE("R2C",'Riesgos de Gestión'!$V$24),"")</f>
        <v/>
      </c>
      <c r="P37" s="50" t="str">
        <f>IF(AND('Riesgos de Gestión'!$AF$19="Baja",'Riesgos de Gestión'!$AH$19="Menor"),CONCATENATE("R2C",'Riesgos de Gestión'!$V$19),"")</f>
        <v/>
      </c>
      <c r="Q37" s="51" t="str">
        <f>IF(AND('Riesgos de Gestión'!$AF$20="Baja",'Riesgos de Gestión'!$AH$20="Menor"),CONCATENATE("R2C",'Riesgos de Gestión'!$V$20),"")</f>
        <v/>
      </c>
      <c r="R37" s="51" t="str">
        <f>IF(AND('Riesgos de Gestión'!$AF$21="Baja",'Riesgos de Gestión'!$AH$21="Menor"),CONCATENATE("R2C",'Riesgos de Gestión'!$V$21),"")</f>
        <v/>
      </c>
      <c r="S37" s="51" t="str">
        <f>IF(AND('Riesgos de Gestión'!$AF$22="Baja",'Riesgos de Gestión'!$AH$22="Menor"),CONCATENATE("R2C",'Riesgos de Gestión'!$V$22),"")</f>
        <v/>
      </c>
      <c r="T37" s="51" t="str">
        <f>IF(AND('Riesgos de Gestión'!$AF$23="Baja",'Riesgos de Gestión'!$AH$23="Menor"),CONCATENATE("R2C",'Riesgos de Gestión'!$V$23),"")</f>
        <v/>
      </c>
      <c r="U37" s="52" t="str">
        <f>IF(AND('Riesgos de Gestión'!$AF$24="Baja",'Riesgos de Gestión'!$AH$24="Menor"),CONCATENATE("R2C",'Riesgos de Gestión'!$V$24),"")</f>
        <v/>
      </c>
      <c r="V37" s="50" t="str">
        <f>IF(AND('Riesgos de Gestión'!$AF$19="Baja",'Riesgos de Gestión'!$AH$19="Moderado"),CONCATENATE("R2C",'Riesgos de Gestión'!$V$19),"")</f>
        <v/>
      </c>
      <c r="W37" s="51" t="str">
        <f>IF(AND('Riesgos de Gestión'!$AF$20="Baja",'Riesgos de Gestión'!$AH$20="Moderado"),CONCATENATE("R2C",'Riesgos de Gestión'!$V$20),"")</f>
        <v/>
      </c>
      <c r="X37" s="51" t="str">
        <f>IF(AND('Riesgos de Gestión'!$AF$21="Baja",'Riesgos de Gestión'!$AH$21="Moderado"),CONCATENATE("R2C",'Riesgos de Gestión'!$V$21),"")</f>
        <v/>
      </c>
      <c r="Y37" s="51" t="str">
        <f>IF(AND('Riesgos de Gestión'!$AF$22="Baja",'Riesgos de Gestión'!$AH$22="Moderado"),CONCATENATE("R2C",'Riesgos de Gestión'!$V$22),"")</f>
        <v/>
      </c>
      <c r="Z37" s="51" t="str">
        <f>IF(AND('Riesgos de Gestión'!$AF$23="Baja",'Riesgos de Gestión'!$AH$23="Moderado"),CONCATENATE("R2C",'Riesgos de Gestión'!$V$23),"")</f>
        <v/>
      </c>
      <c r="AA37" s="52" t="str">
        <f>IF(AND('Riesgos de Gestión'!$AF$24="Baja",'Riesgos de Gestión'!$AH$24="Moderado"),CONCATENATE("R2C",'Riesgos de Gestión'!$V$24),"")</f>
        <v/>
      </c>
      <c r="AB37" s="35" t="str">
        <f>IF(AND('Riesgos de Gestión'!$AF$19="Baja",'Riesgos de Gestión'!$AH$19="Mayor"),CONCATENATE("R2C",'Riesgos de Gestión'!$V$19),"")</f>
        <v/>
      </c>
      <c r="AC37" s="36" t="str">
        <f>IF(AND('Riesgos de Gestión'!$AF$20="Baja",'Riesgos de Gestión'!$AH$20="Mayor"),CONCATENATE("R2C",'Riesgos de Gestión'!$V$20),"")</f>
        <v/>
      </c>
      <c r="AD37" s="36" t="str">
        <f>IF(AND('Riesgos de Gestión'!$AF$21="Baja",'Riesgos de Gestión'!$AH$21="Mayor"),CONCATENATE("R2C",'Riesgos de Gestión'!$V$21),"")</f>
        <v/>
      </c>
      <c r="AE37" s="36" t="str">
        <f>IF(AND('Riesgos de Gestión'!$AF$22="Baja",'Riesgos de Gestión'!$AH$22="Mayor"),CONCATENATE("R2C",'Riesgos de Gestión'!$V$22),"")</f>
        <v/>
      </c>
      <c r="AF37" s="36" t="str">
        <f>IF(AND('Riesgos de Gestión'!$AF$23="Baja",'Riesgos de Gestión'!$AH$23="Mayor"),CONCATENATE("R2C",'Riesgos de Gestión'!$V$23),"")</f>
        <v/>
      </c>
      <c r="AG37" s="37" t="str">
        <f>IF(AND('Riesgos de Gestión'!$AF$24="Baja",'Riesgos de Gestión'!$AH$24="Mayor"),CONCATENATE("R2C",'Riesgos de Gestión'!$V$24),"")</f>
        <v/>
      </c>
      <c r="AH37" s="38" t="str">
        <f>IF(AND('Riesgos de Gestión'!$AF$19="Baja",'Riesgos de Gestión'!$AH$19="Catastrófico"),CONCATENATE("R2C",'Riesgos de Gestión'!$V$19),"")</f>
        <v/>
      </c>
      <c r="AI37" s="39" t="str">
        <f>IF(AND('Riesgos de Gestión'!$AF$20="Baja",'Riesgos de Gestión'!$AH$20="Catastrófico"),CONCATENATE("R2C",'Riesgos de Gestión'!$V$20),"")</f>
        <v/>
      </c>
      <c r="AJ37" s="39" t="str">
        <f>IF(AND('Riesgos de Gestión'!$AF$21="Baja",'Riesgos de Gestión'!$AH$21="Catastrófico"),CONCATENATE("R2C",'Riesgos de Gestión'!$V$21),"")</f>
        <v/>
      </c>
      <c r="AK37" s="39" t="str">
        <f>IF(AND('Riesgos de Gestión'!$AF$22="Baja",'Riesgos de Gestión'!$AH$22="Catastrófico"),CONCATENATE("R2C",'Riesgos de Gestión'!$V$22),"")</f>
        <v/>
      </c>
      <c r="AL37" s="39" t="str">
        <f>IF(AND('Riesgos de Gestión'!$AF$23="Baja",'Riesgos de Gestión'!$AH$23="Catastrófico"),CONCATENATE("R2C",'Riesgos de Gestión'!$V$23),"")</f>
        <v/>
      </c>
      <c r="AM37" s="40" t="str">
        <f>IF(AND('Riesgos de Gestión'!$AF$24="Baja",'Riesgos de Gestión'!$AH$24="Catastrófico"),CONCATENATE("R2C",'Riesgos de Gestión'!$V$24),"")</f>
        <v/>
      </c>
      <c r="AN37" s="66"/>
      <c r="AO37" s="502"/>
      <c r="AP37" s="503"/>
      <c r="AQ37" s="503"/>
      <c r="AR37" s="503"/>
      <c r="AS37" s="503"/>
      <c r="AT37" s="504"/>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30"/>
      <c r="C38" s="430"/>
      <c r="D38" s="431"/>
      <c r="E38" s="471"/>
      <c r="F38" s="472"/>
      <c r="G38" s="472"/>
      <c r="H38" s="472"/>
      <c r="I38" s="472"/>
      <c r="J38" s="59" t="str">
        <f>IF(AND('Riesgos de Gestión'!$AF$25="Baja",'Riesgos de Gestión'!$AH$25="Leve"),CONCATENATE("R3C",'Riesgos de Gestión'!$V$25),"")</f>
        <v/>
      </c>
      <c r="K38" s="60" t="str">
        <f>IF(AND('Riesgos de Gestión'!$AF$26="Baja",'Riesgos de Gestión'!$AH$26="Leve"),CONCATENATE("R3C",'Riesgos de Gestión'!$V$26),"")</f>
        <v/>
      </c>
      <c r="L38" s="60" t="str">
        <f>IF(AND('Riesgos de Gestión'!$AF$27="Baja",'Riesgos de Gestión'!$AH$27="Leve"),CONCATENATE("R3C",'Riesgos de Gestión'!$V$27),"")</f>
        <v/>
      </c>
      <c r="M38" s="60" t="str">
        <f>IF(AND('Riesgos de Gestión'!$AF$28="Baja",'Riesgos de Gestión'!$AH$28="Leve"),CONCATENATE("R3C",'Riesgos de Gestión'!$V$28),"")</f>
        <v/>
      </c>
      <c r="N38" s="60" t="str">
        <f>IF(AND('Riesgos de Gestión'!$AF$29="Baja",'Riesgos de Gestión'!$AH$29="Leve"),CONCATENATE("R3C",'Riesgos de Gestión'!$V$29),"")</f>
        <v/>
      </c>
      <c r="O38" s="61" t="str">
        <f>IF(AND('Riesgos de Gestión'!$AF$30="Baja",'Riesgos de Gestión'!$AH$30="Leve"),CONCATENATE("R3C",'Riesgos de Gestión'!$V$30),"")</f>
        <v/>
      </c>
      <c r="P38" s="50" t="str">
        <f>IF(AND('Riesgos de Gestión'!$AF$25="Baja",'Riesgos de Gestión'!$AH$25="Menor"),CONCATENATE("R3C",'Riesgos de Gestión'!$V$25),"")</f>
        <v/>
      </c>
      <c r="Q38" s="51" t="str">
        <f>IF(AND('Riesgos de Gestión'!$AF$26="Baja",'Riesgos de Gestión'!$AH$26="Menor"),CONCATENATE("R3C",'Riesgos de Gestión'!$V$26),"")</f>
        <v/>
      </c>
      <c r="R38" s="51" t="str">
        <f>IF(AND('Riesgos de Gestión'!$AF$27="Baja",'Riesgos de Gestión'!$AH$27="Menor"),CONCATENATE("R3C",'Riesgos de Gestión'!$V$27),"")</f>
        <v/>
      </c>
      <c r="S38" s="51" t="str">
        <f>IF(AND('Riesgos de Gestión'!$AF$28="Baja",'Riesgos de Gestión'!$AH$28="Menor"),CONCATENATE("R3C",'Riesgos de Gestión'!$V$28),"")</f>
        <v/>
      </c>
      <c r="T38" s="51" t="str">
        <f>IF(AND('Riesgos de Gestión'!$AF$29="Baja",'Riesgos de Gestión'!$AH$29="Menor"),CONCATENATE("R3C",'Riesgos de Gestión'!$V$29),"")</f>
        <v/>
      </c>
      <c r="U38" s="52" t="str">
        <f>IF(AND('Riesgos de Gestión'!$AF$30="Baja",'Riesgos de Gestión'!$AH$30="Menor"),CONCATENATE("R3C",'Riesgos de Gestión'!$V$30),"")</f>
        <v/>
      </c>
      <c r="V38" s="50" t="str">
        <f>IF(AND('Riesgos de Gestión'!$AF$25="Baja",'Riesgos de Gestión'!$AH$25="Moderado"),CONCATENATE("R3C",'Riesgos de Gestión'!$V$25),"")</f>
        <v/>
      </c>
      <c r="W38" s="51" t="str">
        <f>IF(AND('Riesgos de Gestión'!$AF$26="Baja",'Riesgos de Gestión'!$AH$26="Moderado"),CONCATENATE("R3C",'Riesgos de Gestión'!$V$26),"")</f>
        <v/>
      </c>
      <c r="X38" s="51" t="str">
        <f>IF(AND('Riesgos de Gestión'!$AF$27="Baja",'Riesgos de Gestión'!$AH$27="Moderado"),CONCATENATE("R3C",'Riesgos de Gestión'!$V$27),"")</f>
        <v/>
      </c>
      <c r="Y38" s="51" t="str">
        <f>IF(AND('Riesgos de Gestión'!$AF$28="Baja",'Riesgos de Gestión'!$AH$28="Moderado"),CONCATENATE("R3C",'Riesgos de Gestión'!$V$28),"")</f>
        <v/>
      </c>
      <c r="Z38" s="51" t="str">
        <f>IF(AND('Riesgos de Gestión'!$AF$29="Baja",'Riesgos de Gestión'!$AH$29="Moderado"),CONCATENATE("R3C",'Riesgos de Gestión'!$V$29),"")</f>
        <v/>
      </c>
      <c r="AA38" s="52" t="str">
        <f>IF(AND('Riesgos de Gestión'!$AF$30="Baja",'Riesgos de Gestión'!$AH$30="Moderado"),CONCATENATE("R3C",'Riesgos de Gestión'!$V$30),"")</f>
        <v/>
      </c>
      <c r="AB38" s="35" t="str">
        <f>IF(AND('Riesgos de Gestión'!$AF$25="Baja",'Riesgos de Gestión'!$AH$25="Mayor"),CONCATENATE("R3C",'Riesgos de Gestión'!$V$25),"")</f>
        <v/>
      </c>
      <c r="AC38" s="36" t="str">
        <f>IF(AND('Riesgos de Gestión'!$AF$26="Baja",'Riesgos de Gestión'!$AH$26="Mayor"),CONCATENATE("R3C",'Riesgos de Gestión'!$V$26),"")</f>
        <v/>
      </c>
      <c r="AD38" s="36" t="str">
        <f>IF(AND('Riesgos de Gestión'!$AF$27="Baja",'Riesgos de Gestión'!$AH$27="Mayor"),CONCATENATE("R3C",'Riesgos de Gestión'!$V$27),"")</f>
        <v/>
      </c>
      <c r="AE38" s="36" t="str">
        <f>IF(AND('Riesgos de Gestión'!$AF$28="Baja",'Riesgos de Gestión'!$AH$28="Mayor"),CONCATENATE("R3C",'Riesgos de Gestión'!$V$28),"")</f>
        <v/>
      </c>
      <c r="AF38" s="36" t="str">
        <f>IF(AND('Riesgos de Gestión'!$AF$29="Baja",'Riesgos de Gestión'!$AH$29="Mayor"),CONCATENATE("R3C",'Riesgos de Gestión'!$V$29),"")</f>
        <v/>
      </c>
      <c r="AG38" s="37" t="str">
        <f>IF(AND('Riesgos de Gestión'!$AF$30="Baja",'Riesgos de Gestión'!$AH$30="Mayor"),CONCATENATE("R3C",'Riesgos de Gestión'!$V$30),"")</f>
        <v/>
      </c>
      <c r="AH38" s="38" t="str">
        <f>IF(AND('Riesgos de Gestión'!$AF$25="Baja",'Riesgos de Gestión'!$AH$25="Catastrófico"),CONCATENATE("R3C",'Riesgos de Gestión'!$V$25),"")</f>
        <v/>
      </c>
      <c r="AI38" s="39" t="str">
        <f>IF(AND('Riesgos de Gestión'!$AF$26="Baja",'Riesgos de Gestión'!$AH$26="Catastrófico"),CONCATENATE("R3C",'Riesgos de Gestión'!$V$26),"")</f>
        <v/>
      </c>
      <c r="AJ38" s="39" t="str">
        <f>IF(AND('Riesgos de Gestión'!$AF$27="Baja",'Riesgos de Gestión'!$AH$27="Catastrófico"),CONCATENATE("R3C",'Riesgos de Gestión'!$V$27),"")</f>
        <v/>
      </c>
      <c r="AK38" s="39" t="str">
        <f>IF(AND('Riesgos de Gestión'!$AF$28="Baja",'Riesgos de Gestión'!$AH$28="Catastrófico"),CONCATENATE("R3C",'Riesgos de Gestión'!$V$28),"")</f>
        <v/>
      </c>
      <c r="AL38" s="39" t="str">
        <f>IF(AND('Riesgos de Gestión'!$AF$29="Baja",'Riesgos de Gestión'!$AH$29="Catastrófico"),CONCATENATE("R3C",'Riesgos de Gestión'!$V$29),"")</f>
        <v/>
      </c>
      <c r="AM38" s="40" t="str">
        <f>IF(AND('Riesgos de Gestión'!$AF$30="Baja",'Riesgos de Gestión'!$AH$30="Catastrófico"),CONCATENATE("R3C",'Riesgos de Gestión'!$V$30),"")</f>
        <v/>
      </c>
      <c r="AN38" s="66"/>
      <c r="AO38" s="502"/>
      <c r="AP38" s="503"/>
      <c r="AQ38" s="503"/>
      <c r="AR38" s="503"/>
      <c r="AS38" s="503"/>
      <c r="AT38" s="504"/>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30"/>
      <c r="C39" s="430"/>
      <c r="D39" s="431"/>
      <c r="E39" s="471"/>
      <c r="F39" s="472"/>
      <c r="G39" s="472"/>
      <c r="H39" s="472"/>
      <c r="I39" s="472"/>
      <c r="J39" s="59" t="str">
        <f>IF(AND('Riesgos de Gestión'!$AF$31="Baja",'Riesgos de Gestión'!$AH$31="Leve"),CONCATENATE("R4C",'Riesgos de Gestión'!$V$31),"")</f>
        <v/>
      </c>
      <c r="K39" s="60" t="str">
        <f>IF(AND('Riesgos de Gestión'!$AF$32="Baja",'Riesgos de Gestión'!$AH$32="Leve"),CONCATENATE("R4C",'Riesgos de Gestión'!$V$32),"")</f>
        <v/>
      </c>
      <c r="L39" s="60" t="str">
        <f>IF(AND('Riesgos de Gestión'!$AF$33="Baja",'Riesgos de Gestión'!$AH$33="Leve"),CONCATENATE("R4C",'Riesgos de Gestión'!$V$33),"")</f>
        <v/>
      </c>
      <c r="M39" s="60" t="str">
        <f>IF(AND('Riesgos de Gestión'!$AF$34="Baja",'Riesgos de Gestión'!$AH$34="Leve"),CONCATENATE("R4C",'Riesgos de Gestión'!$V$34),"")</f>
        <v/>
      </c>
      <c r="N39" s="60" t="str">
        <f>IF(AND('Riesgos de Gestión'!$AF$35="Baja",'Riesgos de Gestión'!$AH$35="Leve"),CONCATENATE("R4C",'Riesgos de Gestión'!$V$35),"")</f>
        <v/>
      </c>
      <c r="O39" s="61" t="str">
        <f>IF(AND('Riesgos de Gestión'!$AF$36="Baja",'Riesgos de Gestión'!$AH$36="Leve"),CONCATENATE("R4C",'Riesgos de Gestión'!$V$36),"")</f>
        <v/>
      </c>
      <c r="P39" s="50" t="str">
        <f>IF(AND('Riesgos de Gestión'!$AF$31="Baja",'Riesgos de Gestión'!$AH$31="Menor"),CONCATENATE("R4C",'Riesgos de Gestión'!$V$31),"")</f>
        <v/>
      </c>
      <c r="Q39" s="51" t="str">
        <f>IF(AND('Riesgos de Gestión'!$AF$32="Baja",'Riesgos de Gestión'!$AH$32="Menor"),CONCATENATE("R4C",'Riesgos de Gestión'!$V$32),"")</f>
        <v/>
      </c>
      <c r="R39" s="51" t="str">
        <f>IF(AND('Riesgos de Gestión'!$AF$33="Baja",'Riesgos de Gestión'!$AH$33="Menor"),CONCATENATE("R4C",'Riesgos de Gestión'!$V$33),"")</f>
        <v/>
      </c>
      <c r="S39" s="51" t="str">
        <f>IF(AND('Riesgos de Gestión'!$AF$34="Baja",'Riesgos de Gestión'!$AH$34="Menor"),CONCATENATE("R4C",'Riesgos de Gestión'!$V$34),"")</f>
        <v/>
      </c>
      <c r="T39" s="51" t="str">
        <f>IF(AND('Riesgos de Gestión'!$AF$35="Baja",'Riesgos de Gestión'!$AH$35="Menor"),CONCATENATE("R4C",'Riesgos de Gestión'!$V$35),"")</f>
        <v/>
      </c>
      <c r="U39" s="52" t="str">
        <f>IF(AND('Riesgos de Gestión'!$AF$36="Baja",'Riesgos de Gestión'!$AH$36="Menor"),CONCATENATE("R4C",'Riesgos de Gestión'!$V$36),"")</f>
        <v/>
      </c>
      <c r="V39" s="50" t="str">
        <f>IF(AND('Riesgos de Gestión'!$AF$31="Baja",'Riesgos de Gestión'!$AH$31="Moderado"),CONCATENATE("R4C",'Riesgos de Gestión'!$V$31),"")</f>
        <v/>
      </c>
      <c r="W39" s="51" t="str">
        <f>IF(AND('Riesgos de Gestión'!$AF$32="Baja",'Riesgos de Gestión'!$AH$32="Moderado"),CONCATENATE("R4C",'Riesgos de Gestión'!$V$32),"")</f>
        <v/>
      </c>
      <c r="X39" s="51" t="str">
        <f>IF(AND('Riesgos de Gestión'!$AF$33="Baja",'Riesgos de Gestión'!$AH$33="Moderado"),CONCATENATE("R4C",'Riesgos de Gestión'!$V$33),"")</f>
        <v/>
      </c>
      <c r="Y39" s="51" t="str">
        <f>IF(AND('Riesgos de Gestión'!$AF$34="Baja",'Riesgos de Gestión'!$AH$34="Moderado"),CONCATENATE("R4C",'Riesgos de Gestión'!$V$34),"")</f>
        <v/>
      </c>
      <c r="Z39" s="51" t="str">
        <f>IF(AND('Riesgos de Gestión'!$AF$35="Baja",'Riesgos de Gestión'!$AH$35="Moderado"),CONCATENATE("R4C",'Riesgos de Gestión'!$V$35),"")</f>
        <v/>
      </c>
      <c r="AA39" s="52" t="str">
        <f>IF(AND('Riesgos de Gestión'!$AF$36="Baja",'Riesgos de Gestión'!$AH$36="Moderado"),CONCATENATE("R4C",'Riesgos de Gestión'!$V$36),"")</f>
        <v/>
      </c>
      <c r="AB39" s="35" t="str">
        <f>IF(AND('Riesgos de Gestión'!$AF$31="Baja",'Riesgos de Gestión'!$AH$31="Mayor"),CONCATENATE("R4C",'Riesgos de Gestión'!$V$31),"")</f>
        <v/>
      </c>
      <c r="AC39" s="36" t="str">
        <f>IF(AND('Riesgos de Gestión'!$AF$32="Baja",'Riesgos de Gestión'!$AH$32="Mayor"),CONCATENATE("R4C",'Riesgos de Gestión'!$V$32),"")</f>
        <v/>
      </c>
      <c r="AD39" s="36" t="str">
        <f>IF(AND('Riesgos de Gestión'!$AF$33="Baja",'Riesgos de Gestión'!$AH$33="Mayor"),CONCATENATE("R4C",'Riesgos de Gestión'!$V$33),"")</f>
        <v/>
      </c>
      <c r="AE39" s="36" t="str">
        <f>IF(AND('Riesgos de Gestión'!$AF$34="Baja",'Riesgos de Gestión'!$AH$34="Mayor"),CONCATENATE("R4C",'Riesgos de Gestión'!$V$34),"")</f>
        <v/>
      </c>
      <c r="AF39" s="36" t="str">
        <f>IF(AND('Riesgos de Gestión'!$AF$35="Baja",'Riesgos de Gestión'!$AH$35="Mayor"),CONCATENATE("R4C",'Riesgos de Gestión'!$V$35),"")</f>
        <v/>
      </c>
      <c r="AG39" s="37" t="str">
        <f>IF(AND('Riesgos de Gestión'!$AF$36="Baja",'Riesgos de Gestión'!$AH$36="Mayor"),CONCATENATE("R4C",'Riesgos de Gestión'!$V$36),"")</f>
        <v/>
      </c>
      <c r="AH39" s="38" t="str">
        <f>IF(AND('Riesgos de Gestión'!$AF$31="Baja",'Riesgos de Gestión'!$AH$31="Catastrófico"),CONCATENATE("R4C",'Riesgos de Gestión'!$V$31),"")</f>
        <v/>
      </c>
      <c r="AI39" s="39" t="str">
        <f>IF(AND('Riesgos de Gestión'!$AF$32="Baja",'Riesgos de Gestión'!$AH$32="Catastrófico"),CONCATENATE("R4C",'Riesgos de Gestión'!$V$32),"")</f>
        <v/>
      </c>
      <c r="AJ39" s="39" t="str">
        <f>IF(AND('Riesgos de Gestión'!$AF$33="Baja",'Riesgos de Gestión'!$AH$33="Catastrófico"),CONCATENATE("R4C",'Riesgos de Gestión'!$V$33),"")</f>
        <v/>
      </c>
      <c r="AK39" s="39" t="str">
        <f>IF(AND('Riesgos de Gestión'!$AF$34="Baja",'Riesgos de Gestión'!$AH$34="Catastrófico"),CONCATENATE("R4C",'Riesgos de Gestión'!$V$34),"")</f>
        <v/>
      </c>
      <c r="AL39" s="39" t="str">
        <f>IF(AND('Riesgos de Gestión'!$AF$35="Baja",'Riesgos de Gestión'!$AH$35="Catastrófico"),CONCATENATE("R4C",'Riesgos de Gestión'!$V$35),"")</f>
        <v/>
      </c>
      <c r="AM39" s="40" t="str">
        <f>IF(AND('Riesgos de Gestión'!$AF$36="Baja",'Riesgos de Gestión'!$AH$36="Catastrófico"),CONCATENATE("R4C",'Riesgos de Gestión'!$V$36),"")</f>
        <v/>
      </c>
      <c r="AN39" s="66"/>
      <c r="AO39" s="502"/>
      <c r="AP39" s="503"/>
      <c r="AQ39" s="503"/>
      <c r="AR39" s="503"/>
      <c r="AS39" s="503"/>
      <c r="AT39" s="504"/>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30"/>
      <c r="C40" s="430"/>
      <c r="D40" s="431"/>
      <c r="E40" s="471"/>
      <c r="F40" s="472"/>
      <c r="G40" s="472"/>
      <c r="H40" s="472"/>
      <c r="I40" s="472"/>
      <c r="J40" s="59" t="str">
        <f>IF(AND('Riesgos de Gestión'!$AF$37="Baja",'Riesgos de Gestión'!$AH$37="Leve"),CONCATENATE("R5C",'Riesgos de Gestión'!$V$37),"")</f>
        <v/>
      </c>
      <c r="K40" s="60" t="str">
        <f>IF(AND('Riesgos de Gestión'!$AF$38="Baja",'Riesgos de Gestión'!$AH$38="Leve"),CONCATENATE("R5C",'Riesgos de Gestión'!$V$38),"")</f>
        <v/>
      </c>
      <c r="L40" s="60" t="str">
        <f>IF(AND('Riesgos de Gestión'!$AF$39="Baja",'Riesgos de Gestión'!$AH$39="Leve"),CONCATENATE("R5C",'Riesgos de Gestión'!$V$39),"")</f>
        <v/>
      </c>
      <c r="M40" s="60" t="str">
        <f>IF(AND('Riesgos de Gestión'!$AF$40="Baja",'Riesgos de Gestión'!$AH$40="Leve"),CONCATENATE("R5C",'Riesgos de Gestión'!$V$40),"")</f>
        <v/>
      </c>
      <c r="N40" s="60" t="str">
        <f>IF(AND('Riesgos de Gestión'!$AF$41="Baja",'Riesgos de Gestión'!$AH$41="Leve"),CONCATENATE("R5C",'Riesgos de Gestión'!$V$41),"")</f>
        <v/>
      </c>
      <c r="O40" s="61" t="str">
        <f>IF(AND('Riesgos de Gestión'!$AF$42="Baja",'Riesgos de Gestión'!$AH$42="Leve"),CONCATENATE("R5C",'Riesgos de Gestión'!$V$42),"")</f>
        <v/>
      </c>
      <c r="P40" s="50" t="str">
        <f>IF(AND('Riesgos de Gestión'!$AF$37="Baja",'Riesgos de Gestión'!$AH$37="Menor"),CONCATENATE("R5C",'Riesgos de Gestión'!$V$37),"")</f>
        <v/>
      </c>
      <c r="Q40" s="51" t="str">
        <f>IF(AND('Riesgos de Gestión'!$AF$38="Baja",'Riesgos de Gestión'!$AH$38="Menor"),CONCATENATE("R5C",'Riesgos de Gestión'!$V$38),"")</f>
        <v/>
      </c>
      <c r="R40" s="51" t="str">
        <f>IF(AND('Riesgos de Gestión'!$AF$39="Baja",'Riesgos de Gestión'!$AH$39="Menor"),CONCATENATE("R5C",'Riesgos de Gestión'!$V$39),"")</f>
        <v/>
      </c>
      <c r="S40" s="51" t="str">
        <f>IF(AND('Riesgos de Gestión'!$AF$40="Baja",'Riesgos de Gestión'!$AH$40="Menor"),CONCATENATE("R5C",'Riesgos de Gestión'!$V$40),"")</f>
        <v/>
      </c>
      <c r="T40" s="51" t="str">
        <f>IF(AND('Riesgos de Gestión'!$AF$41="Baja",'Riesgos de Gestión'!$AH$41="Menor"),CONCATENATE("R5C",'Riesgos de Gestión'!$V$41),"")</f>
        <v/>
      </c>
      <c r="U40" s="52" t="str">
        <f>IF(AND('Riesgos de Gestión'!$AF$42="Baja",'Riesgos de Gestión'!$AH$42="Menor"),CONCATENATE("R5C",'Riesgos de Gestión'!$V$42),"")</f>
        <v/>
      </c>
      <c r="V40" s="50" t="str">
        <f>IF(AND('Riesgos de Gestión'!$AF$37="Baja",'Riesgos de Gestión'!$AH$37="Moderado"),CONCATENATE("R5C",'Riesgos de Gestión'!$V$37),"")</f>
        <v/>
      </c>
      <c r="W40" s="51" t="str">
        <f>IF(AND('Riesgos de Gestión'!$AF$38="Baja",'Riesgos de Gestión'!$AH$38="Moderado"),CONCATENATE("R5C",'Riesgos de Gestión'!$V$38),"")</f>
        <v/>
      </c>
      <c r="X40" s="51" t="str">
        <f>IF(AND('Riesgos de Gestión'!$AF$39="Baja",'Riesgos de Gestión'!$AH$39="Moderado"),CONCATENATE("R5C",'Riesgos de Gestión'!$V$39),"")</f>
        <v/>
      </c>
      <c r="Y40" s="51" t="str">
        <f>IF(AND('Riesgos de Gestión'!$AF$40="Baja",'Riesgos de Gestión'!$AH$40="Moderado"),CONCATENATE("R5C",'Riesgos de Gestión'!$V$40),"")</f>
        <v/>
      </c>
      <c r="Z40" s="51" t="str">
        <f>IF(AND('Riesgos de Gestión'!$AF$41="Baja",'Riesgos de Gestión'!$AH$41="Moderado"),CONCATENATE("R5C",'Riesgos de Gestión'!$V$41),"")</f>
        <v/>
      </c>
      <c r="AA40" s="52" t="str">
        <f>IF(AND('Riesgos de Gestión'!$AF$42="Baja",'Riesgos de Gestión'!$AH$42="Moderado"),CONCATENATE("R5C",'Riesgos de Gestión'!$V$42),"")</f>
        <v/>
      </c>
      <c r="AB40" s="35" t="str">
        <f>IF(AND('Riesgos de Gestión'!$AF$37="Baja",'Riesgos de Gestión'!$AH$37="Mayor"),CONCATENATE("R5C",'Riesgos de Gestión'!$V$37),"")</f>
        <v/>
      </c>
      <c r="AC40" s="36" t="str">
        <f>IF(AND('Riesgos de Gestión'!$AF$38="Baja",'Riesgos de Gestión'!$AH$38="Mayor"),CONCATENATE("R5C",'Riesgos de Gestión'!$V$38),"")</f>
        <v/>
      </c>
      <c r="AD40" s="36" t="str">
        <f>IF(AND('Riesgos de Gestión'!$AF$39="Baja",'Riesgos de Gestión'!$AH$39="Mayor"),CONCATENATE("R5C",'Riesgos de Gestión'!$V$39),"")</f>
        <v/>
      </c>
      <c r="AE40" s="36" t="str">
        <f>IF(AND('Riesgos de Gestión'!$AF$40="Baja",'Riesgos de Gestión'!$AH$40="Mayor"),CONCATENATE("R5C",'Riesgos de Gestión'!$V$40),"")</f>
        <v/>
      </c>
      <c r="AF40" s="36" t="str">
        <f>IF(AND('Riesgos de Gestión'!$AF$41="Baja",'Riesgos de Gestión'!$AH$41="Mayor"),CONCATENATE("R5C",'Riesgos de Gestión'!$V$41),"")</f>
        <v/>
      </c>
      <c r="AG40" s="37" t="str">
        <f>IF(AND('Riesgos de Gestión'!$AF$42="Baja",'Riesgos de Gestión'!$AH$42="Mayor"),CONCATENATE("R5C",'Riesgos de Gestión'!$V$42),"")</f>
        <v/>
      </c>
      <c r="AH40" s="38" t="str">
        <f>IF(AND('Riesgos de Gestión'!$AF$37="Baja",'Riesgos de Gestión'!$AH$37="Catastrófico"),CONCATENATE("R5C",'Riesgos de Gestión'!$V$37),"")</f>
        <v/>
      </c>
      <c r="AI40" s="39" t="str">
        <f>IF(AND('Riesgos de Gestión'!$AF$38="Baja",'Riesgos de Gestión'!$AH$38="Catastrófico"),CONCATENATE("R5C",'Riesgos de Gestión'!$V$38),"")</f>
        <v/>
      </c>
      <c r="AJ40" s="39" t="str">
        <f>IF(AND('Riesgos de Gestión'!$AF$39="Baja",'Riesgos de Gestión'!$AH$39="Catastrófico"),CONCATENATE("R5C",'Riesgos de Gestión'!$V$39),"")</f>
        <v/>
      </c>
      <c r="AK40" s="39" t="str">
        <f>IF(AND('Riesgos de Gestión'!$AF$40="Baja",'Riesgos de Gestión'!$AH$40="Catastrófico"),CONCATENATE("R5C",'Riesgos de Gestión'!$V$40),"")</f>
        <v/>
      </c>
      <c r="AL40" s="39" t="str">
        <f>IF(AND('Riesgos de Gestión'!$AF$41="Baja",'Riesgos de Gestión'!$AH$41="Catastrófico"),CONCATENATE("R5C",'Riesgos de Gestión'!$V$41),"")</f>
        <v/>
      </c>
      <c r="AM40" s="40" t="str">
        <f>IF(AND('Riesgos de Gestión'!$AF$42="Baja",'Riesgos de Gestión'!$AH$42="Catastrófico"),CONCATENATE("R5C",'Riesgos de Gestión'!$V$42),"")</f>
        <v/>
      </c>
      <c r="AN40" s="66"/>
      <c r="AO40" s="502"/>
      <c r="AP40" s="503"/>
      <c r="AQ40" s="503"/>
      <c r="AR40" s="503"/>
      <c r="AS40" s="503"/>
      <c r="AT40" s="504"/>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30"/>
      <c r="C41" s="430"/>
      <c r="D41" s="431"/>
      <c r="E41" s="471"/>
      <c r="F41" s="472"/>
      <c r="G41" s="472"/>
      <c r="H41" s="472"/>
      <c r="I41" s="472"/>
      <c r="J41" s="59" t="str">
        <f>IF(AND('Riesgos de Gestión'!$AF$43="Baja",'Riesgos de Gestión'!$AH$43="Leve"),CONCATENATE("R6C",'Riesgos de Gestión'!$V$43),"")</f>
        <v/>
      </c>
      <c r="K41" s="60" t="str">
        <f>IF(AND('Riesgos de Gestión'!$AF$44="Baja",'Riesgos de Gestión'!$AH$44="Leve"),CONCATENATE("R6C",'Riesgos de Gestión'!$V$44),"")</f>
        <v/>
      </c>
      <c r="L41" s="60" t="str">
        <f>IF(AND('Riesgos de Gestión'!$AF$45="Baja",'Riesgos de Gestión'!$AH$45="Leve"),CONCATENATE("R6C",'Riesgos de Gestión'!$V$45),"")</f>
        <v/>
      </c>
      <c r="M41" s="60" t="str">
        <f>IF(AND('Riesgos de Gestión'!$AF$46="Baja",'Riesgos de Gestión'!$AH$46="Leve"),CONCATENATE("R6C",'Riesgos de Gestión'!$V$46),"")</f>
        <v/>
      </c>
      <c r="N41" s="60" t="str">
        <f>IF(AND('Riesgos de Gestión'!$AF$47="Baja",'Riesgos de Gestión'!$AH$47="Leve"),CONCATENATE("R6C",'Riesgos de Gestión'!$V$47),"")</f>
        <v/>
      </c>
      <c r="O41" s="61" t="str">
        <f>IF(AND('Riesgos de Gestión'!$AF$48="Baja",'Riesgos de Gestión'!$AH$48="Leve"),CONCATENATE("R6C",'Riesgos de Gestión'!$V$48),"")</f>
        <v/>
      </c>
      <c r="P41" s="50" t="str">
        <f>IF(AND('Riesgos de Gestión'!$AF$43="Baja",'Riesgos de Gestión'!$AH$43="Menor"),CONCATENATE("R6C",'Riesgos de Gestión'!$V$43),"")</f>
        <v/>
      </c>
      <c r="Q41" s="51" t="str">
        <f>IF(AND('Riesgos de Gestión'!$AF$44="Baja",'Riesgos de Gestión'!$AH$44="Menor"),CONCATENATE("R6C",'Riesgos de Gestión'!$V$44),"")</f>
        <v/>
      </c>
      <c r="R41" s="51" t="str">
        <f>IF(AND('Riesgos de Gestión'!$AF$45="Baja",'Riesgos de Gestión'!$AH$45="Menor"),CONCATENATE("R6C",'Riesgos de Gestión'!$V$45),"")</f>
        <v/>
      </c>
      <c r="S41" s="51" t="str">
        <f>IF(AND('Riesgos de Gestión'!$AF$46="Baja",'Riesgos de Gestión'!$AH$46="Menor"),CONCATENATE("R6C",'Riesgos de Gestión'!$V$46),"")</f>
        <v/>
      </c>
      <c r="T41" s="51" t="str">
        <f>IF(AND('Riesgos de Gestión'!$AF$47="Baja",'Riesgos de Gestión'!$AH$47="Menor"),CONCATENATE("R6C",'Riesgos de Gestión'!$V$47),"")</f>
        <v/>
      </c>
      <c r="U41" s="52" t="str">
        <f>IF(AND('Riesgos de Gestión'!$AF$48="Baja",'Riesgos de Gestión'!$AH$48="Menor"),CONCATENATE("R6C",'Riesgos de Gestión'!$V$48),"")</f>
        <v/>
      </c>
      <c r="V41" s="50" t="str">
        <f>IF(AND('Riesgos de Gestión'!$AF$43="Baja",'Riesgos de Gestión'!$AH$43="Moderado"),CONCATENATE("R6C",'Riesgos de Gestión'!$V$43),"")</f>
        <v/>
      </c>
      <c r="W41" s="51" t="str">
        <f>IF(AND('Riesgos de Gestión'!$AF$44="Baja",'Riesgos de Gestión'!$AH$44="Moderado"),CONCATENATE("R6C",'Riesgos de Gestión'!$V$44),"")</f>
        <v/>
      </c>
      <c r="X41" s="51" t="str">
        <f>IF(AND('Riesgos de Gestión'!$AF$45="Baja",'Riesgos de Gestión'!$AH$45="Moderado"),CONCATENATE("R6C",'Riesgos de Gestión'!$V$45),"")</f>
        <v/>
      </c>
      <c r="Y41" s="51" t="str">
        <f>IF(AND('Riesgos de Gestión'!$AF$46="Baja",'Riesgos de Gestión'!$AH$46="Moderado"),CONCATENATE("R6C",'Riesgos de Gestión'!$V$46),"")</f>
        <v/>
      </c>
      <c r="Z41" s="51" t="str">
        <f>IF(AND('Riesgos de Gestión'!$AF$47="Baja",'Riesgos de Gestión'!$AH$47="Moderado"),CONCATENATE("R6C",'Riesgos de Gestión'!$V$47),"")</f>
        <v/>
      </c>
      <c r="AA41" s="52" t="str">
        <f>IF(AND('Riesgos de Gestión'!$AF$48="Baja",'Riesgos de Gestión'!$AH$48="Moderado"),CONCATENATE("R6C",'Riesgos de Gestión'!$V$48),"")</f>
        <v/>
      </c>
      <c r="AB41" s="35" t="str">
        <f>IF(AND('Riesgos de Gestión'!$AF$43="Baja",'Riesgos de Gestión'!$AH$43="Mayor"),CONCATENATE("R6C",'Riesgos de Gestión'!$V$43),"")</f>
        <v/>
      </c>
      <c r="AC41" s="36" t="str">
        <f>IF(AND('Riesgos de Gestión'!$AF$44="Baja",'Riesgos de Gestión'!$AH$44="Mayor"),CONCATENATE("R6C",'Riesgos de Gestión'!$V$44),"")</f>
        <v/>
      </c>
      <c r="AD41" s="36" t="str">
        <f>IF(AND('Riesgos de Gestión'!$AF$45="Baja",'Riesgos de Gestión'!$AH$45="Mayor"),CONCATENATE("R6C",'Riesgos de Gestión'!$V$45),"")</f>
        <v/>
      </c>
      <c r="AE41" s="36" t="str">
        <f>IF(AND('Riesgos de Gestión'!$AF$46="Baja",'Riesgos de Gestión'!$AH$46="Mayor"),CONCATENATE("R6C",'Riesgos de Gestión'!$V$46),"")</f>
        <v/>
      </c>
      <c r="AF41" s="36" t="str">
        <f>IF(AND('Riesgos de Gestión'!$AF$47="Baja",'Riesgos de Gestión'!$AH$47="Mayor"),CONCATENATE("R6C",'Riesgos de Gestión'!$V$47),"")</f>
        <v/>
      </c>
      <c r="AG41" s="37" t="str">
        <f>IF(AND('Riesgos de Gestión'!$AF$48="Baja",'Riesgos de Gestión'!$AH$48="Mayor"),CONCATENATE("R6C",'Riesgos de Gestión'!$V$48),"")</f>
        <v/>
      </c>
      <c r="AH41" s="38" t="str">
        <f>IF(AND('Riesgos de Gestión'!$AF$43="Baja",'Riesgos de Gestión'!$AH$43="Catastrófico"),CONCATENATE("R6C",'Riesgos de Gestión'!$V$43),"")</f>
        <v/>
      </c>
      <c r="AI41" s="39" t="str">
        <f>IF(AND('Riesgos de Gestión'!$AF$44="Baja",'Riesgos de Gestión'!$AH$44="Catastrófico"),CONCATENATE("R6C",'Riesgos de Gestión'!$V$44),"")</f>
        <v/>
      </c>
      <c r="AJ41" s="39" t="str">
        <f>IF(AND('Riesgos de Gestión'!$AF$45="Baja",'Riesgos de Gestión'!$AH$45="Catastrófico"),CONCATENATE("R6C",'Riesgos de Gestión'!$V$45),"")</f>
        <v/>
      </c>
      <c r="AK41" s="39" t="str">
        <f>IF(AND('Riesgos de Gestión'!$AF$46="Baja",'Riesgos de Gestión'!$AH$46="Catastrófico"),CONCATENATE("R6C",'Riesgos de Gestión'!$V$46),"")</f>
        <v/>
      </c>
      <c r="AL41" s="39" t="str">
        <f>IF(AND('Riesgos de Gestión'!$AF$47="Baja",'Riesgos de Gestión'!$AH$47="Catastrófico"),CONCATENATE("R6C",'Riesgos de Gestión'!$V$47),"")</f>
        <v/>
      </c>
      <c r="AM41" s="40" t="str">
        <f>IF(AND('Riesgos de Gestión'!$AF$48="Baja",'Riesgos de Gestión'!$AH$48="Catastrófico"),CONCATENATE("R6C",'Riesgos de Gestión'!$V$48),"")</f>
        <v/>
      </c>
      <c r="AN41" s="66"/>
      <c r="AO41" s="502"/>
      <c r="AP41" s="503"/>
      <c r="AQ41" s="503"/>
      <c r="AR41" s="503"/>
      <c r="AS41" s="503"/>
      <c r="AT41" s="504"/>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30"/>
      <c r="C42" s="430"/>
      <c r="D42" s="431"/>
      <c r="E42" s="471"/>
      <c r="F42" s="472"/>
      <c r="G42" s="472"/>
      <c r="H42" s="472"/>
      <c r="I42" s="472"/>
      <c r="J42" s="59" t="str">
        <f>IF(AND('Riesgos de Gestión'!$AF$49="Baja",'Riesgos de Gestión'!$AH$49="Leve"),CONCATENATE("R7C",'Riesgos de Gestión'!$V$49),"")</f>
        <v/>
      </c>
      <c r="K42" s="60" t="str">
        <f>IF(AND('Riesgos de Gestión'!$AF$50="Baja",'Riesgos de Gestión'!$AH$50="Leve"),CONCATENATE("R7C",'Riesgos de Gestión'!$V$50),"")</f>
        <v/>
      </c>
      <c r="L42" s="60" t="str">
        <f>IF(AND('Riesgos de Gestión'!$AF$51="Baja",'Riesgos de Gestión'!$AH$51="Leve"),CONCATENATE("R7C",'Riesgos de Gestión'!$V$51),"")</f>
        <v/>
      </c>
      <c r="M42" s="60" t="str">
        <f>IF(AND('Riesgos de Gestión'!$AF$52="Baja",'Riesgos de Gestión'!$AH$52="Leve"),CONCATENATE("R7C",'Riesgos de Gestión'!$V$52),"")</f>
        <v/>
      </c>
      <c r="N42" s="60" t="str">
        <f>IF(AND('Riesgos de Gestión'!$AF$53="Baja",'Riesgos de Gestión'!$AH$53="Leve"),CONCATENATE("R7C",'Riesgos de Gestión'!$V$53),"")</f>
        <v/>
      </c>
      <c r="O42" s="61" t="str">
        <f>IF(AND('Riesgos de Gestión'!$AF$54="Baja",'Riesgos de Gestión'!$AH$54="Leve"),CONCATENATE("R7C",'Riesgos de Gestión'!$V$54),"")</f>
        <v/>
      </c>
      <c r="P42" s="50" t="str">
        <f>IF(AND('Riesgos de Gestión'!$AF$49="Baja",'Riesgos de Gestión'!$AH$49="Menor"),CONCATENATE("R7C",'Riesgos de Gestión'!$V$49),"")</f>
        <v/>
      </c>
      <c r="Q42" s="51" t="str">
        <f>IF(AND('Riesgos de Gestión'!$AF$50="Baja",'Riesgos de Gestión'!$AH$50="Menor"),CONCATENATE("R7C",'Riesgos de Gestión'!$V$50),"")</f>
        <v/>
      </c>
      <c r="R42" s="51" t="str">
        <f>IF(AND('Riesgos de Gestión'!$AF$51="Baja",'Riesgos de Gestión'!$AH$51="Menor"),CONCATENATE("R7C",'Riesgos de Gestión'!$V$51),"")</f>
        <v/>
      </c>
      <c r="S42" s="51" t="str">
        <f>IF(AND('Riesgos de Gestión'!$AF$52="Baja",'Riesgos de Gestión'!$AH$52="Menor"),CONCATENATE("R7C",'Riesgos de Gestión'!$V$52),"")</f>
        <v/>
      </c>
      <c r="T42" s="51" t="str">
        <f>IF(AND('Riesgos de Gestión'!$AF$53="Baja",'Riesgos de Gestión'!$AH$53="Menor"),CONCATENATE("R7C",'Riesgos de Gestión'!$V$53),"")</f>
        <v/>
      </c>
      <c r="U42" s="52" t="str">
        <f>IF(AND('Riesgos de Gestión'!$AF$54="Baja",'Riesgos de Gestión'!$AH$54="Menor"),CONCATENATE("R7C",'Riesgos de Gestión'!$V$54),"")</f>
        <v/>
      </c>
      <c r="V42" s="50" t="str">
        <f>IF(AND('Riesgos de Gestión'!$AF$49="Baja",'Riesgos de Gestión'!$AH$49="Moderado"),CONCATENATE("R7C",'Riesgos de Gestión'!$V$49),"")</f>
        <v/>
      </c>
      <c r="W42" s="51" t="str">
        <f>IF(AND('Riesgos de Gestión'!$AF$50="Baja",'Riesgos de Gestión'!$AH$50="Moderado"),CONCATENATE("R7C",'Riesgos de Gestión'!$V$50),"")</f>
        <v/>
      </c>
      <c r="X42" s="51" t="str">
        <f>IF(AND('Riesgos de Gestión'!$AF$51="Baja",'Riesgos de Gestión'!$AH$51="Moderado"),CONCATENATE("R7C",'Riesgos de Gestión'!$V$51),"")</f>
        <v/>
      </c>
      <c r="Y42" s="51" t="str">
        <f>IF(AND('Riesgos de Gestión'!$AF$52="Baja",'Riesgos de Gestión'!$AH$52="Moderado"),CONCATENATE("R7C",'Riesgos de Gestión'!$V$52),"")</f>
        <v/>
      </c>
      <c r="Z42" s="51" t="str">
        <f>IF(AND('Riesgos de Gestión'!$AF$53="Baja",'Riesgos de Gestión'!$AH$53="Moderado"),CONCATENATE("R7C",'Riesgos de Gestión'!$V$53),"")</f>
        <v/>
      </c>
      <c r="AA42" s="52" t="str">
        <f>IF(AND('Riesgos de Gestión'!$AF$54="Baja",'Riesgos de Gestión'!$AH$54="Moderado"),CONCATENATE("R7C",'Riesgos de Gestión'!$V$54),"")</f>
        <v/>
      </c>
      <c r="AB42" s="35" t="str">
        <f>IF(AND('Riesgos de Gestión'!$AF$49="Baja",'Riesgos de Gestión'!$AH$49="Mayor"),CONCATENATE("R7C",'Riesgos de Gestión'!$V$49),"")</f>
        <v/>
      </c>
      <c r="AC42" s="36" t="str">
        <f>IF(AND('Riesgos de Gestión'!$AF$50="Baja",'Riesgos de Gestión'!$AH$50="Mayor"),CONCATENATE("R7C",'Riesgos de Gestión'!$V$50),"")</f>
        <v/>
      </c>
      <c r="AD42" s="36" t="str">
        <f>IF(AND('Riesgos de Gestión'!$AF$51="Baja",'Riesgos de Gestión'!$AH$51="Mayor"),CONCATENATE("R7C",'Riesgos de Gestión'!$V$51),"")</f>
        <v/>
      </c>
      <c r="AE42" s="36" t="str">
        <f>IF(AND('Riesgos de Gestión'!$AF$52="Baja",'Riesgos de Gestión'!$AH$52="Mayor"),CONCATENATE("R7C",'Riesgos de Gestión'!$V$52),"")</f>
        <v/>
      </c>
      <c r="AF42" s="36" t="str">
        <f>IF(AND('Riesgos de Gestión'!$AF$53="Baja",'Riesgos de Gestión'!$AH$53="Mayor"),CONCATENATE("R7C",'Riesgos de Gestión'!$V$53),"")</f>
        <v/>
      </c>
      <c r="AG42" s="37" t="str">
        <f>IF(AND('Riesgos de Gestión'!$AF$54="Baja",'Riesgos de Gestión'!$AH$54="Mayor"),CONCATENATE("R7C",'Riesgos de Gestión'!$V$54),"")</f>
        <v/>
      </c>
      <c r="AH42" s="38" t="str">
        <f>IF(AND('Riesgos de Gestión'!$AF$49="Baja",'Riesgos de Gestión'!$AH$49="Catastrófico"),CONCATENATE("R7C",'Riesgos de Gestión'!$V$49),"")</f>
        <v/>
      </c>
      <c r="AI42" s="39" t="str">
        <f>IF(AND('Riesgos de Gestión'!$AF$50="Baja",'Riesgos de Gestión'!$AH$50="Catastrófico"),CONCATENATE("R7C",'Riesgos de Gestión'!$V$50),"")</f>
        <v/>
      </c>
      <c r="AJ42" s="39" t="str">
        <f>IF(AND('Riesgos de Gestión'!$AF$51="Baja",'Riesgos de Gestión'!$AH$51="Catastrófico"),CONCATENATE("R7C",'Riesgos de Gestión'!$V$51),"")</f>
        <v/>
      </c>
      <c r="AK42" s="39" t="str">
        <f>IF(AND('Riesgos de Gestión'!$AF$52="Baja",'Riesgos de Gestión'!$AH$52="Catastrófico"),CONCATENATE("R7C",'Riesgos de Gestión'!$V$52),"")</f>
        <v/>
      </c>
      <c r="AL42" s="39" t="str">
        <f>IF(AND('Riesgos de Gestión'!$AF$53="Baja",'Riesgos de Gestión'!$AH$53="Catastrófico"),CONCATENATE("R7C",'Riesgos de Gestión'!$V$53),"")</f>
        <v/>
      </c>
      <c r="AM42" s="40" t="str">
        <f>IF(AND('Riesgos de Gestión'!$AF$54="Baja",'Riesgos de Gestión'!$AH$54="Catastrófico"),CONCATENATE("R7C",'Riesgos de Gestión'!$V$54),"")</f>
        <v/>
      </c>
      <c r="AN42" s="66"/>
      <c r="AO42" s="502"/>
      <c r="AP42" s="503"/>
      <c r="AQ42" s="503"/>
      <c r="AR42" s="503"/>
      <c r="AS42" s="503"/>
      <c r="AT42" s="504"/>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30"/>
      <c r="C43" s="430"/>
      <c r="D43" s="431"/>
      <c r="E43" s="471"/>
      <c r="F43" s="472"/>
      <c r="G43" s="472"/>
      <c r="H43" s="472"/>
      <c r="I43" s="472"/>
      <c r="J43" s="59" t="str">
        <f>IF(AND('Riesgos de Gestión'!$AF$55="Baja",'Riesgos de Gestión'!$AH$55="Leve"),CONCATENATE("R8C",'Riesgos de Gestión'!$V$55),"")</f>
        <v/>
      </c>
      <c r="K43" s="60" t="str">
        <f>IF(AND('Riesgos de Gestión'!$AF$56="Baja",'Riesgos de Gestión'!$AH$56="Leve"),CONCATENATE("R8C",'Riesgos de Gestión'!$V$56),"")</f>
        <v/>
      </c>
      <c r="L43" s="60" t="str">
        <f>IF(AND('Riesgos de Gestión'!$AF$57="Baja",'Riesgos de Gestión'!$AH$57="Leve"),CONCATENATE("R8C",'Riesgos de Gestión'!$V$57),"")</f>
        <v/>
      </c>
      <c r="M43" s="60" t="str">
        <f>IF(AND('Riesgos de Gestión'!$AF$58="Baja",'Riesgos de Gestión'!$AH$58="Leve"),CONCATENATE("R8C",'Riesgos de Gestión'!$V$58),"")</f>
        <v/>
      </c>
      <c r="N43" s="60" t="str">
        <f>IF(AND('Riesgos de Gestión'!$AF$59="Baja",'Riesgos de Gestión'!$AH$59="Leve"),CONCATENATE("R8C",'Riesgos de Gestión'!$V$59),"")</f>
        <v/>
      </c>
      <c r="O43" s="61" t="str">
        <f>IF(AND('Riesgos de Gestión'!$AF$60="Baja",'Riesgos de Gestión'!$AH$60="Leve"),CONCATENATE("R8C",'Riesgos de Gestión'!$V$60),"")</f>
        <v/>
      </c>
      <c r="P43" s="50" t="str">
        <f>IF(AND('Riesgos de Gestión'!$AF$55="Baja",'Riesgos de Gestión'!$AH$55="Menor"),CONCATENATE("R8C",'Riesgos de Gestión'!$V$55),"")</f>
        <v/>
      </c>
      <c r="Q43" s="51" t="str">
        <f>IF(AND('Riesgos de Gestión'!$AF$56="Baja",'Riesgos de Gestión'!$AH$56="Menor"),CONCATENATE("R8C",'Riesgos de Gestión'!$V$56),"")</f>
        <v/>
      </c>
      <c r="R43" s="51" t="str">
        <f>IF(AND('Riesgos de Gestión'!$AF$57="Baja",'Riesgos de Gestión'!$AH$57="Menor"),CONCATENATE("R8C",'Riesgos de Gestión'!$V$57),"")</f>
        <v/>
      </c>
      <c r="S43" s="51" t="str">
        <f>IF(AND('Riesgos de Gestión'!$AF$58="Baja",'Riesgos de Gestión'!$AH$58="Menor"),CONCATENATE("R8C",'Riesgos de Gestión'!$V$58),"")</f>
        <v/>
      </c>
      <c r="T43" s="51" t="str">
        <f>IF(AND('Riesgos de Gestión'!$AF$59="Baja",'Riesgos de Gestión'!$AH$59="Menor"),CONCATENATE("R8C",'Riesgos de Gestión'!$V$59),"")</f>
        <v/>
      </c>
      <c r="U43" s="52" t="str">
        <f>IF(AND('Riesgos de Gestión'!$AF$60="Baja",'Riesgos de Gestión'!$AH$60="Menor"),CONCATENATE("R8C",'Riesgos de Gestión'!$V$60),"")</f>
        <v/>
      </c>
      <c r="V43" s="50" t="str">
        <f>IF(AND('Riesgos de Gestión'!$AF$55="Baja",'Riesgos de Gestión'!$AH$55="Moderado"),CONCATENATE("R8C",'Riesgos de Gestión'!$V$55),"")</f>
        <v/>
      </c>
      <c r="W43" s="51" t="str">
        <f>IF(AND('Riesgos de Gestión'!$AF$56="Baja",'Riesgos de Gestión'!$AH$56="Moderado"),CONCATENATE("R8C",'Riesgos de Gestión'!$V$56),"")</f>
        <v/>
      </c>
      <c r="X43" s="51" t="str">
        <f>IF(AND('Riesgos de Gestión'!$AF$57="Baja",'Riesgos de Gestión'!$AH$57="Moderado"),CONCATENATE("R8C",'Riesgos de Gestión'!$V$57),"")</f>
        <v/>
      </c>
      <c r="Y43" s="51" t="str">
        <f>IF(AND('Riesgos de Gestión'!$AF$58="Baja",'Riesgos de Gestión'!$AH$58="Moderado"),CONCATENATE("R8C",'Riesgos de Gestión'!$V$58),"")</f>
        <v/>
      </c>
      <c r="Z43" s="51" t="str">
        <f>IF(AND('Riesgos de Gestión'!$AF$59="Baja",'Riesgos de Gestión'!$AH$59="Moderado"),CONCATENATE("R8C",'Riesgos de Gestión'!$V$59),"")</f>
        <v/>
      </c>
      <c r="AA43" s="52" t="str">
        <f>IF(AND('Riesgos de Gestión'!$AF$60="Baja",'Riesgos de Gestión'!$AH$60="Moderado"),CONCATENATE("R8C",'Riesgos de Gestión'!$V$60),"")</f>
        <v/>
      </c>
      <c r="AB43" s="35" t="str">
        <f>IF(AND('Riesgos de Gestión'!$AF$55="Baja",'Riesgos de Gestión'!$AH$55="Mayor"),CONCATENATE("R8C",'Riesgos de Gestión'!$V$55),"")</f>
        <v/>
      </c>
      <c r="AC43" s="36" t="str">
        <f>IF(AND('Riesgos de Gestión'!$AF$56="Baja",'Riesgos de Gestión'!$AH$56="Mayor"),CONCATENATE("R8C",'Riesgos de Gestión'!$V$56),"")</f>
        <v/>
      </c>
      <c r="AD43" s="36" t="str">
        <f>IF(AND('Riesgos de Gestión'!$AF$57="Baja",'Riesgos de Gestión'!$AH$57="Mayor"),CONCATENATE("R8C",'Riesgos de Gestión'!$V$57),"")</f>
        <v/>
      </c>
      <c r="AE43" s="36" t="str">
        <f>IF(AND('Riesgos de Gestión'!$AF$58="Baja",'Riesgos de Gestión'!$AH$58="Mayor"),CONCATENATE("R8C",'Riesgos de Gestión'!$V$58),"")</f>
        <v/>
      </c>
      <c r="AF43" s="36" t="str">
        <f>IF(AND('Riesgos de Gestión'!$AF$59="Baja",'Riesgos de Gestión'!$AH$59="Mayor"),CONCATENATE("R8C",'Riesgos de Gestión'!$V$59),"")</f>
        <v/>
      </c>
      <c r="AG43" s="37" t="str">
        <f>IF(AND('Riesgos de Gestión'!$AF$60="Baja",'Riesgos de Gestión'!$AH$60="Mayor"),CONCATENATE("R8C",'Riesgos de Gestión'!$V$60),"")</f>
        <v/>
      </c>
      <c r="AH43" s="38" t="str">
        <f>IF(AND('Riesgos de Gestión'!$AF$55="Baja",'Riesgos de Gestión'!$AH$55="Catastrófico"),CONCATENATE("R8C",'Riesgos de Gestión'!$V$55),"")</f>
        <v/>
      </c>
      <c r="AI43" s="39" t="str">
        <f>IF(AND('Riesgos de Gestión'!$AF$56="Baja",'Riesgos de Gestión'!$AH$56="Catastrófico"),CONCATENATE("R8C",'Riesgos de Gestión'!$V$56),"")</f>
        <v/>
      </c>
      <c r="AJ43" s="39" t="str">
        <f>IF(AND('Riesgos de Gestión'!$AF$57="Baja",'Riesgos de Gestión'!$AH$57="Catastrófico"),CONCATENATE("R8C",'Riesgos de Gestión'!$V$57),"")</f>
        <v/>
      </c>
      <c r="AK43" s="39" t="str">
        <f>IF(AND('Riesgos de Gestión'!$AF$58="Baja",'Riesgos de Gestión'!$AH$58="Catastrófico"),CONCATENATE("R8C",'Riesgos de Gestión'!$V$58),"")</f>
        <v/>
      </c>
      <c r="AL43" s="39" t="str">
        <f>IF(AND('Riesgos de Gestión'!$AF$59="Baja",'Riesgos de Gestión'!$AH$59="Catastrófico"),CONCATENATE("R8C",'Riesgos de Gestión'!$V$59),"")</f>
        <v/>
      </c>
      <c r="AM43" s="40" t="str">
        <f>IF(AND('Riesgos de Gestión'!$AF$60="Baja",'Riesgos de Gestión'!$AH$60="Catastrófico"),CONCATENATE("R8C",'Riesgos de Gestión'!$V$60),"")</f>
        <v/>
      </c>
      <c r="AN43" s="66"/>
      <c r="AO43" s="502"/>
      <c r="AP43" s="503"/>
      <c r="AQ43" s="503"/>
      <c r="AR43" s="503"/>
      <c r="AS43" s="503"/>
      <c r="AT43" s="504"/>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30"/>
      <c r="C44" s="430"/>
      <c r="D44" s="431"/>
      <c r="E44" s="471"/>
      <c r="F44" s="472"/>
      <c r="G44" s="472"/>
      <c r="H44" s="472"/>
      <c r="I44" s="472"/>
      <c r="J44" s="59" t="str">
        <f>IF(AND('Riesgos de Gestión'!$AF$61="Baja",'Riesgos de Gestión'!$AH$61="Leve"),CONCATENATE("R9C",'Riesgos de Gestión'!$V$61),"")</f>
        <v/>
      </c>
      <c r="K44" s="60" t="str">
        <f>IF(AND('Riesgos de Gestión'!$AF$62="Baja",'Riesgos de Gestión'!$AH$62="Leve"),CONCATENATE("R9C",'Riesgos de Gestión'!$V$62),"")</f>
        <v/>
      </c>
      <c r="L44" s="60" t="str">
        <f>IF(AND('Riesgos de Gestión'!$AF$63="Baja",'Riesgos de Gestión'!$AH$63="Leve"),CONCATENATE("R9C",'Riesgos de Gestión'!$V$63),"")</f>
        <v/>
      </c>
      <c r="M44" s="60" t="str">
        <f>IF(AND('Riesgos de Gestión'!$AF$64="Baja",'Riesgos de Gestión'!$AH$64="Leve"),CONCATENATE("R9C",'Riesgos de Gestión'!$V$64),"")</f>
        <v/>
      </c>
      <c r="N44" s="60" t="str">
        <f>IF(AND('Riesgos de Gestión'!$AF$65="Baja",'Riesgos de Gestión'!$AH$65="Leve"),CONCATENATE("R9C",'Riesgos de Gestión'!$V$65),"")</f>
        <v/>
      </c>
      <c r="O44" s="61" t="str">
        <f>IF(AND('Riesgos de Gestión'!$AF$66="Baja",'Riesgos de Gestión'!$AH$66="Leve"),CONCATENATE("R9C",'Riesgos de Gestión'!$V$66),"")</f>
        <v/>
      </c>
      <c r="P44" s="50" t="str">
        <f>IF(AND('Riesgos de Gestión'!$AF$61="Baja",'Riesgos de Gestión'!$AH$61="Menor"),CONCATENATE("R9C",'Riesgos de Gestión'!$V$61),"")</f>
        <v/>
      </c>
      <c r="Q44" s="51" t="str">
        <f>IF(AND('Riesgos de Gestión'!$AF$62="Baja",'Riesgos de Gestión'!$AH$62="Menor"),CONCATENATE("R9C",'Riesgos de Gestión'!$V$62),"")</f>
        <v/>
      </c>
      <c r="R44" s="51" t="str">
        <f>IF(AND('Riesgos de Gestión'!$AF$63="Baja",'Riesgos de Gestión'!$AH$63="Menor"),CONCATENATE("R9C",'Riesgos de Gestión'!$V$63),"")</f>
        <v/>
      </c>
      <c r="S44" s="51" t="str">
        <f>IF(AND('Riesgos de Gestión'!$AF$64="Baja",'Riesgos de Gestión'!$AH$64="Menor"),CONCATENATE("R9C",'Riesgos de Gestión'!$V$64),"")</f>
        <v/>
      </c>
      <c r="T44" s="51" t="str">
        <f>IF(AND('Riesgos de Gestión'!$AF$65="Baja",'Riesgos de Gestión'!$AH$65="Menor"),CONCATENATE("R9C",'Riesgos de Gestión'!$V$65),"")</f>
        <v/>
      </c>
      <c r="U44" s="52" t="str">
        <f>IF(AND('Riesgos de Gestión'!$AF$66="Baja",'Riesgos de Gestión'!$AH$66="Menor"),CONCATENATE("R9C",'Riesgos de Gestión'!$V$66),"")</f>
        <v/>
      </c>
      <c r="V44" s="50" t="str">
        <f>IF(AND('Riesgos de Gestión'!$AF$61="Baja",'Riesgos de Gestión'!$AH$61="Moderado"),CONCATENATE("R9C",'Riesgos de Gestión'!$V$61),"")</f>
        <v/>
      </c>
      <c r="W44" s="51" t="str">
        <f>IF(AND('Riesgos de Gestión'!$AF$62="Baja",'Riesgos de Gestión'!$AH$62="Moderado"),CONCATENATE("R9C",'Riesgos de Gestión'!$V$62),"")</f>
        <v/>
      </c>
      <c r="X44" s="51" t="str">
        <f>IF(AND('Riesgos de Gestión'!$AF$63="Baja",'Riesgos de Gestión'!$AH$63="Moderado"),CONCATENATE("R9C",'Riesgos de Gestión'!$V$63),"")</f>
        <v/>
      </c>
      <c r="Y44" s="51" t="str">
        <f>IF(AND('Riesgos de Gestión'!$AF$64="Baja",'Riesgos de Gestión'!$AH$64="Moderado"),CONCATENATE("R9C",'Riesgos de Gestión'!$V$64),"")</f>
        <v/>
      </c>
      <c r="Z44" s="51" t="str">
        <f>IF(AND('Riesgos de Gestión'!$AF$65="Baja",'Riesgos de Gestión'!$AH$65="Moderado"),CONCATENATE("R9C",'Riesgos de Gestión'!$V$65),"")</f>
        <v/>
      </c>
      <c r="AA44" s="52" t="str">
        <f>IF(AND('Riesgos de Gestión'!$AF$66="Baja",'Riesgos de Gestión'!$AH$66="Moderado"),CONCATENATE("R9C",'Riesgos de Gestión'!$V$66),"")</f>
        <v/>
      </c>
      <c r="AB44" s="35" t="str">
        <f>IF(AND('Riesgos de Gestión'!$AF$61="Baja",'Riesgos de Gestión'!$AH$61="Mayor"),CONCATENATE("R9C",'Riesgos de Gestión'!$V$61),"")</f>
        <v/>
      </c>
      <c r="AC44" s="36" t="str">
        <f>IF(AND('Riesgos de Gestión'!$AF$62="Baja",'Riesgos de Gestión'!$AH$62="Mayor"),CONCATENATE("R9C",'Riesgos de Gestión'!$V$62),"")</f>
        <v/>
      </c>
      <c r="AD44" s="36" t="str">
        <f>IF(AND('Riesgos de Gestión'!$AF$63="Baja",'Riesgos de Gestión'!$AH$63="Mayor"),CONCATENATE("R9C",'Riesgos de Gestión'!$V$63),"")</f>
        <v/>
      </c>
      <c r="AE44" s="36" t="str">
        <f>IF(AND('Riesgos de Gestión'!$AF$64="Baja",'Riesgos de Gestión'!$AH$64="Mayor"),CONCATENATE("R9C",'Riesgos de Gestión'!$V$64),"")</f>
        <v/>
      </c>
      <c r="AF44" s="36" t="str">
        <f>IF(AND('Riesgos de Gestión'!$AF$65="Baja",'Riesgos de Gestión'!$AH$65="Mayor"),CONCATENATE("R9C",'Riesgos de Gestión'!$V$65),"")</f>
        <v/>
      </c>
      <c r="AG44" s="37" t="str">
        <f>IF(AND('Riesgos de Gestión'!$AF$66="Baja",'Riesgos de Gestión'!$AH$66="Mayor"),CONCATENATE("R9C",'Riesgos de Gestión'!$V$66),"")</f>
        <v/>
      </c>
      <c r="AH44" s="38" t="str">
        <f>IF(AND('Riesgos de Gestión'!$AF$61="Baja",'Riesgos de Gestión'!$AH$61="Catastrófico"),CONCATENATE("R9C",'Riesgos de Gestión'!$V$61),"")</f>
        <v/>
      </c>
      <c r="AI44" s="39" t="str">
        <f>IF(AND('Riesgos de Gestión'!$AF$62="Baja",'Riesgos de Gestión'!$AH$62="Catastrófico"),CONCATENATE("R9C",'Riesgos de Gestión'!$V$62),"")</f>
        <v/>
      </c>
      <c r="AJ44" s="39" t="str">
        <f>IF(AND('Riesgos de Gestión'!$AF$63="Baja",'Riesgos de Gestión'!$AH$63="Catastrófico"),CONCATENATE("R9C",'Riesgos de Gestión'!$V$63),"")</f>
        <v/>
      </c>
      <c r="AK44" s="39" t="str">
        <f>IF(AND('Riesgos de Gestión'!$AF$64="Baja",'Riesgos de Gestión'!$AH$64="Catastrófico"),CONCATENATE("R9C",'Riesgos de Gestión'!$V$64),"")</f>
        <v/>
      </c>
      <c r="AL44" s="39" t="str">
        <f>IF(AND('Riesgos de Gestión'!$AF$65="Baja",'Riesgos de Gestión'!$AH$65="Catastrófico"),CONCATENATE("R9C",'Riesgos de Gestión'!$V$65),"")</f>
        <v/>
      </c>
      <c r="AM44" s="40" t="str">
        <f>IF(AND('Riesgos de Gestión'!$AF$66="Baja",'Riesgos de Gestión'!$AH$66="Catastrófico"),CONCATENATE("R9C",'Riesgos de Gestión'!$V$66),"")</f>
        <v/>
      </c>
      <c r="AN44" s="66"/>
      <c r="AO44" s="502"/>
      <c r="AP44" s="503"/>
      <c r="AQ44" s="503"/>
      <c r="AR44" s="503"/>
      <c r="AS44" s="503"/>
      <c r="AT44" s="504"/>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30"/>
      <c r="C45" s="430"/>
      <c r="D45" s="431"/>
      <c r="E45" s="474"/>
      <c r="F45" s="475"/>
      <c r="G45" s="475"/>
      <c r="H45" s="475"/>
      <c r="I45" s="475"/>
      <c r="J45" s="62" t="str">
        <f>IF(AND('Riesgos de Gestión'!$AF$67="Baja",'Riesgos de Gestión'!$AH$67="Leve"),CONCATENATE("R10C",'Riesgos de Gestión'!$V$67),"")</f>
        <v/>
      </c>
      <c r="K45" s="63" t="str">
        <f>IF(AND('Riesgos de Gestión'!$AF$68="Baja",'Riesgos de Gestión'!$AH$68="Leve"),CONCATENATE("R10C",'Riesgos de Gestión'!$V$68),"")</f>
        <v/>
      </c>
      <c r="L45" s="63" t="str">
        <f>IF(AND('Riesgos de Gestión'!$AF$69="Baja",'Riesgos de Gestión'!$AH$69="Leve"),CONCATENATE("R10C",'Riesgos de Gestión'!$V$69),"")</f>
        <v/>
      </c>
      <c r="M45" s="63" t="str">
        <f>IF(AND('Riesgos de Gestión'!$AF$70="Baja",'Riesgos de Gestión'!$AH$70="Leve"),CONCATENATE("R10C",'Riesgos de Gestión'!$V$70),"")</f>
        <v/>
      </c>
      <c r="N45" s="63" t="str">
        <f>IF(AND('Riesgos de Gestión'!$AF$71="Baja",'Riesgos de Gestión'!$AH$71="Leve"),CONCATENATE("R10C",'Riesgos de Gestión'!$V$71),"")</f>
        <v/>
      </c>
      <c r="O45" s="64" t="str">
        <f>IF(AND('Riesgos de Gestión'!$AF$72="Baja",'Riesgos de Gestión'!$AH$72="Leve"),CONCATENATE("R10C",'Riesgos de Gestión'!$V$72),"")</f>
        <v/>
      </c>
      <c r="P45" s="50" t="str">
        <f>IF(AND('Riesgos de Gestión'!$AF$67="Baja",'Riesgos de Gestión'!$AH$67="Menor"),CONCATENATE("R10C",'Riesgos de Gestión'!$V$67),"")</f>
        <v/>
      </c>
      <c r="Q45" s="51" t="str">
        <f>IF(AND('Riesgos de Gestión'!$AF$68="Baja",'Riesgos de Gestión'!$AH$68="Menor"),CONCATENATE("R10C",'Riesgos de Gestión'!$V$68),"")</f>
        <v/>
      </c>
      <c r="R45" s="51" t="str">
        <f>IF(AND('Riesgos de Gestión'!$AF$69="Baja",'Riesgos de Gestión'!$AH$69="Menor"),CONCATENATE("R10C",'Riesgos de Gestión'!$V$69),"")</f>
        <v/>
      </c>
      <c r="S45" s="51" t="str">
        <f>IF(AND('Riesgos de Gestión'!$AF$70="Baja",'Riesgos de Gestión'!$AH$70="Menor"),CONCATENATE("R10C",'Riesgos de Gestión'!$V$70),"")</f>
        <v/>
      </c>
      <c r="T45" s="51" t="str">
        <f>IF(AND('Riesgos de Gestión'!$AF$71="Baja",'Riesgos de Gestión'!$AH$71="Menor"),CONCATENATE("R10C",'Riesgos de Gestión'!$V$71),"")</f>
        <v/>
      </c>
      <c r="U45" s="52" t="str">
        <f>IF(AND('Riesgos de Gestión'!$AF$72="Baja",'Riesgos de Gestión'!$AH$72="Menor"),CONCATENATE("R10C",'Riesgos de Gestión'!$V$72),"")</f>
        <v/>
      </c>
      <c r="V45" s="53" t="str">
        <f>IF(AND('Riesgos de Gestión'!$AF$67="Baja",'Riesgos de Gestión'!$AH$67="Moderado"),CONCATENATE("R10C",'Riesgos de Gestión'!$V$67),"")</f>
        <v/>
      </c>
      <c r="W45" s="54" t="str">
        <f>IF(AND('Riesgos de Gestión'!$AF$68="Baja",'Riesgos de Gestión'!$AH$68="Moderado"),CONCATENATE("R10C",'Riesgos de Gestión'!$V$68),"")</f>
        <v/>
      </c>
      <c r="X45" s="54" t="str">
        <f>IF(AND('Riesgos de Gestión'!$AF$69="Baja",'Riesgos de Gestión'!$AH$69="Moderado"),CONCATENATE("R10C",'Riesgos de Gestión'!$V$69),"")</f>
        <v/>
      </c>
      <c r="Y45" s="54" t="str">
        <f>IF(AND('Riesgos de Gestión'!$AF$70="Baja",'Riesgos de Gestión'!$AH$70="Moderado"),CONCATENATE("R10C",'Riesgos de Gestión'!$V$70),"")</f>
        <v/>
      </c>
      <c r="Z45" s="54" t="str">
        <f>IF(AND('Riesgos de Gestión'!$AF$71="Baja",'Riesgos de Gestión'!$AH$71="Moderado"),CONCATENATE("R10C",'Riesgos de Gestión'!$V$71),"")</f>
        <v/>
      </c>
      <c r="AA45" s="55" t="str">
        <f>IF(AND('Riesgos de Gestión'!$AF$72="Baja",'Riesgos de Gestión'!$AH$72="Moderado"),CONCATENATE("R10C",'Riesgos de Gestión'!$V$72),"")</f>
        <v/>
      </c>
      <c r="AB45" s="41" t="str">
        <f>IF(AND('Riesgos de Gestión'!$AF$67="Baja",'Riesgos de Gestión'!$AH$67="Mayor"),CONCATENATE("R10C",'Riesgos de Gestión'!$V$67),"")</f>
        <v/>
      </c>
      <c r="AC45" s="42" t="str">
        <f>IF(AND('Riesgos de Gestión'!$AF$68="Baja",'Riesgos de Gestión'!$AH$68="Mayor"),CONCATENATE("R10C",'Riesgos de Gestión'!$V$68),"")</f>
        <v/>
      </c>
      <c r="AD45" s="42" t="str">
        <f>IF(AND('Riesgos de Gestión'!$AF$69="Baja",'Riesgos de Gestión'!$AH$69="Mayor"),CONCATENATE("R10C",'Riesgos de Gestión'!$V$69),"")</f>
        <v/>
      </c>
      <c r="AE45" s="42" t="str">
        <f>IF(AND('Riesgos de Gestión'!$AF$70="Baja",'Riesgos de Gestión'!$AH$70="Mayor"),CONCATENATE("R10C",'Riesgos de Gestión'!$V$70),"")</f>
        <v/>
      </c>
      <c r="AF45" s="42" t="str">
        <f>IF(AND('Riesgos de Gestión'!$AF$71="Baja",'Riesgos de Gestión'!$AH$71="Mayor"),CONCATENATE("R10C",'Riesgos de Gestión'!$V$71),"")</f>
        <v/>
      </c>
      <c r="AG45" s="43" t="str">
        <f>IF(AND('Riesgos de Gestión'!$AF$72="Baja",'Riesgos de Gestión'!$AH$72="Mayor"),CONCATENATE("R10C",'Riesgos de Gestión'!$V$72),"")</f>
        <v/>
      </c>
      <c r="AH45" s="44" t="str">
        <f>IF(AND('Riesgos de Gestión'!$AF$67="Baja",'Riesgos de Gestión'!$AH$67="Catastrófico"),CONCATENATE("R10C",'Riesgos de Gestión'!$V$67),"")</f>
        <v/>
      </c>
      <c r="AI45" s="45" t="str">
        <f>IF(AND('Riesgos de Gestión'!$AF$68="Baja",'Riesgos de Gestión'!$AH$68="Catastrófico"),CONCATENATE("R10C",'Riesgos de Gestión'!$V$68),"")</f>
        <v/>
      </c>
      <c r="AJ45" s="45" t="str">
        <f>IF(AND('Riesgos de Gestión'!$AF$69="Baja",'Riesgos de Gestión'!$AH$69="Catastrófico"),CONCATENATE("R10C",'Riesgos de Gestión'!$V$69),"")</f>
        <v/>
      </c>
      <c r="AK45" s="45" t="str">
        <f>IF(AND('Riesgos de Gestión'!$AF$70="Baja",'Riesgos de Gestión'!$AH$70="Catastrófico"),CONCATENATE("R10C",'Riesgos de Gestión'!$V$70),"")</f>
        <v/>
      </c>
      <c r="AL45" s="45" t="str">
        <f>IF(AND('Riesgos de Gestión'!$AF$71="Baja",'Riesgos de Gestión'!$AH$71="Catastrófico"),CONCATENATE("R10C",'Riesgos de Gestión'!$V$71),"")</f>
        <v/>
      </c>
      <c r="AM45" s="46" t="str">
        <f>IF(AND('Riesgos de Gestión'!$AF$72="Baja",'Riesgos de Gestión'!$AH$72="Catastrófico"),CONCATENATE("R10C",'Riesgos de Gestión'!$V$72),"")</f>
        <v/>
      </c>
      <c r="AN45" s="66"/>
      <c r="AO45" s="505"/>
      <c r="AP45" s="506"/>
      <c r="AQ45" s="506"/>
      <c r="AR45" s="506"/>
      <c r="AS45" s="506"/>
      <c r="AT45" s="507"/>
    </row>
    <row r="46" spans="1:80" ht="46.5" customHeight="1" x14ac:dyDescent="0.35">
      <c r="A46" s="66"/>
      <c r="B46" s="430"/>
      <c r="C46" s="430"/>
      <c r="D46" s="431"/>
      <c r="E46" s="468" t="s">
        <v>258</v>
      </c>
      <c r="F46" s="469"/>
      <c r="G46" s="469"/>
      <c r="H46" s="469"/>
      <c r="I46" s="470"/>
      <c r="J46" s="56" t="str">
        <f>IF(AND('Riesgos de Gestión'!$AF$13="Muy Baja",'Riesgos de Gestión'!$AH$13="Leve"),CONCATENATE("R1C",'Riesgos de Gestión'!$V$13),"")</f>
        <v/>
      </c>
      <c r="K46" s="57" t="str">
        <f>IF(AND('Riesgos de Gestión'!$AF$14="Muy Baja",'Riesgos de Gestión'!$AH$14="Leve"),CONCATENATE("R1C",'Riesgos de Gestión'!$V$14),"")</f>
        <v/>
      </c>
      <c r="L46" s="57" t="str">
        <f>IF(AND('Riesgos de Gestión'!$AF$15="Muy Baja",'Riesgos de Gestión'!$AH$15="Leve"),CONCATENATE("R1C",'Riesgos de Gestión'!$V$15),"")</f>
        <v/>
      </c>
      <c r="M46" s="57" t="str">
        <f>IF(AND('Riesgos de Gestión'!$AF$16="Muy Baja",'Riesgos de Gestión'!$AH$16="Leve"),CONCATENATE("R1C",'Riesgos de Gestión'!$V$16),"")</f>
        <v/>
      </c>
      <c r="N46" s="57" t="str">
        <f>IF(AND('Riesgos de Gestión'!$AF$17="Muy Baja",'Riesgos de Gestión'!$AH$17="Leve"),CONCATENATE("R1C",'Riesgos de Gestión'!$V$17),"")</f>
        <v/>
      </c>
      <c r="O46" s="58" t="str">
        <f>IF(AND('Riesgos de Gestión'!$AF$18="Muy Baja",'Riesgos de Gestión'!$AH$18="Leve"),CONCATENATE("R1C",'Riesgos de Gestión'!$V$18),"")</f>
        <v/>
      </c>
      <c r="P46" s="56" t="str">
        <f>IF(AND('Riesgos de Gestión'!$AF$13="Muy Baja",'Riesgos de Gestión'!$AH$13="Menor"),CONCATENATE("R1C",'Riesgos de Gestión'!$V$13),"")</f>
        <v/>
      </c>
      <c r="Q46" s="57" t="str">
        <f>IF(AND('Riesgos de Gestión'!$AF$14="Muy Baja",'Riesgos de Gestión'!$AH$14="Menor"),CONCATENATE("R1C",'Riesgos de Gestión'!$V$14),"")</f>
        <v/>
      </c>
      <c r="R46" s="57" t="str">
        <f>IF(AND('Riesgos de Gestión'!$AF$15="Muy Baja",'Riesgos de Gestión'!$AH$15="Menor"),CONCATENATE("R1C",'Riesgos de Gestión'!$V$15),"")</f>
        <v/>
      </c>
      <c r="S46" s="57" t="str">
        <f>IF(AND('Riesgos de Gestión'!$AF$16="Muy Baja",'Riesgos de Gestión'!$AH$16="Menor"),CONCATENATE("R1C",'Riesgos de Gestión'!$V$16),"")</f>
        <v/>
      </c>
      <c r="T46" s="57" t="str">
        <f>IF(AND('Riesgos de Gestión'!$AF$17="Muy Baja",'Riesgos de Gestión'!$AH$17="Menor"),CONCATENATE("R1C",'Riesgos de Gestión'!$V$17),"")</f>
        <v/>
      </c>
      <c r="U46" s="58" t="str">
        <f>IF(AND('Riesgos de Gestión'!$AF$18="Muy Baja",'Riesgos de Gestión'!$AH$18="Menor"),CONCATENATE("R1C",'Riesgos de Gestión'!$V$18),"")</f>
        <v/>
      </c>
      <c r="V46" s="47" t="str">
        <f>IF(AND('Riesgos de Gestión'!$AF$13="Muy Baja",'Riesgos de Gestión'!$AH$13="Moderado"),CONCATENATE("R1C",'Riesgos de Gestión'!$V$13),"")</f>
        <v/>
      </c>
      <c r="W46" s="65" t="str">
        <f>IF(AND('Riesgos de Gestión'!$AF$14="Muy Baja",'Riesgos de Gestión'!$AH$14="Moderado"),CONCATENATE("R1C",'Riesgos de Gestión'!$V$14),"")</f>
        <v/>
      </c>
      <c r="X46" s="48" t="str">
        <f>IF(AND('Riesgos de Gestión'!$AF$15="Muy Baja",'Riesgos de Gestión'!$AH$15="Moderado"),CONCATENATE("R1C",'Riesgos de Gestión'!$V$15),"")</f>
        <v/>
      </c>
      <c r="Y46" s="48" t="str">
        <f>IF(AND('Riesgos de Gestión'!$AF$16="Muy Baja",'Riesgos de Gestión'!$AH$16="Moderado"),CONCATENATE("R1C",'Riesgos de Gestión'!$V$16),"")</f>
        <v/>
      </c>
      <c r="Z46" s="48" t="str">
        <f>IF(AND('Riesgos de Gestión'!$AF$17="Muy Baja",'Riesgos de Gestión'!$AH$17="Moderado"),CONCATENATE("R1C",'Riesgos de Gestión'!$V$17),"")</f>
        <v/>
      </c>
      <c r="AA46" s="49" t="str">
        <f>IF(AND('Riesgos de Gestión'!$AF$18="Muy Baja",'Riesgos de Gestión'!$AH$18="Moderado"),CONCATENATE("R1C",'Riesgos de Gestión'!$V$18),"")</f>
        <v/>
      </c>
      <c r="AB46" s="29" t="str">
        <f>IF(AND('Riesgos de Gestión'!$AF$13="Muy Baja",'Riesgos de Gestión'!$AH$13="Mayor"),CONCATENATE("R1C",'Riesgos de Gestión'!$V$13),"")</f>
        <v/>
      </c>
      <c r="AC46" s="30" t="str">
        <f>IF(AND('Riesgos de Gestión'!$AF$14="Muy Baja",'Riesgos de Gestión'!$AH$14="Mayor"),CONCATENATE("R1C",'Riesgos de Gestión'!$V$14),"")</f>
        <v/>
      </c>
      <c r="AD46" s="30" t="str">
        <f>IF(AND('Riesgos de Gestión'!$AF$15="Muy Baja",'Riesgos de Gestión'!$AH$15="Mayor"),CONCATENATE("R1C",'Riesgos de Gestión'!$V$15),"")</f>
        <v/>
      </c>
      <c r="AE46" s="30" t="str">
        <f>IF(AND('Riesgos de Gestión'!$AF$16="Muy Baja",'Riesgos de Gestión'!$AH$16="Mayor"),CONCATENATE("R1C",'Riesgos de Gestión'!$V$16),"")</f>
        <v/>
      </c>
      <c r="AF46" s="30" t="str">
        <f>IF(AND('Riesgos de Gestión'!$AF$17="Muy Baja",'Riesgos de Gestión'!$AH$17="Mayor"),CONCATENATE("R1C",'Riesgos de Gestión'!$V$17),"")</f>
        <v/>
      </c>
      <c r="AG46" s="31" t="str">
        <f>IF(AND('Riesgos de Gestión'!$AF$18="Muy Baja",'Riesgos de Gestión'!$AH$18="Mayor"),CONCATENATE("R1C",'Riesgos de Gestión'!$V$18),"")</f>
        <v/>
      </c>
      <c r="AH46" s="32" t="str">
        <f>IF(AND('Riesgos de Gestión'!$AF$13="Muy Baja",'Riesgos de Gestión'!$AH$13="Catastrófico"),CONCATENATE("R1C",'Riesgos de Gestión'!$V$13),"")</f>
        <v/>
      </c>
      <c r="AI46" s="33" t="str">
        <f>IF(AND('Riesgos de Gestión'!$AF$14="Muy Baja",'Riesgos de Gestión'!$AH$14="Catastrófico"),CONCATENATE("R1C",'Riesgos de Gestión'!$V$14),"")</f>
        <v/>
      </c>
      <c r="AJ46" s="33" t="str">
        <f>IF(AND('Riesgos de Gestión'!$AF$15="Muy Baja",'Riesgos de Gestión'!$AH$15="Catastrófico"),CONCATENATE("R1C",'Riesgos de Gestión'!$V$15),"")</f>
        <v/>
      </c>
      <c r="AK46" s="33" t="str">
        <f>IF(AND('Riesgos de Gestión'!$AF$16="Muy Baja",'Riesgos de Gestión'!$AH$16="Catastrófico"),CONCATENATE("R1C",'Riesgos de Gestión'!$V$16),"")</f>
        <v/>
      </c>
      <c r="AL46" s="33" t="str">
        <f>IF(AND('Riesgos de Gestión'!$AF$17="Muy Baja",'Riesgos de Gestión'!$AH$17="Catastrófico"),CONCATENATE("R1C",'Riesgos de Gestión'!$V$17),"")</f>
        <v/>
      </c>
      <c r="AM46" s="34" t="str">
        <f>IF(AND('Riesgos de Gestión'!$AF$18="Muy Baja",'Riesgos de Gestión'!$AH$18="Catastrófico"),CONCATENATE("R1C",'Riesgos de Gestión'!$V$18),"")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30"/>
      <c r="C47" s="430"/>
      <c r="D47" s="431"/>
      <c r="E47" s="487"/>
      <c r="F47" s="472"/>
      <c r="G47" s="472"/>
      <c r="H47" s="472"/>
      <c r="I47" s="473"/>
      <c r="J47" s="59" t="str">
        <f>IF(AND('Riesgos de Gestión'!$AF$19="Muy Baja",'Riesgos de Gestión'!$AH$19="Leve"),CONCATENATE("R2C",'Riesgos de Gestión'!$V$19),"")</f>
        <v/>
      </c>
      <c r="K47" s="60" t="str">
        <f>IF(AND('Riesgos de Gestión'!$AF$20="Muy Baja",'Riesgos de Gestión'!$AH$20="Leve"),CONCATENATE("R2C",'Riesgos de Gestión'!$V$20),"")</f>
        <v/>
      </c>
      <c r="L47" s="60" t="str">
        <f>IF(AND('Riesgos de Gestión'!$AF$21="Muy Baja",'Riesgos de Gestión'!$AH$21="Leve"),CONCATENATE("R2C",'Riesgos de Gestión'!$V$21),"")</f>
        <v/>
      </c>
      <c r="M47" s="60" t="str">
        <f>IF(AND('Riesgos de Gestión'!$AF$22="Muy Baja",'Riesgos de Gestión'!$AH$22="Leve"),CONCATENATE("R2C",'Riesgos de Gestión'!$V$22),"")</f>
        <v/>
      </c>
      <c r="N47" s="60" t="str">
        <f>IF(AND('Riesgos de Gestión'!$AF$23="Muy Baja",'Riesgos de Gestión'!$AH$23="Leve"),CONCATENATE("R2C",'Riesgos de Gestión'!$V$23),"")</f>
        <v/>
      </c>
      <c r="O47" s="61" t="str">
        <f>IF(AND('Riesgos de Gestión'!$AF$24="Muy Baja",'Riesgos de Gestión'!$AH$24="Leve"),CONCATENATE("R2C",'Riesgos de Gestión'!$V$24),"")</f>
        <v/>
      </c>
      <c r="P47" s="59" t="str">
        <f>IF(AND('Riesgos de Gestión'!$AF$19="Muy Baja",'Riesgos de Gestión'!$AH$19="Menor"),CONCATENATE("R2C",'Riesgos de Gestión'!$V$19),"")</f>
        <v/>
      </c>
      <c r="Q47" s="60" t="str">
        <f>IF(AND('Riesgos de Gestión'!$AF$20="Muy Baja",'Riesgos de Gestión'!$AH$20="Menor"),CONCATENATE("R2C",'Riesgos de Gestión'!$V$20),"")</f>
        <v/>
      </c>
      <c r="R47" s="60" t="str">
        <f>IF(AND('Riesgos de Gestión'!$AF$21="Muy Baja",'Riesgos de Gestión'!$AH$21="Menor"),CONCATENATE("R2C",'Riesgos de Gestión'!$V$21),"")</f>
        <v/>
      </c>
      <c r="S47" s="60" t="str">
        <f>IF(AND('Riesgos de Gestión'!$AF$22="Muy Baja",'Riesgos de Gestión'!$AH$22="Menor"),CONCATENATE("R2C",'Riesgos de Gestión'!$V$22),"")</f>
        <v/>
      </c>
      <c r="T47" s="60" t="str">
        <f>IF(AND('Riesgos de Gestión'!$AF$23="Muy Baja",'Riesgos de Gestión'!$AH$23="Menor"),CONCATENATE("R2C",'Riesgos de Gestión'!$V$23),"")</f>
        <v/>
      </c>
      <c r="U47" s="61" t="str">
        <f>IF(AND('Riesgos de Gestión'!$AF$24="Muy Baja",'Riesgos de Gestión'!$AH$24="Menor"),CONCATENATE("R2C",'Riesgos de Gestión'!$V$24),"")</f>
        <v/>
      </c>
      <c r="V47" s="50" t="str">
        <f>IF(AND('Riesgos de Gestión'!$AF$19="Muy Baja",'Riesgos de Gestión'!$AH$19="Moderado"),CONCATENATE("R2C",'Riesgos de Gestión'!$V$19),"")</f>
        <v/>
      </c>
      <c r="W47" s="51" t="str">
        <f>IF(AND('Riesgos de Gestión'!$AF$20="Muy Baja",'Riesgos de Gestión'!$AH$20="Moderado"),CONCATENATE("R2C",'Riesgos de Gestión'!$V$20),"")</f>
        <v/>
      </c>
      <c r="X47" s="51" t="str">
        <f>IF(AND('Riesgos de Gestión'!$AF$21="Muy Baja",'Riesgos de Gestión'!$AH$21="Moderado"),CONCATENATE("R2C",'Riesgos de Gestión'!$V$21),"")</f>
        <v/>
      </c>
      <c r="Y47" s="51" t="str">
        <f>IF(AND('Riesgos de Gestión'!$AF$22="Muy Baja",'Riesgos de Gestión'!$AH$22="Moderado"),CONCATENATE("R2C",'Riesgos de Gestión'!$V$22),"")</f>
        <v/>
      </c>
      <c r="Z47" s="51" t="str">
        <f>IF(AND('Riesgos de Gestión'!$AF$23="Muy Baja",'Riesgos de Gestión'!$AH$23="Moderado"),CONCATENATE("R2C",'Riesgos de Gestión'!$V$23),"")</f>
        <v/>
      </c>
      <c r="AA47" s="52" t="str">
        <f>IF(AND('Riesgos de Gestión'!$AF$24="Muy Baja",'Riesgos de Gestión'!$AH$24="Moderado"),CONCATENATE("R2C",'Riesgos de Gestión'!$V$24),"")</f>
        <v/>
      </c>
      <c r="AB47" s="35" t="str">
        <f>IF(AND('Riesgos de Gestión'!$AF$19="Muy Baja",'Riesgos de Gestión'!$AH$19="Mayor"),CONCATENATE("R2C",'Riesgos de Gestión'!$V$19),"")</f>
        <v/>
      </c>
      <c r="AC47" s="36" t="str">
        <f>IF(AND('Riesgos de Gestión'!$AF$20="Muy Baja",'Riesgos de Gestión'!$AH$20="Mayor"),CONCATENATE("R2C",'Riesgos de Gestión'!$V$20),"")</f>
        <v/>
      </c>
      <c r="AD47" s="36" t="str">
        <f>IF(AND('Riesgos de Gestión'!$AF$21="Muy Baja",'Riesgos de Gestión'!$AH$21="Mayor"),CONCATENATE("R2C",'Riesgos de Gestión'!$V$21),"")</f>
        <v/>
      </c>
      <c r="AE47" s="36" t="str">
        <f>IF(AND('Riesgos de Gestión'!$AF$22="Muy Baja",'Riesgos de Gestión'!$AH$22="Mayor"),CONCATENATE("R2C",'Riesgos de Gestión'!$V$22),"")</f>
        <v/>
      </c>
      <c r="AF47" s="36" t="str">
        <f>IF(AND('Riesgos de Gestión'!$AF$23="Muy Baja",'Riesgos de Gestión'!$AH$23="Mayor"),CONCATENATE("R2C",'Riesgos de Gestión'!$V$23),"")</f>
        <v/>
      </c>
      <c r="AG47" s="37" t="str">
        <f>IF(AND('Riesgos de Gestión'!$AF$24="Muy Baja",'Riesgos de Gestión'!$AH$24="Mayor"),CONCATENATE("R2C",'Riesgos de Gestión'!$V$24),"")</f>
        <v/>
      </c>
      <c r="AH47" s="38" t="str">
        <f>IF(AND('Riesgos de Gestión'!$AF$19="Muy Baja",'Riesgos de Gestión'!$AH$19="Catastrófico"),CONCATENATE("R2C",'Riesgos de Gestión'!$V$19),"")</f>
        <v/>
      </c>
      <c r="AI47" s="39" t="str">
        <f>IF(AND('Riesgos de Gestión'!$AF$20="Muy Baja",'Riesgos de Gestión'!$AH$20="Catastrófico"),CONCATENATE("R2C",'Riesgos de Gestión'!$V$20),"")</f>
        <v/>
      </c>
      <c r="AJ47" s="39" t="str">
        <f>IF(AND('Riesgos de Gestión'!$AF$21="Muy Baja",'Riesgos de Gestión'!$AH$21="Catastrófico"),CONCATENATE("R2C",'Riesgos de Gestión'!$V$21),"")</f>
        <v/>
      </c>
      <c r="AK47" s="39" t="str">
        <f>IF(AND('Riesgos de Gestión'!$AF$22="Muy Baja",'Riesgos de Gestión'!$AH$22="Catastrófico"),CONCATENATE("R2C",'Riesgos de Gestión'!$V$22),"")</f>
        <v/>
      </c>
      <c r="AL47" s="39" t="str">
        <f>IF(AND('Riesgos de Gestión'!$AF$23="Muy Baja",'Riesgos de Gestión'!$AH$23="Catastrófico"),CONCATENATE("R2C",'Riesgos de Gestión'!$V$23),"")</f>
        <v/>
      </c>
      <c r="AM47" s="40" t="str">
        <f>IF(AND('Riesgos de Gestión'!$AF$24="Muy Baja",'Riesgos de Gestión'!$AH$24="Catastrófico"),CONCATENATE("R2C",'Riesgos de Gestión'!$V$24),"")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30"/>
      <c r="C48" s="430"/>
      <c r="D48" s="431"/>
      <c r="E48" s="487"/>
      <c r="F48" s="472"/>
      <c r="G48" s="472"/>
      <c r="H48" s="472"/>
      <c r="I48" s="473"/>
      <c r="J48" s="59" t="str">
        <f>IF(AND('Riesgos de Gestión'!$AF$25="Muy Baja",'Riesgos de Gestión'!$AH$25="Leve"),CONCATENATE("R3C",'Riesgos de Gestión'!$V$25),"")</f>
        <v/>
      </c>
      <c r="K48" s="60" t="str">
        <f>IF(AND('Riesgos de Gestión'!$AF$26="Muy Baja",'Riesgos de Gestión'!$AH$26="Leve"),CONCATENATE("R3C",'Riesgos de Gestión'!$V$26),"")</f>
        <v/>
      </c>
      <c r="L48" s="60" t="str">
        <f>IF(AND('Riesgos de Gestión'!$AF$27="Muy Baja",'Riesgos de Gestión'!$AH$27="Leve"),CONCATENATE("R3C",'Riesgos de Gestión'!$V$27),"")</f>
        <v/>
      </c>
      <c r="M48" s="60" t="str">
        <f>IF(AND('Riesgos de Gestión'!$AF$28="Muy Baja",'Riesgos de Gestión'!$AH$28="Leve"),CONCATENATE("R3C",'Riesgos de Gestión'!$V$28),"")</f>
        <v/>
      </c>
      <c r="N48" s="60" t="str">
        <f>IF(AND('Riesgos de Gestión'!$AF$29="Muy Baja",'Riesgos de Gestión'!$AH$29="Leve"),CONCATENATE("R3C",'Riesgos de Gestión'!$V$29),"")</f>
        <v/>
      </c>
      <c r="O48" s="61" t="str">
        <f>IF(AND('Riesgos de Gestión'!$AF$30="Muy Baja",'Riesgos de Gestión'!$AH$30="Leve"),CONCATENATE("R3C",'Riesgos de Gestión'!$V$30),"")</f>
        <v/>
      </c>
      <c r="P48" s="59" t="str">
        <f>IF(AND('Riesgos de Gestión'!$AF$25="Muy Baja",'Riesgos de Gestión'!$AH$25="Menor"),CONCATENATE("R3C",'Riesgos de Gestión'!$V$25),"")</f>
        <v/>
      </c>
      <c r="Q48" s="60" t="str">
        <f>IF(AND('Riesgos de Gestión'!$AF$26="Muy Baja",'Riesgos de Gestión'!$AH$26="Menor"),CONCATENATE("R3C",'Riesgos de Gestión'!$V$26),"")</f>
        <v/>
      </c>
      <c r="R48" s="60" t="str">
        <f>IF(AND('Riesgos de Gestión'!$AF$27="Muy Baja",'Riesgos de Gestión'!$AH$27="Menor"),CONCATENATE("R3C",'Riesgos de Gestión'!$V$27),"")</f>
        <v/>
      </c>
      <c r="S48" s="60" t="str">
        <f>IF(AND('Riesgos de Gestión'!$AF$28="Muy Baja",'Riesgos de Gestión'!$AH$28="Menor"),CONCATENATE("R3C",'Riesgos de Gestión'!$V$28),"")</f>
        <v/>
      </c>
      <c r="T48" s="60" t="str">
        <f>IF(AND('Riesgos de Gestión'!$AF$29="Muy Baja",'Riesgos de Gestión'!$AH$29="Menor"),CONCATENATE("R3C",'Riesgos de Gestión'!$V$29),"")</f>
        <v/>
      </c>
      <c r="U48" s="61" t="str">
        <f>IF(AND('Riesgos de Gestión'!$AF$30="Muy Baja",'Riesgos de Gestión'!$AH$30="Menor"),CONCATENATE("R3C",'Riesgos de Gestión'!$V$30),"")</f>
        <v/>
      </c>
      <c r="V48" s="50" t="str">
        <f>IF(AND('Riesgos de Gestión'!$AF$25="Muy Baja",'Riesgos de Gestión'!$AH$25="Moderado"),CONCATENATE("R3C",'Riesgos de Gestión'!$V$25),"")</f>
        <v/>
      </c>
      <c r="W48" s="51" t="str">
        <f>IF(AND('Riesgos de Gestión'!$AF$26="Muy Baja",'Riesgos de Gestión'!$AH$26="Moderado"),CONCATENATE("R3C",'Riesgos de Gestión'!$V$26),"")</f>
        <v/>
      </c>
      <c r="X48" s="51" t="str">
        <f>IF(AND('Riesgos de Gestión'!$AF$27="Muy Baja",'Riesgos de Gestión'!$AH$27="Moderado"),CONCATENATE("R3C",'Riesgos de Gestión'!$V$27),"")</f>
        <v/>
      </c>
      <c r="Y48" s="51" t="str">
        <f>IF(AND('Riesgos de Gestión'!$AF$28="Muy Baja",'Riesgos de Gestión'!$AH$28="Moderado"),CONCATENATE("R3C",'Riesgos de Gestión'!$V$28),"")</f>
        <v/>
      </c>
      <c r="Z48" s="51" t="str">
        <f>IF(AND('Riesgos de Gestión'!$AF$29="Muy Baja",'Riesgos de Gestión'!$AH$29="Moderado"),CONCATENATE("R3C",'Riesgos de Gestión'!$V$29),"")</f>
        <v/>
      </c>
      <c r="AA48" s="52" t="str">
        <f>IF(AND('Riesgos de Gestión'!$AF$30="Muy Baja",'Riesgos de Gestión'!$AH$30="Moderado"),CONCATENATE("R3C",'Riesgos de Gestión'!$V$30),"")</f>
        <v/>
      </c>
      <c r="AB48" s="35" t="str">
        <f>IF(AND('Riesgos de Gestión'!$AF$25="Muy Baja",'Riesgos de Gestión'!$AH$25="Mayor"),CONCATENATE("R3C",'Riesgos de Gestión'!$V$25),"")</f>
        <v/>
      </c>
      <c r="AC48" s="36" t="str">
        <f>IF(AND('Riesgos de Gestión'!$AF$26="Muy Baja",'Riesgos de Gestión'!$AH$26="Mayor"),CONCATENATE("R3C",'Riesgos de Gestión'!$V$26),"")</f>
        <v/>
      </c>
      <c r="AD48" s="36" t="str">
        <f>IF(AND('Riesgos de Gestión'!$AF$27="Muy Baja",'Riesgos de Gestión'!$AH$27="Mayor"),CONCATENATE("R3C",'Riesgos de Gestión'!$V$27),"")</f>
        <v/>
      </c>
      <c r="AE48" s="36" t="str">
        <f>IF(AND('Riesgos de Gestión'!$AF$28="Muy Baja",'Riesgos de Gestión'!$AH$28="Mayor"),CONCATENATE("R3C",'Riesgos de Gestión'!$V$28),"")</f>
        <v/>
      </c>
      <c r="AF48" s="36" t="str">
        <f>IF(AND('Riesgos de Gestión'!$AF$29="Muy Baja",'Riesgos de Gestión'!$AH$29="Mayor"),CONCATENATE("R3C",'Riesgos de Gestión'!$V$29),"")</f>
        <v/>
      </c>
      <c r="AG48" s="37" t="str">
        <f>IF(AND('Riesgos de Gestión'!$AF$30="Muy Baja",'Riesgos de Gestión'!$AH$30="Mayor"),CONCATENATE("R3C",'Riesgos de Gestión'!$V$30),"")</f>
        <v/>
      </c>
      <c r="AH48" s="38" t="str">
        <f>IF(AND('Riesgos de Gestión'!$AF$25="Muy Baja",'Riesgos de Gestión'!$AH$25="Catastrófico"),CONCATENATE("R3C",'Riesgos de Gestión'!$V$25),"")</f>
        <v/>
      </c>
      <c r="AI48" s="39" t="str">
        <f>IF(AND('Riesgos de Gestión'!$AF$26="Muy Baja",'Riesgos de Gestión'!$AH$26="Catastrófico"),CONCATENATE("R3C",'Riesgos de Gestión'!$V$26),"")</f>
        <v/>
      </c>
      <c r="AJ48" s="39" t="str">
        <f>IF(AND('Riesgos de Gestión'!$AF$27="Muy Baja",'Riesgos de Gestión'!$AH$27="Catastrófico"),CONCATENATE("R3C",'Riesgos de Gestión'!$V$27),"")</f>
        <v/>
      </c>
      <c r="AK48" s="39" t="str">
        <f>IF(AND('Riesgos de Gestión'!$AF$28="Muy Baja",'Riesgos de Gestión'!$AH$28="Catastrófico"),CONCATENATE("R3C",'Riesgos de Gestión'!$V$28),"")</f>
        <v/>
      </c>
      <c r="AL48" s="39" t="str">
        <f>IF(AND('Riesgos de Gestión'!$AF$29="Muy Baja",'Riesgos de Gestión'!$AH$29="Catastrófico"),CONCATENATE("R3C",'Riesgos de Gestión'!$V$29),"")</f>
        <v/>
      </c>
      <c r="AM48" s="40" t="str">
        <f>IF(AND('Riesgos de Gestión'!$AF$30="Muy Baja",'Riesgos de Gestión'!$AH$30="Catastrófico"),CONCATENATE("R3C",'Riesgos de Gestión'!$V$30),"")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30"/>
      <c r="C49" s="430"/>
      <c r="D49" s="431"/>
      <c r="E49" s="471"/>
      <c r="F49" s="472"/>
      <c r="G49" s="472"/>
      <c r="H49" s="472"/>
      <c r="I49" s="473"/>
      <c r="J49" s="59" t="str">
        <f>IF(AND('Riesgos de Gestión'!$AF$31="Muy Baja",'Riesgos de Gestión'!$AH$31="Leve"),CONCATENATE("R4C",'Riesgos de Gestión'!$V$31),"")</f>
        <v/>
      </c>
      <c r="K49" s="60" t="str">
        <f>IF(AND('Riesgos de Gestión'!$AF$32="Muy Baja",'Riesgos de Gestión'!$AH$32="Leve"),CONCATENATE("R4C",'Riesgos de Gestión'!$V$32),"")</f>
        <v/>
      </c>
      <c r="L49" s="60" t="str">
        <f>IF(AND('Riesgos de Gestión'!$AF$33="Muy Baja",'Riesgos de Gestión'!$AH$33="Leve"),CONCATENATE("R4C",'Riesgos de Gestión'!$V$33),"")</f>
        <v/>
      </c>
      <c r="M49" s="60" t="str">
        <f>IF(AND('Riesgos de Gestión'!$AF$34="Muy Baja",'Riesgos de Gestión'!$AH$34="Leve"),CONCATENATE("R4C",'Riesgos de Gestión'!$V$34),"")</f>
        <v/>
      </c>
      <c r="N49" s="60" t="str">
        <f>IF(AND('Riesgos de Gestión'!$AF$35="Muy Baja",'Riesgos de Gestión'!$AH$35="Leve"),CONCATENATE("R4C",'Riesgos de Gestión'!$V$35),"")</f>
        <v/>
      </c>
      <c r="O49" s="61" t="str">
        <f>IF(AND('Riesgos de Gestión'!$AF$36="Muy Baja",'Riesgos de Gestión'!$AH$36="Leve"),CONCATENATE("R4C",'Riesgos de Gestión'!$V$36),"")</f>
        <v/>
      </c>
      <c r="P49" s="59" t="str">
        <f>IF(AND('Riesgos de Gestión'!$AF$31="Muy Baja",'Riesgos de Gestión'!$AH$31="Menor"),CONCATENATE("R4C",'Riesgos de Gestión'!$V$31),"")</f>
        <v/>
      </c>
      <c r="Q49" s="60" t="str">
        <f>IF(AND('Riesgos de Gestión'!$AF$32="Muy Baja",'Riesgos de Gestión'!$AH$32="Menor"),CONCATENATE("R4C",'Riesgos de Gestión'!$V$32),"")</f>
        <v/>
      </c>
      <c r="R49" s="60" t="str">
        <f>IF(AND('Riesgos de Gestión'!$AF$33="Muy Baja",'Riesgos de Gestión'!$AH$33="Menor"),CONCATENATE("R4C",'Riesgos de Gestión'!$V$33),"")</f>
        <v/>
      </c>
      <c r="S49" s="60" t="str">
        <f>IF(AND('Riesgos de Gestión'!$AF$34="Muy Baja",'Riesgos de Gestión'!$AH$34="Menor"),CONCATENATE("R4C",'Riesgos de Gestión'!$V$34),"")</f>
        <v/>
      </c>
      <c r="T49" s="60" t="str">
        <f>IF(AND('Riesgos de Gestión'!$AF$35="Muy Baja",'Riesgos de Gestión'!$AH$35="Menor"),CONCATENATE("R4C",'Riesgos de Gestión'!$V$35),"")</f>
        <v/>
      </c>
      <c r="U49" s="61" t="str">
        <f>IF(AND('Riesgos de Gestión'!$AF$36="Muy Baja",'Riesgos de Gestión'!$AH$36="Menor"),CONCATENATE("R4C",'Riesgos de Gestión'!$V$36),"")</f>
        <v/>
      </c>
      <c r="V49" s="50" t="str">
        <f>IF(AND('Riesgos de Gestión'!$AF$31="Muy Baja",'Riesgos de Gestión'!$AH$31="Moderado"),CONCATENATE("R4C",'Riesgos de Gestión'!$V$31),"")</f>
        <v/>
      </c>
      <c r="W49" s="51" t="str">
        <f>IF(AND('Riesgos de Gestión'!$AF$32="Muy Baja",'Riesgos de Gestión'!$AH$32="Moderado"),CONCATENATE("R4C",'Riesgos de Gestión'!$V$32),"")</f>
        <v/>
      </c>
      <c r="X49" s="51" t="str">
        <f>IF(AND('Riesgos de Gestión'!$AF$33="Muy Baja",'Riesgos de Gestión'!$AH$33="Moderado"),CONCATENATE("R4C",'Riesgos de Gestión'!$V$33),"")</f>
        <v/>
      </c>
      <c r="Y49" s="51" t="str">
        <f>IF(AND('Riesgos de Gestión'!$AF$34="Muy Baja",'Riesgos de Gestión'!$AH$34="Moderado"),CONCATENATE("R4C",'Riesgos de Gestión'!$V$34),"")</f>
        <v/>
      </c>
      <c r="Z49" s="51" t="str">
        <f>IF(AND('Riesgos de Gestión'!$AF$35="Muy Baja",'Riesgos de Gestión'!$AH$35="Moderado"),CONCATENATE("R4C",'Riesgos de Gestión'!$V$35),"")</f>
        <v/>
      </c>
      <c r="AA49" s="52" t="str">
        <f>IF(AND('Riesgos de Gestión'!$AF$36="Muy Baja",'Riesgos de Gestión'!$AH$36="Moderado"),CONCATENATE("R4C",'Riesgos de Gestión'!$V$36),"")</f>
        <v/>
      </c>
      <c r="AB49" s="35" t="str">
        <f>IF(AND('Riesgos de Gestión'!$AF$31="Muy Baja",'Riesgos de Gestión'!$AH$31="Mayor"),CONCATENATE("R4C",'Riesgos de Gestión'!$V$31),"")</f>
        <v/>
      </c>
      <c r="AC49" s="36" t="str">
        <f>IF(AND('Riesgos de Gestión'!$AF$32="Muy Baja",'Riesgos de Gestión'!$AH$32="Mayor"),CONCATENATE("R4C",'Riesgos de Gestión'!$V$32),"")</f>
        <v/>
      </c>
      <c r="AD49" s="36" t="str">
        <f>IF(AND('Riesgos de Gestión'!$AF$33="Muy Baja",'Riesgos de Gestión'!$AH$33="Mayor"),CONCATENATE("R4C",'Riesgos de Gestión'!$V$33),"")</f>
        <v/>
      </c>
      <c r="AE49" s="36" t="str">
        <f>IF(AND('Riesgos de Gestión'!$AF$34="Muy Baja",'Riesgos de Gestión'!$AH$34="Mayor"),CONCATENATE("R4C",'Riesgos de Gestión'!$V$34),"")</f>
        <v/>
      </c>
      <c r="AF49" s="36" t="str">
        <f>IF(AND('Riesgos de Gestión'!$AF$35="Muy Baja",'Riesgos de Gestión'!$AH$35="Mayor"),CONCATENATE("R4C",'Riesgos de Gestión'!$V$35),"")</f>
        <v/>
      </c>
      <c r="AG49" s="37" t="str">
        <f>IF(AND('Riesgos de Gestión'!$AF$36="Muy Baja",'Riesgos de Gestión'!$AH$36="Mayor"),CONCATENATE("R4C",'Riesgos de Gestión'!$V$36),"")</f>
        <v/>
      </c>
      <c r="AH49" s="38" t="str">
        <f>IF(AND('Riesgos de Gestión'!$AF$31="Muy Baja",'Riesgos de Gestión'!$AH$31="Catastrófico"),CONCATENATE("R4C",'Riesgos de Gestión'!$V$31),"")</f>
        <v/>
      </c>
      <c r="AI49" s="39" t="str">
        <f>IF(AND('Riesgos de Gestión'!$AF$32="Muy Baja",'Riesgos de Gestión'!$AH$32="Catastrófico"),CONCATENATE("R4C",'Riesgos de Gestión'!$V$32),"")</f>
        <v/>
      </c>
      <c r="AJ49" s="39" t="str">
        <f>IF(AND('Riesgos de Gestión'!$AF$33="Muy Baja",'Riesgos de Gestión'!$AH$33="Catastrófico"),CONCATENATE("R4C",'Riesgos de Gestión'!$V$33),"")</f>
        <v/>
      </c>
      <c r="AK49" s="39" t="str">
        <f>IF(AND('Riesgos de Gestión'!$AF$34="Muy Baja",'Riesgos de Gestión'!$AH$34="Catastrófico"),CONCATENATE("R4C",'Riesgos de Gestión'!$V$34),"")</f>
        <v/>
      </c>
      <c r="AL49" s="39" t="str">
        <f>IF(AND('Riesgos de Gestión'!$AF$35="Muy Baja",'Riesgos de Gestión'!$AH$35="Catastrófico"),CONCATENATE("R4C",'Riesgos de Gestión'!$V$35),"")</f>
        <v/>
      </c>
      <c r="AM49" s="40" t="str">
        <f>IF(AND('Riesgos de Gestión'!$AF$36="Muy Baja",'Riesgos de Gestión'!$AH$36="Catastrófico"),CONCATENATE("R4C",'Riesgos de Gestión'!$V$36),"")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30"/>
      <c r="C50" s="430"/>
      <c r="D50" s="431"/>
      <c r="E50" s="471"/>
      <c r="F50" s="472"/>
      <c r="G50" s="472"/>
      <c r="H50" s="472"/>
      <c r="I50" s="473"/>
      <c r="J50" s="59" t="str">
        <f>IF(AND('Riesgos de Gestión'!$AF$37="Muy Baja",'Riesgos de Gestión'!$AH$37="Leve"),CONCATENATE("R5C",'Riesgos de Gestión'!$V$37),"")</f>
        <v/>
      </c>
      <c r="K50" s="60" t="str">
        <f>IF(AND('Riesgos de Gestión'!$AF$38="Muy Baja",'Riesgos de Gestión'!$AH$38="Leve"),CONCATENATE("R5C",'Riesgos de Gestión'!$V$38),"")</f>
        <v/>
      </c>
      <c r="L50" s="60" t="str">
        <f>IF(AND('Riesgos de Gestión'!$AF$39="Muy Baja",'Riesgos de Gestión'!$AH$39="Leve"),CONCATENATE("R5C",'Riesgos de Gestión'!$V$39),"")</f>
        <v/>
      </c>
      <c r="M50" s="60" t="str">
        <f>IF(AND('Riesgos de Gestión'!$AF$40="Muy Baja",'Riesgos de Gestión'!$AH$40="Leve"),CONCATENATE("R5C",'Riesgos de Gestión'!$V$40),"")</f>
        <v/>
      </c>
      <c r="N50" s="60" t="str">
        <f>IF(AND('Riesgos de Gestión'!$AF$41="Muy Baja",'Riesgos de Gestión'!$AH$41="Leve"),CONCATENATE("R5C",'Riesgos de Gestión'!$V$41),"")</f>
        <v/>
      </c>
      <c r="O50" s="61" t="str">
        <f>IF(AND('Riesgos de Gestión'!$AF$42="Muy Baja",'Riesgos de Gestión'!$AH$42="Leve"),CONCATENATE("R5C",'Riesgos de Gestión'!$V$42),"")</f>
        <v/>
      </c>
      <c r="P50" s="59" t="str">
        <f>IF(AND('Riesgos de Gestión'!$AF$37="Muy Baja",'Riesgos de Gestión'!$AH$37="Menor"),CONCATENATE("R5C",'Riesgos de Gestión'!$V$37),"")</f>
        <v/>
      </c>
      <c r="Q50" s="60" t="str">
        <f>IF(AND('Riesgos de Gestión'!$AF$38="Muy Baja",'Riesgos de Gestión'!$AH$38="Menor"),CONCATENATE("R5C",'Riesgos de Gestión'!$V$38),"")</f>
        <v/>
      </c>
      <c r="R50" s="60" t="str">
        <f>IF(AND('Riesgos de Gestión'!$AF$39="Muy Baja",'Riesgos de Gestión'!$AH$39="Menor"),CONCATENATE("R5C",'Riesgos de Gestión'!$V$39),"")</f>
        <v/>
      </c>
      <c r="S50" s="60" t="str">
        <f>IF(AND('Riesgos de Gestión'!$AF$40="Muy Baja",'Riesgos de Gestión'!$AH$40="Menor"),CONCATENATE("R5C",'Riesgos de Gestión'!$V$40),"")</f>
        <v/>
      </c>
      <c r="T50" s="60" t="str">
        <f>IF(AND('Riesgos de Gestión'!$AF$41="Muy Baja",'Riesgos de Gestión'!$AH$41="Menor"),CONCATENATE("R5C",'Riesgos de Gestión'!$V$41),"")</f>
        <v/>
      </c>
      <c r="U50" s="61" t="str">
        <f>IF(AND('Riesgos de Gestión'!$AF$42="Muy Baja",'Riesgos de Gestión'!$AH$42="Menor"),CONCATENATE("R5C",'Riesgos de Gestión'!$V$42),"")</f>
        <v/>
      </c>
      <c r="V50" s="50" t="str">
        <f>IF(AND('Riesgos de Gestión'!$AF$37="Muy Baja",'Riesgos de Gestión'!$AH$37="Moderado"),CONCATENATE("R5C",'Riesgos de Gestión'!$V$37),"")</f>
        <v/>
      </c>
      <c r="W50" s="51" t="str">
        <f>IF(AND('Riesgos de Gestión'!$AF$38="Muy Baja",'Riesgos de Gestión'!$AH$38="Moderado"),CONCATENATE("R5C",'Riesgos de Gestión'!$V$38),"")</f>
        <v/>
      </c>
      <c r="X50" s="51" t="str">
        <f>IF(AND('Riesgos de Gestión'!$AF$39="Muy Baja",'Riesgos de Gestión'!$AH$39="Moderado"),CONCATENATE("R5C",'Riesgos de Gestión'!$V$39),"")</f>
        <v/>
      </c>
      <c r="Y50" s="51" t="str">
        <f>IF(AND('Riesgos de Gestión'!$AF$40="Muy Baja",'Riesgos de Gestión'!$AH$40="Moderado"),CONCATENATE("R5C",'Riesgos de Gestión'!$V$40),"")</f>
        <v/>
      </c>
      <c r="Z50" s="51" t="str">
        <f>IF(AND('Riesgos de Gestión'!$AF$41="Muy Baja",'Riesgos de Gestión'!$AH$41="Moderado"),CONCATENATE("R5C",'Riesgos de Gestión'!$V$41),"")</f>
        <v/>
      </c>
      <c r="AA50" s="52" t="str">
        <f>IF(AND('Riesgos de Gestión'!$AF$42="Muy Baja",'Riesgos de Gestión'!$AH$42="Moderado"),CONCATENATE("R5C",'Riesgos de Gestión'!$V$42),"")</f>
        <v/>
      </c>
      <c r="AB50" s="35" t="str">
        <f>IF(AND('Riesgos de Gestión'!$AF$37="Muy Baja",'Riesgos de Gestión'!$AH$37="Mayor"),CONCATENATE("R5C",'Riesgos de Gestión'!$V$37),"")</f>
        <v/>
      </c>
      <c r="AC50" s="36" t="str">
        <f>IF(AND('Riesgos de Gestión'!$AF$38="Muy Baja",'Riesgos de Gestión'!$AH$38="Mayor"),CONCATENATE("R5C",'Riesgos de Gestión'!$V$38),"")</f>
        <v/>
      </c>
      <c r="AD50" s="36" t="str">
        <f>IF(AND('Riesgos de Gestión'!$AF$39="Muy Baja",'Riesgos de Gestión'!$AH$39="Mayor"),CONCATENATE("R5C",'Riesgos de Gestión'!$V$39),"")</f>
        <v/>
      </c>
      <c r="AE50" s="36" t="str">
        <f>IF(AND('Riesgos de Gestión'!$AF$40="Muy Baja",'Riesgos de Gestión'!$AH$40="Mayor"),CONCATENATE("R5C",'Riesgos de Gestión'!$V$40),"")</f>
        <v/>
      </c>
      <c r="AF50" s="36" t="str">
        <f>IF(AND('Riesgos de Gestión'!$AF$41="Muy Baja",'Riesgos de Gestión'!$AH$41="Mayor"),CONCATENATE("R5C",'Riesgos de Gestión'!$V$41),"")</f>
        <v/>
      </c>
      <c r="AG50" s="37" t="str">
        <f>IF(AND('Riesgos de Gestión'!$AF$42="Muy Baja",'Riesgos de Gestión'!$AH$42="Mayor"),CONCATENATE("R5C",'Riesgos de Gestión'!$V$42),"")</f>
        <v/>
      </c>
      <c r="AH50" s="38" t="str">
        <f>IF(AND('Riesgos de Gestión'!$AF$37="Muy Baja",'Riesgos de Gestión'!$AH$37="Catastrófico"),CONCATENATE("R5C",'Riesgos de Gestión'!$V$37),"")</f>
        <v/>
      </c>
      <c r="AI50" s="39" t="str">
        <f>IF(AND('Riesgos de Gestión'!$AF$38="Muy Baja",'Riesgos de Gestión'!$AH$38="Catastrófico"),CONCATENATE("R5C",'Riesgos de Gestión'!$V$38),"")</f>
        <v/>
      </c>
      <c r="AJ50" s="39" t="str">
        <f>IF(AND('Riesgos de Gestión'!$AF$39="Muy Baja",'Riesgos de Gestión'!$AH$39="Catastrófico"),CONCATENATE("R5C",'Riesgos de Gestión'!$V$39),"")</f>
        <v/>
      </c>
      <c r="AK50" s="39" t="str">
        <f>IF(AND('Riesgos de Gestión'!$AF$40="Muy Baja",'Riesgos de Gestión'!$AH$40="Catastrófico"),CONCATENATE("R5C",'Riesgos de Gestión'!$V$40),"")</f>
        <v/>
      </c>
      <c r="AL50" s="39" t="str">
        <f>IF(AND('Riesgos de Gestión'!$AF$41="Muy Baja",'Riesgos de Gestión'!$AH$41="Catastrófico"),CONCATENATE("R5C",'Riesgos de Gestión'!$V$41),"")</f>
        <v/>
      </c>
      <c r="AM50" s="40" t="str">
        <f>IF(AND('Riesgos de Gestión'!$AF$42="Muy Baja",'Riesgos de Gestión'!$AH$42="Catastrófico"),CONCATENATE("R5C",'Riesgos de Gestión'!$V$42),"")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30"/>
      <c r="C51" s="430"/>
      <c r="D51" s="431"/>
      <c r="E51" s="471"/>
      <c r="F51" s="472"/>
      <c r="G51" s="472"/>
      <c r="H51" s="472"/>
      <c r="I51" s="473"/>
      <c r="J51" s="59" t="str">
        <f>IF(AND('Riesgos de Gestión'!$AF$43="Muy Baja",'Riesgos de Gestión'!$AH$43="Leve"),CONCATENATE("R6C",'Riesgos de Gestión'!$V$43),"")</f>
        <v/>
      </c>
      <c r="K51" s="60" t="str">
        <f>IF(AND('Riesgos de Gestión'!$AF$44="Muy Baja",'Riesgos de Gestión'!$AH$44="Leve"),CONCATENATE("R6C",'Riesgos de Gestión'!$V$44),"")</f>
        <v/>
      </c>
      <c r="L51" s="60" t="str">
        <f>IF(AND('Riesgos de Gestión'!$AF$45="Muy Baja",'Riesgos de Gestión'!$AH$45="Leve"),CONCATENATE("R6C",'Riesgos de Gestión'!$V$45),"")</f>
        <v/>
      </c>
      <c r="M51" s="60" t="str">
        <f>IF(AND('Riesgos de Gestión'!$AF$46="Muy Baja",'Riesgos de Gestión'!$AH$46="Leve"),CONCATENATE("R6C",'Riesgos de Gestión'!$V$46),"")</f>
        <v/>
      </c>
      <c r="N51" s="60" t="str">
        <f>IF(AND('Riesgos de Gestión'!$AF$47="Muy Baja",'Riesgos de Gestión'!$AH$47="Leve"),CONCATENATE("R6C",'Riesgos de Gestión'!$V$47),"")</f>
        <v/>
      </c>
      <c r="O51" s="61" t="str">
        <f>IF(AND('Riesgos de Gestión'!$AF$48="Muy Baja",'Riesgos de Gestión'!$AH$48="Leve"),CONCATENATE("R6C",'Riesgos de Gestión'!$V$48),"")</f>
        <v/>
      </c>
      <c r="P51" s="59" t="str">
        <f>IF(AND('Riesgos de Gestión'!$AF$43="Muy Baja",'Riesgos de Gestión'!$AH$43="Menor"),CONCATENATE("R6C",'Riesgos de Gestión'!$V$43),"")</f>
        <v/>
      </c>
      <c r="Q51" s="60" t="str">
        <f>IF(AND('Riesgos de Gestión'!$AF$44="Muy Baja",'Riesgos de Gestión'!$AH$44="Menor"),CONCATENATE("R6C",'Riesgos de Gestión'!$V$44),"")</f>
        <v/>
      </c>
      <c r="R51" s="60" t="str">
        <f>IF(AND('Riesgos de Gestión'!$AF$45="Muy Baja",'Riesgos de Gestión'!$AH$45="Menor"),CONCATENATE("R6C",'Riesgos de Gestión'!$V$45),"")</f>
        <v/>
      </c>
      <c r="S51" s="60" t="str">
        <f>IF(AND('Riesgos de Gestión'!$AF$46="Muy Baja",'Riesgos de Gestión'!$AH$46="Menor"),CONCATENATE("R6C",'Riesgos de Gestión'!$V$46),"")</f>
        <v/>
      </c>
      <c r="T51" s="60" t="str">
        <f>IF(AND('Riesgos de Gestión'!$AF$47="Muy Baja",'Riesgos de Gestión'!$AH$47="Menor"),CONCATENATE("R6C",'Riesgos de Gestión'!$V$47),"")</f>
        <v/>
      </c>
      <c r="U51" s="61" t="str">
        <f>IF(AND('Riesgos de Gestión'!$AF$48="Muy Baja",'Riesgos de Gestión'!$AH$48="Menor"),CONCATENATE("R6C",'Riesgos de Gestión'!$V$48),"")</f>
        <v/>
      </c>
      <c r="V51" s="50" t="str">
        <f>IF(AND('Riesgos de Gestión'!$AF$43="Muy Baja",'Riesgos de Gestión'!$AH$43="Moderado"),CONCATENATE("R6C",'Riesgos de Gestión'!$V$43),"")</f>
        <v/>
      </c>
      <c r="W51" s="51" t="str">
        <f>IF(AND('Riesgos de Gestión'!$AF$44="Muy Baja",'Riesgos de Gestión'!$AH$44="Moderado"),CONCATENATE("R6C",'Riesgos de Gestión'!$V$44),"")</f>
        <v/>
      </c>
      <c r="X51" s="51" t="str">
        <f>IF(AND('Riesgos de Gestión'!$AF$45="Muy Baja",'Riesgos de Gestión'!$AH$45="Moderado"),CONCATENATE("R6C",'Riesgos de Gestión'!$V$45),"")</f>
        <v/>
      </c>
      <c r="Y51" s="51" t="str">
        <f>IF(AND('Riesgos de Gestión'!$AF$46="Muy Baja",'Riesgos de Gestión'!$AH$46="Moderado"),CONCATENATE("R6C",'Riesgos de Gestión'!$V$46),"")</f>
        <v/>
      </c>
      <c r="Z51" s="51" t="str">
        <f>IF(AND('Riesgos de Gestión'!$AF$47="Muy Baja",'Riesgos de Gestión'!$AH$47="Moderado"),CONCATENATE("R6C",'Riesgos de Gestión'!$V$47),"")</f>
        <v/>
      </c>
      <c r="AA51" s="52" t="str">
        <f>IF(AND('Riesgos de Gestión'!$AF$48="Muy Baja",'Riesgos de Gestión'!$AH$48="Moderado"),CONCATENATE("R6C",'Riesgos de Gestión'!$V$48),"")</f>
        <v/>
      </c>
      <c r="AB51" s="35" t="str">
        <f>IF(AND('Riesgos de Gestión'!$AF$43="Muy Baja",'Riesgos de Gestión'!$AH$43="Mayor"),CONCATENATE("R6C",'Riesgos de Gestión'!$V$43),"")</f>
        <v/>
      </c>
      <c r="AC51" s="36" t="str">
        <f>IF(AND('Riesgos de Gestión'!$AF$44="Muy Baja",'Riesgos de Gestión'!$AH$44="Mayor"),CONCATENATE("R6C",'Riesgos de Gestión'!$V$44),"")</f>
        <v/>
      </c>
      <c r="AD51" s="36" t="str">
        <f>IF(AND('Riesgos de Gestión'!$AF$45="Muy Baja",'Riesgos de Gestión'!$AH$45="Mayor"),CONCATENATE("R6C",'Riesgos de Gestión'!$V$45),"")</f>
        <v/>
      </c>
      <c r="AE51" s="36" t="str">
        <f>IF(AND('Riesgos de Gestión'!$AF$46="Muy Baja",'Riesgos de Gestión'!$AH$46="Mayor"),CONCATENATE("R6C",'Riesgos de Gestión'!$V$46),"")</f>
        <v/>
      </c>
      <c r="AF51" s="36" t="str">
        <f>IF(AND('Riesgos de Gestión'!$AF$47="Muy Baja",'Riesgos de Gestión'!$AH$47="Mayor"),CONCATENATE("R6C",'Riesgos de Gestión'!$V$47),"")</f>
        <v/>
      </c>
      <c r="AG51" s="37" t="str">
        <f>IF(AND('Riesgos de Gestión'!$AF$48="Muy Baja",'Riesgos de Gestión'!$AH$48="Mayor"),CONCATENATE("R6C",'Riesgos de Gestión'!$V$48),"")</f>
        <v/>
      </c>
      <c r="AH51" s="38" t="str">
        <f>IF(AND('Riesgos de Gestión'!$AF$43="Muy Baja",'Riesgos de Gestión'!$AH$43="Catastrófico"),CONCATENATE("R6C",'Riesgos de Gestión'!$V$43),"")</f>
        <v/>
      </c>
      <c r="AI51" s="39" t="str">
        <f>IF(AND('Riesgos de Gestión'!$AF$44="Muy Baja",'Riesgos de Gestión'!$AH$44="Catastrófico"),CONCATENATE("R6C",'Riesgos de Gestión'!$V$44),"")</f>
        <v/>
      </c>
      <c r="AJ51" s="39" t="str">
        <f>IF(AND('Riesgos de Gestión'!$AF$45="Muy Baja",'Riesgos de Gestión'!$AH$45="Catastrófico"),CONCATENATE("R6C",'Riesgos de Gestión'!$V$45),"")</f>
        <v/>
      </c>
      <c r="AK51" s="39" t="str">
        <f>IF(AND('Riesgos de Gestión'!$AF$46="Muy Baja",'Riesgos de Gestión'!$AH$46="Catastrófico"),CONCATENATE("R6C",'Riesgos de Gestión'!$V$46),"")</f>
        <v/>
      </c>
      <c r="AL51" s="39" t="str">
        <f>IF(AND('Riesgos de Gestión'!$AF$47="Muy Baja",'Riesgos de Gestión'!$AH$47="Catastrófico"),CONCATENATE("R6C",'Riesgos de Gestión'!$V$47),"")</f>
        <v/>
      </c>
      <c r="AM51" s="40" t="str">
        <f>IF(AND('Riesgos de Gestión'!$AF$48="Muy Baja",'Riesgos de Gestión'!$AH$48="Catastrófico"),CONCATENATE("R6C",'Riesgos de Gestión'!$V$48),"")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30"/>
      <c r="C52" s="430"/>
      <c r="D52" s="431"/>
      <c r="E52" s="471"/>
      <c r="F52" s="472"/>
      <c r="G52" s="472"/>
      <c r="H52" s="472"/>
      <c r="I52" s="473"/>
      <c r="J52" s="59" t="str">
        <f>IF(AND('Riesgos de Gestión'!$AF$49="Muy Baja",'Riesgos de Gestión'!$AH$49="Leve"),CONCATENATE("R7C",'Riesgos de Gestión'!$V$49),"")</f>
        <v/>
      </c>
      <c r="K52" s="60" t="str">
        <f>IF(AND('Riesgos de Gestión'!$AF$50="Muy Baja",'Riesgos de Gestión'!$AH$50="Leve"),CONCATENATE("R7C",'Riesgos de Gestión'!$V$50),"")</f>
        <v/>
      </c>
      <c r="L52" s="60" t="str">
        <f>IF(AND('Riesgos de Gestión'!$AF$51="Muy Baja",'Riesgos de Gestión'!$AH$51="Leve"),CONCATENATE("R7C",'Riesgos de Gestión'!$V$51),"")</f>
        <v/>
      </c>
      <c r="M52" s="60" t="str">
        <f>IF(AND('Riesgos de Gestión'!$AF$52="Muy Baja",'Riesgos de Gestión'!$AH$52="Leve"),CONCATENATE("R7C",'Riesgos de Gestión'!$V$52),"")</f>
        <v/>
      </c>
      <c r="N52" s="60" t="str">
        <f>IF(AND('Riesgos de Gestión'!$AF$53="Muy Baja",'Riesgos de Gestión'!$AH$53="Leve"),CONCATENATE("R7C",'Riesgos de Gestión'!$V$53),"")</f>
        <v/>
      </c>
      <c r="O52" s="61" t="str">
        <f>IF(AND('Riesgos de Gestión'!$AF$54="Muy Baja",'Riesgos de Gestión'!$AH$54="Leve"),CONCATENATE("R7C",'Riesgos de Gestión'!$V$54),"")</f>
        <v/>
      </c>
      <c r="P52" s="59" t="str">
        <f>IF(AND('Riesgos de Gestión'!$AF$49="Muy Baja",'Riesgos de Gestión'!$AH$49="Menor"),CONCATENATE("R7C",'Riesgos de Gestión'!$V$49),"")</f>
        <v/>
      </c>
      <c r="Q52" s="60" t="str">
        <f>IF(AND('Riesgos de Gestión'!$AF$50="Muy Baja",'Riesgos de Gestión'!$AH$50="Menor"),CONCATENATE("R7C",'Riesgos de Gestión'!$V$50),"")</f>
        <v/>
      </c>
      <c r="R52" s="60" t="str">
        <f>IF(AND('Riesgos de Gestión'!$AF$51="Muy Baja",'Riesgos de Gestión'!$AH$51="Menor"),CONCATENATE("R7C",'Riesgos de Gestión'!$V$51),"")</f>
        <v/>
      </c>
      <c r="S52" s="60" t="str">
        <f>IF(AND('Riesgos de Gestión'!$AF$52="Muy Baja",'Riesgos de Gestión'!$AH$52="Menor"),CONCATENATE("R7C",'Riesgos de Gestión'!$V$52),"")</f>
        <v/>
      </c>
      <c r="T52" s="60" t="str">
        <f>IF(AND('Riesgos de Gestión'!$AF$53="Muy Baja",'Riesgos de Gestión'!$AH$53="Menor"),CONCATENATE("R7C",'Riesgos de Gestión'!$V$53),"")</f>
        <v/>
      </c>
      <c r="U52" s="61" t="str">
        <f>IF(AND('Riesgos de Gestión'!$AF$54="Muy Baja",'Riesgos de Gestión'!$AH$54="Menor"),CONCATENATE("R7C",'Riesgos de Gestión'!$V$54),"")</f>
        <v/>
      </c>
      <c r="V52" s="50" t="str">
        <f>IF(AND('Riesgos de Gestión'!$AF$49="Muy Baja",'Riesgos de Gestión'!$AH$49="Moderado"),CONCATENATE("R7C",'Riesgos de Gestión'!$V$49),"")</f>
        <v/>
      </c>
      <c r="W52" s="51" t="str">
        <f>IF(AND('Riesgos de Gestión'!$AF$50="Muy Baja",'Riesgos de Gestión'!$AH$50="Moderado"),CONCATENATE("R7C",'Riesgos de Gestión'!$V$50),"")</f>
        <v/>
      </c>
      <c r="X52" s="51" t="str">
        <f>IF(AND('Riesgos de Gestión'!$AF$51="Muy Baja",'Riesgos de Gestión'!$AH$51="Moderado"),CONCATENATE("R7C",'Riesgos de Gestión'!$V$51),"")</f>
        <v/>
      </c>
      <c r="Y52" s="51" t="str">
        <f>IF(AND('Riesgos de Gestión'!$AF$52="Muy Baja",'Riesgos de Gestión'!$AH$52="Moderado"),CONCATENATE("R7C",'Riesgos de Gestión'!$V$52),"")</f>
        <v/>
      </c>
      <c r="Z52" s="51" t="str">
        <f>IF(AND('Riesgos de Gestión'!$AF$53="Muy Baja",'Riesgos de Gestión'!$AH$53="Moderado"),CONCATENATE("R7C",'Riesgos de Gestión'!$V$53),"")</f>
        <v/>
      </c>
      <c r="AA52" s="52" t="str">
        <f>IF(AND('Riesgos de Gestión'!$AF$54="Muy Baja",'Riesgos de Gestión'!$AH$54="Moderado"),CONCATENATE("R7C",'Riesgos de Gestión'!$V$54),"")</f>
        <v/>
      </c>
      <c r="AB52" s="35" t="str">
        <f>IF(AND('Riesgos de Gestión'!$AF$49="Muy Baja",'Riesgos de Gestión'!$AH$49="Mayor"),CONCATENATE("R7C",'Riesgos de Gestión'!$V$49),"")</f>
        <v/>
      </c>
      <c r="AC52" s="36" t="str">
        <f>IF(AND('Riesgos de Gestión'!$AF$50="Muy Baja",'Riesgos de Gestión'!$AH$50="Mayor"),CONCATENATE("R7C",'Riesgos de Gestión'!$V$50),"")</f>
        <v/>
      </c>
      <c r="AD52" s="36" t="str">
        <f>IF(AND('Riesgos de Gestión'!$AF$51="Muy Baja",'Riesgos de Gestión'!$AH$51="Mayor"),CONCATENATE("R7C",'Riesgos de Gestión'!$V$51),"")</f>
        <v/>
      </c>
      <c r="AE52" s="36" t="str">
        <f>IF(AND('Riesgos de Gestión'!$AF$52="Muy Baja",'Riesgos de Gestión'!$AH$52="Mayor"),CONCATENATE("R7C",'Riesgos de Gestión'!$V$52),"")</f>
        <v/>
      </c>
      <c r="AF52" s="36" t="str">
        <f>IF(AND('Riesgos de Gestión'!$AF$53="Muy Baja",'Riesgos de Gestión'!$AH$53="Mayor"),CONCATENATE("R7C",'Riesgos de Gestión'!$V$53),"")</f>
        <v/>
      </c>
      <c r="AG52" s="37" t="str">
        <f>IF(AND('Riesgos de Gestión'!$AF$54="Muy Baja",'Riesgos de Gestión'!$AH$54="Mayor"),CONCATENATE("R7C",'Riesgos de Gestión'!$V$54),"")</f>
        <v/>
      </c>
      <c r="AH52" s="38" t="str">
        <f>IF(AND('Riesgos de Gestión'!$AF$49="Muy Baja",'Riesgos de Gestión'!$AH$49="Catastrófico"),CONCATENATE("R7C",'Riesgos de Gestión'!$V$49),"")</f>
        <v/>
      </c>
      <c r="AI52" s="39" t="str">
        <f>IF(AND('Riesgos de Gestión'!$AF$50="Muy Baja",'Riesgos de Gestión'!$AH$50="Catastrófico"),CONCATENATE("R7C",'Riesgos de Gestión'!$V$50),"")</f>
        <v/>
      </c>
      <c r="AJ52" s="39" t="str">
        <f>IF(AND('Riesgos de Gestión'!$AF$51="Muy Baja",'Riesgos de Gestión'!$AH$51="Catastrófico"),CONCATENATE("R7C",'Riesgos de Gestión'!$V$51),"")</f>
        <v/>
      </c>
      <c r="AK52" s="39" t="str">
        <f>IF(AND('Riesgos de Gestión'!$AF$52="Muy Baja",'Riesgos de Gestión'!$AH$52="Catastrófico"),CONCATENATE("R7C",'Riesgos de Gestión'!$V$52),"")</f>
        <v/>
      </c>
      <c r="AL52" s="39" t="str">
        <f>IF(AND('Riesgos de Gestión'!$AF$53="Muy Baja",'Riesgos de Gestión'!$AH$53="Catastrófico"),CONCATENATE("R7C",'Riesgos de Gestión'!$V$53),"")</f>
        <v/>
      </c>
      <c r="AM52" s="40" t="str">
        <f>IF(AND('Riesgos de Gestión'!$AF$54="Muy Baja",'Riesgos de Gestión'!$AH$54="Catastrófico"),CONCATENATE("R7C",'Riesgos de Gestión'!$V$54),"")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30"/>
      <c r="C53" s="430"/>
      <c r="D53" s="431"/>
      <c r="E53" s="471"/>
      <c r="F53" s="472"/>
      <c r="G53" s="472"/>
      <c r="H53" s="472"/>
      <c r="I53" s="473"/>
      <c r="J53" s="59" t="str">
        <f>IF(AND('Riesgos de Gestión'!$AF$55="Muy Baja",'Riesgos de Gestión'!$AH$55="Leve"),CONCATENATE("R8C",'Riesgos de Gestión'!$V$55),"")</f>
        <v/>
      </c>
      <c r="K53" s="60" t="str">
        <f>IF(AND('Riesgos de Gestión'!$AF$56="Muy Baja",'Riesgos de Gestión'!$AH$56="Leve"),CONCATENATE("R8C",'Riesgos de Gestión'!$V$56),"")</f>
        <v/>
      </c>
      <c r="L53" s="60" t="str">
        <f>IF(AND('Riesgos de Gestión'!$AF$57="Muy Baja",'Riesgos de Gestión'!$AH$57="Leve"),CONCATENATE("R8C",'Riesgos de Gestión'!$V$57),"")</f>
        <v/>
      </c>
      <c r="M53" s="60" t="str">
        <f>IF(AND('Riesgos de Gestión'!$AF$58="Muy Baja",'Riesgos de Gestión'!$AH$58="Leve"),CONCATENATE("R8C",'Riesgos de Gestión'!$V$58),"")</f>
        <v/>
      </c>
      <c r="N53" s="60" t="str">
        <f>IF(AND('Riesgos de Gestión'!$AF$59="Muy Baja",'Riesgos de Gestión'!$AH$59="Leve"),CONCATENATE("R8C",'Riesgos de Gestión'!$V$59),"")</f>
        <v/>
      </c>
      <c r="O53" s="61" t="str">
        <f>IF(AND('Riesgos de Gestión'!$AF$60="Muy Baja",'Riesgos de Gestión'!$AH$60="Leve"),CONCATENATE("R8C",'Riesgos de Gestión'!$V$60),"")</f>
        <v/>
      </c>
      <c r="P53" s="59" t="str">
        <f>IF(AND('Riesgos de Gestión'!$AF$55="Muy Baja",'Riesgos de Gestión'!$AH$55="Menor"),CONCATENATE("R8C",'Riesgos de Gestión'!$V$55),"")</f>
        <v/>
      </c>
      <c r="Q53" s="60" t="str">
        <f>IF(AND('Riesgos de Gestión'!$AF$56="Muy Baja",'Riesgos de Gestión'!$AH$56="Menor"),CONCATENATE("R8C",'Riesgos de Gestión'!$V$56),"")</f>
        <v/>
      </c>
      <c r="R53" s="60" t="str">
        <f>IF(AND('Riesgos de Gestión'!$AF$57="Muy Baja",'Riesgos de Gestión'!$AH$57="Menor"),CONCATENATE("R8C",'Riesgos de Gestión'!$V$57),"")</f>
        <v/>
      </c>
      <c r="S53" s="60" t="str">
        <f>IF(AND('Riesgos de Gestión'!$AF$58="Muy Baja",'Riesgos de Gestión'!$AH$58="Menor"),CONCATENATE("R8C",'Riesgos de Gestión'!$V$58),"")</f>
        <v/>
      </c>
      <c r="T53" s="60" t="str">
        <f>IF(AND('Riesgos de Gestión'!$AF$59="Muy Baja",'Riesgos de Gestión'!$AH$59="Menor"),CONCATENATE("R8C",'Riesgos de Gestión'!$V$59),"")</f>
        <v/>
      </c>
      <c r="U53" s="61" t="str">
        <f>IF(AND('Riesgos de Gestión'!$AF$60="Muy Baja",'Riesgos de Gestión'!$AH$60="Menor"),CONCATENATE("R8C",'Riesgos de Gestión'!$V$60),"")</f>
        <v/>
      </c>
      <c r="V53" s="50" t="str">
        <f>IF(AND('Riesgos de Gestión'!$AF$55="Muy Baja",'Riesgos de Gestión'!$AH$55="Moderado"),CONCATENATE("R8C",'Riesgos de Gestión'!$V$55),"")</f>
        <v/>
      </c>
      <c r="W53" s="51" t="str">
        <f>IF(AND('Riesgos de Gestión'!$AF$56="Muy Baja",'Riesgos de Gestión'!$AH$56="Moderado"),CONCATENATE("R8C",'Riesgos de Gestión'!$V$56),"")</f>
        <v/>
      </c>
      <c r="X53" s="51" t="str">
        <f>IF(AND('Riesgos de Gestión'!$AF$57="Muy Baja",'Riesgos de Gestión'!$AH$57="Moderado"),CONCATENATE("R8C",'Riesgos de Gestión'!$V$57),"")</f>
        <v/>
      </c>
      <c r="Y53" s="51" t="str">
        <f>IF(AND('Riesgos de Gestión'!$AF$58="Muy Baja",'Riesgos de Gestión'!$AH$58="Moderado"),CONCATENATE("R8C",'Riesgos de Gestión'!$V$58),"")</f>
        <v/>
      </c>
      <c r="Z53" s="51" t="str">
        <f>IF(AND('Riesgos de Gestión'!$AF$59="Muy Baja",'Riesgos de Gestión'!$AH$59="Moderado"),CONCATENATE("R8C",'Riesgos de Gestión'!$V$59),"")</f>
        <v/>
      </c>
      <c r="AA53" s="52" t="str">
        <f>IF(AND('Riesgos de Gestión'!$AF$60="Muy Baja",'Riesgos de Gestión'!$AH$60="Moderado"),CONCATENATE("R8C",'Riesgos de Gestión'!$V$60),"")</f>
        <v/>
      </c>
      <c r="AB53" s="35" t="str">
        <f>IF(AND('Riesgos de Gestión'!$AF$55="Muy Baja",'Riesgos de Gestión'!$AH$55="Mayor"),CONCATENATE("R8C",'Riesgos de Gestión'!$V$55),"")</f>
        <v/>
      </c>
      <c r="AC53" s="36" t="str">
        <f>IF(AND('Riesgos de Gestión'!$AF$56="Muy Baja",'Riesgos de Gestión'!$AH$56="Mayor"),CONCATENATE("R8C",'Riesgos de Gestión'!$V$56),"")</f>
        <v/>
      </c>
      <c r="AD53" s="36" t="str">
        <f>IF(AND('Riesgos de Gestión'!$AF$57="Muy Baja",'Riesgos de Gestión'!$AH$57="Mayor"),CONCATENATE("R8C",'Riesgos de Gestión'!$V$57),"")</f>
        <v/>
      </c>
      <c r="AE53" s="36" t="str">
        <f>IF(AND('Riesgos de Gestión'!$AF$58="Muy Baja",'Riesgos de Gestión'!$AH$58="Mayor"),CONCATENATE("R8C",'Riesgos de Gestión'!$V$58),"")</f>
        <v/>
      </c>
      <c r="AF53" s="36" t="str">
        <f>IF(AND('Riesgos de Gestión'!$AF$59="Muy Baja",'Riesgos de Gestión'!$AH$59="Mayor"),CONCATENATE("R8C",'Riesgos de Gestión'!$V$59),"")</f>
        <v/>
      </c>
      <c r="AG53" s="37" t="str">
        <f>IF(AND('Riesgos de Gestión'!$AF$60="Muy Baja",'Riesgos de Gestión'!$AH$60="Mayor"),CONCATENATE("R8C",'Riesgos de Gestión'!$V$60),"")</f>
        <v/>
      </c>
      <c r="AH53" s="38" t="str">
        <f>IF(AND('Riesgos de Gestión'!$AF$55="Muy Baja",'Riesgos de Gestión'!$AH$55="Catastrófico"),CONCATENATE("R8C",'Riesgos de Gestión'!$V$55),"")</f>
        <v/>
      </c>
      <c r="AI53" s="39" t="str">
        <f>IF(AND('Riesgos de Gestión'!$AF$56="Muy Baja",'Riesgos de Gestión'!$AH$56="Catastrófico"),CONCATENATE("R8C",'Riesgos de Gestión'!$V$56),"")</f>
        <v/>
      </c>
      <c r="AJ53" s="39" t="str">
        <f>IF(AND('Riesgos de Gestión'!$AF$57="Muy Baja",'Riesgos de Gestión'!$AH$57="Catastrófico"),CONCATENATE("R8C",'Riesgos de Gestión'!$V$57),"")</f>
        <v/>
      </c>
      <c r="AK53" s="39" t="str">
        <f>IF(AND('Riesgos de Gestión'!$AF$58="Muy Baja",'Riesgos de Gestión'!$AH$58="Catastrófico"),CONCATENATE("R8C",'Riesgos de Gestión'!$V$58),"")</f>
        <v/>
      </c>
      <c r="AL53" s="39" t="str">
        <f>IF(AND('Riesgos de Gestión'!$AF$59="Muy Baja",'Riesgos de Gestión'!$AH$59="Catastrófico"),CONCATENATE("R8C",'Riesgos de Gestión'!$V$59),"")</f>
        <v/>
      </c>
      <c r="AM53" s="40" t="str">
        <f>IF(AND('Riesgos de Gestión'!$AF$60="Muy Baja",'Riesgos de Gestión'!$AH$60="Catastrófico"),CONCATENATE("R8C",'Riesgos de Gestión'!$V$60),"")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30"/>
      <c r="C54" s="430"/>
      <c r="D54" s="431"/>
      <c r="E54" s="471"/>
      <c r="F54" s="472"/>
      <c r="G54" s="472"/>
      <c r="H54" s="472"/>
      <c r="I54" s="473"/>
      <c r="J54" s="59" t="str">
        <f>IF(AND('Riesgos de Gestión'!$AF$61="Muy Baja",'Riesgos de Gestión'!$AH$61="Leve"),CONCATENATE("R9C",'Riesgos de Gestión'!$V$61),"")</f>
        <v/>
      </c>
      <c r="K54" s="60" t="str">
        <f>IF(AND('Riesgos de Gestión'!$AF$62="Muy Baja",'Riesgos de Gestión'!$AH$62="Leve"),CONCATENATE("R9C",'Riesgos de Gestión'!$V$62),"")</f>
        <v/>
      </c>
      <c r="L54" s="60" t="str">
        <f>IF(AND('Riesgos de Gestión'!$AF$63="Muy Baja",'Riesgos de Gestión'!$AH$63="Leve"),CONCATENATE("R9C",'Riesgos de Gestión'!$V$63),"")</f>
        <v/>
      </c>
      <c r="M54" s="60" t="str">
        <f>IF(AND('Riesgos de Gestión'!$AF$64="Muy Baja",'Riesgos de Gestión'!$AH$64="Leve"),CONCATENATE("R9C",'Riesgos de Gestión'!$V$64),"")</f>
        <v/>
      </c>
      <c r="N54" s="60" t="str">
        <f>IF(AND('Riesgos de Gestión'!$AF$65="Muy Baja",'Riesgos de Gestión'!$AH$65="Leve"),CONCATENATE("R9C",'Riesgos de Gestión'!$V$65),"")</f>
        <v/>
      </c>
      <c r="O54" s="61" t="str">
        <f>IF(AND('Riesgos de Gestión'!$AF$66="Muy Baja",'Riesgos de Gestión'!$AH$66="Leve"),CONCATENATE("R9C",'Riesgos de Gestión'!$V$66),"")</f>
        <v/>
      </c>
      <c r="P54" s="59" t="str">
        <f>IF(AND('Riesgos de Gestión'!$AF$61="Muy Baja",'Riesgos de Gestión'!$AH$61="Menor"),CONCATENATE("R9C",'Riesgos de Gestión'!$V$61),"")</f>
        <v/>
      </c>
      <c r="Q54" s="60" t="str">
        <f>IF(AND('Riesgos de Gestión'!$AF$62="Muy Baja",'Riesgos de Gestión'!$AH$62="Menor"),CONCATENATE("R9C",'Riesgos de Gestión'!$V$62),"")</f>
        <v/>
      </c>
      <c r="R54" s="60" t="str">
        <f>IF(AND('Riesgos de Gestión'!$AF$63="Muy Baja",'Riesgos de Gestión'!$AH$63="Menor"),CONCATENATE("R9C",'Riesgos de Gestión'!$V$63),"")</f>
        <v/>
      </c>
      <c r="S54" s="60" t="str">
        <f>IF(AND('Riesgos de Gestión'!$AF$64="Muy Baja",'Riesgos de Gestión'!$AH$64="Menor"),CONCATENATE("R9C",'Riesgos de Gestión'!$V$64),"")</f>
        <v/>
      </c>
      <c r="T54" s="60" t="str">
        <f>IF(AND('Riesgos de Gestión'!$AF$65="Muy Baja",'Riesgos de Gestión'!$AH$65="Menor"),CONCATENATE("R9C",'Riesgos de Gestión'!$V$65),"")</f>
        <v/>
      </c>
      <c r="U54" s="61" t="str">
        <f>IF(AND('Riesgos de Gestión'!$AF$66="Muy Baja",'Riesgos de Gestión'!$AH$66="Menor"),CONCATENATE("R9C",'Riesgos de Gestión'!$V$66),"")</f>
        <v/>
      </c>
      <c r="V54" s="50" t="str">
        <f>IF(AND('Riesgos de Gestión'!$AF$61="Muy Baja",'Riesgos de Gestión'!$AH$61="Moderado"),CONCATENATE("R9C",'Riesgos de Gestión'!$V$61),"")</f>
        <v/>
      </c>
      <c r="W54" s="51" t="str">
        <f>IF(AND('Riesgos de Gestión'!$AF$62="Muy Baja",'Riesgos de Gestión'!$AH$62="Moderado"),CONCATENATE("R9C",'Riesgos de Gestión'!$V$62),"")</f>
        <v/>
      </c>
      <c r="X54" s="51" t="str">
        <f>IF(AND('Riesgos de Gestión'!$AF$63="Muy Baja",'Riesgos de Gestión'!$AH$63="Moderado"),CONCATENATE("R9C",'Riesgos de Gestión'!$V$63),"")</f>
        <v/>
      </c>
      <c r="Y54" s="51" t="str">
        <f>IF(AND('Riesgos de Gestión'!$AF$64="Muy Baja",'Riesgos de Gestión'!$AH$64="Moderado"),CONCATENATE("R9C",'Riesgos de Gestión'!$V$64),"")</f>
        <v/>
      </c>
      <c r="Z54" s="51" t="str">
        <f>IF(AND('Riesgos de Gestión'!$AF$65="Muy Baja",'Riesgos de Gestión'!$AH$65="Moderado"),CONCATENATE("R9C",'Riesgos de Gestión'!$V$65),"")</f>
        <v/>
      </c>
      <c r="AA54" s="52" t="str">
        <f>IF(AND('Riesgos de Gestión'!$AF$66="Muy Baja",'Riesgos de Gestión'!$AH$66="Moderado"),CONCATENATE("R9C",'Riesgos de Gestión'!$V$66),"")</f>
        <v/>
      </c>
      <c r="AB54" s="35" t="str">
        <f>IF(AND('Riesgos de Gestión'!$AF$61="Muy Baja",'Riesgos de Gestión'!$AH$61="Mayor"),CONCATENATE("R9C",'Riesgos de Gestión'!$V$61),"")</f>
        <v/>
      </c>
      <c r="AC54" s="36" t="str">
        <f>IF(AND('Riesgos de Gestión'!$AF$62="Muy Baja",'Riesgos de Gestión'!$AH$62="Mayor"),CONCATENATE("R9C",'Riesgos de Gestión'!$V$62),"")</f>
        <v/>
      </c>
      <c r="AD54" s="36" t="str">
        <f>IF(AND('Riesgos de Gestión'!$AF$63="Muy Baja",'Riesgos de Gestión'!$AH$63="Mayor"),CONCATENATE("R9C",'Riesgos de Gestión'!$V$63),"")</f>
        <v/>
      </c>
      <c r="AE54" s="36" t="str">
        <f>IF(AND('Riesgos de Gestión'!$AF$64="Muy Baja",'Riesgos de Gestión'!$AH$64="Mayor"),CONCATENATE("R9C",'Riesgos de Gestión'!$V$64),"")</f>
        <v/>
      </c>
      <c r="AF54" s="36" t="str">
        <f>IF(AND('Riesgos de Gestión'!$AF$65="Muy Baja",'Riesgos de Gestión'!$AH$65="Mayor"),CONCATENATE("R9C",'Riesgos de Gestión'!$V$65),"")</f>
        <v/>
      </c>
      <c r="AG54" s="37" t="str">
        <f>IF(AND('Riesgos de Gestión'!$AF$66="Muy Baja",'Riesgos de Gestión'!$AH$66="Mayor"),CONCATENATE("R9C",'Riesgos de Gestión'!$V$66),"")</f>
        <v/>
      </c>
      <c r="AH54" s="38" t="str">
        <f>IF(AND('Riesgos de Gestión'!$AF$61="Muy Baja",'Riesgos de Gestión'!$AH$61="Catastrófico"),CONCATENATE("R9C",'Riesgos de Gestión'!$V$61),"")</f>
        <v/>
      </c>
      <c r="AI54" s="39" t="str">
        <f>IF(AND('Riesgos de Gestión'!$AF$62="Muy Baja",'Riesgos de Gestión'!$AH$62="Catastrófico"),CONCATENATE("R9C",'Riesgos de Gestión'!$V$62),"")</f>
        <v/>
      </c>
      <c r="AJ54" s="39" t="str">
        <f>IF(AND('Riesgos de Gestión'!$AF$63="Muy Baja",'Riesgos de Gestión'!$AH$63="Catastrófico"),CONCATENATE("R9C",'Riesgos de Gestión'!$V$63),"")</f>
        <v/>
      </c>
      <c r="AK54" s="39" t="str">
        <f>IF(AND('Riesgos de Gestión'!$AF$64="Muy Baja",'Riesgos de Gestión'!$AH$64="Catastrófico"),CONCATENATE("R9C",'Riesgos de Gestión'!$V$64),"")</f>
        <v/>
      </c>
      <c r="AL54" s="39" t="str">
        <f>IF(AND('Riesgos de Gestión'!$AF$65="Muy Baja",'Riesgos de Gestión'!$AH$65="Catastrófico"),CONCATENATE("R9C",'Riesgos de Gestión'!$V$65),"")</f>
        <v/>
      </c>
      <c r="AM54" s="40" t="str">
        <f>IF(AND('Riesgos de Gestión'!$AF$66="Muy Baja",'Riesgos de Gestión'!$AH$66="Catastrófico"),CONCATENATE("R9C",'Riesgos de Gestión'!$V$66),"")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30"/>
      <c r="C55" s="430"/>
      <c r="D55" s="431"/>
      <c r="E55" s="474"/>
      <c r="F55" s="475"/>
      <c r="G55" s="475"/>
      <c r="H55" s="475"/>
      <c r="I55" s="476"/>
      <c r="J55" s="62" t="str">
        <f>IF(AND('Riesgos de Gestión'!$AF$67="Muy Baja",'Riesgos de Gestión'!$AH$67="Leve"),CONCATENATE("R10C",'Riesgos de Gestión'!$V$67),"")</f>
        <v/>
      </c>
      <c r="K55" s="63" t="str">
        <f>IF(AND('Riesgos de Gestión'!$AF$68="Muy Baja",'Riesgos de Gestión'!$AH$68="Leve"),CONCATENATE("R10C",'Riesgos de Gestión'!$V$68),"")</f>
        <v/>
      </c>
      <c r="L55" s="63" t="str">
        <f>IF(AND('Riesgos de Gestión'!$AF$69="Muy Baja",'Riesgos de Gestión'!$AH$69="Leve"),CONCATENATE("R10C",'Riesgos de Gestión'!$V$69),"")</f>
        <v/>
      </c>
      <c r="M55" s="63" t="str">
        <f>IF(AND('Riesgos de Gestión'!$AF$70="Muy Baja",'Riesgos de Gestión'!$AH$70="Leve"),CONCATENATE("R10C",'Riesgos de Gestión'!$V$70),"")</f>
        <v/>
      </c>
      <c r="N55" s="63" t="str">
        <f>IF(AND('Riesgos de Gestión'!$AF$71="Muy Baja",'Riesgos de Gestión'!$AH$71="Leve"),CONCATENATE("R10C",'Riesgos de Gestión'!$V$71),"")</f>
        <v/>
      </c>
      <c r="O55" s="64" t="str">
        <f>IF(AND('Riesgos de Gestión'!$AF$72="Muy Baja",'Riesgos de Gestión'!$AH$72="Leve"),CONCATENATE("R10C",'Riesgos de Gestión'!$V$72),"")</f>
        <v/>
      </c>
      <c r="P55" s="62" t="str">
        <f>IF(AND('Riesgos de Gestión'!$AF$67="Muy Baja",'Riesgos de Gestión'!$AH$67="Menor"),CONCATENATE("R10C",'Riesgos de Gestión'!$V$67),"")</f>
        <v/>
      </c>
      <c r="Q55" s="63" t="str">
        <f>IF(AND('Riesgos de Gestión'!$AF$68="Muy Baja",'Riesgos de Gestión'!$AH$68="Menor"),CONCATENATE("R10C",'Riesgos de Gestión'!$V$68),"")</f>
        <v/>
      </c>
      <c r="R55" s="63" t="str">
        <f>IF(AND('Riesgos de Gestión'!$AF$69="Muy Baja",'Riesgos de Gestión'!$AH$69="Menor"),CONCATENATE("R10C",'Riesgos de Gestión'!$V$69),"")</f>
        <v/>
      </c>
      <c r="S55" s="63" t="str">
        <f>IF(AND('Riesgos de Gestión'!$AF$70="Muy Baja",'Riesgos de Gestión'!$AH$70="Menor"),CONCATENATE("R10C",'Riesgos de Gestión'!$V$70),"")</f>
        <v/>
      </c>
      <c r="T55" s="63" t="str">
        <f>IF(AND('Riesgos de Gestión'!$AF$71="Muy Baja",'Riesgos de Gestión'!$AH$71="Menor"),CONCATENATE("R10C",'Riesgos de Gestión'!$V$71),"")</f>
        <v/>
      </c>
      <c r="U55" s="64" t="str">
        <f>IF(AND('Riesgos de Gestión'!$AF$72="Muy Baja",'Riesgos de Gestión'!$AH$72="Menor"),CONCATENATE("R10C",'Riesgos de Gestión'!$V$72),"")</f>
        <v/>
      </c>
      <c r="V55" s="53" t="str">
        <f>IF(AND('Riesgos de Gestión'!$AF$67="Muy Baja",'Riesgos de Gestión'!$AH$67="Moderado"),CONCATENATE("R10C",'Riesgos de Gestión'!$V$67),"")</f>
        <v/>
      </c>
      <c r="W55" s="54" t="str">
        <f>IF(AND('Riesgos de Gestión'!$AF$68="Muy Baja",'Riesgos de Gestión'!$AH$68="Moderado"),CONCATENATE("R10C",'Riesgos de Gestión'!$V$68),"")</f>
        <v/>
      </c>
      <c r="X55" s="54" t="str">
        <f>IF(AND('Riesgos de Gestión'!$AF$69="Muy Baja",'Riesgos de Gestión'!$AH$69="Moderado"),CONCATENATE("R10C",'Riesgos de Gestión'!$V$69),"")</f>
        <v/>
      </c>
      <c r="Y55" s="54" t="str">
        <f>IF(AND('Riesgos de Gestión'!$AF$70="Muy Baja",'Riesgos de Gestión'!$AH$70="Moderado"),CONCATENATE("R10C",'Riesgos de Gestión'!$V$70),"")</f>
        <v/>
      </c>
      <c r="Z55" s="54" t="str">
        <f>IF(AND('Riesgos de Gestión'!$AF$71="Muy Baja",'Riesgos de Gestión'!$AH$71="Moderado"),CONCATENATE("R10C",'Riesgos de Gestión'!$V$71),"")</f>
        <v/>
      </c>
      <c r="AA55" s="55" t="str">
        <f>IF(AND('Riesgos de Gestión'!$AF$72="Muy Baja",'Riesgos de Gestión'!$AH$72="Moderado"),CONCATENATE("R10C",'Riesgos de Gestión'!$V$72),"")</f>
        <v/>
      </c>
      <c r="AB55" s="41" t="str">
        <f>IF(AND('Riesgos de Gestión'!$AF$67="Muy Baja",'Riesgos de Gestión'!$AH$67="Mayor"),CONCATENATE("R10C",'Riesgos de Gestión'!$V$67),"")</f>
        <v/>
      </c>
      <c r="AC55" s="42" t="str">
        <f>IF(AND('Riesgos de Gestión'!$AF$68="Muy Baja",'Riesgos de Gestión'!$AH$68="Mayor"),CONCATENATE("R10C",'Riesgos de Gestión'!$V$68),"")</f>
        <v/>
      </c>
      <c r="AD55" s="42" t="str">
        <f>IF(AND('Riesgos de Gestión'!$AF$69="Muy Baja",'Riesgos de Gestión'!$AH$69="Mayor"),CONCATENATE("R10C",'Riesgos de Gestión'!$V$69),"")</f>
        <v/>
      </c>
      <c r="AE55" s="42" t="str">
        <f>IF(AND('Riesgos de Gestión'!$AF$70="Muy Baja",'Riesgos de Gestión'!$AH$70="Mayor"),CONCATENATE("R10C",'Riesgos de Gestión'!$V$70),"")</f>
        <v/>
      </c>
      <c r="AF55" s="42" t="str">
        <f>IF(AND('Riesgos de Gestión'!$AF$71="Muy Baja",'Riesgos de Gestión'!$AH$71="Mayor"),CONCATENATE("R10C",'Riesgos de Gestión'!$V$71),"")</f>
        <v/>
      </c>
      <c r="AG55" s="43" t="str">
        <f>IF(AND('Riesgos de Gestión'!$AF$72="Muy Baja",'Riesgos de Gestión'!$AH$72="Mayor"),CONCATENATE("R10C",'Riesgos de Gestión'!$V$72),"")</f>
        <v/>
      </c>
      <c r="AH55" s="44" t="str">
        <f>IF(AND('Riesgos de Gestión'!$AF$67="Muy Baja",'Riesgos de Gestión'!$AH$67="Catastrófico"),CONCATENATE("R10C",'Riesgos de Gestión'!$V$67),"")</f>
        <v/>
      </c>
      <c r="AI55" s="45" t="str">
        <f>IF(AND('Riesgos de Gestión'!$AF$68="Muy Baja",'Riesgos de Gestión'!$AH$68="Catastrófico"),CONCATENATE("R10C",'Riesgos de Gestión'!$V$68),"")</f>
        <v/>
      </c>
      <c r="AJ55" s="45" t="str">
        <f>IF(AND('Riesgos de Gestión'!$AF$69="Muy Baja",'Riesgos de Gestión'!$AH$69="Catastrófico"),CONCATENATE("R10C",'Riesgos de Gestión'!$V$69),"")</f>
        <v/>
      </c>
      <c r="AK55" s="45" t="str">
        <f>IF(AND('Riesgos de Gestión'!$AF$70="Muy Baja",'Riesgos de Gestión'!$AH$70="Catastrófico"),CONCATENATE("R10C",'Riesgos de Gestión'!$V$70),"")</f>
        <v/>
      </c>
      <c r="AL55" s="45" t="str">
        <f>IF(AND('Riesgos de Gestión'!$AF$71="Muy Baja",'Riesgos de Gestión'!$AH$71="Catastrófico"),CONCATENATE("R10C",'Riesgos de Gestión'!$V$71),"")</f>
        <v/>
      </c>
      <c r="AM55" s="46" t="str">
        <f>IF(AND('Riesgos de Gestión'!$AF$72="Muy Baja",'Riesgos de Gestión'!$AH$72="Catastrófico"),CONCATENATE("R10C",'Riesgos de Gestión'!$V$72),"")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468" t="s">
        <v>259</v>
      </c>
      <c r="K56" s="469"/>
      <c r="L56" s="469"/>
      <c r="M56" s="469"/>
      <c r="N56" s="469"/>
      <c r="O56" s="470"/>
      <c r="P56" s="468" t="s">
        <v>260</v>
      </c>
      <c r="Q56" s="469"/>
      <c r="R56" s="469"/>
      <c r="S56" s="469"/>
      <c r="T56" s="469"/>
      <c r="U56" s="470"/>
      <c r="V56" s="468" t="s">
        <v>261</v>
      </c>
      <c r="W56" s="469"/>
      <c r="X56" s="469"/>
      <c r="Y56" s="469"/>
      <c r="Z56" s="469"/>
      <c r="AA56" s="470"/>
      <c r="AB56" s="468" t="s">
        <v>262</v>
      </c>
      <c r="AC56" s="477"/>
      <c r="AD56" s="469"/>
      <c r="AE56" s="469"/>
      <c r="AF56" s="469"/>
      <c r="AG56" s="470"/>
      <c r="AH56" s="468" t="s">
        <v>263</v>
      </c>
      <c r="AI56" s="469"/>
      <c r="AJ56" s="469"/>
      <c r="AK56" s="469"/>
      <c r="AL56" s="469"/>
      <c r="AM56" s="470"/>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471"/>
      <c r="K57" s="472"/>
      <c r="L57" s="472"/>
      <c r="M57" s="472"/>
      <c r="N57" s="472"/>
      <c r="O57" s="473"/>
      <c r="P57" s="471"/>
      <c r="Q57" s="472"/>
      <c r="R57" s="472"/>
      <c r="S57" s="472"/>
      <c r="T57" s="472"/>
      <c r="U57" s="473"/>
      <c r="V57" s="471"/>
      <c r="W57" s="472"/>
      <c r="X57" s="472"/>
      <c r="Y57" s="472"/>
      <c r="Z57" s="472"/>
      <c r="AA57" s="473"/>
      <c r="AB57" s="471"/>
      <c r="AC57" s="472"/>
      <c r="AD57" s="472"/>
      <c r="AE57" s="472"/>
      <c r="AF57" s="472"/>
      <c r="AG57" s="473"/>
      <c r="AH57" s="471"/>
      <c r="AI57" s="472"/>
      <c r="AJ57" s="472"/>
      <c r="AK57" s="472"/>
      <c r="AL57" s="472"/>
      <c r="AM57" s="473"/>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471"/>
      <c r="K58" s="472"/>
      <c r="L58" s="472"/>
      <c r="M58" s="472"/>
      <c r="N58" s="472"/>
      <c r="O58" s="473"/>
      <c r="P58" s="471"/>
      <c r="Q58" s="472"/>
      <c r="R58" s="472"/>
      <c r="S58" s="472"/>
      <c r="T58" s="472"/>
      <c r="U58" s="473"/>
      <c r="V58" s="471"/>
      <c r="W58" s="472"/>
      <c r="X58" s="472"/>
      <c r="Y58" s="472"/>
      <c r="Z58" s="472"/>
      <c r="AA58" s="473"/>
      <c r="AB58" s="471"/>
      <c r="AC58" s="472"/>
      <c r="AD58" s="472"/>
      <c r="AE58" s="472"/>
      <c r="AF58" s="472"/>
      <c r="AG58" s="473"/>
      <c r="AH58" s="471"/>
      <c r="AI58" s="472"/>
      <c r="AJ58" s="472"/>
      <c r="AK58" s="472"/>
      <c r="AL58" s="472"/>
      <c r="AM58" s="473"/>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471"/>
      <c r="K59" s="472"/>
      <c r="L59" s="472"/>
      <c r="M59" s="472"/>
      <c r="N59" s="472"/>
      <c r="O59" s="473"/>
      <c r="P59" s="471"/>
      <c r="Q59" s="472"/>
      <c r="R59" s="472"/>
      <c r="S59" s="472"/>
      <c r="T59" s="472"/>
      <c r="U59" s="473"/>
      <c r="V59" s="471"/>
      <c r="W59" s="472"/>
      <c r="X59" s="472"/>
      <c r="Y59" s="472"/>
      <c r="Z59" s="472"/>
      <c r="AA59" s="473"/>
      <c r="AB59" s="471"/>
      <c r="AC59" s="472"/>
      <c r="AD59" s="472"/>
      <c r="AE59" s="472"/>
      <c r="AF59" s="472"/>
      <c r="AG59" s="473"/>
      <c r="AH59" s="471"/>
      <c r="AI59" s="472"/>
      <c r="AJ59" s="472"/>
      <c r="AK59" s="472"/>
      <c r="AL59" s="472"/>
      <c r="AM59" s="473"/>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471"/>
      <c r="K60" s="472"/>
      <c r="L60" s="472"/>
      <c r="M60" s="472"/>
      <c r="N60" s="472"/>
      <c r="O60" s="473"/>
      <c r="P60" s="471"/>
      <c r="Q60" s="472"/>
      <c r="R60" s="472"/>
      <c r="S60" s="472"/>
      <c r="T60" s="472"/>
      <c r="U60" s="473"/>
      <c r="V60" s="471"/>
      <c r="W60" s="472"/>
      <c r="X60" s="472"/>
      <c r="Y60" s="472"/>
      <c r="Z60" s="472"/>
      <c r="AA60" s="473"/>
      <c r="AB60" s="471"/>
      <c r="AC60" s="472"/>
      <c r="AD60" s="472"/>
      <c r="AE60" s="472"/>
      <c r="AF60" s="472"/>
      <c r="AG60" s="473"/>
      <c r="AH60" s="471"/>
      <c r="AI60" s="472"/>
      <c r="AJ60" s="472"/>
      <c r="AK60" s="472"/>
      <c r="AL60" s="472"/>
      <c r="AM60" s="473"/>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474"/>
      <c r="K61" s="475"/>
      <c r="L61" s="475"/>
      <c r="M61" s="475"/>
      <c r="N61" s="475"/>
      <c r="O61" s="476"/>
      <c r="P61" s="474"/>
      <c r="Q61" s="475"/>
      <c r="R61" s="475"/>
      <c r="S61" s="475"/>
      <c r="T61" s="475"/>
      <c r="U61" s="476"/>
      <c r="V61" s="474"/>
      <c r="W61" s="475"/>
      <c r="X61" s="475"/>
      <c r="Y61" s="475"/>
      <c r="Z61" s="475"/>
      <c r="AA61" s="476"/>
      <c r="AB61" s="474"/>
      <c r="AC61" s="475"/>
      <c r="AD61" s="475"/>
      <c r="AE61" s="475"/>
      <c r="AF61" s="475"/>
      <c r="AG61" s="476"/>
      <c r="AH61" s="474"/>
      <c r="AI61" s="475"/>
      <c r="AJ61" s="475"/>
      <c r="AK61" s="475"/>
      <c r="AL61" s="475"/>
      <c r="AM61" s="47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14D1F-9FDD-463F-84AD-24712E22B4F0}">
  <sheetPr>
    <tabColor rgb="FF002060"/>
  </sheetPr>
  <dimension ref="A1:JL75"/>
  <sheetViews>
    <sheetView zoomScale="70" zoomScaleNormal="70" zoomScaleSheetLayoutView="40" zoomScalePageLayoutView="60" workbookViewId="0">
      <selection activeCell="D11" sqref="D11:D12"/>
    </sheetView>
  </sheetViews>
  <sheetFormatPr baseColWidth="10" defaultColWidth="11.42578125" defaultRowHeight="15" x14ac:dyDescent="0.2"/>
  <cols>
    <col min="1" max="1" width="6.5703125" style="204" customWidth="1"/>
    <col min="2" max="2" width="16" style="204" customWidth="1"/>
    <col min="3" max="3" width="19.140625" style="204" customWidth="1"/>
    <col min="4" max="4" width="25.28515625" style="204" customWidth="1"/>
    <col min="5" max="5" width="40.140625" style="204" customWidth="1"/>
    <col min="6" max="6" width="17.7109375" style="184" customWidth="1"/>
    <col min="7" max="7" width="16" style="184" customWidth="1"/>
    <col min="8" max="8" width="24.28515625" style="184" customWidth="1"/>
    <col min="9" max="10" width="28.42578125" style="184" customWidth="1"/>
    <col min="11" max="11" width="24.28515625" style="184" customWidth="1"/>
    <col min="12" max="12" width="19.42578125" style="184" customWidth="1"/>
    <col min="13" max="13" width="20.5703125" style="184" customWidth="1"/>
    <col min="14" max="14" width="14.7109375" style="205" customWidth="1"/>
    <col min="15" max="15" width="16.7109375" style="184" customWidth="1"/>
    <col min="16" max="16" width="10.42578125" style="184" hidden="1" customWidth="1"/>
    <col min="17" max="17" width="12.85546875" style="184" customWidth="1"/>
    <col min="18" max="18" width="35.85546875" style="184" hidden="1" customWidth="1"/>
    <col min="19" max="19" width="17.140625" style="184" customWidth="1"/>
    <col min="20" max="20" width="17.5703125" style="184" hidden="1" customWidth="1"/>
    <col min="21" max="21" width="15" style="184" customWidth="1"/>
    <col min="22" max="22" width="16" style="184" customWidth="1"/>
    <col min="23" max="23" width="32.7109375" style="184" customWidth="1"/>
    <col min="24" max="24" width="26.85546875" style="184" hidden="1" customWidth="1"/>
    <col min="25" max="25" width="5.85546875" style="184" customWidth="1"/>
    <col min="26" max="26" width="6.85546875" style="184" customWidth="1"/>
    <col min="27" max="27" width="5" style="184" hidden="1" customWidth="1"/>
    <col min="28" max="28" width="5.5703125" style="184" customWidth="1"/>
    <col min="29" max="29" width="7.140625" style="184" customWidth="1"/>
    <col min="30" max="30" width="6.7109375" style="184" customWidth="1"/>
    <col min="31" max="31" width="7.5703125" style="184" hidden="1" customWidth="1"/>
    <col min="32" max="32" width="8.5703125" style="184" customWidth="1"/>
    <col min="33" max="37" width="10.85546875" style="184" customWidth="1"/>
    <col min="38" max="38" width="10.85546875" style="203" customWidth="1"/>
    <col min="39" max="39" width="23" style="184" customWidth="1"/>
    <col min="40" max="40" width="18.85546875" style="184" customWidth="1"/>
    <col min="41" max="41" width="21.5703125" style="184" customWidth="1"/>
    <col min="42" max="42" width="22.42578125" style="184" customWidth="1"/>
    <col min="43" max="43" width="16.42578125" style="184" customWidth="1"/>
    <col min="44" max="44" width="20.5703125" style="184" customWidth="1"/>
    <col min="45" max="16384" width="11.42578125" style="184"/>
  </cols>
  <sheetData>
    <row r="1" spans="1:272" s="187" customFormat="1" ht="20.25" x14ac:dyDescent="0.3">
      <c r="A1" s="350"/>
      <c r="B1" s="351"/>
      <c r="C1" s="352"/>
      <c r="D1" s="362" t="s">
        <v>193</v>
      </c>
      <c r="E1" s="363"/>
      <c r="F1" s="363"/>
      <c r="G1" s="363"/>
      <c r="H1" s="363"/>
      <c r="I1" s="363"/>
      <c r="J1" s="363"/>
      <c r="K1" s="363"/>
      <c r="L1" s="363"/>
      <c r="M1" s="363"/>
      <c r="N1" s="363"/>
      <c r="O1" s="363"/>
      <c r="P1" s="363"/>
      <c r="Q1" s="363"/>
      <c r="R1" s="363"/>
      <c r="S1" s="363"/>
      <c r="T1" s="364"/>
      <c r="U1" s="238"/>
      <c r="V1" s="238"/>
      <c r="W1" s="238"/>
      <c r="X1" s="337"/>
      <c r="Y1" s="337"/>
      <c r="Z1" s="337"/>
      <c r="AA1" s="337"/>
      <c r="AB1" s="337"/>
      <c r="AC1" s="337"/>
      <c r="AD1" s="337"/>
      <c r="AE1" s="337"/>
      <c r="AF1" s="337"/>
      <c r="AG1" s="337"/>
      <c r="AH1" s="337"/>
      <c r="AI1" s="337"/>
      <c r="AJ1" s="337"/>
      <c r="AK1" s="337"/>
      <c r="AL1" s="337"/>
      <c r="AM1" s="337"/>
      <c r="AN1" s="337"/>
      <c r="AO1" s="337"/>
      <c r="AP1" s="337"/>
      <c r="AQ1" s="337"/>
      <c r="AR1" s="337"/>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row>
    <row r="2" spans="1:272" s="187" customFormat="1" ht="21" thickBot="1" x14ac:dyDescent="0.35">
      <c r="A2" s="353"/>
      <c r="B2" s="354"/>
      <c r="C2" s="355"/>
      <c r="D2" s="365"/>
      <c r="E2" s="366"/>
      <c r="F2" s="366"/>
      <c r="G2" s="366"/>
      <c r="H2" s="366"/>
      <c r="I2" s="366"/>
      <c r="J2" s="366"/>
      <c r="K2" s="366"/>
      <c r="L2" s="366"/>
      <c r="M2" s="366"/>
      <c r="N2" s="366"/>
      <c r="O2" s="366"/>
      <c r="P2" s="366"/>
      <c r="Q2" s="366"/>
      <c r="R2" s="366"/>
      <c r="S2" s="366"/>
      <c r="T2" s="367"/>
      <c r="U2" s="238"/>
      <c r="V2" s="238"/>
      <c r="W2" s="238"/>
      <c r="X2" s="337"/>
      <c r="Y2" s="337"/>
      <c r="Z2" s="337"/>
      <c r="AA2" s="337"/>
      <c r="AB2" s="337"/>
      <c r="AC2" s="337"/>
      <c r="AD2" s="337"/>
      <c r="AE2" s="337"/>
      <c r="AF2" s="337"/>
      <c r="AG2" s="337"/>
      <c r="AH2" s="337"/>
      <c r="AI2" s="337"/>
      <c r="AJ2" s="337"/>
      <c r="AK2" s="337"/>
      <c r="AL2" s="337"/>
      <c r="AM2" s="337"/>
      <c r="AN2" s="337"/>
      <c r="AO2" s="337"/>
      <c r="AP2" s="337"/>
      <c r="AQ2" s="337"/>
      <c r="AR2" s="337"/>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row>
    <row r="3" spans="1:272" s="187" customFormat="1" ht="27.75" customHeight="1" thickBot="1" x14ac:dyDescent="0.35">
      <c r="A3" s="353"/>
      <c r="B3" s="354"/>
      <c r="C3" s="355"/>
      <c r="D3" s="368" t="s">
        <v>194</v>
      </c>
      <c r="E3" s="369"/>
      <c r="F3" s="369"/>
      <c r="G3" s="369"/>
      <c r="H3" s="369"/>
      <c r="I3" s="370"/>
      <c r="J3" s="368" t="s">
        <v>195</v>
      </c>
      <c r="K3" s="369"/>
      <c r="L3" s="369"/>
      <c r="M3" s="369"/>
      <c r="N3" s="369"/>
      <c r="O3" s="369"/>
      <c r="P3" s="369"/>
      <c r="Q3" s="369"/>
      <c r="R3" s="369"/>
      <c r="S3" s="369"/>
      <c r="T3" s="370"/>
      <c r="U3" s="239"/>
      <c r="V3" s="239"/>
      <c r="W3" s="238"/>
      <c r="X3" s="338"/>
      <c r="Y3" s="338"/>
      <c r="Z3" s="338"/>
      <c r="AA3" s="338"/>
      <c r="AB3" s="338"/>
      <c r="AC3" s="338"/>
      <c r="AD3" s="338"/>
      <c r="AE3" s="338"/>
      <c r="AF3" s="338"/>
      <c r="AG3" s="338"/>
      <c r="AH3" s="338"/>
      <c r="AI3" s="338"/>
      <c r="AJ3" s="338"/>
      <c r="AK3" s="338"/>
      <c r="AL3" s="338"/>
      <c r="AM3" s="338"/>
      <c r="AN3" s="338"/>
      <c r="AO3" s="338"/>
      <c r="AP3" s="338"/>
      <c r="AQ3" s="338"/>
      <c r="AR3" s="338"/>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row>
    <row r="4" spans="1:272" s="187" customFormat="1" ht="27.75" customHeight="1" thickBot="1" x14ac:dyDescent="0.35">
      <c r="A4" s="356"/>
      <c r="B4" s="357"/>
      <c r="C4" s="358"/>
      <c r="D4" s="368" t="s">
        <v>407</v>
      </c>
      <c r="E4" s="369"/>
      <c r="F4" s="369"/>
      <c r="G4" s="369"/>
      <c r="H4" s="369"/>
      <c r="I4" s="369"/>
      <c r="J4" s="369"/>
      <c r="K4" s="369"/>
      <c r="L4" s="369"/>
      <c r="M4" s="369"/>
      <c r="N4" s="369"/>
      <c r="O4" s="369"/>
      <c r="P4" s="369"/>
      <c r="Q4" s="369"/>
      <c r="R4" s="369"/>
      <c r="S4" s="369"/>
      <c r="T4" s="370"/>
      <c r="U4" s="238"/>
      <c r="V4" s="238"/>
      <c r="W4" s="238"/>
      <c r="X4" s="338"/>
      <c r="Y4" s="338"/>
      <c r="Z4" s="338"/>
      <c r="AA4" s="338"/>
      <c r="AB4" s="338"/>
      <c r="AC4" s="338"/>
      <c r="AD4" s="338"/>
      <c r="AE4" s="338"/>
      <c r="AF4" s="338"/>
      <c r="AG4" s="338"/>
      <c r="AH4" s="338"/>
      <c r="AI4" s="338"/>
      <c r="AJ4" s="338"/>
      <c r="AK4" s="338"/>
      <c r="AL4" s="338"/>
      <c r="AM4" s="338"/>
      <c r="AN4" s="338"/>
      <c r="AO4" s="338"/>
      <c r="AP4" s="338"/>
      <c r="AQ4" s="338"/>
      <c r="AR4" s="338"/>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row>
    <row r="5" spans="1:272" ht="15.75" thickBot="1" x14ac:dyDescent="0.25">
      <c r="A5" s="188"/>
      <c r="B5" s="189"/>
      <c r="C5" s="188"/>
      <c r="D5" s="188"/>
      <c r="E5" s="188"/>
      <c r="F5" s="190"/>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24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row>
    <row r="6" spans="1:272" ht="27" customHeight="1" thickBot="1" x14ac:dyDescent="0.25">
      <c r="A6" s="371" t="s">
        <v>196</v>
      </c>
      <c r="B6" s="372"/>
      <c r="C6" s="340"/>
      <c r="D6" s="341"/>
      <c r="E6" s="341"/>
      <c r="F6" s="341"/>
      <c r="G6" s="341"/>
      <c r="H6" s="341"/>
      <c r="I6" s="341"/>
      <c r="J6" s="341"/>
      <c r="K6" s="341"/>
      <c r="L6" s="341"/>
      <c r="M6" s="341"/>
      <c r="N6" s="341"/>
      <c r="O6" s="341"/>
      <c r="P6" s="341"/>
      <c r="Q6" s="341"/>
      <c r="R6" s="341"/>
      <c r="S6" s="341"/>
      <c r="T6" s="342"/>
      <c r="U6" s="241"/>
      <c r="V6" s="241"/>
      <c r="W6" s="339"/>
      <c r="X6" s="339"/>
      <c r="Y6" s="339"/>
      <c r="Z6" s="377"/>
      <c r="AA6" s="377"/>
      <c r="AB6" s="377"/>
      <c r="AC6" s="377"/>
      <c r="AD6" s="377"/>
      <c r="AE6" s="377"/>
      <c r="AF6" s="377"/>
      <c r="AG6" s="377"/>
      <c r="AH6" s="377"/>
      <c r="AI6" s="377"/>
      <c r="AJ6" s="377"/>
      <c r="AK6" s="377"/>
      <c r="AL6" s="377"/>
      <c r="AM6" s="377"/>
      <c r="AN6" s="377"/>
      <c r="AO6" s="377"/>
      <c r="AP6" s="377"/>
      <c r="AQ6" s="377"/>
      <c r="AR6" s="377"/>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row>
    <row r="7" spans="1:272" ht="27" customHeight="1" thickBot="1" x14ac:dyDescent="0.3">
      <c r="A7" s="373" t="s">
        <v>197</v>
      </c>
      <c r="B7" s="374"/>
      <c r="C7" s="343"/>
      <c r="D7" s="344"/>
      <c r="E7" s="344"/>
      <c r="F7" s="344"/>
      <c r="G7" s="344"/>
      <c r="H7" s="344"/>
      <c r="I7" s="344"/>
      <c r="J7" s="344"/>
      <c r="K7" s="344"/>
      <c r="L7" s="344"/>
      <c r="M7" s="344"/>
      <c r="N7" s="344"/>
      <c r="O7" s="344"/>
      <c r="P7" s="344"/>
      <c r="Q7" s="344"/>
      <c r="R7" s="344"/>
      <c r="S7" s="344"/>
      <c r="T7" s="345"/>
      <c r="U7" s="242"/>
      <c r="V7" s="242"/>
      <c r="W7" s="243"/>
      <c r="X7" s="243"/>
      <c r="Y7" s="243"/>
      <c r="Z7" s="377"/>
      <c r="AA7" s="377"/>
      <c r="AB7" s="377"/>
      <c r="AC7" s="377"/>
      <c r="AD7" s="377"/>
      <c r="AE7" s="377"/>
      <c r="AF7" s="377"/>
      <c r="AG7" s="377"/>
      <c r="AH7" s="377"/>
      <c r="AI7" s="377"/>
      <c r="AJ7" s="377"/>
      <c r="AK7" s="377"/>
      <c r="AL7" s="377"/>
      <c r="AM7" s="377"/>
      <c r="AN7" s="377"/>
      <c r="AO7" s="377"/>
      <c r="AP7" s="377"/>
      <c r="AQ7" s="377"/>
      <c r="AR7" s="377"/>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row>
    <row r="8" spans="1:272" ht="27" customHeight="1" thickBot="1" x14ac:dyDescent="0.3">
      <c r="A8" s="375" t="s">
        <v>198</v>
      </c>
      <c r="B8" s="376"/>
      <c r="C8" s="343"/>
      <c r="D8" s="344"/>
      <c r="E8" s="344"/>
      <c r="F8" s="344"/>
      <c r="G8" s="344"/>
      <c r="H8" s="344"/>
      <c r="I8" s="344"/>
      <c r="J8" s="344"/>
      <c r="K8" s="344"/>
      <c r="L8" s="344"/>
      <c r="M8" s="344"/>
      <c r="N8" s="344"/>
      <c r="O8" s="344"/>
      <c r="P8" s="344"/>
      <c r="Q8" s="344"/>
      <c r="R8" s="344"/>
      <c r="S8" s="344"/>
      <c r="T8" s="345"/>
      <c r="U8" s="242"/>
      <c r="V8" s="242"/>
      <c r="W8" s="243"/>
      <c r="X8" s="243"/>
      <c r="Y8" s="243"/>
      <c r="Z8" s="377"/>
      <c r="AA8" s="377"/>
      <c r="AB8" s="377"/>
      <c r="AC8" s="377"/>
      <c r="AD8" s="377"/>
      <c r="AE8" s="377"/>
      <c r="AF8" s="377"/>
      <c r="AG8" s="377"/>
      <c r="AH8" s="377"/>
      <c r="AI8" s="377"/>
      <c r="AJ8" s="377"/>
      <c r="AK8" s="377"/>
      <c r="AL8" s="377"/>
      <c r="AM8" s="377"/>
      <c r="AN8" s="377"/>
      <c r="AO8" s="377"/>
      <c r="AP8" s="377"/>
      <c r="AQ8" s="377"/>
      <c r="AR8" s="377"/>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row>
    <row r="9" spans="1:272" ht="15.75" x14ac:dyDescent="0.25">
      <c r="A9" s="192"/>
      <c r="B9" s="192"/>
      <c r="C9" s="193"/>
      <c r="D9" s="193"/>
      <c r="E9" s="193"/>
      <c r="F9" s="193"/>
      <c r="G9" s="193"/>
      <c r="H9" s="193"/>
      <c r="I9" s="193"/>
      <c r="J9" s="193"/>
      <c r="K9" s="193"/>
      <c r="L9" s="193"/>
      <c r="M9" s="193"/>
      <c r="N9" s="193"/>
      <c r="O9" s="193"/>
      <c r="P9" s="193"/>
      <c r="Q9" s="193"/>
      <c r="R9" s="193"/>
      <c r="S9" s="193"/>
      <c r="T9" s="193"/>
      <c r="U9" s="193"/>
      <c r="V9" s="193"/>
      <c r="W9" s="194"/>
      <c r="X9" s="194"/>
      <c r="Y9" s="194"/>
      <c r="Z9" s="195"/>
      <c r="AA9" s="195"/>
      <c r="AB9" s="195"/>
      <c r="AC9" s="195"/>
      <c r="AD9" s="195"/>
      <c r="AE9" s="195"/>
      <c r="AF9" s="195"/>
      <c r="AG9" s="195"/>
      <c r="AH9" s="195"/>
      <c r="AI9" s="195"/>
      <c r="AJ9" s="195"/>
      <c r="AK9" s="195"/>
      <c r="AL9" s="195"/>
      <c r="AM9" s="195"/>
      <c r="AN9" s="195"/>
      <c r="AO9" s="195"/>
      <c r="AP9" s="195"/>
      <c r="AQ9" s="195"/>
      <c r="AR9" s="195"/>
    </row>
    <row r="10" spans="1:272" ht="39" customHeight="1" x14ac:dyDescent="0.2">
      <c r="A10" s="359" t="s">
        <v>199</v>
      </c>
      <c r="B10" s="360"/>
      <c r="C10" s="360"/>
      <c r="D10" s="360"/>
      <c r="E10" s="360"/>
      <c r="F10" s="361"/>
      <c r="G10" s="325" t="s">
        <v>200</v>
      </c>
      <c r="H10" s="326"/>
      <c r="I10" s="326"/>
      <c r="J10" s="326"/>
      <c r="K10" s="327"/>
      <c r="L10" s="314" t="s">
        <v>201</v>
      </c>
      <c r="M10" s="315"/>
      <c r="N10" s="210"/>
      <c r="O10" s="210"/>
      <c r="P10" s="309" t="s">
        <v>202</v>
      </c>
      <c r="Q10" s="309"/>
      <c r="R10" s="309"/>
      <c r="S10" s="309"/>
      <c r="T10" s="309"/>
      <c r="U10" s="309"/>
      <c r="V10" s="309"/>
      <c r="W10" s="309" t="s">
        <v>203</v>
      </c>
      <c r="X10" s="309"/>
      <c r="Y10" s="309"/>
      <c r="Z10" s="309"/>
      <c r="AA10" s="309"/>
      <c r="AB10" s="309"/>
      <c r="AC10" s="309"/>
      <c r="AD10" s="309"/>
      <c r="AE10" s="309"/>
      <c r="AF10" s="316" t="s">
        <v>204</v>
      </c>
      <c r="AG10" s="317"/>
      <c r="AH10" s="317"/>
      <c r="AI10" s="317"/>
      <c r="AJ10" s="318"/>
      <c r="AK10" s="316" t="s">
        <v>408</v>
      </c>
      <c r="AL10" s="317"/>
      <c r="AM10" s="317"/>
      <c r="AN10" s="317"/>
      <c r="AO10" s="318"/>
      <c r="AP10" s="316" t="s">
        <v>409</v>
      </c>
      <c r="AQ10" s="317"/>
      <c r="AR10" s="318"/>
      <c r="AS10" s="190"/>
      <c r="AT10" s="190"/>
      <c r="AU10" s="190"/>
      <c r="AV10" s="190"/>
      <c r="AW10" s="190"/>
      <c r="AX10" s="190"/>
      <c r="AY10" s="190"/>
      <c r="AZ10" s="190"/>
      <c r="BA10" s="190"/>
      <c r="BB10" s="190"/>
      <c r="BC10" s="190"/>
      <c r="BD10" s="190"/>
      <c r="BE10" s="190"/>
      <c r="BF10" s="190"/>
      <c r="BG10" s="190"/>
      <c r="BH10" s="190"/>
      <c r="BI10" s="190"/>
      <c r="BJ10" s="190"/>
      <c r="BK10" s="190"/>
      <c r="BL10" s="190"/>
      <c r="BM10" s="190"/>
      <c r="BN10" s="190"/>
      <c r="BO10" s="190"/>
      <c r="BP10" s="190"/>
    </row>
    <row r="11" spans="1:272" ht="26.25" customHeight="1" x14ac:dyDescent="0.2">
      <c r="A11" s="378" t="s">
        <v>207</v>
      </c>
      <c r="B11" s="349" t="s">
        <v>15</v>
      </c>
      <c r="C11" s="348" t="s">
        <v>17</v>
      </c>
      <c r="D11" s="348" t="s">
        <v>19</v>
      </c>
      <c r="E11" s="349" t="s">
        <v>21</v>
      </c>
      <c r="F11" s="348" t="s">
        <v>23</v>
      </c>
      <c r="G11" s="346" t="s">
        <v>109</v>
      </c>
      <c r="H11" s="346" t="s">
        <v>265</v>
      </c>
      <c r="I11" s="346" t="s">
        <v>209</v>
      </c>
      <c r="J11" s="346" t="s">
        <v>210</v>
      </c>
      <c r="K11" s="346" t="s">
        <v>211</v>
      </c>
      <c r="L11" s="314"/>
      <c r="M11" s="315"/>
      <c r="N11" s="322" t="s">
        <v>212</v>
      </c>
      <c r="O11" s="322" t="s">
        <v>213</v>
      </c>
      <c r="P11" s="323" t="s">
        <v>214</v>
      </c>
      <c r="Q11" s="322" t="s">
        <v>215</v>
      </c>
      <c r="R11" s="322" t="s">
        <v>216</v>
      </c>
      <c r="S11" s="322" t="s">
        <v>217</v>
      </c>
      <c r="T11" s="323" t="s">
        <v>214</v>
      </c>
      <c r="U11" s="322" t="s">
        <v>29</v>
      </c>
      <c r="V11" s="328" t="s">
        <v>218</v>
      </c>
      <c r="W11" s="322" t="s">
        <v>31</v>
      </c>
      <c r="X11" s="322" t="s">
        <v>33</v>
      </c>
      <c r="Y11" s="322" t="s">
        <v>219</v>
      </c>
      <c r="Z11" s="322"/>
      <c r="AA11" s="322"/>
      <c r="AB11" s="322"/>
      <c r="AC11" s="322"/>
      <c r="AD11" s="322"/>
      <c r="AE11" s="328" t="s">
        <v>220</v>
      </c>
      <c r="AF11" s="328" t="s">
        <v>221</v>
      </c>
      <c r="AG11" s="328" t="s">
        <v>214</v>
      </c>
      <c r="AH11" s="328" t="s">
        <v>222</v>
      </c>
      <c r="AI11" s="328" t="s">
        <v>214</v>
      </c>
      <c r="AJ11" s="328" t="s">
        <v>223</v>
      </c>
      <c r="AK11" s="328" t="s">
        <v>49</v>
      </c>
      <c r="AL11" s="322" t="s">
        <v>224</v>
      </c>
      <c r="AM11" s="322" t="s">
        <v>225</v>
      </c>
      <c r="AN11" s="322" t="s">
        <v>226</v>
      </c>
      <c r="AO11" s="322" t="s">
        <v>227</v>
      </c>
      <c r="AP11" s="322" t="s">
        <v>224</v>
      </c>
      <c r="AQ11" s="322" t="s">
        <v>226</v>
      </c>
      <c r="AR11" s="322" t="s">
        <v>225</v>
      </c>
      <c r="AS11" s="190"/>
      <c r="AT11" s="190"/>
      <c r="AU11" s="190"/>
      <c r="AV11" s="190"/>
      <c r="AW11" s="190"/>
      <c r="AX11" s="190"/>
      <c r="AY11" s="190"/>
      <c r="AZ11" s="190"/>
      <c r="BA11" s="190"/>
      <c r="BB11" s="190"/>
      <c r="BC11" s="190"/>
      <c r="BD11" s="190"/>
      <c r="BE11" s="190"/>
      <c r="BF11" s="190"/>
      <c r="BG11" s="190"/>
      <c r="BH11" s="190"/>
      <c r="BI11" s="190"/>
      <c r="BJ11" s="190"/>
      <c r="BK11" s="190"/>
      <c r="BL11" s="190"/>
      <c r="BM11" s="190"/>
      <c r="BN11" s="190"/>
      <c r="BO11" s="190"/>
    </row>
    <row r="12" spans="1:272" s="199" customFormat="1" ht="73.5" customHeight="1" x14ac:dyDescent="0.25">
      <c r="A12" s="378"/>
      <c r="B12" s="349"/>
      <c r="C12" s="348"/>
      <c r="D12" s="348"/>
      <c r="E12" s="349"/>
      <c r="F12" s="348"/>
      <c r="G12" s="347"/>
      <c r="H12" s="347"/>
      <c r="I12" s="347"/>
      <c r="J12" s="347"/>
      <c r="K12" s="347"/>
      <c r="L12" s="236" t="s">
        <v>410</v>
      </c>
      <c r="M12" s="236" t="s">
        <v>231</v>
      </c>
      <c r="N12" s="322"/>
      <c r="O12" s="322"/>
      <c r="P12" s="323"/>
      <c r="Q12" s="323"/>
      <c r="R12" s="322"/>
      <c r="S12" s="323"/>
      <c r="T12" s="323"/>
      <c r="U12" s="322"/>
      <c r="V12" s="328"/>
      <c r="W12" s="322"/>
      <c r="X12" s="322"/>
      <c r="Y12" s="196" t="s">
        <v>232</v>
      </c>
      <c r="Z12" s="196" t="s">
        <v>233</v>
      </c>
      <c r="AA12" s="196" t="s">
        <v>234</v>
      </c>
      <c r="AB12" s="196" t="s">
        <v>235</v>
      </c>
      <c r="AC12" s="196" t="s">
        <v>236</v>
      </c>
      <c r="AD12" s="196" t="s">
        <v>237</v>
      </c>
      <c r="AE12" s="328"/>
      <c r="AF12" s="328"/>
      <c r="AG12" s="328"/>
      <c r="AH12" s="328"/>
      <c r="AI12" s="328"/>
      <c r="AJ12" s="328"/>
      <c r="AK12" s="328"/>
      <c r="AL12" s="322"/>
      <c r="AM12" s="322"/>
      <c r="AN12" s="322"/>
      <c r="AO12" s="322"/>
      <c r="AP12" s="322"/>
      <c r="AQ12" s="322"/>
      <c r="AR12" s="322"/>
      <c r="AS12" s="197"/>
      <c r="AT12" s="197"/>
      <c r="AU12" s="197"/>
      <c r="AV12" s="197"/>
      <c r="AW12" s="197"/>
      <c r="AX12" s="197"/>
      <c r="AY12" s="197"/>
      <c r="AZ12" s="197"/>
      <c r="BA12" s="197"/>
      <c r="BB12" s="197"/>
      <c r="BC12" s="197"/>
      <c r="BD12" s="197"/>
      <c r="BE12" s="197"/>
      <c r="BF12" s="197"/>
      <c r="BG12" s="197"/>
      <c r="BH12" s="197"/>
      <c r="BI12" s="197"/>
      <c r="BJ12" s="197"/>
      <c r="BK12" s="197"/>
      <c r="BL12" s="197"/>
      <c r="BM12" s="197"/>
      <c r="BN12" s="197"/>
      <c r="BO12" s="197"/>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c r="HQ12" s="198"/>
      <c r="HR12" s="198"/>
      <c r="HS12" s="198"/>
      <c r="HT12" s="198"/>
      <c r="HU12" s="198"/>
      <c r="HV12" s="198"/>
      <c r="HW12" s="198"/>
      <c r="HX12" s="198"/>
      <c r="HY12" s="198"/>
      <c r="HZ12" s="198"/>
      <c r="IA12" s="198"/>
      <c r="IB12" s="198"/>
      <c r="IC12" s="198"/>
      <c r="ID12" s="198"/>
      <c r="IE12" s="198"/>
      <c r="IF12" s="198"/>
      <c r="IG12" s="198"/>
      <c r="IH12" s="198"/>
      <c r="II12" s="198"/>
      <c r="IJ12" s="198"/>
      <c r="IK12" s="198"/>
      <c r="IL12" s="198"/>
      <c r="IM12" s="198"/>
      <c r="IN12" s="198"/>
      <c r="IO12" s="198"/>
      <c r="IP12" s="198"/>
      <c r="IQ12" s="198"/>
      <c r="IR12" s="198"/>
      <c r="IS12" s="198"/>
      <c r="IT12" s="198"/>
      <c r="IU12" s="198"/>
      <c r="IV12" s="198"/>
      <c r="IW12" s="198"/>
      <c r="IX12" s="198"/>
      <c r="IY12" s="198"/>
      <c r="IZ12" s="198"/>
      <c r="JA12" s="198"/>
      <c r="JB12" s="198"/>
      <c r="JC12" s="198"/>
      <c r="JD12" s="198"/>
      <c r="JE12" s="198"/>
      <c r="JF12" s="198"/>
      <c r="JG12" s="198"/>
      <c r="JH12" s="198"/>
      <c r="JI12" s="198"/>
      <c r="JJ12" s="198"/>
      <c r="JK12" s="198"/>
      <c r="JL12" s="198"/>
    </row>
    <row r="13" spans="1:272" s="201" customFormat="1" x14ac:dyDescent="0.25">
      <c r="A13" s="329">
        <v>1</v>
      </c>
      <c r="B13" s="330"/>
      <c r="C13" s="330"/>
      <c r="D13" s="330"/>
      <c r="E13" s="331"/>
      <c r="F13" s="330"/>
      <c r="G13" s="319"/>
      <c r="H13" s="319"/>
      <c r="I13" s="319"/>
      <c r="J13" s="319"/>
      <c r="K13" s="319"/>
      <c r="L13" s="319"/>
      <c r="M13" s="319"/>
      <c r="N13" s="313"/>
      <c r="O13" s="312" t="str">
        <f>IF(N13&lt;=0,"",IF(N13&lt;=2,"Muy Baja",IF(N13&lt;=24,"Baja",IF(N13&lt;=500,"Media",IF(N13&lt;=5000,"Alta","Muy Alta")))))</f>
        <v/>
      </c>
      <c r="P13" s="311" t="str">
        <f>IF(O13="","",IF(O13="Muy Baja",0.2,IF(O13="Baja",0.4,IF(O13="Media",0.6,IF(O13="Alta",0.8,IF(O13="Muy Alta",1,))))))</f>
        <v/>
      </c>
      <c r="Q13" s="310"/>
      <c r="R13" s="311">
        <f>IF(NOT(ISERROR(MATCH(Q13,'Tabla Impacto'!$B$222:$B$224,0))),'Tabla Impacto'!$F$224&amp;"Por favor no seleccionar los criterios de impacto(Afectación Económica o presupuestal y Pérdida Reputacional)",Q13)</f>
        <v>0</v>
      </c>
      <c r="S13" s="312" t="str">
        <f>IF(OR(R13='Tabla Impacto'!$C$12,R13='Tabla Impacto'!$D$12),"Leve",IF(OR(R13='Tabla Impacto'!$C$13,R13='Tabla Impacto'!$D$13),"Menor",IF(OR(R13='Tabla Impacto'!$C$14,R13='Tabla Impacto'!$D$14),"Moderado",IF(OR(R13='Tabla Impacto'!$C$15,R13='Tabla Impacto'!$D$15),"Mayor",IF(OR(R13='Tabla Impacto'!$C$16,R13='Tabla Impacto'!$D$16),"Catastrófico","")))))</f>
        <v/>
      </c>
      <c r="T13" s="311" t="str">
        <f>IF(S13="","",IF(S13="Leve",0.2,IF(S13="Menor",0.4,IF(S13="Moderado",0.6,IF(S13="Mayor",0.8,IF(S13="Catastrófico",1,))))))</f>
        <v/>
      </c>
      <c r="U13" s="324"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200">
        <v>1</v>
      </c>
      <c r="W13" s="226"/>
      <c r="X13" s="175" t="str">
        <f t="shared" ref="X13:X18" si="0">IF(OR(Y13="Preventivo",Y13="Detectivo"),"Probabilidad",IF(Y13="Correctivo","Impacto",""))</f>
        <v/>
      </c>
      <c r="Y13" s="176"/>
      <c r="Z13" s="176"/>
      <c r="AA13" s="177" t="str">
        <f>IF(AND(Y13="Preventivo",Z13="Automático"),"50%",IF(AND(Y13="Preventivo",Z13="Manual"),"40%",IF(AND(Y13="Detectivo",Z13="Automático"),"40%",IF(AND(Y13="Detectivo",Z13="Manual"),"30%",IF(AND(Y13="Correctivo",Z13="Automático"),"35%",IF(AND(Y13="Correctivo",Z13="Manual"),"25%",""))))))</f>
        <v/>
      </c>
      <c r="AB13" s="176"/>
      <c r="AC13" s="176"/>
      <c r="AD13" s="176"/>
      <c r="AE13" s="178" t="str">
        <f>IFERROR(IF(X13="Probabilidad",(P13-(+P13*AA13)),IF(X13="Impacto",P13,"")),"")</f>
        <v/>
      </c>
      <c r="AF13" s="179" t="str">
        <f>IFERROR(IF(AE13="","",IF(AE13&lt;=0.2,"Muy Baja",IF(AE13&lt;=0.4,"Baja",IF(AE13&lt;=0.6,"Media",IF(AE13&lt;=0.8,"Alta","Muy Alta"))))),"")</f>
        <v/>
      </c>
      <c r="AG13" s="177" t="str">
        <f>+AE13</f>
        <v/>
      </c>
      <c r="AH13" s="179" t="str">
        <f>IFERROR(IF(AI13="","",IF(AI13&lt;=0.2,"Leve",IF(AI13&lt;=0.4,"Menor",IF(AI13&lt;=0.6,"Moderado",IF(AI13&lt;=0.8,"Mayor","Catastrófico"))))),"")</f>
        <v/>
      </c>
      <c r="AI13" s="177" t="str">
        <f>IFERROR(IF(X13="Impacto",(T13-(+T13*AA13)),IF(X13="Probabilidad",T13,"")),"")</f>
        <v/>
      </c>
      <c r="AJ13" s="180" t="str">
        <f>IFERROR(IF(OR(AND(AF13="Muy Baja",AH13="Leve"),AND(AF13="Muy Baja",AH13="Menor"),AND(AF13="Baja",AH13="Leve")),"Bajo",IF(OR(AND(AF13="Muy baja",AH13="Moderado"),AND(AF13="Baja",AH13="Menor"),AND(AF13="Baja",AH13="Moderado"),AND(AF13="Media",AH13="Leve"),AND(AF13="Media",AH13="Menor"),AND(AF13="Media",AH13="Moderado"),AND(AF13="Alta",AH13="Leve"),AND(AF13="Alta",AH13="Menor")),"Moderado",IF(OR(AND(AF13="Muy Baja",AH13="Mayor"),AND(AF13="Baja",AH13="Mayor"),AND(AF13="Media",AH13="Mayor"),AND(AF13="Alta",AH13="Moderado"),AND(AF13="Alta",AH13="Mayor"),AND(AF13="Muy Alta",AH13="Leve"),AND(AF13="Muy Alta",AH13="Menor"),AND(AF13="Muy Alta",AH13="Moderado"),AND(AF13="Muy Alta",AH13="Mayor")),"Alto",IF(OR(AND(AF13="Muy Baja",AH13="Catastrófico"),AND(AF13="Baja",AH13="Catastrófico"),AND(AF13="Media",AH13="Catastrófico"),AND(AF13="Alta",AH13="Catastrófico"),AND(AF13="Muy Alta",AH13="Catastrófico")),"Extremo","")))),"")</f>
        <v/>
      </c>
      <c r="AK13" s="181"/>
      <c r="AL13" s="172"/>
      <c r="AM13" s="182"/>
      <c r="AN13" s="182"/>
      <c r="AO13" s="183"/>
      <c r="AP13" s="330"/>
      <c r="AQ13" s="330"/>
      <c r="AR13" s="330"/>
    </row>
    <row r="14" spans="1:272" x14ac:dyDescent="0.2">
      <c r="A14" s="329"/>
      <c r="B14" s="330"/>
      <c r="C14" s="330"/>
      <c r="D14" s="330"/>
      <c r="E14" s="331"/>
      <c r="F14" s="330"/>
      <c r="G14" s="320"/>
      <c r="H14" s="320"/>
      <c r="I14" s="320"/>
      <c r="J14" s="320"/>
      <c r="K14" s="320"/>
      <c r="L14" s="320"/>
      <c r="M14" s="320"/>
      <c r="N14" s="313"/>
      <c r="O14" s="312"/>
      <c r="P14" s="311"/>
      <c r="Q14" s="310"/>
      <c r="R14" s="311">
        <f>IF(NOT(ISERROR(MATCH(Q14,_xlfn.ANCHORARRAY(E25),0))),P27&amp;"Por favor no seleccionar los criterios de impacto",Q14)</f>
        <v>0</v>
      </c>
      <c r="S14" s="312"/>
      <c r="T14" s="311"/>
      <c r="U14" s="324"/>
      <c r="V14" s="200">
        <v>2</v>
      </c>
      <c r="W14" s="226"/>
      <c r="X14" s="175" t="str">
        <f t="shared" si="0"/>
        <v/>
      </c>
      <c r="Y14" s="176"/>
      <c r="Z14" s="176"/>
      <c r="AA14" s="177" t="str">
        <f t="shared" ref="AA14:AA18" si="1">IF(AND(Y14="Preventivo",Z14="Automático"),"50%",IF(AND(Y14="Preventivo",Z14="Manual"),"40%",IF(AND(Y14="Detectivo",Z14="Automático"),"40%",IF(AND(Y14="Detectivo",Z14="Manual"),"30%",IF(AND(Y14="Correctivo",Z14="Automático"),"35%",IF(AND(Y14="Correctivo",Z14="Manual"),"25%",""))))))</f>
        <v/>
      </c>
      <c r="AB14" s="176"/>
      <c r="AC14" s="176"/>
      <c r="AD14" s="176"/>
      <c r="AE14" s="178" t="str">
        <f>IFERROR(IF(AND(X13="Probabilidad",X14="Probabilidad"),(AG13-(+AG13*AA14)),IF(X14="Probabilidad",(P13-(+P13*AA14)),IF(X14="Impacto",AG13,""))),"")</f>
        <v/>
      </c>
      <c r="AF14" s="179" t="str">
        <f t="shared" ref="AF14:AF72" si="2">IFERROR(IF(AE14="","",IF(AE14&lt;=0.2,"Muy Baja",IF(AE14&lt;=0.4,"Baja",IF(AE14&lt;=0.6,"Media",IF(AE14&lt;=0.8,"Alta","Muy Alta"))))),"")</f>
        <v/>
      </c>
      <c r="AG14" s="177" t="str">
        <f t="shared" ref="AG14:AG18" si="3">+AE14</f>
        <v/>
      </c>
      <c r="AH14" s="179" t="str">
        <f t="shared" ref="AH14:AH72" si="4">IFERROR(IF(AI14="","",IF(AI14&lt;=0.2,"Leve",IF(AI14&lt;=0.4,"Menor",IF(AI14&lt;=0.6,"Moderado",IF(AI14&lt;=0.8,"Mayor","Catastrófico"))))),"")</f>
        <v/>
      </c>
      <c r="AI14" s="177" t="str">
        <f>IFERROR(IF(AND(X13="Impacto",X14="Impacto"),(AI13-(+AI13*AA14)),IF(X14="Impacto",($T$13-(+$T$13*AA14)),IF(X14="Probabilidad",AI13,""))),"")</f>
        <v/>
      </c>
      <c r="AJ14" s="180" t="str">
        <f t="shared" ref="AJ14:AJ18" si="5">IFERROR(IF(OR(AND(AF14="Muy Baja",AH14="Leve"),AND(AF14="Muy Baja",AH14="Menor"),AND(AF14="Baja",AH14="Leve")),"Bajo",IF(OR(AND(AF14="Muy baja",AH14="Moderado"),AND(AF14="Baja",AH14="Menor"),AND(AF14="Baja",AH14="Moderado"),AND(AF14="Media",AH14="Leve"),AND(AF14="Media",AH14="Menor"),AND(AF14="Media",AH14="Moderado"),AND(AF14="Alta",AH14="Leve"),AND(AF14="Alta",AH14="Menor")),"Moderado",IF(OR(AND(AF14="Muy Baja",AH14="Mayor"),AND(AF14="Baja",AH14="Mayor"),AND(AF14="Media",AH14="Mayor"),AND(AF14="Alta",AH14="Moderado"),AND(AF14="Alta",AH14="Mayor"),AND(AF14="Muy Alta",AH14="Leve"),AND(AF14="Muy Alta",AH14="Menor"),AND(AF14="Muy Alta",AH14="Moderado"),AND(AF14="Muy Alta",AH14="Mayor")),"Alto",IF(OR(AND(AF14="Muy Baja",AH14="Catastrófico"),AND(AF14="Baja",AH14="Catastrófico"),AND(AF14="Media",AH14="Catastrófico"),AND(AF14="Alta",AH14="Catastrófico"),AND(AF14="Muy Alta",AH14="Catastrófico")),"Extremo","")))),"")</f>
        <v/>
      </c>
      <c r="AK14" s="181"/>
      <c r="AL14" s="172"/>
      <c r="AM14" s="182"/>
      <c r="AN14" s="172"/>
      <c r="AO14" s="183"/>
      <c r="AP14" s="330"/>
      <c r="AQ14" s="330"/>
      <c r="AR14" s="330"/>
    </row>
    <row r="15" spans="1:272" x14ac:dyDescent="0.2">
      <c r="A15" s="329"/>
      <c r="B15" s="330"/>
      <c r="C15" s="330"/>
      <c r="D15" s="330"/>
      <c r="E15" s="331"/>
      <c r="F15" s="330"/>
      <c r="G15" s="320"/>
      <c r="H15" s="320"/>
      <c r="I15" s="320"/>
      <c r="J15" s="320"/>
      <c r="K15" s="320"/>
      <c r="L15" s="320"/>
      <c r="M15" s="320"/>
      <c r="N15" s="313"/>
      <c r="O15" s="312"/>
      <c r="P15" s="311"/>
      <c r="Q15" s="310"/>
      <c r="R15" s="311">
        <f>IF(NOT(ISERROR(MATCH(Q15,_xlfn.ANCHORARRAY(E26),0))),P28&amp;"Por favor no seleccionar los criterios de impacto",Q15)</f>
        <v>0</v>
      </c>
      <c r="S15" s="312"/>
      <c r="T15" s="311"/>
      <c r="U15" s="324"/>
      <c r="V15" s="200">
        <v>3</v>
      </c>
      <c r="W15" s="174"/>
      <c r="X15" s="175" t="str">
        <f t="shared" si="0"/>
        <v/>
      </c>
      <c r="Y15" s="176"/>
      <c r="Z15" s="176"/>
      <c r="AA15" s="177" t="str">
        <f t="shared" si="1"/>
        <v/>
      </c>
      <c r="AB15" s="176"/>
      <c r="AC15" s="176"/>
      <c r="AD15" s="176"/>
      <c r="AE15" s="178" t="str">
        <f>IFERROR(IF(AND(X14="Probabilidad",X15="Probabilidad"),(AG14-(+AG14*AA15)),IF(AND(X14="Impacto",X15="Probabilidad"),(AG13-(+AG13*AA15)),IF(X15="Impacto",AG14,""))),"")</f>
        <v/>
      </c>
      <c r="AF15" s="179" t="str">
        <f t="shared" si="2"/>
        <v/>
      </c>
      <c r="AG15" s="177" t="str">
        <f t="shared" si="3"/>
        <v/>
      </c>
      <c r="AH15" s="179" t="str">
        <f t="shared" si="4"/>
        <v/>
      </c>
      <c r="AI15" s="177" t="str">
        <f>IFERROR(IF(AND(X14="Impacto",X15="Impacto"),(AI14-(+AI14*AA15)),IF(AND(X14="Probabilidad",X15="Impacto"),(AI13-(+AI13*AA15)),IF(X15="Probabilidad",AI14,""))),"")</f>
        <v/>
      </c>
      <c r="AJ15" s="180" t="str">
        <f t="shared" si="5"/>
        <v/>
      </c>
      <c r="AK15" s="181"/>
      <c r="AL15" s="172"/>
      <c r="AM15" s="182"/>
      <c r="AN15" s="182"/>
      <c r="AO15" s="183"/>
      <c r="AP15" s="330"/>
      <c r="AQ15" s="330"/>
      <c r="AR15" s="330"/>
    </row>
    <row r="16" spans="1:272" x14ac:dyDescent="0.2">
      <c r="A16" s="329"/>
      <c r="B16" s="330"/>
      <c r="C16" s="330"/>
      <c r="D16" s="330"/>
      <c r="E16" s="331"/>
      <c r="F16" s="330"/>
      <c r="G16" s="320"/>
      <c r="H16" s="320"/>
      <c r="I16" s="320"/>
      <c r="J16" s="320"/>
      <c r="K16" s="320"/>
      <c r="L16" s="320"/>
      <c r="M16" s="320"/>
      <c r="N16" s="313"/>
      <c r="O16" s="312"/>
      <c r="P16" s="311"/>
      <c r="Q16" s="310"/>
      <c r="R16" s="311">
        <f>IF(NOT(ISERROR(MATCH(Q16,_xlfn.ANCHORARRAY(E27),0))),P29&amp;"Por favor no seleccionar los criterios de impacto",Q16)</f>
        <v>0</v>
      </c>
      <c r="S16" s="312"/>
      <c r="T16" s="311"/>
      <c r="U16" s="324"/>
      <c r="V16" s="200">
        <v>4</v>
      </c>
      <c r="W16" s="173"/>
      <c r="X16" s="175" t="str">
        <f t="shared" si="0"/>
        <v/>
      </c>
      <c r="Y16" s="176"/>
      <c r="Z16" s="176"/>
      <c r="AA16" s="177" t="str">
        <f t="shared" si="1"/>
        <v/>
      </c>
      <c r="AB16" s="176"/>
      <c r="AC16" s="176"/>
      <c r="AD16" s="176"/>
      <c r="AE16" s="178" t="str">
        <f t="shared" ref="AE16:AE18" si="6">IFERROR(IF(AND(X15="Probabilidad",X16="Probabilidad"),(AG15-(+AG15*AA16)),IF(AND(X15="Impacto",X16="Probabilidad"),(AG14-(+AG14*AA16)),IF(X16="Impacto",AG15,""))),"")</f>
        <v/>
      </c>
      <c r="AF16" s="179" t="str">
        <f t="shared" si="2"/>
        <v/>
      </c>
      <c r="AG16" s="177" t="str">
        <f t="shared" si="3"/>
        <v/>
      </c>
      <c r="AH16" s="179" t="str">
        <f t="shared" si="4"/>
        <v/>
      </c>
      <c r="AI16" s="177" t="str">
        <f t="shared" ref="AI16:AI18" si="7">IFERROR(IF(AND(X15="Impacto",X16="Impacto"),(AI15-(+AI15*AA16)),IF(AND(X15="Probabilidad",X16="Impacto"),(AI14-(+AI14*AA16)),IF(X16="Probabilidad",AI15,""))),"")</f>
        <v/>
      </c>
      <c r="AJ16" s="180" t="str">
        <f>IFERROR(IF(OR(AND(AF16="Muy Baja",AH16="Leve"),AND(AF16="Muy Baja",AH16="Menor"),AND(AF16="Baja",AH16="Leve")),"Bajo",IF(OR(AND(AF16="Muy baja",AH16="Moderado"),AND(AF16="Baja",AH16="Menor"),AND(AF16="Baja",AH16="Moderado"),AND(AF16="Media",AH16="Leve"),AND(AF16="Media",AH16="Menor"),AND(AF16="Media",AH16="Moderado"),AND(AF16="Alta",AH16="Leve"),AND(AF16="Alta",AH16="Menor")),"Moderado",IF(OR(AND(AF16="Muy Baja",AH16="Mayor"),AND(AF16="Baja",AH16="Mayor"),AND(AF16="Media",AH16="Mayor"),AND(AF16="Alta",AH16="Moderado"),AND(AF16="Alta",AH16="Mayor"),AND(AF16="Muy Alta",AH16="Leve"),AND(AF16="Muy Alta",AH16="Menor"),AND(AF16="Muy Alta",AH16="Moderado"),AND(AF16="Muy Alta",AH16="Mayor")),"Alto",IF(OR(AND(AF16="Muy Baja",AH16="Catastrófico"),AND(AF16="Baja",AH16="Catastrófico"),AND(AF16="Media",AH16="Catastrófico"),AND(AF16="Alta",AH16="Catastrófico"),AND(AF16="Muy Alta",AH16="Catastrófico")),"Extremo","")))),"")</f>
        <v/>
      </c>
      <c r="AK16" s="181"/>
      <c r="AL16" s="172"/>
      <c r="AM16" s="182"/>
      <c r="AN16" s="182"/>
      <c r="AO16" s="183"/>
      <c r="AP16" s="330"/>
      <c r="AQ16" s="330"/>
      <c r="AR16" s="330"/>
    </row>
    <row r="17" spans="1:44" x14ac:dyDescent="0.2">
      <c r="A17" s="329"/>
      <c r="B17" s="330"/>
      <c r="C17" s="330"/>
      <c r="D17" s="330"/>
      <c r="E17" s="331"/>
      <c r="F17" s="330"/>
      <c r="G17" s="320"/>
      <c r="H17" s="320"/>
      <c r="I17" s="320"/>
      <c r="J17" s="320"/>
      <c r="K17" s="320"/>
      <c r="L17" s="320"/>
      <c r="M17" s="320"/>
      <c r="N17" s="313"/>
      <c r="O17" s="312"/>
      <c r="P17" s="311"/>
      <c r="Q17" s="310"/>
      <c r="R17" s="311">
        <f>IF(NOT(ISERROR(MATCH(Q17,_xlfn.ANCHORARRAY(E28),0))),P30&amp;"Por favor no seleccionar los criterios de impacto",Q17)</f>
        <v>0</v>
      </c>
      <c r="S17" s="312"/>
      <c r="T17" s="311"/>
      <c r="U17" s="324"/>
      <c r="V17" s="200">
        <v>5</v>
      </c>
      <c r="W17" s="173"/>
      <c r="X17" s="175" t="str">
        <f t="shared" si="0"/>
        <v/>
      </c>
      <c r="Y17" s="176"/>
      <c r="Z17" s="176"/>
      <c r="AA17" s="177" t="str">
        <f t="shared" si="1"/>
        <v/>
      </c>
      <c r="AB17" s="176"/>
      <c r="AC17" s="176"/>
      <c r="AD17" s="176"/>
      <c r="AE17" s="178" t="str">
        <f t="shared" si="6"/>
        <v/>
      </c>
      <c r="AF17" s="179" t="str">
        <f t="shared" si="2"/>
        <v/>
      </c>
      <c r="AG17" s="177" t="str">
        <f t="shared" si="3"/>
        <v/>
      </c>
      <c r="AH17" s="179" t="str">
        <f t="shared" si="4"/>
        <v/>
      </c>
      <c r="AI17" s="177" t="str">
        <f t="shared" si="7"/>
        <v/>
      </c>
      <c r="AJ17" s="180" t="str">
        <f t="shared" si="5"/>
        <v/>
      </c>
      <c r="AK17" s="181"/>
      <c r="AL17" s="172"/>
      <c r="AM17" s="182"/>
      <c r="AN17" s="182"/>
      <c r="AO17" s="183"/>
      <c r="AP17" s="330"/>
      <c r="AQ17" s="330"/>
      <c r="AR17" s="330"/>
    </row>
    <row r="18" spans="1:44" ht="37.5" customHeight="1" x14ac:dyDescent="0.2">
      <c r="A18" s="329"/>
      <c r="B18" s="330"/>
      <c r="C18" s="330"/>
      <c r="D18" s="330"/>
      <c r="E18" s="331"/>
      <c r="F18" s="330"/>
      <c r="G18" s="321"/>
      <c r="H18" s="321"/>
      <c r="I18" s="321"/>
      <c r="J18" s="321"/>
      <c r="K18" s="321"/>
      <c r="L18" s="321"/>
      <c r="M18" s="321"/>
      <c r="N18" s="313"/>
      <c r="O18" s="312"/>
      <c r="P18" s="311"/>
      <c r="Q18" s="310"/>
      <c r="R18" s="311">
        <f>IF(NOT(ISERROR(MATCH(Q18,_xlfn.ANCHORARRAY(E29),0))),P31&amp;"Por favor no seleccionar los criterios de impacto",Q18)</f>
        <v>0</v>
      </c>
      <c r="S18" s="312"/>
      <c r="T18" s="311"/>
      <c r="U18" s="324"/>
      <c r="V18" s="200">
        <v>6</v>
      </c>
      <c r="W18" s="173"/>
      <c r="X18" s="175" t="str">
        <f t="shared" si="0"/>
        <v/>
      </c>
      <c r="Y18" s="176"/>
      <c r="Z18" s="176"/>
      <c r="AA18" s="177" t="str">
        <f t="shared" si="1"/>
        <v/>
      </c>
      <c r="AB18" s="176"/>
      <c r="AC18" s="176"/>
      <c r="AD18" s="176"/>
      <c r="AE18" s="178" t="str">
        <f t="shared" si="6"/>
        <v/>
      </c>
      <c r="AF18" s="179" t="str">
        <f t="shared" si="2"/>
        <v/>
      </c>
      <c r="AG18" s="177" t="str">
        <f t="shared" si="3"/>
        <v/>
      </c>
      <c r="AH18" s="179" t="str">
        <f t="shared" si="4"/>
        <v/>
      </c>
      <c r="AI18" s="177" t="str">
        <f t="shared" si="7"/>
        <v/>
      </c>
      <c r="AJ18" s="180" t="str">
        <f t="shared" si="5"/>
        <v/>
      </c>
      <c r="AK18" s="181"/>
      <c r="AL18" s="172"/>
      <c r="AM18" s="182"/>
      <c r="AN18" s="182"/>
      <c r="AO18" s="183"/>
      <c r="AP18" s="330"/>
      <c r="AQ18" s="330"/>
      <c r="AR18" s="330"/>
    </row>
    <row r="19" spans="1:44" ht="37.5" customHeight="1" x14ac:dyDescent="0.2">
      <c r="A19" s="329">
        <v>2</v>
      </c>
      <c r="B19" s="330"/>
      <c r="C19" s="330"/>
      <c r="D19" s="330"/>
      <c r="E19" s="331"/>
      <c r="F19" s="330"/>
      <c r="G19" s="319"/>
      <c r="H19" s="319"/>
      <c r="I19" s="319"/>
      <c r="J19" s="319"/>
      <c r="K19" s="319"/>
      <c r="L19" s="319"/>
      <c r="M19" s="319"/>
      <c r="N19" s="313"/>
      <c r="O19" s="312" t="str">
        <f>IF(N19&lt;=0,"",IF(N19&lt;=2,"Muy Baja",IF(N19&lt;=24,"Baja",IF(N19&lt;=500,"Media",IF(N19&lt;=5000,"Alta","Muy Alta")))))</f>
        <v/>
      </c>
      <c r="P19" s="311" t="str">
        <f>IF(O19="","",IF(O19="Muy Baja",0.2,IF(O19="Baja",0.4,IF(O19="Media",0.6,IF(O19="Alta",0.8,IF(O19="Muy Alta",1,))))))</f>
        <v/>
      </c>
      <c r="Q19" s="310"/>
      <c r="R19" s="311">
        <f>IF(NOT(ISERROR(MATCH(Q19,'Tabla Impacto'!$B$222:$B$224,0))),'Tabla Impacto'!$F$224&amp;"Por favor no seleccionar los criterios de impacto(Afectación Económica o presupuestal y Pérdida Reputacional)",Q19)</f>
        <v>0</v>
      </c>
      <c r="S19" s="312" t="str">
        <f>IF(OR(R19='Tabla Impacto'!$C$12,R19='Tabla Impacto'!$D$12),"Leve",IF(OR(R19='Tabla Impacto'!$C$13,R19='Tabla Impacto'!$D$13),"Menor",IF(OR(R19='Tabla Impacto'!$C$14,R19='Tabla Impacto'!$D$14),"Moderado",IF(OR(R19='Tabla Impacto'!$C$15,R19='Tabla Impacto'!$D$15),"Mayor",IF(OR(R19='Tabla Impacto'!$C$16,R19='Tabla Impacto'!$D$16),"Catastrófico","")))))</f>
        <v/>
      </c>
      <c r="T19" s="311" t="str">
        <f>IF(S19="","",IF(S19="Leve",0.2,IF(S19="Menor",0.4,IF(S19="Moderado",0.6,IF(S19="Mayor",0.8,IF(S19="Catastrófico",1,))))))</f>
        <v/>
      </c>
      <c r="U19" s="324"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200">
        <v>1</v>
      </c>
      <c r="W19" s="173"/>
      <c r="X19" s="175" t="str">
        <f>IF(OR(Y19="Preventivo",Y19="Detectivo"),"Probabilidad",IF(Y19="Correctivo","Impacto",""))</f>
        <v/>
      </c>
      <c r="Y19" s="176"/>
      <c r="Z19" s="176"/>
      <c r="AA19" s="177" t="str">
        <f>IF(AND(Y19="Preventivo",Z19="Automático"),"50%",IF(AND(Y19="Preventivo",Z19="Manual"),"40%",IF(AND(Y19="Detectivo",Z19="Automático"),"40%",IF(AND(Y19="Detectivo",Z19="Manual"),"30%",IF(AND(Y19="Correctivo",Z19="Automático"),"35%",IF(AND(Y19="Correctivo",Z19="Manual"),"25%",""))))))</f>
        <v/>
      </c>
      <c r="AB19" s="176"/>
      <c r="AC19" s="176"/>
      <c r="AD19" s="176"/>
      <c r="AE19" s="178" t="str">
        <f>IFERROR(IF(X19="Probabilidad",(P19-(+P19*AA19)),IF(X19="Impacto",P19,"")),"")</f>
        <v/>
      </c>
      <c r="AF19" s="179" t="str">
        <f>IFERROR(IF(AE19="","",IF(AE19&lt;=0.2,"Muy Baja",IF(AE19&lt;=0.4,"Baja",IF(AE19&lt;=0.6,"Media",IF(AE19&lt;=0.8,"Alta","Muy Alta"))))),"")</f>
        <v/>
      </c>
      <c r="AG19" s="177" t="str">
        <f>+AE19</f>
        <v/>
      </c>
      <c r="AH19" s="179" t="str">
        <f>IFERROR(IF(AI19="","",IF(AI19&lt;=0.2,"Leve",IF(AI19&lt;=0.4,"Menor",IF(AI19&lt;=0.6,"Moderado",IF(AI19&lt;=0.8,"Mayor","Catastrófico"))))),"")</f>
        <v/>
      </c>
      <c r="AI19" s="177" t="str">
        <f t="shared" ref="AI19" si="8">IFERROR(IF(X19="Impacto",(T19-(+T19*AA19)),IF(X19="Probabilidad",T19,"")),"")</f>
        <v/>
      </c>
      <c r="AJ19" s="180" t="str">
        <f>IFERROR(IF(OR(AND(AF19="Muy Baja",AH19="Leve"),AND(AF19="Muy Baja",AH19="Menor"),AND(AF19="Baja",AH19="Leve")),"Bajo",IF(OR(AND(AF19="Muy baja",AH19="Moderado"),AND(AF19="Baja",AH19="Menor"),AND(AF19="Baja",AH19="Moderado"),AND(AF19="Media",AH19="Leve"),AND(AF19="Media",AH19="Menor"),AND(AF19="Media",AH19="Moderado"),AND(AF19="Alta",AH19="Leve"),AND(AF19="Alta",AH19="Menor")),"Moderado",IF(OR(AND(AF19="Muy Baja",AH19="Mayor"),AND(AF19="Baja",AH19="Mayor"),AND(AF19="Media",AH19="Mayor"),AND(AF19="Alta",AH19="Moderado"),AND(AF19="Alta",AH19="Mayor"),AND(AF19="Muy Alta",AH19="Leve"),AND(AF19="Muy Alta",AH19="Menor"),AND(AF19="Muy Alta",AH19="Moderado"),AND(AF19="Muy Alta",AH19="Mayor")),"Alto",IF(OR(AND(AF19="Muy Baja",AH19="Catastrófico"),AND(AF19="Baja",AH19="Catastrófico"),AND(AF19="Media",AH19="Catastrófico"),AND(AF19="Alta",AH19="Catastrófico"),AND(AF19="Muy Alta",AH19="Catastrófico")),"Extremo","")))),"")</f>
        <v/>
      </c>
      <c r="AK19" s="181"/>
      <c r="AL19" s="172"/>
      <c r="AM19" s="182"/>
      <c r="AN19" s="182"/>
      <c r="AO19" s="183"/>
      <c r="AP19" s="313"/>
      <c r="AQ19" s="313"/>
      <c r="AR19" s="313"/>
    </row>
    <row r="20" spans="1:44" ht="37.5" customHeight="1" x14ac:dyDescent="0.2">
      <c r="A20" s="329"/>
      <c r="B20" s="330"/>
      <c r="C20" s="330"/>
      <c r="D20" s="330"/>
      <c r="E20" s="331"/>
      <c r="F20" s="330"/>
      <c r="G20" s="320"/>
      <c r="H20" s="320"/>
      <c r="I20" s="320"/>
      <c r="J20" s="320"/>
      <c r="K20" s="320"/>
      <c r="L20" s="320"/>
      <c r="M20" s="320"/>
      <c r="N20" s="313"/>
      <c r="O20" s="312"/>
      <c r="P20" s="311"/>
      <c r="Q20" s="310"/>
      <c r="R20" s="311">
        <f>IF(NOT(ISERROR(MATCH(Q20,_xlfn.ANCHORARRAY(E31),0))),P33&amp;"Por favor no seleccionar los criterios de impacto",Q20)</f>
        <v>0</v>
      </c>
      <c r="S20" s="312"/>
      <c r="T20" s="311"/>
      <c r="U20" s="324"/>
      <c r="V20" s="200">
        <v>2</v>
      </c>
      <c r="W20" s="173"/>
      <c r="X20" s="175" t="str">
        <f>IF(OR(Y20="Preventivo",Y20="Detectivo"),"Probabilidad",IF(Y20="Correctivo","Impacto",""))</f>
        <v/>
      </c>
      <c r="Y20" s="176"/>
      <c r="Z20" s="176"/>
      <c r="AA20" s="177" t="str">
        <f t="shared" ref="AA20:AA24" si="9">IF(AND(Y20="Preventivo",Z20="Automático"),"50%",IF(AND(Y20="Preventivo",Z20="Manual"),"40%",IF(AND(Y20="Detectivo",Z20="Automático"),"40%",IF(AND(Y20="Detectivo",Z20="Manual"),"30%",IF(AND(Y20="Correctivo",Z20="Automático"),"35%",IF(AND(Y20="Correctivo",Z20="Manual"),"25%",""))))))</f>
        <v/>
      </c>
      <c r="AB20" s="176"/>
      <c r="AC20" s="176"/>
      <c r="AD20" s="176"/>
      <c r="AE20" s="178" t="str">
        <f>IFERROR(IF(AND(X19="Probabilidad",X20="Probabilidad"),(AG19-(+AG19*AA20)),IF(X20="Probabilidad",(P19-(+P19*AA20)),IF(X20="Impacto",AG19,""))),"")</f>
        <v/>
      </c>
      <c r="AF20" s="179" t="str">
        <f t="shared" si="2"/>
        <v/>
      </c>
      <c r="AG20" s="177" t="str">
        <f t="shared" ref="AG20:AG24" si="10">+AE20</f>
        <v/>
      </c>
      <c r="AH20" s="179" t="str">
        <f t="shared" si="4"/>
        <v/>
      </c>
      <c r="AI20" s="177" t="str">
        <f t="shared" ref="AI20" si="11">IFERROR(IF(AND(X19="Impacto",X20="Impacto"),(AI19-(+AI19*AA20)),IF(X20="Impacto",($T$13-(+$T$13*AA20)),IF(X20="Probabilidad",AI19,""))),"")</f>
        <v/>
      </c>
      <c r="AJ20" s="180" t="str">
        <f t="shared" ref="AJ20:AJ21" si="12">IFERROR(IF(OR(AND(AF20="Muy Baja",AH20="Leve"),AND(AF20="Muy Baja",AH20="Menor"),AND(AF20="Baja",AH20="Leve")),"Bajo",IF(OR(AND(AF20="Muy baja",AH20="Moderado"),AND(AF20="Baja",AH20="Menor"),AND(AF20="Baja",AH20="Moderado"),AND(AF20="Media",AH20="Leve"),AND(AF20="Media",AH20="Menor"),AND(AF20="Media",AH20="Moderado"),AND(AF20="Alta",AH20="Leve"),AND(AF20="Alta",AH20="Menor")),"Moderado",IF(OR(AND(AF20="Muy Baja",AH20="Mayor"),AND(AF20="Baja",AH20="Mayor"),AND(AF20="Media",AH20="Mayor"),AND(AF20="Alta",AH20="Moderado"),AND(AF20="Alta",AH20="Mayor"),AND(AF20="Muy Alta",AH20="Leve"),AND(AF20="Muy Alta",AH20="Menor"),AND(AF20="Muy Alta",AH20="Moderado"),AND(AF20="Muy Alta",AH20="Mayor")),"Alto",IF(OR(AND(AF20="Muy Baja",AH20="Catastrófico"),AND(AF20="Baja",AH20="Catastrófico"),AND(AF20="Media",AH20="Catastrófico"),AND(AF20="Alta",AH20="Catastrófico"),AND(AF20="Muy Alta",AH20="Catastrófico")),"Extremo","")))),"")</f>
        <v/>
      </c>
      <c r="AK20" s="181"/>
      <c r="AL20" s="172"/>
      <c r="AM20" s="182"/>
      <c r="AN20" s="172"/>
      <c r="AO20" s="183"/>
      <c r="AP20" s="313"/>
      <c r="AQ20" s="313"/>
      <c r="AR20" s="313"/>
    </row>
    <row r="21" spans="1:44" ht="37.5" customHeight="1" x14ac:dyDescent="0.2">
      <c r="A21" s="329"/>
      <c r="B21" s="330"/>
      <c r="C21" s="330"/>
      <c r="D21" s="330"/>
      <c r="E21" s="331"/>
      <c r="F21" s="330"/>
      <c r="G21" s="320"/>
      <c r="H21" s="320"/>
      <c r="I21" s="320"/>
      <c r="J21" s="320"/>
      <c r="K21" s="320"/>
      <c r="L21" s="320"/>
      <c r="M21" s="320"/>
      <c r="N21" s="313"/>
      <c r="O21" s="312"/>
      <c r="P21" s="311"/>
      <c r="Q21" s="310"/>
      <c r="R21" s="311">
        <f>IF(NOT(ISERROR(MATCH(Q21,_xlfn.ANCHORARRAY(E32),0))),P34&amp;"Por favor no seleccionar los criterios de impacto",Q21)</f>
        <v>0</v>
      </c>
      <c r="S21" s="312"/>
      <c r="T21" s="311"/>
      <c r="U21" s="324"/>
      <c r="V21" s="200">
        <v>3</v>
      </c>
      <c r="W21" s="174"/>
      <c r="X21" s="175" t="str">
        <f>IF(OR(Y21="Preventivo",Y21="Detectivo"),"Probabilidad",IF(Y21="Correctivo","Impacto",""))</f>
        <v/>
      </c>
      <c r="Y21" s="176"/>
      <c r="Z21" s="176"/>
      <c r="AA21" s="177" t="str">
        <f t="shared" si="9"/>
        <v/>
      </c>
      <c r="AB21" s="176"/>
      <c r="AC21" s="176"/>
      <c r="AD21" s="176"/>
      <c r="AE21" s="178" t="str">
        <f>IFERROR(IF(AND(X20="Probabilidad",X21="Probabilidad"),(AG20-(+AG20*AA21)),IF(AND(X20="Impacto",X21="Probabilidad"),(AG19-(+AG19*AA21)),IF(X21="Impacto",AG20,""))),"")</f>
        <v/>
      </c>
      <c r="AF21" s="179" t="str">
        <f t="shared" si="2"/>
        <v/>
      </c>
      <c r="AG21" s="177" t="str">
        <f t="shared" si="10"/>
        <v/>
      </c>
      <c r="AH21" s="179" t="str">
        <f t="shared" si="4"/>
        <v/>
      </c>
      <c r="AI21" s="177" t="str">
        <f t="shared" ref="AI21:AI72" si="13">IFERROR(IF(AND(X20="Impacto",X21="Impacto"),(AI20-(+AI20*AA21)),IF(AND(X20="Probabilidad",X21="Impacto"),(AI19-(+AI19*AA21)),IF(X21="Probabilidad",AI20,""))),"")</f>
        <v/>
      </c>
      <c r="AJ21" s="180" t="str">
        <f t="shared" si="12"/>
        <v/>
      </c>
      <c r="AK21" s="181"/>
      <c r="AL21" s="172"/>
      <c r="AM21" s="182"/>
      <c r="AN21" s="182"/>
      <c r="AO21" s="183"/>
      <c r="AP21" s="313"/>
      <c r="AQ21" s="313"/>
      <c r="AR21" s="313"/>
    </row>
    <row r="22" spans="1:44" ht="37.5" customHeight="1" x14ac:dyDescent="0.2">
      <c r="A22" s="329"/>
      <c r="B22" s="330"/>
      <c r="C22" s="330"/>
      <c r="D22" s="330"/>
      <c r="E22" s="331"/>
      <c r="F22" s="330"/>
      <c r="G22" s="320"/>
      <c r="H22" s="320"/>
      <c r="I22" s="320"/>
      <c r="J22" s="320"/>
      <c r="K22" s="320"/>
      <c r="L22" s="320"/>
      <c r="M22" s="320"/>
      <c r="N22" s="313"/>
      <c r="O22" s="312"/>
      <c r="P22" s="311"/>
      <c r="Q22" s="310"/>
      <c r="R22" s="311">
        <f>IF(NOT(ISERROR(MATCH(Q22,_xlfn.ANCHORARRAY(E33),0))),P35&amp;"Por favor no seleccionar los criterios de impacto",Q22)</f>
        <v>0</v>
      </c>
      <c r="S22" s="312"/>
      <c r="T22" s="311"/>
      <c r="U22" s="324"/>
      <c r="V22" s="200">
        <v>4</v>
      </c>
      <c r="W22" s="173"/>
      <c r="X22" s="175" t="str">
        <f t="shared" ref="X22:X24" si="14">IF(OR(Y22="Preventivo",Y22="Detectivo"),"Probabilidad",IF(Y22="Correctivo","Impacto",""))</f>
        <v/>
      </c>
      <c r="Y22" s="176"/>
      <c r="Z22" s="176"/>
      <c r="AA22" s="177" t="str">
        <f t="shared" si="9"/>
        <v/>
      </c>
      <c r="AB22" s="176"/>
      <c r="AC22" s="176"/>
      <c r="AD22" s="176"/>
      <c r="AE22" s="178" t="str">
        <f t="shared" ref="AE22:AE24" si="15">IFERROR(IF(AND(X21="Probabilidad",X22="Probabilidad"),(AG21-(+AG21*AA22)),IF(AND(X21="Impacto",X22="Probabilidad"),(AG20-(+AG20*AA22)),IF(X22="Impacto",AG21,""))),"")</f>
        <v/>
      </c>
      <c r="AF22" s="179" t="str">
        <f t="shared" si="2"/>
        <v/>
      </c>
      <c r="AG22" s="177" t="str">
        <f t="shared" si="10"/>
        <v/>
      </c>
      <c r="AH22" s="179" t="str">
        <f t="shared" si="4"/>
        <v/>
      </c>
      <c r="AI22" s="177" t="str">
        <f t="shared" si="13"/>
        <v/>
      </c>
      <c r="AJ22" s="180" t="str">
        <f>IFERROR(IF(OR(AND(AF22="Muy Baja",AH22="Leve"),AND(AF22="Muy Baja",AH22="Menor"),AND(AF22="Baja",AH22="Leve")),"Bajo",IF(OR(AND(AF22="Muy baja",AH22="Moderado"),AND(AF22="Baja",AH22="Menor"),AND(AF22="Baja",AH22="Moderado"),AND(AF22="Media",AH22="Leve"),AND(AF22="Media",AH22="Menor"),AND(AF22="Media",AH22="Moderado"),AND(AF22="Alta",AH22="Leve"),AND(AF22="Alta",AH22="Menor")),"Moderado",IF(OR(AND(AF22="Muy Baja",AH22="Mayor"),AND(AF22="Baja",AH22="Mayor"),AND(AF22="Media",AH22="Mayor"),AND(AF22="Alta",AH22="Moderado"),AND(AF22="Alta",AH22="Mayor"),AND(AF22="Muy Alta",AH22="Leve"),AND(AF22="Muy Alta",AH22="Menor"),AND(AF22="Muy Alta",AH22="Moderado"),AND(AF22="Muy Alta",AH22="Mayor")),"Alto",IF(OR(AND(AF22="Muy Baja",AH22="Catastrófico"),AND(AF22="Baja",AH22="Catastrófico"),AND(AF22="Media",AH22="Catastrófico"),AND(AF22="Alta",AH22="Catastrófico"),AND(AF22="Muy Alta",AH22="Catastrófico")),"Extremo","")))),"")</f>
        <v/>
      </c>
      <c r="AK22" s="181"/>
      <c r="AL22" s="172"/>
      <c r="AM22" s="182"/>
      <c r="AN22" s="182"/>
      <c r="AO22" s="183"/>
      <c r="AP22" s="313"/>
      <c r="AQ22" s="313"/>
      <c r="AR22" s="313"/>
    </row>
    <row r="23" spans="1:44" ht="37.5" customHeight="1" x14ac:dyDescent="0.2">
      <c r="A23" s="329"/>
      <c r="B23" s="330"/>
      <c r="C23" s="330"/>
      <c r="D23" s="330"/>
      <c r="E23" s="331"/>
      <c r="F23" s="330"/>
      <c r="G23" s="320"/>
      <c r="H23" s="320"/>
      <c r="I23" s="320"/>
      <c r="J23" s="320"/>
      <c r="K23" s="320"/>
      <c r="L23" s="320"/>
      <c r="M23" s="320"/>
      <c r="N23" s="313"/>
      <c r="O23" s="312"/>
      <c r="P23" s="311"/>
      <c r="Q23" s="310"/>
      <c r="R23" s="311">
        <f>IF(NOT(ISERROR(MATCH(Q23,_xlfn.ANCHORARRAY(E34),0))),P36&amp;"Por favor no seleccionar los criterios de impacto",Q23)</f>
        <v>0</v>
      </c>
      <c r="S23" s="312"/>
      <c r="T23" s="311"/>
      <c r="U23" s="324"/>
      <c r="V23" s="200">
        <v>5</v>
      </c>
      <c r="W23" s="173"/>
      <c r="X23" s="175" t="str">
        <f t="shared" si="14"/>
        <v/>
      </c>
      <c r="Y23" s="176"/>
      <c r="Z23" s="176"/>
      <c r="AA23" s="177" t="str">
        <f t="shared" si="9"/>
        <v/>
      </c>
      <c r="AB23" s="176"/>
      <c r="AC23" s="176"/>
      <c r="AD23" s="176"/>
      <c r="AE23" s="178" t="str">
        <f t="shared" si="15"/>
        <v/>
      </c>
      <c r="AF23" s="179" t="str">
        <f t="shared" si="2"/>
        <v/>
      </c>
      <c r="AG23" s="177" t="str">
        <f t="shared" si="10"/>
        <v/>
      </c>
      <c r="AH23" s="179" t="str">
        <f t="shared" si="4"/>
        <v/>
      </c>
      <c r="AI23" s="177" t="str">
        <f t="shared" si="13"/>
        <v/>
      </c>
      <c r="AJ23" s="180" t="str">
        <f t="shared" ref="AJ23:AJ24" si="16">IFERROR(IF(OR(AND(AF23="Muy Baja",AH23="Leve"),AND(AF23="Muy Baja",AH23="Menor"),AND(AF23="Baja",AH23="Leve")),"Bajo",IF(OR(AND(AF23="Muy baja",AH23="Moderado"),AND(AF23="Baja",AH23="Menor"),AND(AF23="Baja",AH23="Moderado"),AND(AF23="Media",AH23="Leve"),AND(AF23="Media",AH23="Menor"),AND(AF23="Media",AH23="Moderado"),AND(AF23="Alta",AH23="Leve"),AND(AF23="Alta",AH23="Menor")),"Moderado",IF(OR(AND(AF23="Muy Baja",AH23="Mayor"),AND(AF23="Baja",AH23="Mayor"),AND(AF23="Media",AH23="Mayor"),AND(AF23="Alta",AH23="Moderado"),AND(AF23="Alta",AH23="Mayor"),AND(AF23="Muy Alta",AH23="Leve"),AND(AF23="Muy Alta",AH23="Menor"),AND(AF23="Muy Alta",AH23="Moderado"),AND(AF23="Muy Alta",AH23="Mayor")),"Alto",IF(OR(AND(AF23="Muy Baja",AH23="Catastrófico"),AND(AF23="Baja",AH23="Catastrófico"),AND(AF23="Media",AH23="Catastrófico"),AND(AF23="Alta",AH23="Catastrófico"),AND(AF23="Muy Alta",AH23="Catastrófico")),"Extremo","")))),"")</f>
        <v/>
      </c>
      <c r="AK23" s="181"/>
      <c r="AL23" s="172"/>
      <c r="AM23" s="182"/>
      <c r="AN23" s="182"/>
      <c r="AO23" s="183"/>
      <c r="AP23" s="313"/>
      <c r="AQ23" s="313"/>
      <c r="AR23" s="313"/>
    </row>
    <row r="24" spans="1:44" ht="37.5" customHeight="1" x14ac:dyDescent="0.2">
      <c r="A24" s="329"/>
      <c r="B24" s="330"/>
      <c r="C24" s="330"/>
      <c r="D24" s="330"/>
      <c r="E24" s="331"/>
      <c r="F24" s="330"/>
      <c r="G24" s="321"/>
      <c r="H24" s="321"/>
      <c r="I24" s="321"/>
      <c r="J24" s="321"/>
      <c r="K24" s="321"/>
      <c r="L24" s="321"/>
      <c r="M24" s="321"/>
      <c r="N24" s="313"/>
      <c r="O24" s="312"/>
      <c r="P24" s="311"/>
      <c r="Q24" s="310"/>
      <c r="R24" s="311">
        <f>IF(NOT(ISERROR(MATCH(Q24,_xlfn.ANCHORARRAY(E35),0))),P37&amp;"Por favor no seleccionar los criterios de impacto",Q24)</f>
        <v>0</v>
      </c>
      <c r="S24" s="312"/>
      <c r="T24" s="311"/>
      <c r="U24" s="324"/>
      <c r="V24" s="200">
        <v>6</v>
      </c>
      <c r="W24" s="173"/>
      <c r="X24" s="175" t="str">
        <f t="shared" si="14"/>
        <v/>
      </c>
      <c r="Y24" s="176"/>
      <c r="Z24" s="176"/>
      <c r="AA24" s="177" t="str">
        <f t="shared" si="9"/>
        <v/>
      </c>
      <c r="AB24" s="176"/>
      <c r="AC24" s="176"/>
      <c r="AD24" s="176"/>
      <c r="AE24" s="178" t="str">
        <f t="shared" si="15"/>
        <v/>
      </c>
      <c r="AF24" s="179" t="str">
        <f t="shared" si="2"/>
        <v/>
      </c>
      <c r="AG24" s="177" t="str">
        <f t="shared" si="10"/>
        <v/>
      </c>
      <c r="AH24" s="179" t="str">
        <f t="shared" si="4"/>
        <v/>
      </c>
      <c r="AI24" s="177" t="str">
        <f t="shared" si="13"/>
        <v/>
      </c>
      <c r="AJ24" s="180" t="str">
        <f t="shared" si="16"/>
        <v/>
      </c>
      <c r="AK24" s="181"/>
      <c r="AL24" s="172"/>
      <c r="AM24" s="182"/>
      <c r="AN24" s="182"/>
      <c r="AO24" s="183"/>
      <c r="AP24" s="313"/>
      <c r="AQ24" s="313"/>
      <c r="AR24" s="313"/>
    </row>
    <row r="25" spans="1:44" ht="37.5" customHeight="1" x14ac:dyDescent="0.2">
      <c r="A25" s="329">
        <v>3</v>
      </c>
      <c r="B25" s="330"/>
      <c r="C25" s="330"/>
      <c r="D25" s="330"/>
      <c r="E25" s="331"/>
      <c r="F25" s="330"/>
      <c r="G25" s="319"/>
      <c r="H25" s="319"/>
      <c r="I25" s="319"/>
      <c r="J25" s="319"/>
      <c r="K25" s="319"/>
      <c r="L25" s="319"/>
      <c r="M25" s="319"/>
      <c r="N25" s="313"/>
      <c r="O25" s="312" t="str">
        <f>IF(N25&lt;=0,"",IF(N25&lt;=2,"Muy Baja",IF(N25&lt;=24,"Baja",IF(N25&lt;=500,"Media",IF(N25&lt;=5000,"Alta","Muy Alta")))))</f>
        <v/>
      </c>
      <c r="P25" s="311" t="str">
        <f>IF(O25="","",IF(O25="Muy Baja",0.2,IF(O25="Baja",0.4,IF(O25="Media",0.6,IF(O25="Alta",0.8,IF(O25="Muy Alta",1,))))))</f>
        <v/>
      </c>
      <c r="Q25" s="310"/>
      <c r="R25" s="311">
        <f>IF(NOT(ISERROR(MATCH(Q25,'Tabla Impacto'!$B$222:$B$224,0))),'Tabla Impacto'!$F$224&amp;"Por favor no seleccionar los criterios de impacto(Afectación Económica o presupuestal y Pérdida Reputacional)",Q25)</f>
        <v>0</v>
      </c>
      <c r="S25" s="312" t="str">
        <f>IF(OR(R25='Tabla Impacto'!$C$12,R25='Tabla Impacto'!$D$12),"Leve",IF(OR(R25='Tabla Impacto'!$C$13,R25='Tabla Impacto'!$D$13),"Menor",IF(OR(R25='Tabla Impacto'!$C$14,R25='Tabla Impacto'!$D$14),"Moderado",IF(OR(R25='Tabla Impacto'!$C$15,R25='Tabla Impacto'!$D$15),"Mayor",IF(OR(R25='Tabla Impacto'!$C$16,R25='Tabla Impacto'!$D$16),"Catastrófico","")))))</f>
        <v/>
      </c>
      <c r="T25" s="311" t="str">
        <f>IF(S25="","",IF(S25="Leve",0.2,IF(S25="Menor",0.4,IF(S25="Moderado",0.6,IF(S25="Mayor",0.8,IF(S25="Catastrófico",1,))))))</f>
        <v/>
      </c>
      <c r="U25" s="324"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200">
        <v>1</v>
      </c>
      <c r="W25" s="173"/>
      <c r="X25" s="175" t="str">
        <f>IF(OR(Y25="Preventivo",Y25="Detectivo"),"Probabilidad",IF(Y25="Correctivo","Impacto",""))</f>
        <v/>
      </c>
      <c r="Y25" s="176"/>
      <c r="Z25" s="176"/>
      <c r="AA25" s="177" t="str">
        <f>IF(AND(Y25="Preventivo",Z25="Automático"),"50%",IF(AND(Y25="Preventivo",Z25="Manual"),"40%",IF(AND(Y25="Detectivo",Z25="Automático"),"40%",IF(AND(Y25="Detectivo",Z25="Manual"),"30%",IF(AND(Y25="Correctivo",Z25="Automático"),"35%",IF(AND(Y25="Correctivo",Z25="Manual"),"25%",""))))))</f>
        <v/>
      </c>
      <c r="AB25" s="176"/>
      <c r="AC25" s="176"/>
      <c r="AD25" s="176"/>
      <c r="AE25" s="178" t="str">
        <f>IFERROR(IF(X25="Probabilidad",(P25-(+P25*AA25)),IF(X25="Impacto",P25,"")),"")</f>
        <v/>
      </c>
      <c r="AF25" s="179" t="str">
        <f>IFERROR(IF(AE25="","",IF(AE25&lt;=0.2,"Muy Baja",IF(AE25&lt;=0.4,"Baja",IF(AE25&lt;=0.6,"Media",IF(AE25&lt;=0.8,"Alta","Muy Alta"))))),"")</f>
        <v/>
      </c>
      <c r="AG25" s="177" t="str">
        <f>+AE25</f>
        <v/>
      </c>
      <c r="AH25" s="179" t="str">
        <f>IFERROR(IF(AI25="","",IF(AI25&lt;=0.2,"Leve",IF(AI25&lt;=0.4,"Menor",IF(AI25&lt;=0.6,"Moderado",IF(AI25&lt;=0.8,"Mayor","Catastrófico"))))),"")</f>
        <v/>
      </c>
      <c r="AI25" s="177" t="str">
        <f t="shared" ref="AI25" si="17">IFERROR(IF(X25="Impacto",(T25-(+T25*AA25)),IF(X25="Probabilidad",T25,"")),"")</f>
        <v/>
      </c>
      <c r="AJ25" s="180" t="str">
        <f>IFERROR(IF(OR(AND(AF25="Muy Baja",AH25="Leve"),AND(AF25="Muy Baja",AH25="Menor"),AND(AF25="Baja",AH25="Leve")),"Bajo",IF(OR(AND(AF25="Muy baja",AH25="Moderado"),AND(AF25="Baja",AH25="Menor"),AND(AF25="Baja",AH25="Moderado"),AND(AF25="Media",AH25="Leve"),AND(AF25="Media",AH25="Menor"),AND(AF25="Media",AH25="Moderado"),AND(AF25="Alta",AH25="Leve"),AND(AF25="Alta",AH25="Menor")),"Moderado",IF(OR(AND(AF25="Muy Baja",AH25="Mayor"),AND(AF25="Baja",AH25="Mayor"),AND(AF25="Media",AH25="Mayor"),AND(AF25="Alta",AH25="Moderado"),AND(AF25="Alta",AH25="Mayor"),AND(AF25="Muy Alta",AH25="Leve"),AND(AF25="Muy Alta",AH25="Menor"),AND(AF25="Muy Alta",AH25="Moderado"),AND(AF25="Muy Alta",AH25="Mayor")),"Alto",IF(OR(AND(AF25="Muy Baja",AH25="Catastrófico"),AND(AF25="Baja",AH25="Catastrófico"),AND(AF25="Media",AH25="Catastrófico"),AND(AF25="Alta",AH25="Catastrófico"),AND(AF25="Muy Alta",AH25="Catastrófico")),"Extremo","")))),"")</f>
        <v/>
      </c>
      <c r="AK25" s="181"/>
      <c r="AL25" s="172"/>
      <c r="AM25" s="182"/>
      <c r="AN25" s="182"/>
      <c r="AO25" s="183"/>
      <c r="AP25" s="313"/>
      <c r="AQ25" s="313"/>
      <c r="AR25" s="313"/>
    </row>
    <row r="26" spans="1:44" ht="37.5" customHeight="1" x14ac:dyDescent="0.2">
      <c r="A26" s="329"/>
      <c r="B26" s="330"/>
      <c r="C26" s="330"/>
      <c r="D26" s="330"/>
      <c r="E26" s="331"/>
      <c r="F26" s="330"/>
      <c r="G26" s="320"/>
      <c r="H26" s="320"/>
      <c r="I26" s="320"/>
      <c r="J26" s="320"/>
      <c r="K26" s="320"/>
      <c r="L26" s="320"/>
      <c r="M26" s="320"/>
      <c r="N26" s="313"/>
      <c r="O26" s="312"/>
      <c r="P26" s="311"/>
      <c r="Q26" s="310"/>
      <c r="R26" s="311">
        <f>IF(NOT(ISERROR(MATCH(Q26,_xlfn.ANCHORARRAY(E37),0))),P39&amp;"Por favor no seleccionar los criterios de impacto",Q26)</f>
        <v>0</v>
      </c>
      <c r="S26" s="312"/>
      <c r="T26" s="311"/>
      <c r="U26" s="324"/>
      <c r="V26" s="200">
        <v>2</v>
      </c>
      <c r="W26" s="173"/>
      <c r="X26" s="175" t="str">
        <f>IF(OR(Y26="Preventivo",Y26="Detectivo"),"Probabilidad",IF(Y26="Correctivo","Impacto",""))</f>
        <v/>
      </c>
      <c r="Y26" s="176"/>
      <c r="Z26" s="176"/>
      <c r="AA26" s="177" t="str">
        <f t="shared" ref="AA26:AA30" si="18">IF(AND(Y26="Preventivo",Z26="Automático"),"50%",IF(AND(Y26="Preventivo",Z26="Manual"),"40%",IF(AND(Y26="Detectivo",Z26="Automático"),"40%",IF(AND(Y26="Detectivo",Z26="Manual"),"30%",IF(AND(Y26="Correctivo",Z26="Automático"),"35%",IF(AND(Y26="Correctivo",Z26="Manual"),"25%",""))))))</f>
        <v/>
      </c>
      <c r="AB26" s="176"/>
      <c r="AC26" s="176"/>
      <c r="AD26" s="176"/>
      <c r="AE26" s="178" t="str">
        <f>IFERROR(IF(AND(X25="Probabilidad",X26="Probabilidad"),(AG25-(+AG25*AA26)),IF(X26="Probabilidad",(P25-(+P25*AA26)),IF(X26="Impacto",AG25,""))),"")</f>
        <v/>
      </c>
      <c r="AF26" s="179" t="str">
        <f t="shared" si="2"/>
        <v/>
      </c>
      <c r="AG26" s="177" t="str">
        <f t="shared" ref="AG26:AG30" si="19">+AE26</f>
        <v/>
      </c>
      <c r="AH26" s="179" t="str">
        <f t="shared" si="4"/>
        <v/>
      </c>
      <c r="AI26" s="177" t="str">
        <f t="shared" ref="AI26" si="20">IFERROR(IF(AND(X25="Impacto",X26="Impacto"),(AI25-(+AI25*AA26)),IF(X26="Impacto",($T$13-(+$T$13*AA26)),IF(X26="Probabilidad",AI25,""))),"")</f>
        <v/>
      </c>
      <c r="AJ26" s="180" t="str">
        <f t="shared" ref="AJ26:AJ27" si="21">IFERROR(IF(OR(AND(AF26="Muy Baja",AH26="Leve"),AND(AF26="Muy Baja",AH26="Menor"),AND(AF26="Baja",AH26="Leve")),"Bajo",IF(OR(AND(AF26="Muy baja",AH26="Moderado"),AND(AF26="Baja",AH26="Menor"),AND(AF26="Baja",AH26="Moderado"),AND(AF26="Media",AH26="Leve"),AND(AF26="Media",AH26="Menor"),AND(AF26="Media",AH26="Moderado"),AND(AF26="Alta",AH26="Leve"),AND(AF26="Alta",AH26="Menor")),"Moderado",IF(OR(AND(AF26="Muy Baja",AH26="Mayor"),AND(AF26="Baja",AH26="Mayor"),AND(AF26="Media",AH26="Mayor"),AND(AF26="Alta",AH26="Moderado"),AND(AF26="Alta",AH26="Mayor"),AND(AF26="Muy Alta",AH26="Leve"),AND(AF26="Muy Alta",AH26="Menor"),AND(AF26="Muy Alta",AH26="Moderado"),AND(AF26="Muy Alta",AH26="Mayor")),"Alto",IF(OR(AND(AF26="Muy Baja",AH26="Catastrófico"),AND(AF26="Baja",AH26="Catastrófico"),AND(AF26="Media",AH26="Catastrófico"),AND(AF26="Alta",AH26="Catastrófico"),AND(AF26="Muy Alta",AH26="Catastrófico")),"Extremo","")))),"")</f>
        <v/>
      </c>
      <c r="AK26" s="181"/>
      <c r="AL26" s="172"/>
      <c r="AM26" s="182"/>
      <c r="AN26" s="182"/>
      <c r="AO26" s="183"/>
      <c r="AP26" s="313"/>
      <c r="AQ26" s="313"/>
      <c r="AR26" s="313"/>
    </row>
    <row r="27" spans="1:44" ht="37.5" customHeight="1" x14ac:dyDescent="0.2">
      <c r="A27" s="329"/>
      <c r="B27" s="330"/>
      <c r="C27" s="330"/>
      <c r="D27" s="330"/>
      <c r="E27" s="331"/>
      <c r="F27" s="330"/>
      <c r="G27" s="320"/>
      <c r="H27" s="320"/>
      <c r="I27" s="320"/>
      <c r="J27" s="320"/>
      <c r="K27" s="320"/>
      <c r="L27" s="320"/>
      <c r="M27" s="320"/>
      <c r="N27" s="313"/>
      <c r="O27" s="312"/>
      <c r="P27" s="311"/>
      <c r="Q27" s="310"/>
      <c r="R27" s="311">
        <f>IF(NOT(ISERROR(MATCH(Q27,_xlfn.ANCHORARRAY(E38),0))),P40&amp;"Por favor no seleccionar los criterios de impacto",Q27)</f>
        <v>0</v>
      </c>
      <c r="S27" s="312"/>
      <c r="T27" s="311"/>
      <c r="U27" s="324"/>
      <c r="V27" s="200">
        <v>3</v>
      </c>
      <c r="W27" s="173"/>
      <c r="X27" s="175" t="str">
        <f>IF(OR(Y27="Preventivo",Y27="Detectivo"),"Probabilidad",IF(Y27="Correctivo","Impacto",""))</f>
        <v/>
      </c>
      <c r="Y27" s="176"/>
      <c r="Z27" s="176"/>
      <c r="AA27" s="177" t="str">
        <f t="shared" si="18"/>
        <v/>
      </c>
      <c r="AB27" s="176"/>
      <c r="AC27" s="176"/>
      <c r="AD27" s="176"/>
      <c r="AE27" s="178" t="str">
        <f>IFERROR(IF(AND(X26="Probabilidad",X27="Probabilidad"),(AG26-(+AG26*AA27)),IF(AND(X26="Impacto",X27="Probabilidad"),(AG25-(+AG25*AA27)),IF(X27="Impacto",AG26,""))),"")</f>
        <v/>
      </c>
      <c r="AF27" s="179" t="str">
        <f t="shared" si="2"/>
        <v/>
      </c>
      <c r="AG27" s="177" t="str">
        <f t="shared" si="19"/>
        <v/>
      </c>
      <c r="AH27" s="179" t="str">
        <f t="shared" si="4"/>
        <v/>
      </c>
      <c r="AI27" s="177" t="str">
        <f t="shared" ref="AI27" si="22">IFERROR(IF(AND(X26="Impacto",X27="Impacto"),(AI26-(+AI26*AA27)),IF(AND(X26="Probabilidad",X27="Impacto"),(AI25-(+AI25*AA27)),IF(X27="Probabilidad",AI26,""))),"")</f>
        <v/>
      </c>
      <c r="AJ27" s="180" t="str">
        <f t="shared" si="21"/>
        <v/>
      </c>
      <c r="AK27" s="181"/>
      <c r="AL27" s="172"/>
      <c r="AM27" s="182"/>
      <c r="AN27" s="182"/>
      <c r="AO27" s="183"/>
      <c r="AP27" s="313"/>
      <c r="AQ27" s="313"/>
      <c r="AR27" s="313"/>
    </row>
    <row r="28" spans="1:44" ht="37.5" customHeight="1" x14ac:dyDescent="0.2">
      <c r="A28" s="329"/>
      <c r="B28" s="330"/>
      <c r="C28" s="330"/>
      <c r="D28" s="330"/>
      <c r="E28" s="331"/>
      <c r="F28" s="330"/>
      <c r="G28" s="320"/>
      <c r="H28" s="320"/>
      <c r="I28" s="320"/>
      <c r="J28" s="320"/>
      <c r="K28" s="320"/>
      <c r="L28" s="320"/>
      <c r="M28" s="320"/>
      <c r="N28" s="313"/>
      <c r="O28" s="312"/>
      <c r="P28" s="311"/>
      <c r="Q28" s="310"/>
      <c r="R28" s="311">
        <f>IF(NOT(ISERROR(MATCH(Q28,_xlfn.ANCHORARRAY(E39),0))),P41&amp;"Por favor no seleccionar los criterios de impacto",Q28)</f>
        <v>0</v>
      </c>
      <c r="S28" s="312"/>
      <c r="T28" s="311"/>
      <c r="U28" s="324"/>
      <c r="V28" s="200">
        <v>4</v>
      </c>
      <c r="W28" s="173"/>
      <c r="X28" s="175" t="str">
        <f t="shared" ref="X28:X30" si="23">IF(OR(Y28="Preventivo",Y28="Detectivo"),"Probabilidad",IF(Y28="Correctivo","Impacto",""))</f>
        <v/>
      </c>
      <c r="Y28" s="176"/>
      <c r="Z28" s="176"/>
      <c r="AA28" s="177" t="str">
        <f t="shared" si="18"/>
        <v/>
      </c>
      <c r="AB28" s="176"/>
      <c r="AC28" s="176"/>
      <c r="AD28" s="176"/>
      <c r="AE28" s="178" t="str">
        <f t="shared" ref="AE28:AE30" si="24">IFERROR(IF(AND(X27="Probabilidad",X28="Probabilidad"),(AG27-(+AG27*AA28)),IF(AND(X27="Impacto",X28="Probabilidad"),(AG26-(+AG26*AA28)),IF(X28="Impacto",AG27,""))),"")</f>
        <v/>
      </c>
      <c r="AF28" s="179" t="str">
        <f t="shared" si="2"/>
        <v/>
      </c>
      <c r="AG28" s="177" t="str">
        <f t="shared" si="19"/>
        <v/>
      </c>
      <c r="AH28" s="179" t="str">
        <f t="shared" si="4"/>
        <v/>
      </c>
      <c r="AI28" s="177" t="str">
        <f t="shared" si="13"/>
        <v/>
      </c>
      <c r="AJ28" s="180" t="str">
        <f>IFERROR(IF(OR(AND(AF28="Muy Baja",AH28="Leve"),AND(AF28="Muy Baja",AH28="Menor"),AND(AF28="Baja",AH28="Leve")),"Bajo",IF(OR(AND(AF28="Muy baja",AH28="Moderado"),AND(AF28="Baja",AH28="Menor"),AND(AF28="Baja",AH28="Moderado"),AND(AF28="Media",AH28="Leve"),AND(AF28="Media",AH28="Menor"),AND(AF28="Media",AH28="Moderado"),AND(AF28="Alta",AH28="Leve"),AND(AF28="Alta",AH28="Menor")),"Moderado",IF(OR(AND(AF28="Muy Baja",AH28="Mayor"),AND(AF28="Baja",AH28="Mayor"),AND(AF28="Media",AH28="Mayor"),AND(AF28="Alta",AH28="Moderado"),AND(AF28="Alta",AH28="Mayor"),AND(AF28="Muy Alta",AH28="Leve"),AND(AF28="Muy Alta",AH28="Menor"),AND(AF28="Muy Alta",AH28="Moderado"),AND(AF28="Muy Alta",AH28="Mayor")),"Alto",IF(OR(AND(AF28="Muy Baja",AH28="Catastrófico"),AND(AF28="Baja",AH28="Catastrófico"),AND(AF28="Media",AH28="Catastrófico"),AND(AF28="Alta",AH28="Catastrófico"),AND(AF28="Muy Alta",AH28="Catastrófico")),"Extremo","")))),"")</f>
        <v/>
      </c>
      <c r="AK28" s="181"/>
      <c r="AL28" s="172"/>
      <c r="AM28" s="182"/>
      <c r="AN28" s="182"/>
      <c r="AO28" s="183"/>
      <c r="AP28" s="313"/>
      <c r="AQ28" s="313"/>
      <c r="AR28" s="313"/>
    </row>
    <row r="29" spans="1:44" ht="37.5" customHeight="1" x14ac:dyDescent="0.2">
      <c r="A29" s="329"/>
      <c r="B29" s="330"/>
      <c r="C29" s="330"/>
      <c r="D29" s="330"/>
      <c r="E29" s="331"/>
      <c r="F29" s="330"/>
      <c r="G29" s="320"/>
      <c r="H29" s="320"/>
      <c r="I29" s="320"/>
      <c r="J29" s="320"/>
      <c r="K29" s="320"/>
      <c r="L29" s="320"/>
      <c r="M29" s="320"/>
      <c r="N29" s="313"/>
      <c r="O29" s="312"/>
      <c r="P29" s="311"/>
      <c r="Q29" s="310"/>
      <c r="R29" s="311">
        <f>IF(NOT(ISERROR(MATCH(Q29,_xlfn.ANCHORARRAY(E40),0))),P42&amp;"Por favor no seleccionar los criterios de impacto",Q29)</f>
        <v>0</v>
      </c>
      <c r="S29" s="312"/>
      <c r="T29" s="311"/>
      <c r="U29" s="324"/>
      <c r="V29" s="200">
        <v>5</v>
      </c>
      <c r="W29" s="173"/>
      <c r="X29" s="175" t="str">
        <f t="shared" si="23"/>
        <v/>
      </c>
      <c r="Y29" s="176"/>
      <c r="Z29" s="176"/>
      <c r="AA29" s="177" t="str">
        <f t="shared" si="18"/>
        <v/>
      </c>
      <c r="AB29" s="176"/>
      <c r="AC29" s="176"/>
      <c r="AD29" s="176"/>
      <c r="AE29" s="178" t="str">
        <f t="shared" si="24"/>
        <v/>
      </c>
      <c r="AF29" s="179" t="str">
        <f t="shared" si="2"/>
        <v/>
      </c>
      <c r="AG29" s="177" t="str">
        <f t="shared" si="19"/>
        <v/>
      </c>
      <c r="AH29" s="179" t="str">
        <f t="shared" si="4"/>
        <v/>
      </c>
      <c r="AI29" s="177" t="str">
        <f t="shared" si="13"/>
        <v/>
      </c>
      <c r="AJ29" s="180" t="str">
        <f t="shared" ref="AJ29:AJ30" si="25">IFERROR(IF(OR(AND(AF29="Muy Baja",AH29="Leve"),AND(AF29="Muy Baja",AH29="Menor"),AND(AF29="Baja",AH29="Leve")),"Bajo",IF(OR(AND(AF29="Muy baja",AH29="Moderado"),AND(AF29="Baja",AH29="Menor"),AND(AF29="Baja",AH29="Moderado"),AND(AF29="Media",AH29="Leve"),AND(AF29="Media",AH29="Menor"),AND(AF29="Media",AH29="Moderado"),AND(AF29="Alta",AH29="Leve"),AND(AF29="Alta",AH29="Menor")),"Moderado",IF(OR(AND(AF29="Muy Baja",AH29="Mayor"),AND(AF29="Baja",AH29="Mayor"),AND(AF29="Media",AH29="Mayor"),AND(AF29="Alta",AH29="Moderado"),AND(AF29="Alta",AH29="Mayor"),AND(AF29="Muy Alta",AH29="Leve"),AND(AF29="Muy Alta",AH29="Menor"),AND(AF29="Muy Alta",AH29="Moderado"),AND(AF29="Muy Alta",AH29="Mayor")),"Alto",IF(OR(AND(AF29="Muy Baja",AH29="Catastrófico"),AND(AF29="Baja",AH29="Catastrófico"),AND(AF29="Media",AH29="Catastrófico"),AND(AF29="Alta",AH29="Catastrófico"),AND(AF29="Muy Alta",AH29="Catastrófico")),"Extremo","")))),"")</f>
        <v/>
      </c>
      <c r="AK29" s="181"/>
      <c r="AL29" s="172"/>
      <c r="AM29" s="182"/>
      <c r="AN29" s="182"/>
      <c r="AO29" s="183"/>
      <c r="AP29" s="313"/>
      <c r="AQ29" s="313"/>
      <c r="AR29" s="313"/>
    </row>
    <row r="30" spans="1:44" ht="37.5" customHeight="1" x14ac:dyDescent="0.2">
      <c r="A30" s="329"/>
      <c r="B30" s="330"/>
      <c r="C30" s="330"/>
      <c r="D30" s="330"/>
      <c r="E30" s="331"/>
      <c r="F30" s="330"/>
      <c r="G30" s="321"/>
      <c r="H30" s="321"/>
      <c r="I30" s="321"/>
      <c r="J30" s="321"/>
      <c r="K30" s="321"/>
      <c r="L30" s="321"/>
      <c r="M30" s="321"/>
      <c r="N30" s="313"/>
      <c r="O30" s="312"/>
      <c r="P30" s="311"/>
      <c r="Q30" s="310"/>
      <c r="R30" s="311">
        <f>IF(NOT(ISERROR(MATCH(Q30,_xlfn.ANCHORARRAY(E41),0))),P43&amp;"Por favor no seleccionar los criterios de impacto",Q30)</f>
        <v>0</v>
      </c>
      <c r="S30" s="312"/>
      <c r="T30" s="311"/>
      <c r="U30" s="324"/>
      <c r="V30" s="200">
        <v>6</v>
      </c>
      <c r="W30" s="173"/>
      <c r="X30" s="175" t="str">
        <f t="shared" si="23"/>
        <v/>
      </c>
      <c r="Y30" s="176"/>
      <c r="Z30" s="176"/>
      <c r="AA30" s="177" t="str">
        <f t="shared" si="18"/>
        <v/>
      </c>
      <c r="AB30" s="176"/>
      <c r="AC30" s="176"/>
      <c r="AD30" s="176"/>
      <c r="AE30" s="178" t="str">
        <f t="shared" si="24"/>
        <v/>
      </c>
      <c r="AF30" s="179" t="str">
        <f t="shared" si="2"/>
        <v/>
      </c>
      <c r="AG30" s="177" t="str">
        <f t="shared" si="19"/>
        <v/>
      </c>
      <c r="AH30" s="179" t="str">
        <f t="shared" si="4"/>
        <v/>
      </c>
      <c r="AI30" s="177" t="str">
        <f t="shared" si="13"/>
        <v/>
      </c>
      <c r="AJ30" s="180" t="str">
        <f t="shared" si="25"/>
        <v/>
      </c>
      <c r="AK30" s="181"/>
      <c r="AL30" s="172"/>
      <c r="AM30" s="182"/>
      <c r="AN30" s="182"/>
      <c r="AO30" s="183"/>
      <c r="AP30" s="313"/>
      <c r="AQ30" s="313"/>
      <c r="AR30" s="313"/>
    </row>
    <row r="31" spans="1:44" ht="37.5" customHeight="1" x14ac:dyDescent="0.2">
      <c r="A31" s="329">
        <v>4</v>
      </c>
      <c r="B31" s="330"/>
      <c r="C31" s="330"/>
      <c r="D31" s="330"/>
      <c r="E31" s="330"/>
      <c r="F31" s="330"/>
      <c r="G31" s="319"/>
      <c r="H31" s="319"/>
      <c r="I31" s="319"/>
      <c r="J31" s="319"/>
      <c r="K31" s="319"/>
      <c r="L31" s="319"/>
      <c r="M31" s="319"/>
      <c r="N31" s="313"/>
      <c r="O31" s="312" t="str">
        <f>IF(N31&lt;=0,"",IF(N31&lt;=2,"Muy Baja",IF(N31&lt;=24,"Baja",IF(N31&lt;=500,"Media",IF(N31&lt;=5000,"Alta","Muy Alta")))))</f>
        <v/>
      </c>
      <c r="P31" s="311" t="str">
        <f>IF(O31="","",IF(O31="Muy Baja",0.2,IF(O31="Baja",0.4,IF(O31="Media",0.6,IF(O31="Alta",0.8,IF(O31="Muy Alta",1,))))))</f>
        <v/>
      </c>
      <c r="Q31" s="310"/>
      <c r="R31" s="311">
        <f>IF(NOT(ISERROR(MATCH(Q31,'Tabla Impacto'!$B$222:$B$224,0))),'Tabla Impacto'!$F$224&amp;"Por favor no seleccionar los criterios de impacto(Afectación Económica o presupuestal y Pérdida Reputacional)",Q31)</f>
        <v>0</v>
      </c>
      <c r="S31" s="312" t="str">
        <f>IF(OR(R31='Tabla Impacto'!$C$12,R31='Tabla Impacto'!$D$12),"Leve",IF(OR(R31='Tabla Impacto'!$C$13,R31='Tabla Impacto'!$D$13),"Menor",IF(OR(R31='Tabla Impacto'!$C$14,R31='Tabla Impacto'!$D$14),"Moderado",IF(OR(R31='Tabla Impacto'!$C$15,R31='Tabla Impacto'!$D$15),"Mayor",IF(OR(R31='Tabla Impacto'!$C$16,R31='Tabla Impacto'!$D$16),"Catastrófico","")))))</f>
        <v/>
      </c>
      <c r="T31" s="311" t="str">
        <f>IF(S31="","",IF(S31="Leve",0.2,IF(S31="Menor",0.4,IF(S31="Moderado",0.6,IF(S31="Mayor",0.8,IF(S31="Catastrófico",1,))))))</f>
        <v/>
      </c>
      <c r="U31" s="324"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200">
        <v>1</v>
      </c>
      <c r="W31" s="173"/>
      <c r="X31" s="175" t="str">
        <f>IF(OR(Y31="Preventivo",Y31="Detectivo"),"Probabilidad",IF(Y31="Correctivo","Impacto",""))</f>
        <v/>
      </c>
      <c r="Y31" s="176"/>
      <c r="Z31" s="176"/>
      <c r="AA31" s="177" t="str">
        <f>IF(AND(Y31="Preventivo",Z31="Automático"),"50%",IF(AND(Y31="Preventivo",Z31="Manual"),"40%",IF(AND(Y31="Detectivo",Z31="Automático"),"40%",IF(AND(Y31="Detectivo",Z31="Manual"),"30%",IF(AND(Y31="Correctivo",Z31="Automático"),"35%",IF(AND(Y31="Correctivo",Z31="Manual"),"25%",""))))))</f>
        <v/>
      </c>
      <c r="AB31" s="176"/>
      <c r="AC31" s="176"/>
      <c r="AD31" s="176"/>
      <c r="AE31" s="178" t="str">
        <f>IFERROR(IF(X31="Probabilidad",(P31-(+P31*AA31)),IF(X31="Impacto",P31,"")),"")</f>
        <v/>
      </c>
      <c r="AF31" s="179" t="str">
        <f>IFERROR(IF(AE31="","",IF(AE31&lt;=0.2,"Muy Baja",IF(AE31&lt;=0.4,"Baja",IF(AE31&lt;=0.6,"Media",IF(AE31&lt;=0.8,"Alta","Muy Alta"))))),"")</f>
        <v/>
      </c>
      <c r="AG31" s="177" t="str">
        <f>+AE31</f>
        <v/>
      </c>
      <c r="AH31" s="179" t="str">
        <f>IFERROR(IF(AI31="","",IF(AI31&lt;=0.2,"Leve",IF(AI31&lt;=0.4,"Menor",IF(AI31&lt;=0.6,"Moderado",IF(AI31&lt;=0.8,"Mayor","Catastrófico"))))),"")</f>
        <v/>
      </c>
      <c r="AI31" s="177" t="str">
        <f t="shared" ref="AI31" si="26">IFERROR(IF(X31="Impacto",(T31-(+T31*AA31)),IF(X31="Probabilidad",T31,"")),"")</f>
        <v/>
      </c>
      <c r="AJ31" s="180" t="str">
        <f>IFERROR(IF(OR(AND(AF31="Muy Baja",AH31="Leve"),AND(AF31="Muy Baja",AH31="Menor"),AND(AF31="Baja",AH31="Leve")),"Bajo",IF(OR(AND(AF31="Muy baja",AH31="Moderado"),AND(AF31="Baja",AH31="Menor"),AND(AF31="Baja",AH31="Moderado"),AND(AF31="Media",AH31="Leve"),AND(AF31="Media",AH31="Menor"),AND(AF31="Media",AH31="Moderado"),AND(AF31="Alta",AH31="Leve"),AND(AF31="Alta",AH31="Menor")),"Moderado",IF(OR(AND(AF31="Muy Baja",AH31="Mayor"),AND(AF31="Baja",AH31="Mayor"),AND(AF31="Media",AH31="Mayor"),AND(AF31="Alta",AH31="Moderado"),AND(AF31="Alta",AH31="Mayor"),AND(AF31="Muy Alta",AH31="Leve"),AND(AF31="Muy Alta",AH31="Menor"),AND(AF31="Muy Alta",AH31="Moderado"),AND(AF31="Muy Alta",AH31="Mayor")),"Alto",IF(OR(AND(AF31="Muy Baja",AH31="Catastrófico"),AND(AF31="Baja",AH31="Catastrófico"),AND(AF31="Media",AH31="Catastrófico"),AND(AF31="Alta",AH31="Catastrófico"),AND(AF31="Muy Alta",AH31="Catastrófico")),"Extremo","")))),"")</f>
        <v/>
      </c>
      <c r="AK31" s="181"/>
      <c r="AL31" s="172"/>
      <c r="AM31" s="182"/>
      <c r="AN31" s="182"/>
      <c r="AO31" s="183"/>
      <c r="AP31" s="313"/>
      <c r="AQ31" s="313"/>
      <c r="AR31" s="313"/>
    </row>
    <row r="32" spans="1:44" ht="37.5" customHeight="1" x14ac:dyDescent="0.2">
      <c r="A32" s="329"/>
      <c r="B32" s="330"/>
      <c r="C32" s="330"/>
      <c r="D32" s="330"/>
      <c r="E32" s="330"/>
      <c r="F32" s="330"/>
      <c r="G32" s="320"/>
      <c r="H32" s="320"/>
      <c r="I32" s="320"/>
      <c r="J32" s="320"/>
      <c r="K32" s="320"/>
      <c r="L32" s="320"/>
      <c r="M32" s="320"/>
      <c r="N32" s="313"/>
      <c r="O32" s="312"/>
      <c r="P32" s="311"/>
      <c r="Q32" s="310"/>
      <c r="R32" s="311">
        <f>IF(NOT(ISERROR(MATCH(Q32,_xlfn.ANCHORARRAY(E43),0))),P45&amp;"Por favor no seleccionar los criterios de impacto",Q32)</f>
        <v>0</v>
      </c>
      <c r="S32" s="312"/>
      <c r="T32" s="311"/>
      <c r="U32" s="324"/>
      <c r="V32" s="200">
        <v>2</v>
      </c>
      <c r="W32" s="173"/>
      <c r="X32" s="175" t="str">
        <f>IF(OR(Y32="Preventivo",Y32="Detectivo"),"Probabilidad",IF(Y32="Correctivo","Impacto",""))</f>
        <v/>
      </c>
      <c r="Y32" s="176"/>
      <c r="Z32" s="176"/>
      <c r="AA32" s="177" t="str">
        <f t="shared" ref="AA32:AA36" si="27">IF(AND(Y32="Preventivo",Z32="Automático"),"50%",IF(AND(Y32="Preventivo",Z32="Manual"),"40%",IF(AND(Y32="Detectivo",Z32="Automático"),"40%",IF(AND(Y32="Detectivo",Z32="Manual"),"30%",IF(AND(Y32="Correctivo",Z32="Automático"),"35%",IF(AND(Y32="Correctivo",Z32="Manual"),"25%",""))))))</f>
        <v/>
      </c>
      <c r="AB32" s="176"/>
      <c r="AC32" s="176"/>
      <c r="AD32" s="176"/>
      <c r="AE32" s="178" t="str">
        <f>IFERROR(IF(AND(X31="Probabilidad",X32="Probabilidad"),(AG31-(+AG31*AA32)),IF(X32="Probabilidad",(P31-(+P31*AA32)),IF(X32="Impacto",AG31,""))),"")</f>
        <v/>
      </c>
      <c r="AF32" s="179" t="str">
        <f t="shared" si="2"/>
        <v/>
      </c>
      <c r="AG32" s="177" t="str">
        <f t="shared" ref="AG32:AG36" si="28">+AE32</f>
        <v/>
      </c>
      <c r="AH32" s="179" t="str">
        <f t="shared" si="4"/>
        <v/>
      </c>
      <c r="AI32" s="177" t="str">
        <f t="shared" ref="AI32" si="29">IFERROR(IF(AND(X31="Impacto",X32="Impacto"),(AI31-(+AI31*AA32)),IF(X32="Impacto",($T$13-(+$T$13*AA32)),IF(X32="Probabilidad",AI31,""))),"")</f>
        <v/>
      </c>
      <c r="AJ32" s="180" t="str">
        <f t="shared" ref="AJ32:AJ33" si="30">IFERROR(IF(OR(AND(AF32="Muy Baja",AH32="Leve"),AND(AF32="Muy Baja",AH32="Menor"),AND(AF32="Baja",AH32="Leve")),"Bajo",IF(OR(AND(AF32="Muy baja",AH32="Moderado"),AND(AF32="Baja",AH32="Menor"),AND(AF32="Baja",AH32="Moderado"),AND(AF32="Media",AH32="Leve"),AND(AF32="Media",AH32="Menor"),AND(AF32="Media",AH32="Moderado"),AND(AF32="Alta",AH32="Leve"),AND(AF32="Alta",AH32="Menor")),"Moderado",IF(OR(AND(AF32="Muy Baja",AH32="Mayor"),AND(AF32="Baja",AH32="Mayor"),AND(AF32="Media",AH32="Mayor"),AND(AF32="Alta",AH32="Moderado"),AND(AF32="Alta",AH32="Mayor"),AND(AF32="Muy Alta",AH32="Leve"),AND(AF32="Muy Alta",AH32="Menor"),AND(AF32="Muy Alta",AH32="Moderado"),AND(AF32="Muy Alta",AH32="Mayor")),"Alto",IF(OR(AND(AF32="Muy Baja",AH32="Catastrófico"),AND(AF32="Baja",AH32="Catastrófico"),AND(AF32="Media",AH32="Catastrófico"),AND(AF32="Alta",AH32="Catastrófico"),AND(AF32="Muy Alta",AH32="Catastrófico")),"Extremo","")))),"")</f>
        <v/>
      </c>
      <c r="AK32" s="181"/>
      <c r="AL32" s="172"/>
      <c r="AM32" s="182"/>
      <c r="AN32" s="182"/>
      <c r="AO32" s="183"/>
      <c r="AP32" s="313"/>
      <c r="AQ32" s="313"/>
      <c r="AR32" s="313"/>
    </row>
    <row r="33" spans="1:44" ht="37.5" customHeight="1" x14ac:dyDescent="0.2">
      <c r="A33" s="329"/>
      <c r="B33" s="330"/>
      <c r="C33" s="330"/>
      <c r="D33" s="330"/>
      <c r="E33" s="330"/>
      <c r="F33" s="330"/>
      <c r="G33" s="320"/>
      <c r="H33" s="320"/>
      <c r="I33" s="320"/>
      <c r="J33" s="320"/>
      <c r="K33" s="320"/>
      <c r="L33" s="320"/>
      <c r="M33" s="320"/>
      <c r="N33" s="313"/>
      <c r="O33" s="312"/>
      <c r="P33" s="311"/>
      <c r="Q33" s="310"/>
      <c r="R33" s="311">
        <f>IF(NOT(ISERROR(MATCH(Q33,_xlfn.ANCHORARRAY(E44),0))),P46&amp;"Por favor no seleccionar los criterios de impacto",Q33)</f>
        <v>0</v>
      </c>
      <c r="S33" s="312"/>
      <c r="T33" s="311"/>
      <c r="U33" s="324"/>
      <c r="V33" s="200">
        <v>3</v>
      </c>
      <c r="W33" s="174"/>
      <c r="X33" s="175" t="str">
        <f>IF(OR(Y33="Preventivo",Y33="Detectivo"),"Probabilidad",IF(Y33="Correctivo","Impacto",""))</f>
        <v/>
      </c>
      <c r="Y33" s="176"/>
      <c r="Z33" s="176"/>
      <c r="AA33" s="177" t="str">
        <f t="shared" si="27"/>
        <v/>
      </c>
      <c r="AB33" s="176"/>
      <c r="AC33" s="176"/>
      <c r="AD33" s="176"/>
      <c r="AE33" s="178" t="str">
        <f>IFERROR(IF(AND(X32="Probabilidad",X33="Probabilidad"),(AG32-(+AG32*AA33)),IF(AND(X32="Impacto",X33="Probabilidad"),(AG31-(+AG31*AA33)),IF(X33="Impacto",AG32,""))),"")</f>
        <v/>
      </c>
      <c r="AF33" s="179" t="str">
        <f t="shared" si="2"/>
        <v/>
      </c>
      <c r="AG33" s="177" t="str">
        <f t="shared" si="28"/>
        <v/>
      </c>
      <c r="AH33" s="179" t="str">
        <f t="shared" si="4"/>
        <v/>
      </c>
      <c r="AI33" s="177" t="str">
        <f t="shared" ref="AI33" si="31">IFERROR(IF(AND(X32="Impacto",X33="Impacto"),(AI32-(+AI32*AA33)),IF(AND(X32="Probabilidad",X33="Impacto"),(AI31-(+AI31*AA33)),IF(X33="Probabilidad",AI32,""))),"")</f>
        <v/>
      </c>
      <c r="AJ33" s="180" t="str">
        <f t="shared" si="30"/>
        <v/>
      </c>
      <c r="AK33" s="181"/>
      <c r="AL33" s="172"/>
      <c r="AM33" s="182"/>
      <c r="AN33" s="182"/>
      <c r="AO33" s="183"/>
      <c r="AP33" s="313"/>
      <c r="AQ33" s="313"/>
      <c r="AR33" s="313"/>
    </row>
    <row r="34" spans="1:44" ht="37.5" customHeight="1" x14ac:dyDescent="0.2">
      <c r="A34" s="329"/>
      <c r="B34" s="330"/>
      <c r="C34" s="330"/>
      <c r="D34" s="330"/>
      <c r="E34" s="330"/>
      <c r="F34" s="330"/>
      <c r="G34" s="320"/>
      <c r="H34" s="320"/>
      <c r="I34" s="320"/>
      <c r="J34" s="320"/>
      <c r="K34" s="320"/>
      <c r="L34" s="320"/>
      <c r="M34" s="320"/>
      <c r="N34" s="313"/>
      <c r="O34" s="312"/>
      <c r="P34" s="311"/>
      <c r="Q34" s="310"/>
      <c r="R34" s="311">
        <f>IF(NOT(ISERROR(MATCH(Q34,_xlfn.ANCHORARRAY(E45),0))),P47&amp;"Por favor no seleccionar los criterios de impacto",Q34)</f>
        <v>0</v>
      </c>
      <c r="S34" s="312"/>
      <c r="T34" s="311"/>
      <c r="U34" s="324"/>
      <c r="V34" s="200">
        <v>4</v>
      </c>
      <c r="W34" s="173"/>
      <c r="X34" s="175" t="str">
        <f t="shared" ref="X34:X36" si="32">IF(OR(Y34="Preventivo",Y34="Detectivo"),"Probabilidad",IF(Y34="Correctivo","Impacto",""))</f>
        <v/>
      </c>
      <c r="Y34" s="176"/>
      <c r="Z34" s="176"/>
      <c r="AA34" s="177" t="str">
        <f t="shared" si="27"/>
        <v/>
      </c>
      <c r="AB34" s="176"/>
      <c r="AC34" s="176"/>
      <c r="AD34" s="176"/>
      <c r="AE34" s="178" t="str">
        <f t="shared" ref="AE34:AE36" si="33">IFERROR(IF(AND(X33="Probabilidad",X34="Probabilidad"),(AG33-(+AG33*AA34)),IF(AND(X33="Impacto",X34="Probabilidad"),(AG32-(+AG32*AA34)),IF(X34="Impacto",AG33,""))),"")</f>
        <v/>
      </c>
      <c r="AF34" s="179" t="str">
        <f t="shared" si="2"/>
        <v/>
      </c>
      <c r="AG34" s="177" t="str">
        <f t="shared" si="28"/>
        <v/>
      </c>
      <c r="AH34" s="179" t="str">
        <f t="shared" si="4"/>
        <v/>
      </c>
      <c r="AI34" s="177" t="str">
        <f t="shared" si="13"/>
        <v/>
      </c>
      <c r="AJ34" s="180" t="str">
        <f>IFERROR(IF(OR(AND(AF34="Muy Baja",AH34="Leve"),AND(AF34="Muy Baja",AH34="Menor"),AND(AF34="Baja",AH34="Leve")),"Bajo",IF(OR(AND(AF34="Muy baja",AH34="Moderado"),AND(AF34="Baja",AH34="Menor"),AND(AF34="Baja",AH34="Moderado"),AND(AF34="Media",AH34="Leve"),AND(AF34="Media",AH34="Menor"),AND(AF34="Media",AH34="Moderado"),AND(AF34="Alta",AH34="Leve"),AND(AF34="Alta",AH34="Menor")),"Moderado",IF(OR(AND(AF34="Muy Baja",AH34="Mayor"),AND(AF34="Baja",AH34="Mayor"),AND(AF34="Media",AH34="Mayor"),AND(AF34="Alta",AH34="Moderado"),AND(AF34="Alta",AH34="Mayor"),AND(AF34="Muy Alta",AH34="Leve"),AND(AF34="Muy Alta",AH34="Menor"),AND(AF34="Muy Alta",AH34="Moderado"),AND(AF34="Muy Alta",AH34="Mayor")),"Alto",IF(OR(AND(AF34="Muy Baja",AH34="Catastrófico"),AND(AF34="Baja",AH34="Catastrófico"),AND(AF34="Media",AH34="Catastrófico"),AND(AF34="Alta",AH34="Catastrófico"),AND(AF34="Muy Alta",AH34="Catastrófico")),"Extremo","")))),"")</f>
        <v/>
      </c>
      <c r="AK34" s="181"/>
      <c r="AL34" s="172"/>
      <c r="AM34" s="182"/>
      <c r="AN34" s="182"/>
      <c r="AO34" s="183"/>
      <c r="AP34" s="313"/>
      <c r="AQ34" s="313"/>
      <c r="AR34" s="313"/>
    </row>
    <row r="35" spans="1:44" ht="37.5" customHeight="1" x14ac:dyDescent="0.2">
      <c r="A35" s="329"/>
      <c r="B35" s="330"/>
      <c r="C35" s="330"/>
      <c r="D35" s="330"/>
      <c r="E35" s="330"/>
      <c r="F35" s="330"/>
      <c r="G35" s="320"/>
      <c r="H35" s="320"/>
      <c r="I35" s="320"/>
      <c r="J35" s="320"/>
      <c r="K35" s="320"/>
      <c r="L35" s="320"/>
      <c r="M35" s="320"/>
      <c r="N35" s="313"/>
      <c r="O35" s="312"/>
      <c r="P35" s="311"/>
      <c r="Q35" s="310"/>
      <c r="R35" s="311">
        <f>IF(NOT(ISERROR(MATCH(Q35,_xlfn.ANCHORARRAY(E46),0))),P48&amp;"Por favor no seleccionar los criterios de impacto",Q35)</f>
        <v>0</v>
      </c>
      <c r="S35" s="312"/>
      <c r="T35" s="311"/>
      <c r="U35" s="324"/>
      <c r="V35" s="200">
        <v>5</v>
      </c>
      <c r="W35" s="173"/>
      <c r="X35" s="175" t="str">
        <f t="shared" si="32"/>
        <v/>
      </c>
      <c r="Y35" s="176"/>
      <c r="Z35" s="176"/>
      <c r="AA35" s="177" t="str">
        <f t="shared" si="27"/>
        <v/>
      </c>
      <c r="AB35" s="176"/>
      <c r="AC35" s="176"/>
      <c r="AD35" s="176"/>
      <c r="AE35" s="178" t="str">
        <f t="shared" si="33"/>
        <v/>
      </c>
      <c r="AF35" s="179" t="str">
        <f>IFERROR(IF(AE35="","",IF(AE35&lt;=0.2,"Muy Baja",IF(AE35&lt;=0.4,"Baja",IF(AE35&lt;=0.6,"Media",IF(AE35&lt;=0.8,"Alta","Muy Alta"))))),"")</f>
        <v/>
      </c>
      <c r="AG35" s="177" t="str">
        <f t="shared" si="28"/>
        <v/>
      </c>
      <c r="AH35" s="179" t="str">
        <f t="shared" si="4"/>
        <v/>
      </c>
      <c r="AI35" s="177" t="str">
        <f t="shared" si="13"/>
        <v/>
      </c>
      <c r="AJ35" s="180" t="str">
        <f t="shared" ref="AJ35:AJ36" si="34">IFERROR(IF(OR(AND(AF35="Muy Baja",AH35="Leve"),AND(AF35="Muy Baja",AH35="Menor"),AND(AF35="Baja",AH35="Leve")),"Bajo",IF(OR(AND(AF35="Muy baja",AH35="Moderado"),AND(AF35="Baja",AH35="Menor"),AND(AF35="Baja",AH35="Moderado"),AND(AF35="Media",AH35="Leve"),AND(AF35="Media",AH35="Menor"),AND(AF35="Media",AH35="Moderado"),AND(AF35="Alta",AH35="Leve"),AND(AF35="Alta",AH35="Menor")),"Moderado",IF(OR(AND(AF35="Muy Baja",AH35="Mayor"),AND(AF35="Baja",AH35="Mayor"),AND(AF35="Media",AH35="Mayor"),AND(AF35="Alta",AH35="Moderado"),AND(AF35="Alta",AH35="Mayor"),AND(AF35="Muy Alta",AH35="Leve"),AND(AF35="Muy Alta",AH35="Menor"),AND(AF35="Muy Alta",AH35="Moderado"),AND(AF35="Muy Alta",AH35="Mayor")),"Alto",IF(OR(AND(AF35="Muy Baja",AH35="Catastrófico"),AND(AF35="Baja",AH35="Catastrófico"),AND(AF35="Media",AH35="Catastrófico"),AND(AF35="Alta",AH35="Catastrófico"),AND(AF35="Muy Alta",AH35="Catastrófico")),"Extremo","")))),"")</f>
        <v/>
      </c>
      <c r="AK35" s="181"/>
      <c r="AL35" s="172"/>
      <c r="AM35" s="182"/>
      <c r="AN35" s="182"/>
      <c r="AO35" s="183"/>
      <c r="AP35" s="313"/>
      <c r="AQ35" s="313"/>
      <c r="AR35" s="313"/>
    </row>
    <row r="36" spans="1:44" ht="37.5" customHeight="1" x14ac:dyDescent="0.2">
      <c r="A36" s="329"/>
      <c r="B36" s="330"/>
      <c r="C36" s="330"/>
      <c r="D36" s="330"/>
      <c r="E36" s="330"/>
      <c r="F36" s="330"/>
      <c r="G36" s="321"/>
      <c r="H36" s="321"/>
      <c r="I36" s="321"/>
      <c r="J36" s="321"/>
      <c r="K36" s="321"/>
      <c r="L36" s="321"/>
      <c r="M36" s="321"/>
      <c r="N36" s="313"/>
      <c r="O36" s="312"/>
      <c r="P36" s="311"/>
      <c r="Q36" s="310"/>
      <c r="R36" s="311">
        <f>IF(NOT(ISERROR(MATCH(Q36,_xlfn.ANCHORARRAY(E47),0))),P49&amp;"Por favor no seleccionar los criterios de impacto",Q36)</f>
        <v>0</v>
      </c>
      <c r="S36" s="312"/>
      <c r="T36" s="311"/>
      <c r="U36" s="324"/>
      <c r="V36" s="200">
        <v>6</v>
      </c>
      <c r="W36" s="173"/>
      <c r="X36" s="175" t="str">
        <f t="shared" si="32"/>
        <v/>
      </c>
      <c r="Y36" s="176"/>
      <c r="Z36" s="176"/>
      <c r="AA36" s="177" t="str">
        <f t="shared" si="27"/>
        <v/>
      </c>
      <c r="AB36" s="176"/>
      <c r="AC36" s="176"/>
      <c r="AD36" s="176"/>
      <c r="AE36" s="178" t="str">
        <f t="shared" si="33"/>
        <v/>
      </c>
      <c r="AF36" s="179" t="str">
        <f t="shared" si="2"/>
        <v/>
      </c>
      <c r="AG36" s="177" t="str">
        <f t="shared" si="28"/>
        <v/>
      </c>
      <c r="AH36" s="179" t="str">
        <f t="shared" si="4"/>
        <v/>
      </c>
      <c r="AI36" s="177" t="str">
        <f t="shared" si="13"/>
        <v/>
      </c>
      <c r="AJ36" s="180" t="str">
        <f t="shared" si="34"/>
        <v/>
      </c>
      <c r="AK36" s="181"/>
      <c r="AL36" s="172"/>
      <c r="AM36" s="182"/>
      <c r="AN36" s="182"/>
      <c r="AO36" s="183"/>
      <c r="AP36" s="313"/>
      <c r="AQ36" s="313"/>
      <c r="AR36" s="313"/>
    </row>
    <row r="37" spans="1:44" ht="37.5" customHeight="1" x14ac:dyDescent="0.2">
      <c r="A37" s="329">
        <v>5</v>
      </c>
      <c r="B37" s="330"/>
      <c r="C37" s="330"/>
      <c r="D37" s="330"/>
      <c r="E37" s="330"/>
      <c r="F37" s="330"/>
      <c r="G37" s="319"/>
      <c r="H37" s="319"/>
      <c r="I37" s="319"/>
      <c r="J37" s="319"/>
      <c r="K37" s="319"/>
      <c r="L37" s="319"/>
      <c r="M37" s="319"/>
      <c r="N37" s="313"/>
      <c r="O37" s="312" t="str">
        <f>IF(N37&lt;=0,"",IF(N37&lt;=2,"Muy Baja",IF(N37&lt;=24,"Baja",IF(N37&lt;=500,"Media",IF(N37&lt;=5000,"Alta","Muy Alta")))))</f>
        <v/>
      </c>
      <c r="P37" s="311" t="str">
        <f>IF(O37="","",IF(O37="Muy Baja",0.2,IF(O37="Baja",0.4,IF(O37="Media",0.6,IF(O37="Alta",0.8,IF(O37="Muy Alta",1,))))))</f>
        <v/>
      </c>
      <c r="Q37" s="310"/>
      <c r="R37" s="311">
        <f>IF(NOT(ISERROR(MATCH(Q37,'Tabla Impacto'!$B$222:$B$224,0))),'Tabla Impacto'!$F$224&amp;"Por favor no seleccionar los criterios de impacto(Afectación Económica o presupuestal y Pérdida Reputacional)",Q37)</f>
        <v>0</v>
      </c>
      <c r="S37" s="312" t="str">
        <f>IF(OR(R37='Tabla Impacto'!$C$12,R37='Tabla Impacto'!$D$12),"Leve",IF(OR(R37='Tabla Impacto'!$C$13,R37='Tabla Impacto'!$D$13),"Menor",IF(OR(R37='Tabla Impacto'!$C$14,R37='Tabla Impacto'!$D$14),"Moderado",IF(OR(R37='Tabla Impacto'!$C$15,R37='Tabla Impacto'!$D$15),"Mayor",IF(OR(R37='Tabla Impacto'!$C$16,R37='Tabla Impacto'!$D$16),"Catastrófico","")))))</f>
        <v/>
      </c>
      <c r="T37" s="311" t="str">
        <f>IF(S37="","",IF(S37="Leve",0.2,IF(S37="Menor",0.4,IF(S37="Moderado",0.6,IF(S37="Mayor",0.8,IF(S37="Catastrófico",1,))))))</f>
        <v/>
      </c>
      <c r="U37" s="324"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200">
        <v>1</v>
      </c>
      <c r="W37" s="173"/>
      <c r="X37" s="175" t="str">
        <f>IF(OR(Y37="Preventivo",Y37="Detectivo"),"Probabilidad",IF(Y37="Correctivo","Impacto",""))</f>
        <v/>
      </c>
      <c r="Y37" s="176"/>
      <c r="Z37" s="176"/>
      <c r="AA37" s="177" t="str">
        <f>IF(AND(Y37="Preventivo",Z37="Automático"),"50%",IF(AND(Y37="Preventivo",Z37="Manual"),"40%",IF(AND(Y37="Detectivo",Z37="Automático"),"40%",IF(AND(Y37="Detectivo",Z37="Manual"),"30%",IF(AND(Y37="Correctivo",Z37="Automático"),"35%",IF(AND(Y37="Correctivo",Z37="Manual"),"25%",""))))))</f>
        <v/>
      </c>
      <c r="AB37" s="176"/>
      <c r="AC37" s="176"/>
      <c r="AD37" s="176"/>
      <c r="AE37" s="178" t="str">
        <f>IFERROR(IF(X37="Probabilidad",(P37-(+P37*AA37)),IF(X37="Impacto",P37,"")),"")</f>
        <v/>
      </c>
      <c r="AF37" s="179" t="str">
        <f>IFERROR(IF(AE37="","",IF(AE37&lt;=0.2,"Muy Baja",IF(AE37&lt;=0.4,"Baja",IF(AE37&lt;=0.6,"Media",IF(AE37&lt;=0.8,"Alta","Muy Alta"))))),"")</f>
        <v/>
      </c>
      <c r="AG37" s="177" t="str">
        <f>+AE37</f>
        <v/>
      </c>
      <c r="AH37" s="179" t="str">
        <f>IFERROR(IF(AI37="","",IF(AI37&lt;=0.2,"Leve",IF(AI37&lt;=0.4,"Menor",IF(AI37&lt;=0.6,"Moderado",IF(AI37&lt;=0.8,"Mayor","Catastrófico"))))),"")</f>
        <v/>
      </c>
      <c r="AI37" s="177" t="str">
        <f t="shared" ref="AI37" si="35">IFERROR(IF(X37="Impacto",(T37-(+T37*AA37)),IF(X37="Probabilidad",T37,"")),"")</f>
        <v/>
      </c>
      <c r="AJ37" s="180" t="str">
        <f>IFERROR(IF(OR(AND(AF37="Muy Baja",AH37="Leve"),AND(AF37="Muy Baja",AH37="Menor"),AND(AF37="Baja",AH37="Leve")),"Bajo",IF(OR(AND(AF37="Muy baja",AH37="Moderado"),AND(AF37="Baja",AH37="Menor"),AND(AF37="Baja",AH37="Moderado"),AND(AF37="Media",AH37="Leve"),AND(AF37="Media",AH37="Menor"),AND(AF37="Media",AH37="Moderado"),AND(AF37="Alta",AH37="Leve"),AND(AF37="Alta",AH37="Menor")),"Moderado",IF(OR(AND(AF37="Muy Baja",AH37="Mayor"),AND(AF37="Baja",AH37="Mayor"),AND(AF37="Media",AH37="Mayor"),AND(AF37="Alta",AH37="Moderado"),AND(AF37="Alta",AH37="Mayor"),AND(AF37="Muy Alta",AH37="Leve"),AND(AF37="Muy Alta",AH37="Menor"),AND(AF37="Muy Alta",AH37="Moderado"),AND(AF37="Muy Alta",AH37="Mayor")),"Alto",IF(OR(AND(AF37="Muy Baja",AH37="Catastrófico"),AND(AF37="Baja",AH37="Catastrófico"),AND(AF37="Media",AH37="Catastrófico"),AND(AF37="Alta",AH37="Catastrófico"),AND(AF37="Muy Alta",AH37="Catastrófico")),"Extremo","")))),"")</f>
        <v/>
      </c>
      <c r="AK37" s="181"/>
      <c r="AL37" s="172"/>
      <c r="AM37" s="182"/>
      <c r="AN37" s="182"/>
      <c r="AO37" s="183"/>
      <c r="AP37" s="313"/>
      <c r="AQ37" s="313"/>
      <c r="AR37" s="313"/>
    </row>
    <row r="38" spans="1:44" ht="37.5" customHeight="1" x14ac:dyDescent="0.2">
      <c r="A38" s="329"/>
      <c r="B38" s="330"/>
      <c r="C38" s="330"/>
      <c r="D38" s="330"/>
      <c r="E38" s="330"/>
      <c r="F38" s="330"/>
      <c r="G38" s="320"/>
      <c r="H38" s="320"/>
      <c r="I38" s="320"/>
      <c r="J38" s="320"/>
      <c r="K38" s="320"/>
      <c r="L38" s="320"/>
      <c r="M38" s="320"/>
      <c r="N38" s="313"/>
      <c r="O38" s="312"/>
      <c r="P38" s="311"/>
      <c r="Q38" s="310"/>
      <c r="R38" s="311">
        <f>IF(NOT(ISERROR(MATCH(Q38,_xlfn.ANCHORARRAY(E49),0))),P51&amp;"Por favor no seleccionar los criterios de impacto",Q38)</f>
        <v>0</v>
      </c>
      <c r="S38" s="312"/>
      <c r="T38" s="311"/>
      <c r="U38" s="324"/>
      <c r="V38" s="200">
        <v>2</v>
      </c>
      <c r="W38" s="173"/>
      <c r="X38" s="175" t="str">
        <f>IF(OR(Y38="Preventivo",Y38="Detectivo"),"Probabilidad",IF(Y38="Correctivo","Impacto",""))</f>
        <v/>
      </c>
      <c r="Y38" s="176"/>
      <c r="Z38" s="176"/>
      <c r="AA38" s="177" t="str">
        <f t="shared" ref="AA38:AA42" si="36">IF(AND(Y38="Preventivo",Z38="Automático"),"50%",IF(AND(Y38="Preventivo",Z38="Manual"),"40%",IF(AND(Y38="Detectivo",Z38="Automático"),"40%",IF(AND(Y38="Detectivo",Z38="Manual"),"30%",IF(AND(Y38="Correctivo",Z38="Automático"),"35%",IF(AND(Y38="Correctivo",Z38="Manual"),"25%",""))))))</f>
        <v/>
      </c>
      <c r="AB38" s="176"/>
      <c r="AC38" s="176"/>
      <c r="AD38" s="176"/>
      <c r="AE38" s="178" t="str">
        <f>IFERROR(IF(AND(X37="Probabilidad",X38="Probabilidad"),(AG37-(+AG37*AA38)),IF(X38="Probabilidad",(P37-(+P37*AA38)),IF(X38="Impacto",AG37,""))),"")</f>
        <v/>
      </c>
      <c r="AF38" s="179" t="str">
        <f t="shared" si="2"/>
        <v/>
      </c>
      <c r="AG38" s="177" t="str">
        <f t="shared" ref="AG38:AG42" si="37">+AE38</f>
        <v/>
      </c>
      <c r="AH38" s="179" t="str">
        <f t="shared" si="4"/>
        <v/>
      </c>
      <c r="AI38" s="177" t="str">
        <f t="shared" ref="AI38" si="38">IFERROR(IF(AND(X37="Impacto",X38="Impacto"),(AI37-(+AI37*AA38)),IF(X38="Impacto",($T$13-(+$T$13*AA38)),IF(X38="Probabilidad",AI37,""))),"")</f>
        <v/>
      </c>
      <c r="AJ38" s="180" t="str">
        <f t="shared" ref="AJ38:AJ39" si="39">IFERROR(IF(OR(AND(AF38="Muy Baja",AH38="Leve"),AND(AF38="Muy Baja",AH38="Menor"),AND(AF38="Baja",AH38="Leve")),"Bajo",IF(OR(AND(AF38="Muy baja",AH38="Moderado"),AND(AF38="Baja",AH38="Menor"),AND(AF38="Baja",AH38="Moderado"),AND(AF38="Media",AH38="Leve"),AND(AF38="Media",AH38="Menor"),AND(AF38="Media",AH38="Moderado"),AND(AF38="Alta",AH38="Leve"),AND(AF38="Alta",AH38="Menor")),"Moderado",IF(OR(AND(AF38="Muy Baja",AH38="Mayor"),AND(AF38="Baja",AH38="Mayor"),AND(AF38="Media",AH38="Mayor"),AND(AF38="Alta",AH38="Moderado"),AND(AF38="Alta",AH38="Mayor"),AND(AF38="Muy Alta",AH38="Leve"),AND(AF38="Muy Alta",AH38="Menor"),AND(AF38="Muy Alta",AH38="Moderado"),AND(AF38="Muy Alta",AH38="Mayor")),"Alto",IF(OR(AND(AF38="Muy Baja",AH38="Catastrófico"),AND(AF38="Baja",AH38="Catastrófico"),AND(AF38="Media",AH38="Catastrófico"),AND(AF38="Alta",AH38="Catastrófico"),AND(AF38="Muy Alta",AH38="Catastrófico")),"Extremo","")))),"")</f>
        <v/>
      </c>
      <c r="AK38" s="181"/>
      <c r="AL38" s="172"/>
      <c r="AM38" s="182"/>
      <c r="AN38" s="182"/>
      <c r="AO38" s="183"/>
      <c r="AP38" s="313"/>
      <c r="AQ38" s="313"/>
      <c r="AR38" s="313"/>
    </row>
    <row r="39" spans="1:44" ht="37.5" customHeight="1" x14ac:dyDescent="0.2">
      <c r="A39" s="329"/>
      <c r="B39" s="330"/>
      <c r="C39" s="330"/>
      <c r="D39" s="330"/>
      <c r="E39" s="330"/>
      <c r="F39" s="330"/>
      <c r="G39" s="320"/>
      <c r="H39" s="320"/>
      <c r="I39" s="320"/>
      <c r="J39" s="320"/>
      <c r="K39" s="320"/>
      <c r="L39" s="320"/>
      <c r="M39" s="320"/>
      <c r="N39" s="313"/>
      <c r="O39" s="312"/>
      <c r="P39" s="311"/>
      <c r="Q39" s="310"/>
      <c r="R39" s="311">
        <f>IF(NOT(ISERROR(MATCH(Q39,_xlfn.ANCHORARRAY(E50),0))),P52&amp;"Por favor no seleccionar los criterios de impacto",Q39)</f>
        <v>0</v>
      </c>
      <c r="S39" s="312"/>
      <c r="T39" s="311"/>
      <c r="U39" s="324"/>
      <c r="V39" s="200">
        <v>3</v>
      </c>
      <c r="W39" s="174"/>
      <c r="X39" s="175" t="str">
        <f>IF(OR(Y39="Preventivo",Y39="Detectivo"),"Probabilidad",IF(Y39="Correctivo","Impacto",""))</f>
        <v/>
      </c>
      <c r="Y39" s="176"/>
      <c r="Z39" s="176"/>
      <c r="AA39" s="177" t="str">
        <f t="shared" si="36"/>
        <v/>
      </c>
      <c r="AB39" s="176"/>
      <c r="AC39" s="176"/>
      <c r="AD39" s="176"/>
      <c r="AE39" s="178" t="str">
        <f>IFERROR(IF(AND(X38="Probabilidad",X39="Probabilidad"),(AG38-(+AG38*AA39)),IF(AND(X38="Impacto",X39="Probabilidad"),(AG37-(+AG37*AA39)),IF(X39="Impacto",AG38,""))),"")</f>
        <v/>
      </c>
      <c r="AF39" s="179" t="str">
        <f t="shared" si="2"/>
        <v/>
      </c>
      <c r="AG39" s="177" t="str">
        <f t="shared" si="37"/>
        <v/>
      </c>
      <c r="AH39" s="179" t="str">
        <f t="shared" si="4"/>
        <v/>
      </c>
      <c r="AI39" s="177" t="str">
        <f t="shared" ref="AI39" si="40">IFERROR(IF(AND(X38="Impacto",X39="Impacto"),(AI38-(+AI38*AA39)),IF(AND(X38="Probabilidad",X39="Impacto"),(AI37-(+AI37*AA39)),IF(X39="Probabilidad",AI38,""))),"")</f>
        <v/>
      </c>
      <c r="AJ39" s="180" t="str">
        <f t="shared" si="39"/>
        <v/>
      </c>
      <c r="AK39" s="181"/>
      <c r="AL39" s="172"/>
      <c r="AM39" s="182"/>
      <c r="AN39" s="182"/>
      <c r="AO39" s="183"/>
      <c r="AP39" s="313"/>
      <c r="AQ39" s="313"/>
      <c r="AR39" s="313"/>
    </row>
    <row r="40" spans="1:44" ht="37.5" customHeight="1" x14ac:dyDescent="0.2">
      <c r="A40" s="329"/>
      <c r="B40" s="330"/>
      <c r="C40" s="330"/>
      <c r="D40" s="330"/>
      <c r="E40" s="330"/>
      <c r="F40" s="330"/>
      <c r="G40" s="320"/>
      <c r="H40" s="320"/>
      <c r="I40" s="320"/>
      <c r="J40" s="320"/>
      <c r="K40" s="320"/>
      <c r="L40" s="320"/>
      <c r="M40" s="320"/>
      <c r="N40" s="313"/>
      <c r="O40" s="312"/>
      <c r="P40" s="311"/>
      <c r="Q40" s="310"/>
      <c r="R40" s="311">
        <f>IF(NOT(ISERROR(MATCH(Q40,_xlfn.ANCHORARRAY(E51),0))),P53&amp;"Por favor no seleccionar los criterios de impacto",Q40)</f>
        <v>0</v>
      </c>
      <c r="S40" s="312"/>
      <c r="T40" s="311"/>
      <c r="U40" s="324"/>
      <c r="V40" s="200">
        <v>4</v>
      </c>
      <c r="W40" s="173"/>
      <c r="X40" s="175" t="str">
        <f t="shared" ref="X40:X42" si="41">IF(OR(Y40="Preventivo",Y40="Detectivo"),"Probabilidad",IF(Y40="Correctivo","Impacto",""))</f>
        <v/>
      </c>
      <c r="Y40" s="176"/>
      <c r="Z40" s="176"/>
      <c r="AA40" s="177" t="str">
        <f t="shared" si="36"/>
        <v/>
      </c>
      <c r="AB40" s="176"/>
      <c r="AC40" s="176"/>
      <c r="AD40" s="176"/>
      <c r="AE40" s="178" t="str">
        <f t="shared" ref="AE40:AE42" si="42">IFERROR(IF(AND(X39="Probabilidad",X40="Probabilidad"),(AG39-(+AG39*AA40)),IF(AND(X39="Impacto",X40="Probabilidad"),(AG38-(+AG38*AA40)),IF(X40="Impacto",AG39,""))),"")</f>
        <v/>
      </c>
      <c r="AF40" s="179" t="str">
        <f t="shared" si="2"/>
        <v/>
      </c>
      <c r="AG40" s="177" t="str">
        <f t="shared" si="37"/>
        <v/>
      </c>
      <c r="AH40" s="179" t="str">
        <f t="shared" si="4"/>
        <v/>
      </c>
      <c r="AI40" s="177" t="str">
        <f t="shared" si="13"/>
        <v/>
      </c>
      <c r="AJ40" s="180" t="str">
        <f>IFERROR(IF(OR(AND(AF40="Muy Baja",AH40="Leve"),AND(AF40="Muy Baja",AH40="Menor"),AND(AF40="Baja",AH40="Leve")),"Bajo",IF(OR(AND(AF40="Muy baja",AH40="Moderado"),AND(AF40="Baja",AH40="Menor"),AND(AF40="Baja",AH40="Moderado"),AND(AF40="Media",AH40="Leve"),AND(AF40="Media",AH40="Menor"),AND(AF40="Media",AH40="Moderado"),AND(AF40="Alta",AH40="Leve"),AND(AF40="Alta",AH40="Menor")),"Moderado",IF(OR(AND(AF40="Muy Baja",AH40="Mayor"),AND(AF40="Baja",AH40="Mayor"),AND(AF40="Media",AH40="Mayor"),AND(AF40="Alta",AH40="Moderado"),AND(AF40="Alta",AH40="Mayor"),AND(AF40="Muy Alta",AH40="Leve"),AND(AF40="Muy Alta",AH40="Menor"),AND(AF40="Muy Alta",AH40="Moderado"),AND(AF40="Muy Alta",AH40="Mayor")),"Alto",IF(OR(AND(AF40="Muy Baja",AH40="Catastrófico"),AND(AF40="Baja",AH40="Catastrófico"),AND(AF40="Media",AH40="Catastrófico"),AND(AF40="Alta",AH40="Catastrófico"),AND(AF40="Muy Alta",AH40="Catastrófico")),"Extremo","")))),"")</f>
        <v/>
      </c>
      <c r="AK40" s="181"/>
      <c r="AL40" s="172"/>
      <c r="AM40" s="182"/>
      <c r="AN40" s="182"/>
      <c r="AO40" s="183"/>
      <c r="AP40" s="313"/>
      <c r="AQ40" s="313"/>
      <c r="AR40" s="313"/>
    </row>
    <row r="41" spans="1:44" ht="37.5" customHeight="1" x14ac:dyDescent="0.2">
      <c r="A41" s="329"/>
      <c r="B41" s="330"/>
      <c r="C41" s="330"/>
      <c r="D41" s="330"/>
      <c r="E41" s="330"/>
      <c r="F41" s="330"/>
      <c r="G41" s="320"/>
      <c r="H41" s="320"/>
      <c r="I41" s="320"/>
      <c r="J41" s="320"/>
      <c r="K41" s="320"/>
      <c r="L41" s="320"/>
      <c r="M41" s="320"/>
      <c r="N41" s="313"/>
      <c r="O41" s="312"/>
      <c r="P41" s="311"/>
      <c r="Q41" s="310"/>
      <c r="R41" s="311">
        <f>IF(NOT(ISERROR(MATCH(Q41,_xlfn.ANCHORARRAY(E52),0))),P54&amp;"Por favor no seleccionar los criterios de impacto",Q41)</f>
        <v>0</v>
      </c>
      <c r="S41" s="312"/>
      <c r="T41" s="311"/>
      <c r="U41" s="324"/>
      <c r="V41" s="200">
        <v>5</v>
      </c>
      <c r="W41" s="173"/>
      <c r="X41" s="175" t="str">
        <f t="shared" si="41"/>
        <v/>
      </c>
      <c r="Y41" s="176"/>
      <c r="Z41" s="176"/>
      <c r="AA41" s="177" t="str">
        <f t="shared" si="36"/>
        <v/>
      </c>
      <c r="AB41" s="176"/>
      <c r="AC41" s="176"/>
      <c r="AD41" s="176"/>
      <c r="AE41" s="178" t="str">
        <f t="shared" si="42"/>
        <v/>
      </c>
      <c r="AF41" s="179" t="str">
        <f t="shared" si="2"/>
        <v/>
      </c>
      <c r="AG41" s="177" t="str">
        <f t="shared" si="37"/>
        <v/>
      </c>
      <c r="AH41" s="179" t="str">
        <f t="shared" si="4"/>
        <v/>
      </c>
      <c r="AI41" s="177" t="str">
        <f t="shared" si="13"/>
        <v/>
      </c>
      <c r="AJ41" s="180" t="str">
        <f t="shared" ref="AJ41:AJ42" si="43">IFERROR(IF(OR(AND(AF41="Muy Baja",AH41="Leve"),AND(AF41="Muy Baja",AH41="Menor"),AND(AF41="Baja",AH41="Leve")),"Bajo",IF(OR(AND(AF41="Muy baja",AH41="Moderado"),AND(AF41="Baja",AH41="Menor"),AND(AF41="Baja",AH41="Moderado"),AND(AF41="Media",AH41="Leve"),AND(AF41="Media",AH41="Menor"),AND(AF41="Media",AH41="Moderado"),AND(AF41="Alta",AH41="Leve"),AND(AF41="Alta",AH41="Menor")),"Moderado",IF(OR(AND(AF41="Muy Baja",AH41="Mayor"),AND(AF41="Baja",AH41="Mayor"),AND(AF41="Media",AH41="Mayor"),AND(AF41="Alta",AH41="Moderado"),AND(AF41="Alta",AH41="Mayor"),AND(AF41="Muy Alta",AH41="Leve"),AND(AF41="Muy Alta",AH41="Menor"),AND(AF41="Muy Alta",AH41="Moderado"),AND(AF41="Muy Alta",AH41="Mayor")),"Alto",IF(OR(AND(AF41="Muy Baja",AH41="Catastrófico"),AND(AF41="Baja",AH41="Catastrófico"),AND(AF41="Media",AH41="Catastrófico"),AND(AF41="Alta",AH41="Catastrófico"),AND(AF41="Muy Alta",AH41="Catastrófico")),"Extremo","")))),"")</f>
        <v/>
      </c>
      <c r="AK41" s="181"/>
      <c r="AL41" s="172"/>
      <c r="AM41" s="182"/>
      <c r="AN41" s="182"/>
      <c r="AO41" s="183"/>
      <c r="AP41" s="313"/>
      <c r="AQ41" s="313"/>
      <c r="AR41" s="313"/>
    </row>
    <row r="42" spans="1:44" ht="37.5" customHeight="1" x14ac:dyDescent="0.2">
      <c r="A42" s="329"/>
      <c r="B42" s="330"/>
      <c r="C42" s="330"/>
      <c r="D42" s="330"/>
      <c r="E42" s="330"/>
      <c r="F42" s="330"/>
      <c r="G42" s="321"/>
      <c r="H42" s="321"/>
      <c r="I42" s="321"/>
      <c r="J42" s="321"/>
      <c r="K42" s="321"/>
      <c r="L42" s="321"/>
      <c r="M42" s="321"/>
      <c r="N42" s="313"/>
      <c r="O42" s="312"/>
      <c r="P42" s="311"/>
      <c r="Q42" s="310"/>
      <c r="R42" s="311">
        <f>IF(NOT(ISERROR(MATCH(Q42,_xlfn.ANCHORARRAY(E53),0))),P55&amp;"Por favor no seleccionar los criterios de impacto",Q42)</f>
        <v>0</v>
      </c>
      <c r="S42" s="312"/>
      <c r="T42" s="311"/>
      <c r="U42" s="324"/>
      <c r="V42" s="200">
        <v>6</v>
      </c>
      <c r="W42" s="173"/>
      <c r="X42" s="175" t="str">
        <f t="shared" si="41"/>
        <v/>
      </c>
      <c r="Y42" s="176"/>
      <c r="Z42" s="176"/>
      <c r="AA42" s="177" t="str">
        <f t="shared" si="36"/>
        <v/>
      </c>
      <c r="AB42" s="176"/>
      <c r="AC42" s="176"/>
      <c r="AD42" s="176"/>
      <c r="AE42" s="178" t="str">
        <f t="shared" si="42"/>
        <v/>
      </c>
      <c r="AF42" s="179" t="str">
        <f t="shared" si="2"/>
        <v/>
      </c>
      <c r="AG42" s="177" t="str">
        <f t="shared" si="37"/>
        <v/>
      </c>
      <c r="AH42" s="179" t="str">
        <f t="shared" si="4"/>
        <v/>
      </c>
      <c r="AI42" s="177" t="str">
        <f t="shared" si="13"/>
        <v/>
      </c>
      <c r="AJ42" s="180" t="str">
        <f t="shared" si="43"/>
        <v/>
      </c>
      <c r="AK42" s="181"/>
      <c r="AL42" s="172"/>
      <c r="AM42" s="182"/>
      <c r="AN42" s="182"/>
      <c r="AO42" s="183"/>
      <c r="AP42" s="313"/>
      <c r="AQ42" s="313"/>
      <c r="AR42" s="313"/>
    </row>
    <row r="43" spans="1:44" ht="37.5" customHeight="1" x14ac:dyDescent="0.2">
      <c r="A43" s="329">
        <v>6</v>
      </c>
      <c r="B43" s="330"/>
      <c r="C43" s="330"/>
      <c r="D43" s="330"/>
      <c r="E43" s="319"/>
      <c r="F43" s="330"/>
      <c r="G43" s="319"/>
      <c r="H43" s="319"/>
      <c r="I43" s="319"/>
      <c r="J43" s="319"/>
      <c r="K43" s="319"/>
      <c r="L43" s="319"/>
      <c r="M43" s="319"/>
      <c r="N43" s="313"/>
      <c r="O43" s="312" t="str">
        <f>IF(N43&lt;=0,"",IF(N43&lt;=2,"Muy Baja",IF(N43&lt;=24,"Baja",IF(N43&lt;=500,"Media",IF(N43&lt;=5000,"Alta","Muy Alta")))))</f>
        <v/>
      </c>
      <c r="P43" s="311" t="str">
        <f>IF(O43="","",IF(O43="Muy Baja",0.2,IF(O43="Baja",0.4,IF(O43="Media",0.6,IF(O43="Alta",0.8,IF(O43="Muy Alta",1,))))))</f>
        <v/>
      </c>
      <c r="Q43" s="310"/>
      <c r="R43" s="311">
        <f>IF(NOT(ISERROR(MATCH(Q43,'Tabla Impacto'!$B$222:$B$224,0))),'Tabla Impacto'!$F$224&amp;"Por favor no seleccionar los criterios de impacto(Afectación Económica o presupuestal y Pérdida Reputacional)",Q43)</f>
        <v>0</v>
      </c>
      <c r="S43" s="312" t="str">
        <f>IF(OR(R43='Tabla Impacto'!$C$12,R43='Tabla Impacto'!$D$12),"Leve",IF(OR(R43='Tabla Impacto'!$C$13,R43='Tabla Impacto'!$D$13),"Menor",IF(OR(R43='Tabla Impacto'!$C$14,R43='Tabla Impacto'!$D$14),"Moderado",IF(OR(R43='Tabla Impacto'!$C$15,R43='Tabla Impacto'!$D$15),"Mayor",IF(OR(R43='Tabla Impacto'!$C$16,R43='Tabla Impacto'!$D$16),"Catastrófico","")))))</f>
        <v/>
      </c>
      <c r="T43" s="311" t="str">
        <f>IF(S43="","",IF(S43="Leve",0.2,IF(S43="Menor",0.4,IF(S43="Moderado",0.6,IF(S43="Mayor",0.8,IF(S43="Catastrófico",1,))))))</f>
        <v/>
      </c>
      <c r="U43" s="324"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200">
        <v>1</v>
      </c>
      <c r="W43" s="173"/>
      <c r="X43" s="175" t="str">
        <f>IF(OR(Y43="Preventivo",Y43="Detectivo"),"Probabilidad",IF(Y43="Correctivo","Impacto",""))</f>
        <v/>
      </c>
      <c r="Y43" s="176"/>
      <c r="Z43" s="176"/>
      <c r="AA43" s="177" t="str">
        <f>IF(AND(Y43="Preventivo",Z43="Automático"),"50%",IF(AND(Y43="Preventivo",Z43="Manual"),"40%",IF(AND(Y43="Detectivo",Z43="Automático"),"40%",IF(AND(Y43="Detectivo",Z43="Manual"),"30%",IF(AND(Y43="Correctivo",Z43="Automático"),"35%",IF(AND(Y43="Correctivo",Z43="Manual"),"25%",""))))))</f>
        <v/>
      </c>
      <c r="AB43" s="176"/>
      <c r="AC43" s="176"/>
      <c r="AD43" s="176"/>
      <c r="AE43" s="178" t="str">
        <f>IFERROR(IF(X43="Probabilidad",(P43-(+P43*AA43)),IF(X43="Impacto",P43,"")),"")</f>
        <v/>
      </c>
      <c r="AF43" s="179" t="str">
        <f>IFERROR(IF(AE43="","",IF(AE43&lt;=0.2,"Muy Baja",IF(AE43&lt;=0.4,"Baja",IF(AE43&lt;=0.6,"Media",IF(AE43&lt;=0.8,"Alta","Muy Alta"))))),"")</f>
        <v/>
      </c>
      <c r="AG43" s="177" t="str">
        <f>+AE43</f>
        <v/>
      </c>
      <c r="AH43" s="179" t="str">
        <f>IFERROR(IF(AI43="","",IF(AI43&lt;=0.2,"Leve",IF(AI43&lt;=0.4,"Menor",IF(AI43&lt;=0.6,"Moderado",IF(AI43&lt;=0.8,"Mayor","Catastrófico"))))),"")</f>
        <v/>
      </c>
      <c r="AI43" s="177" t="str">
        <f t="shared" ref="AI43" si="44">IFERROR(IF(X43="Impacto",(T43-(+T43*AA43)),IF(X43="Probabilidad",T43,"")),"")</f>
        <v/>
      </c>
      <c r="AJ43" s="180" t="str">
        <f>IFERROR(IF(OR(AND(AF43="Muy Baja",AH43="Leve"),AND(AF43="Muy Baja",AH43="Menor"),AND(AF43="Baja",AH43="Leve")),"Bajo",IF(OR(AND(AF43="Muy baja",AH43="Moderado"),AND(AF43="Baja",AH43="Menor"),AND(AF43="Baja",AH43="Moderado"),AND(AF43="Media",AH43="Leve"),AND(AF43="Media",AH43="Menor"),AND(AF43="Media",AH43="Moderado"),AND(AF43="Alta",AH43="Leve"),AND(AF43="Alta",AH43="Menor")),"Moderado",IF(OR(AND(AF43="Muy Baja",AH43="Mayor"),AND(AF43="Baja",AH43="Mayor"),AND(AF43="Media",AH43="Mayor"),AND(AF43="Alta",AH43="Moderado"),AND(AF43="Alta",AH43="Mayor"),AND(AF43="Muy Alta",AH43="Leve"),AND(AF43="Muy Alta",AH43="Menor"),AND(AF43="Muy Alta",AH43="Moderado"),AND(AF43="Muy Alta",AH43="Mayor")),"Alto",IF(OR(AND(AF43="Muy Baja",AH43="Catastrófico"),AND(AF43="Baja",AH43="Catastrófico"),AND(AF43="Media",AH43="Catastrófico"),AND(AF43="Alta",AH43="Catastrófico"),AND(AF43="Muy Alta",AH43="Catastrófico")),"Extremo","")))),"")</f>
        <v/>
      </c>
      <c r="AK43" s="176"/>
      <c r="AL43" s="172"/>
      <c r="AM43" s="182"/>
      <c r="AN43" s="182"/>
      <c r="AO43" s="183"/>
      <c r="AP43" s="313"/>
      <c r="AQ43" s="313"/>
      <c r="AR43" s="313"/>
    </row>
    <row r="44" spans="1:44" ht="37.5" customHeight="1" x14ac:dyDescent="0.2">
      <c r="A44" s="329"/>
      <c r="B44" s="330"/>
      <c r="C44" s="330"/>
      <c r="D44" s="330"/>
      <c r="E44" s="320"/>
      <c r="F44" s="330"/>
      <c r="G44" s="320"/>
      <c r="H44" s="320"/>
      <c r="I44" s="320"/>
      <c r="J44" s="320"/>
      <c r="K44" s="320"/>
      <c r="L44" s="320"/>
      <c r="M44" s="320"/>
      <c r="N44" s="313"/>
      <c r="O44" s="312"/>
      <c r="P44" s="311"/>
      <c r="Q44" s="310"/>
      <c r="R44" s="311">
        <f>IF(NOT(ISERROR(MATCH(Q44,_xlfn.ANCHORARRAY(E55),0))),P57&amp;"Por favor no seleccionar los criterios de impacto",Q44)</f>
        <v>0</v>
      </c>
      <c r="S44" s="312"/>
      <c r="T44" s="311"/>
      <c r="U44" s="324"/>
      <c r="V44" s="200">
        <v>2</v>
      </c>
      <c r="W44" s="173"/>
      <c r="X44" s="175" t="str">
        <f>IF(OR(Y44="Preventivo",Y44="Detectivo"),"Probabilidad",IF(Y44="Correctivo","Impacto",""))</f>
        <v/>
      </c>
      <c r="Y44" s="176"/>
      <c r="Z44" s="176"/>
      <c r="AA44" s="177" t="str">
        <f t="shared" ref="AA44:AA48" si="45">IF(AND(Y44="Preventivo",Z44="Automático"),"50%",IF(AND(Y44="Preventivo",Z44="Manual"),"40%",IF(AND(Y44="Detectivo",Z44="Automático"),"40%",IF(AND(Y44="Detectivo",Z44="Manual"),"30%",IF(AND(Y44="Correctivo",Z44="Automático"),"35%",IF(AND(Y44="Correctivo",Z44="Manual"),"25%",""))))))</f>
        <v/>
      </c>
      <c r="AB44" s="176"/>
      <c r="AC44" s="176"/>
      <c r="AD44" s="176"/>
      <c r="AE44" s="178" t="str">
        <f>IFERROR(IF(AND(X43="Probabilidad",X44="Probabilidad"),(AG43-(+AG43*AA44)),IF(X44="Probabilidad",(P43-(+P43*AA44)),IF(X44="Impacto",AG43,""))),"")</f>
        <v/>
      </c>
      <c r="AF44" s="179" t="str">
        <f t="shared" si="2"/>
        <v/>
      </c>
      <c r="AG44" s="177" t="str">
        <f t="shared" ref="AG44:AG48" si="46">+AE44</f>
        <v/>
      </c>
      <c r="AH44" s="179" t="str">
        <f t="shared" si="4"/>
        <v/>
      </c>
      <c r="AI44" s="177" t="str">
        <f t="shared" ref="AI44" si="47">IFERROR(IF(AND(X43="Impacto",X44="Impacto"),(AI43-(+AI43*AA44)),IF(X44="Impacto",($T$13-(+$T$13*AA44)),IF(X44="Probabilidad",AI43,""))),"")</f>
        <v/>
      </c>
      <c r="AJ44" s="180" t="str">
        <f t="shared" ref="AJ44:AJ45" si="48">IFERROR(IF(OR(AND(AF44="Muy Baja",AH44="Leve"),AND(AF44="Muy Baja",AH44="Menor"),AND(AF44="Baja",AH44="Leve")),"Bajo",IF(OR(AND(AF44="Muy baja",AH44="Moderado"),AND(AF44="Baja",AH44="Menor"),AND(AF44="Baja",AH44="Moderado"),AND(AF44="Media",AH44="Leve"),AND(AF44="Media",AH44="Menor"),AND(AF44="Media",AH44="Moderado"),AND(AF44="Alta",AH44="Leve"),AND(AF44="Alta",AH44="Menor")),"Moderado",IF(OR(AND(AF44="Muy Baja",AH44="Mayor"),AND(AF44="Baja",AH44="Mayor"),AND(AF44="Media",AH44="Mayor"),AND(AF44="Alta",AH44="Moderado"),AND(AF44="Alta",AH44="Mayor"),AND(AF44="Muy Alta",AH44="Leve"),AND(AF44="Muy Alta",AH44="Menor"),AND(AF44="Muy Alta",AH44="Moderado"),AND(AF44="Muy Alta",AH44="Mayor")),"Alto",IF(OR(AND(AF44="Muy Baja",AH44="Catastrófico"),AND(AF44="Baja",AH44="Catastrófico"),AND(AF44="Media",AH44="Catastrófico"),AND(AF44="Alta",AH44="Catastrófico"),AND(AF44="Muy Alta",AH44="Catastrófico")),"Extremo","")))),"")</f>
        <v/>
      </c>
      <c r="AK44" s="181"/>
      <c r="AL44" s="172"/>
      <c r="AM44" s="182"/>
      <c r="AN44" s="182"/>
      <c r="AO44" s="183"/>
      <c r="AP44" s="313"/>
      <c r="AQ44" s="313"/>
      <c r="AR44" s="313"/>
    </row>
    <row r="45" spans="1:44" ht="37.5" customHeight="1" x14ac:dyDescent="0.2">
      <c r="A45" s="329"/>
      <c r="B45" s="330"/>
      <c r="C45" s="330"/>
      <c r="D45" s="330"/>
      <c r="E45" s="320"/>
      <c r="F45" s="330"/>
      <c r="G45" s="320"/>
      <c r="H45" s="320"/>
      <c r="I45" s="320"/>
      <c r="J45" s="320"/>
      <c r="K45" s="320"/>
      <c r="L45" s="320"/>
      <c r="M45" s="320"/>
      <c r="N45" s="313"/>
      <c r="O45" s="312"/>
      <c r="P45" s="311"/>
      <c r="Q45" s="310"/>
      <c r="R45" s="311">
        <f>IF(NOT(ISERROR(MATCH(Q45,_xlfn.ANCHORARRAY(E56),0))),P58&amp;"Por favor no seleccionar los criterios de impacto",Q45)</f>
        <v>0</v>
      </c>
      <c r="S45" s="312"/>
      <c r="T45" s="311"/>
      <c r="U45" s="324"/>
      <c r="V45" s="200">
        <v>3</v>
      </c>
      <c r="W45" s="174"/>
      <c r="X45" s="175" t="str">
        <f>IF(OR(Y45="Preventivo",Y45="Detectivo"),"Probabilidad",IF(Y45="Correctivo","Impacto",""))</f>
        <v/>
      </c>
      <c r="Y45" s="176"/>
      <c r="Z45" s="176"/>
      <c r="AA45" s="177" t="str">
        <f t="shared" si="45"/>
        <v/>
      </c>
      <c r="AB45" s="176"/>
      <c r="AC45" s="176"/>
      <c r="AD45" s="176"/>
      <c r="AE45" s="178" t="str">
        <f>IFERROR(IF(AND(X44="Probabilidad",X45="Probabilidad"),(AG44-(+AG44*AA45)),IF(AND(X44="Impacto",X45="Probabilidad"),(AG43-(+AG43*AA45)),IF(X45="Impacto",AG44,""))),"")</f>
        <v/>
      </c>
      <c r="AF45" s="179" t="str">
        <f t="shared" si="2"/>
        <v/>
      </c>
      <c r="AG45" s="177" t="str">
        <f t="shared" si="46"/>
        <v/>
      </c>
      <c r="AH45" s="179" t="str">
        <f t="shared" si="4"/>
        <v/>
      </c>
      <c r="AI45" s="177" t="str">
        <f t="shared" ref="AI45" si="49">IFERROR(IF(AND(X44="Impacto",X45="Impacto"),(AI44-(+AI44*AA45)),IF(AND(X44="Probabilidad",X45="Impacto"),(AI43-(+AI43*AA45)),IF(X45="Probabilidad",AI44,""))),"")</f>
        <v/>
      </c>
      <c r="AJ45" s="180" t="str">
        <f t="shared" si="48"/>
        <v/>
      </c>
      <c r="AK45" s="181"/>
      <c r="AL45" s="172"/>
      <c r="AM45" s="182"/>
      <c r="AN45" s="182"/>
      <c r="AO45" s="183"/>
      <c r="AP45" s="313"/>
      <c r="AQ45" s="313"/>
      <c r="AR45" s="313"/>
    </row>
    <row r="46" spans="1:44" ht="37.5" customHeight="1" x14ac:dyDescent="0.2">
      <c r="A46" s="329"/>
      <c r="B46" s="330"/>
      <c r="C46" s="330"/>
      <c r="D46" s="330"/>
      <c r="E46" s="320"/>
      <c r="F46" s="330"/>
      <c r="G46" s="320"/>
      <c r="H46" s="320"/>
      <c r="I46" s="320"/>
      <c r="J46" s="320"/>
      <c r="K46" s="320"/>
      <c r="L46" s="320"/>
      <c r="M46" s="320"/>
      <c r="N46" s="313"/>
      <c r="O46" s="312"/>
      <c r="P46" s="311"/>
      <c r="Q46" s="310"/>
      <c r="R46" s="311">
        <f>IF(NOT(ISERROR(MATCH(Q46,_xlfn.ANCHORARRAY(E57),0))),P59&amp;"Por favor no seleccionar los criterios de impacto",Q46)</f>
        <v>0</v>
      </c>
      <c r="S46" s="312"/>
      <c r="T46" s="311"/>
      <c r="U46" s="324"/>
      <c r="V46" s="200">
        <v>4</v>
      </c>
      <c r="W46" s="173"/>
      <c r="X46" s="175" t="str">
        <f t="shared" ref="X46:X48" si="50">IF(OR(Y46="Preventivo",Y46="Detectivo"),"Probabilidad",IF(Y46="Correctivo","Impacto",""))</f>
        <v/>
      </c>
      <c r="Y46" s="176"/>
      <c r="Z46" s="176"/>
      <c r="AA46" s="177" t="str">
        <f t="shared" si="45"/>
        <v/>
      </c>
      <c r="AB46" s="176"/>
      <c r="AC46" s="176"/>
      <c r="AD46" s="176"/>
      <c r="AE46" s="178" t="str">
        <f t="shared" ref="AE46:AE48" si="51">IFERROR(IF(AND(X45="Probabilidad",X46="Probabilidad"),(AG45-(+AG45*AA46)),IF(AND(X45="Impacto",X46="Probabilidad"),(AG44-(+AG44*AA46)),IF(X46="Impacto",AG45,""))),"")</f>
        <v/>
      </c>
      <c r="AF46" s="179" t="str">
        <f t="shared" si="2"/>
        <v/>
      </c>
      <c r="AG46" s="177" t="str">
        <f t="shared" si="46"/>
        <v/>
      </c>
      <c r="AH46" s="179" t="str">
        <f t="shared" si="4"/>
        <v/>
      </c>
      <c r="AI46" s="177" t="str">
        <f t="shared" si="13"/>
        <v/>
      </c>
      <c r="AJ46" s="180" t="str">
        <f>IFERROR(IF(OR(AND(AF46="Muy Baja",AH46="Leve"),AND(AF46="Muy Baja",AH46="Menor"),AND(AF46="Baja",AH46="Leve")),"Bajo",IF(OR(AND(AF46="Muy baja",AH46="Moderado"),AND(AF46="Baja",AH46="Menor"),AND(AF46="Baja",AH46="Moderado"),AND(AF46="Media",AH46="Leve"),AND(AF46="Media",AH46="Menor"),AND(AF46="Media",AH46="Moderado"),AND(AF46="Alta",AH46="Leve"),AND(AF46="Alta",AH46="Menor")),"Moderado",IF(OR(AND(AF46="Muy Baja",AH46="Mayor"),AND(AF46="Baja",AH46="Mayor"),AND(AF46="Media",AH46="Mayor"),AND(AF46="Alta",AH46="Moderado"),AND(AF46="Alta",AH46="Mayor"),AND(AF46="Muy Alta",AH46="Leve"),AND(AF46="Muy Alta",AH46="Menor"),AND(AF46="Muy Alta",AH46="Moderado"),AND(AF46="Muy Alta",AH46="Mayor")),"Alto",IF(OR(AND(AF46="Muy Baja",AH46="Catastrófico"),AND(AF46="Baja",AH46="Catastrófico"),AND(AF46="Media",AH46="Catastrófico"),AND(AF46="Alta",AH46="Catastrófico"),AND(AF46="Muy Alta",AH46="Catastrófico")),"Extremo","")))),"")</f>
        <v/>
      </c>
      <c r="AK46" s="181"/>
      <c r="AL46" s="172"/>
      <c r="AM46" s="182"/>
      <c r="AN46" s="182"/>
      <c r="AO46" s="183"/>
      <c r="AP46" s="313"/>
      <c r="AQ46" s="313"/>
      <c r="AR46" s="313"/>
    </row>
    <row r="47" spans="1:44" ht="37.5" customHeight="1" x14ac:dyDescent="0.2">
      <c r="A47" s="329"/>
      <c r="B47" s="330"/>
      <c r="C47" s="330"/>
      <c r="D47" s="330"/>
      <c r="E47" s="320"/>
      <c r="F47" s="330"/>
      <c r="G47" s="320"/>
      <c r="H47" s="320"/>
      <c r="I47" s="320"/>
      <c r="J47" s="320"/>
      <c r="K47" s="320"/>
      <c r="L47" s="320"/>
      <c r="M47" s="320"/>
      <c r="N47" s="313"/>
      <c r="O47" s="312"/>
      <c r="P47" s="311"/>
      <c r="Q47" s="310"/>
      <c r="R47" s="311">
        <f>IF(NOT(ISERROR(MATCH(Q47,_xlfn.ANCHORARRAY(E58),0))),P60&amp;"Por favor no seleccionar los criterios de impacto",Q47)</f>
        <v>0</v>
      </c>
      <c r="S47" s="312"/>
      <c r="T47" s="311"/>
      <c r="U47" s="324"/>
      <c r="V47" s="200">
        <v>5</v>
      </c>
      <c r="W47" s="173"/>
      <c r="X47" s="175" t="str">
        <f t="shared" si="50"/>
        <v/>
      </c>
      <c r="Y47" s="176"/>
      <c r="Z47" s="176"/>
      <c r="AA47" s="177" t="str">
        <f t="shared" si="45"/>
        <v/>
      </c>
      <c r="AB47" s="176"/>
      <c r="AC47" s="176"/>
      <c r="AD47" s="176"/>
      <c r="AE47" s="178" t="str">
        <f t="shared" si="51"/>
        <v/>
      </c>
      <c r="AF47" s="179" t="str">
        <f t="shared" si="2"/>
        <v/>
      </c>
      <c r="AG47" s="177" t="str">
        <f t="shared" si="46"/>
        <v/>
      </c>
      <c r="AH47" s="179" t="str">
        <f t="shared" si="4"/>
        <v/>
      </c>
      <c r="AI47" s="177" t="str">
        <f t="shared" si="13"/>
        <v/>
      </c>
      <c r="AJ47" s="180" t="str">
        <f t="shared" ref="AJ47" si="52">IFERROR(IF(OR(AND(AF47="Muy Baja",AH47="Leve"),AND(AF47="Muy Baja",AH47="Menor"),AND(AF47="Baja",AH47="Leve")),"Bajo",IF(OR(AND(AF47="Muy baja",AH47="Moderado"),AND(AF47="Baja",AH47="Menor"),AND(AF47="Baja",AH47="Moderado"),AND(AF47="Media",AH47="Leve"),AND(AF47="Media",AH47="Menor"),AND(AF47="Media",AH47="Moderado"),AND(AF47="Alta",AH47="Leve"),AND(AF47="Alta",AH47="Menor")),"Moderado",IF(OR(AND(AF47="Muy Baja",AH47="Mayor"),AND(AF47="Baja",AH47="Mayor"),AND(AF47="Media",AH47="Mayor"),AND(AF47="Alta",AH47="Moderado"),AND(AF47="Alta",AH47="Mayor"),AND(AF47="Muy Alta",AH47="Leve"),AND(AF47="Muy Alta",AH47="Menor"),AND(AF47="Muy Alta",AH47="Moderado"),AND(AF47="Muy Alta",AH47="Mayor")),"Alto",IF(OR(AND(AF47="Muy Baja",AH47="Catastrófico"),AND(AF47="Baja",AH47="Catastrófico"),AND(AF47="Media",AH47="Catastrófico"),AND(AF47="Alta",AH47="Catastrófico"),AND(AF47="Muy Alta",AH47="Catastrófico")),"Extremo","")))),"")</f>
        <v/>
      </c>
      <c r="AK47" s="181"/>
      <c r="AL47" s="172"/>
      <c r="AM47" s="182"/>
      <c r="AN47" s="182"/>
      <c r="AO47" s="183"/>
      <c r="AP47" s="313"/>
      <c r="AQ47" s="313"/>
      <c r="AR47" s="313"/>
    </row>
    <row r="48" spans="1:44" ht="37.5" customHeight="1" x14ac:dyDescent="0.2">
      <c r="A48" s="329"/>
      <c r="B48" s="330"/>
      <c r="C48" s="330"/>
      <c r="D48" s="330"/>
      <c r="E48" s="321"/>
      <c r="F48" s="330"/>
      <c r="G48" s="321"/>
      <c r="H48" s="321"/>
      <c r="I48" s="321"/>
      <c r="J48" s="321"/>
      <c r="K48" s="321"/>
      <c r="L48" s="321"/>
      <c r="M48" s="321"/>
      <c r="N48" s="313"/>
      <c r="O48" s="312"/>
      <c r="P48" s="311"/>
      <c r="Q48" s="310"/>
      <c r="R48" s="311">
        <f>IF(NOT(ISERROR(MATCH(Q48,_xlfn.ANCHORARRAY(E59),0))),P61&amp;"Por favor no seleccionar los criterios de impacto",Q48)</f>
        <v>0</v>
      </c>
      <c r="S48" s="312"/>
      <c r="T48" s="311"/>
      <c r="U48" s="324"/>
      <c r="V48" s="200">
        <v>6</v>
      </c>
      <c r="W48" s="173"/>
      <c r="X48" s="175" t="str">
        <f t="shared" si="50"/>
        <v/>
      </c>
      <c r="Y48" s="176"/>
      <c r="Z48" s="176"/>
      <c r="AA48" s="177" t="str">
        <f t="shared" si="45"/>
        <v/>
      </c>
      <c r="AB48" s="176"/>
      <c r="AC48" s="176"/>
      <c r="AD48" s="176"/>
      <c r="AE48" s="178" t="str">
        <f t="shared" si="51"/>
        <v/>
      </c>
      <c r="AF48" s="179" t="str">
        <f t="shared" si="2"/>
        <v/>
      </c>
      <c r="AG48" s="177" t="str">
        <f t="shared" si="46"/>
        <v/>
      </c>
      <c r="AH48" s="179" t="str">
        <f>IFERROR(IF(AI48="","",IF(AI48&lt;=0.2,"Leve",IF(AI48&lt;=0.4,"Menor",IF(AI48&lt;=0.6,"Moderado",IF(AI48&lt;=0.8,"Mayor","Catastrófico"))))),"")</f>
        <v/>
      </c>
      <c r="AI48" s="177" t="str">
        <f t="shared" si="13"/>
        <v/>
      </c>
      <c r="AJ48" s="180" t="str">
        <f>IFERROR(IF(OR(AND(AF48="Muy Baja",AH48="Leve"),AND(AF48="Muy Baja",AH48="Menor"),AND(AF48="Baja",AH48="Leve")),"Bajo",IF(OR(AND(AF48="Muy baja",AH48="Moderado"),AND(AF48="Baja",AH48="Menor"),AND(AF48="Baja",AH48="Moderado"),AND(AF48="Media",AH48="Leve"),AND(AF48="Media",AH48="Menor"),AND(AF48="Media",AH48="Moderado"),AND(AF48="Alta",AH48="Leve"),AND(AF48="Alta",AH48="Menor")),"Moderado",IF(OR(AND(AF48="Muy Baja",AH48="Mayor"),AND(AF48="Baja",AH48="Mayor"),AND(AF48="Media",AH48="Mayor"),AND(AF48="Alta",AH48="Moderado"),AND(AF48="Alta",AH48="Mayor"),AND(AF48="Muy Alta",AH48="Leve"),AND(AF48="Muy Alta",AH48="Menor"),AND(AF48="Muy Alta",AH48="Moderado"),AND(AF48="Muy Alta",AH48="Mayor")),"Alto",IF(OR(AND(AF48="Muy Baja",AH48="Catastrófico"),AND(AF48="Baja",AH48="Catastrófico"),AND(AF48="Media",AH48="Catastrófico"),AND(AF48="Alta",AH48="Catastrófico"),AND(AF48="Muy Alta",AH48="Catastrófico")),"Extremo","")))),"")</f>
        <v/>
      </c>
      <c r="AK48" s="181"/>
      <c r="AL48" s="172"/>
      <c r="AM48" s="182"/>
      <c r="AN48" s="182"/>
      <c r="AO48" s="183"/>
      <c r="AP48" s="313"/>
      <c r="AQ48" s="313"/>
      <c r="AR48" s="313"/>
    </row>
    <row r="49" spans="1:44" ht="37.5" customHeight="1" x14ac:dyDescent="0.2">
      <c r="A49" s="329">
        <v>7</v>
      </c>
      <c r="B49" s="330"/>
      <c r="C49" s="330"/>
      <c r="D49" s="334"/>
      <c r="E49" s="330"/>
      <c r="F49" s="330"/>
      <c r="G49" s="319"/>
      <c r="H49" s="319"/>
      <c r="I49" s="319"/>
      <c r="J49" s="319"/>
      <c r="K49" s="319"/>
      <c r="L49" s="319"/>
      <c r="M49" s="319"/>
      <c r="N49" s="313"/>
      <c r="O49" s="312" t="str">
        <f>IF(N49&lt;=0,"",IF(N49&lt;=2,"Muy Baja",IF(N49&lt;=24,"Baja",IF(N49&lt;=500,"Media",IF(N49&lt;=5000,"Alta","Muy Alta")))))</f>
        <v/>
      </c>
      <c r="P49" s="311" t="str">
        <f>IF(O49="","",IF(O49="Muy Baja",0.2,IF(O49="Baja",0.4,IF(O49="Media",0.6,IF(O49="Alta",0.8,IF(O49="Muy Alta",1,))))))</f>
        <v/>
      </c>
      <c r="Q49" s="310"/>
      <c r="R49" s="311">
        <f>IF(NOT(ISERROR(MATCH(Q49,'Tabla Impacto'!$B$222:$B$224,0))),'Tabla Impacto'!$F$224&amp;"Por favor no seleccionar los criterios de impacto(Afectación Económica o presupuestal y Pérdida Reputacional)",Q49)</f>
        <v>0</v>
      </c>
      <c r="S49" s="312" t="str">
        <f>IF(OR(R49='Tabla Impacto'!$C$12,R49='Tabla Impacto'!$D$12),"Leve",IF(OR(R49='Tabla Impacto'!$C$13,R49='Tabla Impacto'!$D$13),"Menor",IF(OR(R49='Tabla Impacto'!$C$14,R49='Tabla Impacto'!$D$14),"Moderado",IF(OR(R49='Tabla Impacto'!$C$15,R49='Tabla Impacto'!$D$15),"Mayor",IF(OR(R49='Tabla Impacto'!$C$16,R49='Tabla Impacto'!$D$16),"Catastrófico","")))))</f>
        <v/>
      </c>
      <c r="T49" s="311" t="str">
        <f>IF(S49="","",IF(S49="Leve",0.2,IF(S49="Menor",0.4,IF(S49="Moderado",0.6,IF(S49="Mayor",0.8,IF(S49="Catastrófico",1,))))))</f>
        <v/>
      </c>
      <c r="U49" s="324"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200">
        <v>1</v>
      </c>
      <c r="W49" s="185"/>
      <c r="X49" s="175" t="str">
        <f>IF(OR(Y49="Preventivo",Y49="Detectivo"),"Probabilidad",IF(Y49="Correctivo","Impacto",""))</f>
        <v/>
      </c>
      <c r="Y49" s="176"/>
      <c r="Z49" s="176"/>
      <c r="AA49" s="177" t="str">
        <f>IF(AND(Y49="Preventivo",Z49="Automático"),"50%",IF(AND(Y49="Preventivo",Z49="Manual"),"40%",IF(AND(Y49="Detectivo",Z49="Automático"),"40%",IF(AND(Y49="Detectivo",Z49="Manual"),"30%",IF(AND(Y49="Correctivo",Z49="Automático"),"35%",IF(AND(Y49="Correctivo",Z49="Manual"),"25%",""))))))</f>
        <v/>
      </c>
      <c r="AB49" s="176"/>
      <c r="AC49" s="176"/>
      <c r="AD49" s="176"/>
      <c r="AE49" s="178" t="str">
        <f>IFERROR(IF(X49="Probabilidad",(P49-(+P49*AA49)),IF(X49="Impacto",P49,"")),"")</f>
        <v/>
      </c>
      <c r="AF49" s="179" t="str">
        <f>IFERROR(IF(AE49="","",IF(AE49&lt;=0.2,"Muy Baja",IF(AE49&lt;=0.4,"Baja",IF(AE49&lt;=0.6,"Media",IF(AE49&lt;=0.8,"Alta","Muy Alta"))))),"")</f>
        <v/>
      </c>
      <c r="AG49" s="177" t="str">
        <f>+AE49</f>
        <v/>
      </c>
      <c r="AH49" s="179" t="str">
        <f>IFERROR(IF(AI49="","",IF(AI49&lt;=0.2,"Leve",IF(AI49&lt;=0.4,"Menor",IF(AI49&lt;=0.6,"Moderado",IF(AI49&lt;=0.8,"Mayor","Catastrófico"))))),"")</f>
        <v/>
      </c>
      <c r="AI49" s="177" t="str">
        <f t="shared" ref="AI49" si="53">IFERROR(IF(X49="Impacto",(T49-(+T49*AA49)),IF(X49="Probabilidad",T49,"")),"")</f>
        <v/>
      </c>
      <c r="AJ49" s="180" t="str">
        <f>IFERROR(IF(OR(AND(AF49="Muy Baja",AH49="Leve"),AND(AF49="Muy Baja",AH49="Menor"),AND(AF49="Baja",AH49="Leve")),"Bajo",IF(OR(AND(AF49="Muy baja",AH49="Moderado"),AND(AF49="Baja",AH49="Menor"),AND(AF49="Baja",AH49="Moderado"),AND(AF49="Media",AH49="Leve"),AND(AF49="Media",AH49="Menor"),AND(AF49="Media",AH49="Moderado"),AND(AF49="Alta",AH49="Leve"),AND(AF49="Alta",AH49="Menor")),"Moderado",IF(OR(AND(AF49="Muy Baja",AH49="Mayor"),AND(AF49="Baja",AH49="Mayor"),AND(AF49="Media",AH49="Mayor"),AND(AF49="Alta",AH49="Moderado"),AND(AF49="Alta",AH49="Mayor"),AND(AF49="Muy Alta",AH49="Leve"),AND(AF49="Muy Alta",AH49="Menor"),AND(AF49="Muy Alta",AH49="Moderado"),AND(AF49="Muy Alta",AH49="Mayor")),"Alto",IF(OR(AND(AF49="Muy Baja",AH49="Catastrófico"),AND(AF49="Baja",AH49="Catastrófico"),AND(AF49="Media",AH49="Catastrófico"),AND(AF49="Alta",AH49="Catastrófico"),AND(AF49="Muy Alta",AH49="Catastrófico")),"Extremo","")))),"")</f>
        <v/>
      </c>
      <c r="AK49" s="181"/>
      <c r="AL49" s="172"/>
      <c r="AM49" s="182"/>
      <c r="AN49" s="182"/>
      <c r="AO49" s="183"/>
      <c r="AP49" s="313"/>
      <c r="AQ49" s="313"/>
      <c r="AR49" s="313"/>
    </row>
    <row r="50" spans="1:44" ht="37.5" customHeight="1" x14ac:dyDescent="0.2">
      <c r="A50" s="329"/>
      <c r="B50" s="330"/>
      <c r="C50" s="330"/>
      <c r="D50" s="334"/>
      <c r="E50" s="330"/>
      <c r="F50" s="330"/>
      <c r="G50" s="320"/>
      <c r="H50" s="320"/>
      <c r="I50" s="320"/>
      <c r="J50" s="320"/>
      <c r="K50" s="320"/>
      <c r="L50" s="320"/>
      <c r="M50" s="320"/>
      <c r="N50" s="313"/>
      <c r="O50" s="312"/>
      <c r="P50" s="311"/>
      <c r="Q50" s="310"/>
      <c r="R50" s="311">
        <f>IF(NOT(ISERROR(MATCH(Q50,_xlfn.ANCHORARRAY(E61),0))),P63&amp;"Por favor no seleccionar los criterios de impacto",Q50)</f>
        <v>0</v>
      </c>
      <c r="S50" s="312"/>
      <c r="T50" s="311"/>
      <c r="U50" s="324"/>
      <c r="V50" s="200">
        <v>2</v>
      </c>
      <c r="W50" s="173"/>
      <c r="X50" s="175" t="str">
        <f>IF(OR(Y50="Preventivo",Y50="Detectivo"),"Probabilidad",IF(Y50="Correctivo","Impacto",""))</f>
        <v/>
      </c>
      <c r="Y50" s="176"/>
      <c r="Z50" s="176"/>
      <c r="AA50" s="177" t="str">
        <f t="shared" ref="AA50:AA54" si="54">IF(AND(Y50="Preventivo",Z50="Automático"),"50%",IF(AND(Y50="Preventivo",Z50="Manual"),"40%",IF(AND(Y50="Detectivo",Z50="Automático"),"40%",IF(AND(Y50="Detectivo",Z50="Manual"),"30%",IF(AND(Y50="Correctivo",Z50="Automático"),"35%",IF(AND(Y50="Correctivo",Z50="Manual"),"25%",""))))))</f>
        <v/>
      </c>
      <c r="AB50" s="176"/>
      <c r="AC50" s="176"/>
      <c r="AD50" s="176"/>
      <c r="AE50" s="178" t="str">
        <f>IFERROR(IF(AND(X49="Probabilidad",X50="Probabilidad"),(AG49-(+AG49*AA50)),IF(X50="Probabilidad",(P49-(+P49*AA50)),IF(X50="Impacto",AG49,""))),"")</f>
        <v/>
      </c>
      <c r="AF50" s="179" t="str">
        <f t="shared" si="2"/>
        <v/>
      </c>
      <c r="AG50" s="177" t="str">
        <f t="shared" ref="AG50:AG54" si="55">+AE50</f>
        <v/>
      </c>
      <c r="AH50" s="179" t="str">
        <f t="shared" si="4"/>
        <v/>
      </c>
      <c r="AI50" s="177" t="str">
        <f t="shared" ref="AI50" si="56">IFERROR(IF(AND(X49="Impacto",X50="Impacto"),(AI49-(+AI49*AA50)),IF(X50="Impacto",($T$13-(+$T$13*AA50)),IF(X50="Probabilidad",AI49,""))),"")</f>
        <v/>
      </c>
      <c r="AJ50" s="180" t="str">
        <f t="shared" ref="AJ50:AJ51" si="57">IFERROR(IF(OR(AND(AF50="Muy Baja",AH50="Leve"),AND(AF50="Muy Baja",AH50="Menor"),AND(AF50="Baja",AH50="Leve")),"Bajo",IF(OR(AND(AF50="Muy baja",AH50="Moderado"),AND(AF50="Baja",AH50="Menor"),AND(AF50="Baja",AH50="Moderado"),AND(AF50="Media",AH50="Leve"),AND(AF50="Media",AH50="Menor"),AND(AF50="Media",AH50="Moderado"),AND(AF50="Alta",AH50="Leve"),AND(AF50="Alta",AH50="Menor")),"Moderado",IF(OR(AND(AF50="Muy Baja",AH50="Mayor"),AND(AF50="Baja",AH50="Mayor"),AND(AF50="Media",AH50="Mayor"),AND(AF50="Alta",AH50="Moderado"),AND(AF50="Alta",AH50="Mayor"),AND(AF50="Muy Alta",AH50="Leve"),AND(AF50="Muy Alta",AH50="Menor"),AND(AF50="Muy Alta",AH50="Moderado"),AND(AF50="Muy Alta",AH50="Mayor")),"Alto",IF(OR(AND(AF50="Muy Baja",AH50="Catastrófico"),AND(AF50="Baja",AH50="Catastrófico"),AND(AF50="Media",AH50="Catastrófico"),AND(AF50="Alta",AH50="Catastrófico"),AND(AF50="Muy Alta",AH50="Catastrófico")),"Extremo","")))),"")</f>
        <v/>
      </c>
      <c r="AK50" s="181"/>
      <c r="AL50" s="172"/>
      <c r="AM50" s="182"/>
      <c r="AN50" s="182"/>
      <c r="AO50" s="183"/>
      <c r="AP50" s="313"/>
      <c r="AQ50" s="313"/>
      <c r="AR50" s="313"/>
    </row>
    <row r="51" spans="1:44" ht="37.5" customHeight="1" x14ac:dyDescent="0.2">
      <c r="A51" s="329"/>
      <c r="B51" s="330"/>
      <c r="C51" s="330"/>
      <c r="D51" s="334"/>
      <c r="E51" s="330"/>
      <c r="F51" s="330"/>
      <c r="G51" s="320"/>
      <c r="H51" s="320"/>
      <c r="I51" s="320"/>
      <c r="J51" s="320"/>
      <c r="K51" s="320"/>
      <c r="L51" s="320"/>
      <c r="M51" s="320"/>
      <c r="N51" s="313"/>
      <c r="O51" s="312"/>
      <c r="P51" s="311"/>
      <c r="Q51" s="310"/>
      <c r="R51" s="311">
        <f>IF(NOT(ISERROR(MATCH(Q51,_xlfn.ANCHORARRAY(E62),0))),P64&amp;"Por favor no seleccionar los criterios de impacto",Q51)</f>
        <v>0</v>
      </c>
      <c r="S51" s="312"/>
      <c r="T51" s="311"/>
      <c r="U51" s="324"/>
      <c r="V51" s="200">
        <v>3</v>
      </c>
      <c r="W51" s="174"/>
      <c r="X51" s="175" t="str">
        <f>IF(OR(Y51="Preventivo",Y51="Detectivo"),"Probabilidad",IF(Y51="Correctivo","Impacto",""))</f>
        <v/>
      </c>
      <c r="Y51" s="176"/>
      <c r="Z51" s="176"/>
      <c r="AA51" s="177" t="str">
        <f t="shared" si="54"/>
        <v/>
      </c>
      <c r="AB51" s="176"/>
      <c r="AC51" s="176"/>
      <c r="AD51" s="176"/>
      <c r="AE51" s="178" t="str">
        <f>IFERROR(IF(AND(X50="Probabilidad",X51="Probabilidad"),(AG50-(+AG50*AA51)),IF(AND(X50="Impacto",X51="Probabilidad"),(AG49-(+AG49*AA51)),IF(X51="Impacto",AG50,""))),"")</f>
        <v/>
      </c>
      <c r="AF51" s="179" t="str">
        <f t="shared" si="2"/>
        <v/>
      </c>
      <c r="AG51" s="177" t="str">
        <f t="shared" si="55"/>
        <v/>
      </c>
      <c r="AH51" s="179" t="str">
        <f t="shared" si="4"/>
        <v/>
      </c>
      <c r="AI51" s="177" t="str">
        <f t="shared" ref="AI51" si="58">IFERROR(IF(AND(X50="Impacto",X51="Impacto"),(AI50-(+AI50*AA51)),IF(AND(X50="Probabilidad",X51="Impacto"),(AI49-(+AI49*AA51)),IF(X51="Probabilidad",AI50,""))),"")</f>
        <v/>
      </c>
      <c r="AJ51" s="180" t="str">
        <f t="shared" si="57"/>
        <v/>
      </c>
      <c r="AK51" s="181"/>
      <c r="AL51" s="172"/>
      <c r="AM51" s="182"/>
      <c r="AN51" s="182"/>
      <c r="AO51" s="183"/>
      <c r="AP51" s="313"/>
      <c r="AQ51" s="313"/>
      <c r="AR51" s="313"/>
    </row>
    <row r="52" spans="1:44" ht="37.5" customHeight="1" x14ac:dyDescent="0.2">
      <c r="A52" s="329"/>
      <c r="B52" s="330"/>
      <c r="C52" s="330"/>
      <c r="D52" s="334"/>
      <c r="E52" s="330"/>
      <c r="F52" s="330"/>
      <c r="G52" s="320"/>
      <c r="H52" s="320"/>
      <c r="I52" s="320"/>
      <c r="J52" s="320"/>
      <c r="K52" s="320"/>
      <c r="L52" s="320"/>
      <c r="M52" s="320"/>
      <c r="N52" s="313"/>
      <c r="O52" s="312"/>
      <c r="P52" s="311"/>
      <c r="Q52" s="310"/>
      <c r="R52" s="311">
        <f>IF(NOT(ISERROR(MATCH(Q52,_xlfn.ANCHORARRAY(E63),0))),P65&amp;"Por favor no seleccionar los criterios de impacto",Q52)</f>
        <v>0</v>
      </c>
      <c r="S52" s="312"/>
      <c r="T52" s="311"/>
      <c r="U52" s="324"/>
      <c r="V52" s="200">
        <v>4</v>
      </c>
      <c r="W52" s="173"/>
      <c r="X52" s="175" t="str">
        <f t="shared" ref="X52:X54" si="59">IF(OR(Y52="Preventivo",Y52="Detectivo"),"Probabilidad",IF(Y52="Correctivo","Impacto",""))</f>
        <v/>
      </c>
      <c r="Y52" s="176"/>
      <c r="Z52" s="176"/>
      <c r="AA52" s="177" t="str">
        <f t="shared" si="54"/>
        <v/>
      </c>
      <c r="AB52" s="176"/>
      <c r="AC52" s="176"/>
      <c r="AD52" s="176"/>
      <c r="AE52" s="178" t="str">
        <f t="shared" ref="AE52:AE54" si="60">IFERROR(IF(AND(X51="Probabilidad",X52="Probabilidad"),(AG51-(+AG51*AA52)),IF(AND(X51="Impacto",X52="Probabilidad"),(AG50-(+AG50*AA52)),IF(X52="Impacto",AG51,""))),"")</f>
        <v/>
      </c>
      <c r="AF52" s="179" t="str">
        <f t="shared" si="2"/>
        <v/>
      </c>
      <c r="AG52" s="177" t="str">
        <f t="shared" si="55"/>
        <v/>
      </c>
      <c r="AH52" s="179" t="str">
        <f t="shared" si="4"/>
        <v/>
      </c>
      <c r="AI52" s="177" t="str">
        <f t="shared" si="13"/>
        <v/>
      </c>
      <c r="AJ52" s="180" t="str">
        <f>IFERROR(IF(OR(AND(AF52="Muy Baja",AH52="Leve"),AND(AF52="Muy Baja",AH52="Menor"),AND(AF52="Baja",AH52="Leve")),"Bajo",IF(OR(AND(AF52="Muy baja",AH52="Moderado"),AND(AF52="Baja",AH52="Menor"),AND(AF52="Baja",AH52="Moderado"),AND(AF52="Media",AH52="Leve"),AND(AF52="Media",AH52="Menor"),AND(AF52="Media",AH52="Moderado"),AND(AF52="Alta",AH52="Leve"),AND(AF52="Alta",AH52="Menor")),"Moderado",IF(OR(AND(AF52="Muy Baja",AH52="Mayor"),AND(AF52="Baja",AH52="Mayor"),AND(AF52="Media",AH52="Mayor"),AND(AF52="Alta",AH52="Moderado"),AND(AF52="Alta",AH52="Mayor"),AND(AF52="Muy Alta",AH52="Leve"),AND(AF52="Muy Alta",AH52="Menor"),AND(AF52="Muy Alta",AH52="Moderado"),AND(AF52="Muy Alta",AH52="Mayor")),"Alto",IF(OR(AND(AF52="Muy Baja",AH52="Catastrófico"),AND(AF52="Baja",AH52="Catastrófico"),AND(AF52="Media",AH52="Catastrófico"),AND(AF52="Alta",AH52="Catastrófico"),AND(AF52="Muy Alta",AH52="Catastrófico")),"Extremo","")))),"")</f>
        <v/>
      </c>
      <c r="AK52" s="181"/>
      <c r="AL52" s="172"/>
      <c r="AM52" s="182"/>
      <c r="AN52" s="182"/>
      <c r="AO52" s="183"/>
      <c r="AP52" s="313"/>
      <c r="AQ52" s="313"/>
      <c r="AR52" s="313"/>
    </row>
    <row r="53" spans="1:44" ht="37.5" customHeight="1" x14ac:dyDescent="0.2">
      <c r="A53" s="329"/>
      <c r="B53" s="330"/>
      <c r="C53" s="330"/>
      <c r="D53" s="334"/>
      <c r="E53" s="330"/>
      <c r="F53" s="330"/>
      <c r="G53" s="320"/>
      <c r="H53" s="320"/>
      <c r="I53" s="320"/>
      <c r="J53" s="320"/>
      <c r="K53" s="320"/>
      <c r="L53" s="320"/>
      <c r="M53" s="320"/>
      <c r="N53" s="313"/>
      <c r="O53" s="312"/>
      <c r="P53" s="311"/>
      <c r="Q53" s="310"/>
      <c r="R53" s="311">
        <f>IF(NOT(ISERROR(MATCH(Q53,_xlfn.ANCHORARRAY(E64),0))),P66&amp;"Por favor no seleccionar los criterios de impacto",Q53)</f>
        <v>0</v>
      </c>
      <c r="S53" s="312"/>
      <c r="T53" s="311"/>
      <c r="U53" s="324"/>
      <c r="V53" s="200">
        <v>5</v>
      </c>
      <c r="W53" s="173"/>
      <c r="X53" s="175" t="str">
        <f t="shared" si="59"/>
        <v/>
      </c>
      <c r="Y53" s="176"/>
      <c r="Z53" s="176"/>
      <c r="AA53" s="177" t="str">
        <f t="shared" si="54"/>
        <v/>
      </c>
      <c r="AB53" s="176"/>
      <c r="AC53" s="176"/>
      <c r="AD53" s="176"/>
      <c r="AE53" s="178" t="str">
        <f t="shared" si="60"/>
        <v/>
      </c>
      <c r="AF53" s="179" t="str">
        <f t="shared" si="2"/>
        <v/>
      </c>
      <c r="AG53" s="177" t="str">
        <f t="shared" si="55"/>
        <v/>
      </c>
      <c r="AH53" s="179" t="str">
        <f t="shared" si="4"/>
        <v/>
      </c>
      <c r="AI53" s="177" t="str">
        <f t="shared" si="13"/>
        <v/>
      </c>
      <c r="AJ53" s="180" t="str">
        <f t="shared" ref="AJ53:AJ54" si="61">IFERROR(IF(OR(AND(AF53="Muy Baja",AH53="Leve"),AND(AF53="Muy Baja",AH53="Menor"),AND(AF53="Baja",AH53="Leve")),"Bajo",IF(OR(AND(AF53="Muy baja",AH53="Moderado"),AND(AF53="Baja",AH53="Menor"),AND(AF53="Baja",AH53="Moderado"),AND(AF53="Media",AH53="Leve"),AND(AF53="Media",AH53="Menor"),AND(AF53="Media",AH53="Moderado"),AND(AF53="Alta",AH53="Leve"),AND(AF53="Alta",AH53="Menor")),"Moderado",IF(OR(AND(AF53="Muy Baja",AH53="Mayor"),AND(AF53="Baja",AH53="Mayor"),AND(AF53="Media",AH53="Mayor"),AND(AF53="Alta",AH53="Moderado"),AND(AF53="Alta",AH53="Mayor"),AND(AF53="Muy Alta",AH53="Leve"),AND(AF53="Muy Alta",AH53="Menor"),AND(AF53="Muy Alta",AH53="Moderado"),AND(AF53="Muy Alta",AH53="Mayor")),"Alto",IF(OR(AND(AF53="Muy Baja",AH53="Catastrófico"),AND(AF53="Baja",AH53="Catastrófico"),AND(AF53="Media",AH53="Catastrófico"),AND(AF53="Alta",AH53="Catastrófico"),AND(AF53="Muy Alta",AH53="Catastrófico")),"Extremo","")))),"")</f>
        <v/>
      </c>
      <c r="AK53" s="181"/>
      <c r="AL53" s="172"/>
      <c r="AM53" s="182"/>
      <c r="AN53" s="182"/>
      <c r="AO53" s="183"/>
      <c r="AP53" s="313"/>
      <c r="AQ53" s="313"/>
      <c r="AR53" s="313"/>
    </row>
    <row r="54" spans="1:44" ht="37.5" customHeight="1" x14ac:dyDescent="0.2">
      <c r="A54" s="329"/>
      <c r="B54" s="330"/>
      <c r="C54" s="330"/>
      <c r="D54" s="334"/>
      <c r="E54" s="330"/>
      <c r="F54" s="330"/>
      <c r="G54" s="321"/>
      <c r="H54" s="321"/>
      <c r="I54" s="321"/>
      <c r="J54" s="321"/>
      <c r="K54" s="321"/>
      <c r="L54" s="321"/>
      <c r="M54" s="321"/>
      <c r="N54" s="313"/>
      <c r="O54" s="312"/>
      <c r="P54" s="311"/>
      <c r="Q54" s="310"/>
      <c r="R54" s="311">
        <f>IF(NOT(ISERROR(MATCH(Q54,_xlfn.ANCHORARRAY(E65),0))),P67&amp;"Por favor no seleccionar los criterios de impacto",Q54)</f>
        <v>0</v>
      </c>
      <c r="S54" s="312"/>
      <c r="T54" s="311"/>
      <c r="U54" s="324"/>
      <c r="V54" s="200">
        <v>6</v>
      </c>
      <c r="W54" s="173"/>
      <c r="X54" s="175" t="str">
        <f t="shared" si="59"/>
        <v/>
      </c>
      <c r="Y54" s="176"/>
      <c r="Z54" s="176"/>
      <c r="AA54" s="177" t="str">
        <f t="shared" si="54"/>
        <v/>
      </c>
      <c r="AB54" s="176"/>
      <c r="AC54" s="176"/>
      <c r="AD54" s="176"/>
      <c r="AE54" s="178" t="str">
        <f t="shared" si="60"/>
        <v/>
      </c>
      <c r="AF54" s="179" t="str">
        <f t="shared" si="2"/>
        <v/>
      </c>
      <c r="AG54" s="177" t="str">
        <f t="shared" si="55"/>
        <v/>
      </c>
      <c r="AH54" s="179" t="str">
        <f t="shared" si="4"/>
        <v/>
      </c>
      <c r="AI54" s="177" t="str">
        <f t="shared" si="13"/>
        <v/>
      </c>
      <c r="AJ54" s="180" t="str">
        <f t="shared" si="61"/>
        <v/>
      </c>
      <c r="AK54" s="181"/>
      <c r="AL54" s="172"/>
      <c r="AM54" s="182"/>
      <c r="AN54" s="182"/>
      <c r="AO54" s="183"/>
      <c r="AP54" s="313"/>
      <c r="AQ54" s="313"/>
      <c r="AR54" s="313"/>
    </row>
    <row r="55" spans="1:44" ht="37.5" customHeight="1" x14ac:dyDescent="0.2">
      <c r="A55" s="329">
        <v>8</v>
      </c>
      <c r="B55" s="330"/>
      <c r="C55" s="330"/>
      <c r="D55" s="330"/>
      <c r="E55" s="330"/>
      <c r="F55" s="330"/>
      <c r="G55" s="319"/>
      <c r="H55" s="319"/>
      <c r="I55" s="319"/>
      <c r="J55" s="319"/>
      <c r="K55" s="319"/>
      <c r="L55" s="319"/>
      <c r="M55" s="319"/>
      <c r="N55" s="313"/>
      <c r="O55" s="312" t="str">
        <f>IF(N55&lt;=0,"",IF(N55&lt;=2,"Muy Baja",IF(N55&lt;=24,"Baja",IF(N55&lt;=500,"Media",IF(N55&lt;=5000,"Alta","Muy Alta")))))</f>
        <v/>
      </c>
      <c r="P55" s="311" t="str">
        <f>IF(O55="","",IF(O55="Muy Baja",0.2,IF(O55="Baja",0.4,IF(O55="Media",0.6,IF(O55="Alta",0.8,IF(O55="Muy Alta",1,))))))</f>
        <v/>
      </c>
      <c r="Q55" s="310"/>
      <c r="R55" s="311">
        <f>IF(NOT(ISERROR(MATCH(Q55,'Tabla Impacto'!$B$222:$B$224,0))),'Tabla Impacto'!$F$224&amp;"Por favor no seleccionar los criterios de impacto(Afectación Económica o presupuestal y Pérdida Reputacional)",Q55)</f>
        <v>0</v>
      </c>
      <c r="S55" s="312" t="str">
        <f>IF(OR(R55='Tabla Impacto'!$C$12,R55='Tabla Impacto'!$D$12),"Leve",IF(OR(R55='Tabla Impacto'!$C$13,R55='Tabla Impacto'!$D$13),"Menor",IF(OR(R55='Tabla Impacto'!$C$14,R55='Tabla Impacto'!$D$14),"Moderado",IF(OR(R55='Tabla Impacto'!$C$15,R55='Tabla Impacto'!$D$15),"Mayor",IF(OR(R55='Tabla Impacto'!$C$16,R55='Tabla Impacto'!$D$16),"Catastrófico","")))))</f>
        <v/>
      </c>
      <c r="T55" s="311" t="str">
        <f>IF(S55="","",IF(S55="Leve",0.2,IF(S55="Menor",0.4,IF(S55="Moderado",0.6,IF(S55="Mayor",0.8,IF(S55="Catastrófico",1,))))))</f>
        <v/>
      </c>
      <c r="U55" s="324"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200">
        <v>1</v>
      </c>
      <c r="W55" s="173"/>
      <c r="X55" s="175" t="str">
        <f>IF(OR(Y55="Preventivo",Y55="Detectivo"),"Probabilidad",IF(Y55="Correctivo","Impacto",""))</f>
        <v/>
      </c>
      <c r="Y55" s="176"/>
      <c r="Z55" s="176"/>
      <c r="AA55" s="177" t="str">
        <f>IF(AND(Y55="Preventivo",Z55="Automático"),"50%",IF(AND(Y55="Preventivo",Z55="Manual"),"40%",IF(AND(Y55="Detectivo",Z55="Automático"),"40%",IF(AND(Y55="Detectivo",Z55="Manual"),"30%",IF(AND(Y55="Correctivo",Z55="Automático"),"35%",IF(AND(Y55="Correctivo",Z55="Manual"),"25%",""))))))</f>
        <v/>
      </c>
      <c r="AB55" s="176"/>
      <c r="AC55" s="176"/>
      <c r="AD55" s="176"/>
      <c r="AE55" s="178" t="str">
        <f>IFERROR(IF(X55="Probabilidad",(P55-(+P55*AA55)),IF(X55="Impacto",P55,"")),"")</f>
        <v/>
      </c>
      <c r="AF55" s="179" t="str">
        <f>IFERROR(IF(AE55="","",IF(AE55&lt;=0.2,"Muy Baja",IF(AE55&lt;=0.4,"Baja",IF(AE55&lt;=0.6,"Media",IF(AE55&lt;=0.8,"Alta","Muy Alta"))))),"")</f>
        <v/>
      </c>
      <c r="AG55" s="177" t="str">
        <f>+AE55</f>
        <v/>
      </c>
      <c r="AH55" s="179" t="str">
        <f>IFERROR(IF(AI55="","",IF(AI55&lt;=0.2,"Leve",IF(AI55&lt;=0.4,"Menor",IF(AI55&lt;=0.6,"Moderado",IF(AI55&lt;=0.8,"Mayor","Catastrófico"))))),"")</f>
        <v/>
      </c>
      <c r="AI55" s="177" t="str">
        <f t="shared" ref="AI55" si="62">IFERROR(IF(X55="Impacto",(T55-(+T55*AA55)),IF(X55="Probabilidad",T55,"")),"")</f>
        <v/>
      </c>
      <c r="AJ55" s="180" t="str">
        <f>IFERROR(IF(OR(AND(AF55="Muy Baja",AH55="Leve"),AND(AF55="Muy Baja",AH55="Menor"),AND(AF55="Baja",AH55="Leve")),"Bajo",IF(OR(AND(AF55="Muy baja",AH55="Moderado"),AND(AF55="Baja",AH55="Menor"),AND(AF55="Baja",AH55="Moderado"),AND(AF55="Media",AH55="Leve"),AND(AF55="Media",AH55="Menor"),AND(AF55="Media",AH55="Moderado"),AND(AF55="Alta",AH55="Leve"),AND(AF55="Alta",AH55="Menor")),"Moderado",IF(OR(AND(AF55="Muy Baja",AH55="Mayor"),AND(AF55="Baja",AH55="Mayor"),AND(AF55="Media",AH55="Mayor"),AND(AF55="Alta",AH55="Moderado"),AND(AF55="Alta",AH55="Mayor"),AND(AF55="Muy Alta",AH55="Leve"),AND(AF55="Muy Alta",AH55="Menor"),AND(AF55="Muy Alta",AH55="Moderado"),AND(AF55="Muy Alta",AH55="Mayor")),"Alto",IF(OR(AND(AF55="Muy Baja",AH55="Catastrófico"),AND(AF55="Baja",AH55="Catastrófico"),AND(AF55="Media",AH55="Catastrófico"),AND(AF55="Alta",AH55="Catastrófico"),AND(AF55="Muy Alta",AH55="Catastrófico")),"Extremo","")))),"")</f>
        <v/>
      </c>
      <c r="AK55" s="181"/>
      <c r="AL55" s="172"/>
      <c r="AM55" s="182"/>
      <c r="AN55" s="182"/>
      <c r="AO55" s="183"/>
      <c r="AP55" s="313"/>
      <c r="AQ55" s="313"/>
      <c r="AR55" s="313"/>
    </row>
    <row r="56" spans="1:44" ht="37.5" customHeight="1" x14ac:dyDescent="0.2">
      <c r="A56" s="329"/>
      <c r="B56" s="330"/>
      <c r="C56" s="330"/>
      <c r="D56" s="330"/>
      <c r="E56" s="330"/>
      <c r="F56" s="330"/>
      <c r="G56" s="320"/>
      <c r="H56" s="320"/>
      <c r="I56" s="320"/>
      <c r="J56" s="320"/>
      <c r="K56" s="320"/>
      <c r="L56" s="320"/>
      <c r="M56" s="320"/>
      <c r="N56" s="313"/>
      <c r="O56" s="312"/>
      <c r="P56" s="311"/>
      <c r="Q56" s="310"/>
      <c r="R56" s="311">
        <f>IF(NOT(ISERROR(MATCH(Q56,_xlfn.ANCHORARRAY(E67),0))),P69&amp;"Por favor no seleccionar los criterios de impacto",Q56)</f>
        <v>0</v>
      </c>
      <c r="S56" s="312"/>
      <c r="T56" s="311"/>
      <c r="U56" s="324"/>
      <c r="V56" s="200">
        <v>2</v>
      </c>
      <c r="W56" s="173"/>
      <c r="X56" s="175" t="str">
        <f>IF(OR(Y56="Preventivo",Y56="Detectivo"),"Probabilidad",IF(Y56="Correctivo","Impacto",""))</f>
        <v/>
      </c>
      <c r="Y56" s="176"/>
      <c r="Z56" s="176"/>
      <c r="AA56" s="177" t="str">
        <f t="shared" ref="AA56:AA60" si="63">IF(AND(Y56="Preventivo",Z56="Automático"),"50%",IF(AND(Y56="Preventivo",Z56="Manual"),"40%",IF(AND(Y56="Detectivo",Z56="Automático"),"40%",IF(AND(Y56="Detectivo",Z56="Manual"),"30%",IF(AND(Y56="Correctivo",Z56="Automático"),"35%",IF(AND(Y56="Correctivo",Z56="Manual"),"25%",""))))))</f>
        <v/>
      </c>
      <c r="AB56" s="176"/>
      <c r="AC56" s="176"/>
      <c r="AD56" s="176"/>
      <c r="AE56" s="178" t="str">
        <f>IFERROR(IF(AND(X55="Probabilidad",X56="Probabilidad"),(AG55-(+AG55*AA56)),IF(X56="Probabilidad",(P55-(+P55*AA56)),IF(X56="Impacto",AG55,""))),"")</f>
        <v/>
      </c>
      <c r="AF56" s="179" t="str">
        <f t="shared" si="2"/>
        <v/>
      </c>
      <c r="AG56" s="177" t="str">
        <f t="shared" ref="AG56:AG60" si="64">+AE56</f>
        <v/>
      </c>
      <c r="AH56" s="179" t="str">
        <f t="shared" si="4"/>
        <v/>
      </c>
      <c r="AI56" s="177" t="str">
        <f t="shared" ref="AI56" si="65">IFERROR(IF(AND(X55="Impacto",X56="Impacto"),(AI55-(+AI55*AA56)),IF(X56="Impacto",($T$13-(+$T$13*AA56)),IF(X56="Probabilidad",AI55,""))),"")</f>
        <v/>
      </c>
      <c r="AJ56" s="180" t="str">
        <f t="shared" ref="AJ56:AJ57" si="66">IFERROR(IF(OR(AND(AF56="Muy Baja",AH56="Leve"),AND(AF56="Muy Baja",AH56="Menor"),AND(AF56="Baja",AH56="Leve")),"Bajo",IF(OR(AND(AF56="Muy baja",AH56="Moderado"),AND(AF56="Baja",AH56="Menor"),AND(AF56="Baja",AH56="Moderado"),AND(AF56="Media",AH56="Leve"),AND(AF56="Media",AH56="Menor"),AND(AF56="Media",AH56="Moderado"),AND(AF56="Alta",AH56="Leve"),AND(AF56="Alta",AH56="Menor")),"Moderado",IF(OR(AND(AF56="Muy Baja",AH56="Mayor"),AND(AF56="Baja",AH56="Mayor"),AND(AF56="Media",AH56="Mayor"),AND(AF56="Alta",AH56="Moderado"),AND(AF56="Alta",AH56="Mayor"),AND(AF56="Muy Alta",AH56="Leve"),AND(AF56="Muy Alta",AH56="Menor"),AND(AF56="Muy Alta",AH56="Moderado"),AND(AF56="Muy Alta",AH56="Mayor")),"Alto",IF(OR(AND(AF56="Muy Baja",AH56="Catastrófico"),AND(AF56="Baja",AH56="Catastrófico"),AND(AF56="Media",AH56="Catastrófico"),AND(AF56="Alta",AH56="Catastrófico"),AND(AF56="Muy Alta",AH56="Catastrófico")),"Extremo","")))),"")</f>
        <v/>
      </c>
      <c r="AK56" s="181"/>
      <c r="AL56" s="172"/>
      <c r="AM56" s="182"/>
      <c r="AN56" s="182"/>
      <c r="AO56" s="183"/>
      <c r="AP56" s="313"/>
      <c r="AQ56" s="313"/>
      <c r="AR56" s="313"/>
    </row>
    <row r="57" spans="1:44" ht="37.5" customHeight="1" x14ac:dyDescent="0.2">
      <c r="A57" s="329"/>
      <c r="B57" s="330"/>
      <c r="C57" s="330"/>
      <c r="D57" s="330"/>
      <c r="E57" s="330"/>
      <c r="F57" s="330"/>
      <c r="G57" s="320"/>
      <c r="H57" s="320"/>
      <c r="I57" s="320"/>
      <c r="J57" s="320"/>
      <c r="K57" s="320"/>
      <c r="L57" s="320"/>
      <c r="M57" s="320"/>
      <c r="N57" s="313"/>
      <c r="O57" s="312"/>
      <c r="P57" s="311"/>
      <c r="Q57" s="310"/>
      <c r="R57" s="311">
        <f>IF(NOT(ISERROR(MATCH(Q57,_xlfn.ANCHORARRAY(E68),0))),P70&amp;"Por favor no seleccionar los criterios de impacto",Q57)</f>
        <v>0</v>
      </c>
      <c r="S57" s="312"/>
      <c r="T57" s="311"/>
      <c r="U57" s="324"/>
      <c r="V57" s="200">
        <v>3</v>
      </c>
      <c r="W57" s="174"/>
      <c r="X57" s="175" t="str">
        <f>IF(OR(Y57="Preventivo",Y57="Detectivo"),"Probabilidad",IF(Y57="Correctivo","Impacto",""))</f>
        <v/>
      </c>
      <c r="Y57" s="176"/>
      <c r="Z57" s="176"/>
      <c r="AA57" s="177" t="str">
        <f t="shared" si="63"/>
        <v/>
      </c>
      <c r="AB57" s="176"/>
      <c r="AC57" s="176"/>
      <c r="AD57" s="176"/>
      <c r="AE57" s="178" t="str">
        <f>IFERROR(IF(AND(X56="Probabilidad",X57="Probabilidad"),(AG56-(+AG56*AA57)),IF(AND(X56="Impacto",X57="Probabilidad"),(AG55-(+AG55*AA57)),IF(X57="Impacto",AG56,""))),"")</f>
        <v/>
      </c>
      <c r="AF57" s="179" t="str">
        <f t="shared" si="2"/>
        <v/>
      </c>
      <c r="AG57" s="177" t="str">
        <f t="shared" si="64"/>
        <v/>
      </c>
      <c r="AH57" s="179" t="str">
        <f t="shared" si="4"/>
        <v/>
      </c>
      <c r="AI57" s="177" t="str">
        <f t="shared" ref="AI57" si="67">IFERROR(IF(AND(X56="Impacto",X57="Impacto"),(AI56-(+AI56*AA57)),IF(AND(X56="Probabilidad",X57="Impacto"),(AI55-(+AI55*AA57)),IF(X57="Probabilidad",AI56,""))),"")</f>
        <v/>
      </c>
      <c r="AJ57" s="180" t="str">
        <f t="shared" si="66"/>
        <v/>
      </c>
      <c r="AK57" s="181"/>
      <c r="AL57" s="172"/>
      <c r="AM57" s="182"/>
      <c r="AN57" s="182"/>
      <c r="AO57" s="183"/>
      <c r="AP57" s="313"/>
      <c r="AQ57" s="313"/>
      <c r="AR57" s="313"/>
    </row>
    <row r="58" spans="1:44" ht="37.5" customHeight="1" x14ac:dyDescent="0.2">
      <c r="A58" s="329"/>
      <c r="B58" s="330"/>
      <c r="C58" s="330"/>
      <c r="D58" s="330"/>
      <c r="E58" s="330"/>
      <c r="F58" s="330"/>
      <c r="G58" s="320"/>
      <c r="H58" s="320"/>
      <c r="I58" s="320"/>
      <c r="J58" s="320"/>
      <c r="K58" s="320"/>
      <c r="L58" s="320"/>
      <c r="M58" s="320"/>
      <c r="N58" s="313"/>
      <c r="O58" s="312"/>
      <c r="P58" s="311"/>
      <c r="Q58" s="310"/>
      <c r="R58" s="311">
        <f>IF(NOT(ISERROR(MATCH(Q58,_xlfn.ANCHORARRAY(E69),0))),P71&amp;"Por favor no seleccionar los criterios de impacto",Q58)</f>
        <v>0</v>
      </c>
      <c r="S58" s="312"/>
      <c r="T58" s="311"/>
      <c r="U58" s="324"/>
      <c r="V58" s="200">
        <v>4</v>
      </c>
      <c r="W58" s="173"/>
      <c r="X58" s="175" t="str">
        <f t="shared" ref="X58:X60" si="68">IF(OR(Y58="Preventivo",Y58="Detectivo"),"Probabilidad",IF(Y58="Correctivo","Impacto",""))</f>
        <v/>
      </c>
      <c r="Y58" s="176"/>
      <c r="Z58" s="176"/>
      <c r="AA58" s="177" t="str">
        <f t="shared" si="63"/>
        <v/>
      </c>
      <c r="AB58" s="176"/>
      <c r="AC58" s="176"/>
      <c r="AD58" s="176"/>
      <c r="AE58" s="178" t="str">
        <f t="shared" ref="AE58:AE60" si="69">IFERROR(IF(AND(X57="Probabilidad",X58="Probabilidad"),(AG57-(+AG57*AA58)),IF(AND(X57="Impacto",X58="Probabilidad"),(AG56-(+AG56*AA58)),IF(X58="Impacto",AG57,""))),"")</f>
        <v/>
      </c>
      <c r="AF58" s="179" t="str">
        <f t="shared" si="2"/>
        <v/>
      </c>
      <c r="AG58" s="177" t="str">
        <f t="shared" si="64"/>
        <v/>
      </c>
      <c r="AH58" s="179" t="str">
        <f t="shared" si="4"/>
        <v/>
      </c>
      <c r="AI58" s="177" t="str">
        <f t="shared" si="13"/>
        <v/>
      </c>
      <c r="AJ58" s="180" t="str">
        <f>IFERROR(IF(OR(AND(AF58="Muy Baja",AH58="Leve"),AND(AF58="Muy Baja",AH58="Menor"),AND(AF58="Baja",AH58="Leve")),"Bajo",IF(OR(AND(AF58="Muy baja",AH58="Moderado"),AND(AF58="Baja",AH58="Menor"),AND(AF58="Baja",AH58="Moderado"),AND(AF58="Media",AH58="Leve"),AND(AF58="Media",AH58="Menor"),AND(AF58="Media",AH58="Moderado"),AND(AF58="Alta",AH58="Leve"),AND(AF58="Alta",AH58="Menor")),"Moderado",IF(OR(AND(AF58="Muy Baja",AH58="Mayor"),AND(AF58="Baja",AH58="Mayor"),AND(AF58="Media",AH58="Mayor"),AND(AF58="Alta",AH58="Moderado"),AND(AF58="Alta",AH58="Mayor"),AND(AF58="Muy Alta",AH58="Leve"),AND(AF58="Muy Alta",AH58="Menor"),AND(AF58="Muy Alta",AH58="Moderado"),AND(AF58="Muy Alta",AH58="Mayor")),"Alto",IF(OR(AND(AF58="Muy Baja",AH58="Catastrófico"),AND(AF58="Baja",AH58="Catastrófico"),AND(AF58="Media",AH58="Catastrófico"),AND(AF58="Alta",AH58="Catastrófico"),AND(AF58="Muy Alta",AH58="Catastrófico")),"Extremo","")))),"")</f>
        <v/>
      </c>
      <c r="AK58" s="181"/>
      <c r="AL58" s="172"/>
      <c r="AM58" s="182"/>
      <c r="AN58" s="182"/>
      <c r="AO58" s="183"/>
      <c r="AP58" s="313"/>
      <c r="AQ58" s="313"/>
      <c r="AR58" s="313"/>
    </row>
    <row r="59" spans="1:44" ht="37.5" customHeight="1" x14ac:dyDescent="0.2">
      <c r="A59" s="329"/>
      <c r="B59" s="330"/>
      <c r="C59" s="330"/>
      <c r="D59" s="330"/>
      <c r="E59" s="330"/>
      <c r="F59" s="330"/>
      <c r="G59" s="320"/>
      <c r="H59" s="320"/>
      <c r="I59" s="320"/>
      <c r="J59" s="320"/>
      <c r="K59" s="320"/>
      <c r="L59" s="320"/>
      <c r="M59" s="320"/>
      <c r="N59" s="313"/>
      <c r="O59" s="312"/>
      <c r="P59" s="311"/>
      <c r="Q59" s="310"/>
      <c r="R59" s="311">
        <f>IF(NOT(ISERROR(MATCH(Q59,_xlfn.ANCHORARRAY(E70),0))),P72&amp;"Por favor no seleccionar los criterios de impacto",Q59)</f>
        <v>0</v>
      </c>
      <c r="S59" s="312"/>
      <c r="T59" s="311"/>
      <c r="U59" s="324"/>
      <c r="V59" s="200">
        <v>5</v>
      </c>
      <c r="W59" s="173"/>
      <c r="X59" s="175" t="str">
        <f t="shared" si="68"/>
        <v/>
      </c>
      <c r="Y59" s="176"/>
      <c r="Z59" s="176"/>
      <c r="AA59" s="177" t="str">
        <f t="shared" si="63"/>
        <v/>
      </c>
      <c r="AB59" s="176"/>
      <c r="AC59" s="176"/>
      <c r="AD59" s="176"/>
      <c r="AE59" s="178" t="str">
        <f t="shared" si="69"/>
        <v/>
      </c>
      <c r="AF59" s="179" t="str">
        <f t="shared" si="2"/>
        <v/>
      </c>
      <c r="AG59" s="177" t="str">
        <f t="shared" si="64"/>
        <v/>
      </c>
      <c r="AH59" s="179" t="str">
        <f t="shared" si="4"/>
        <v/>
      </c>
      <c r="AI59" s="177" t="str">
        <f t="shared" si="13"/>
        <v/>
      </c>
      <c r="AJ59" s="180" t="str">
        <f t="shared" ref="AJ59:AJ60" si="70">IFERROR(IF(OR(AND(AF59="Muy Baja",AH59="Leve"),AND(AF59="Muy Baja",AH59="Menor"),AND(AF59="Baja",AH59="Leve")),"Bajo",IF(OR(AND(AF59="Muy baja",AH59="Moderado"),AND(AF59="Baja",AH59="Menor"),AND(AF59="Baja",AH59="Moderado"),AND(AF59="Media",AH59="Leve"),AND(AF59="Media",AH59="Menor"),AND(AF59="Media",AH59="Moderado"),AND(AF59="Alta",AH59="Leve"),AND(AF59="Alta",AH59="Menor")),"Moderado",IF(OR(AND(AF59="Muy Baja",AH59="Mayor"),AND(AF59="Baja",AH59="Mayor"),AND(AF59="Media",AH59="Mayor"),AND(AF59="Alta",AH59="Moderado"),AND(AF59="Alta",AH59="Mayor"),AND(AF59="Muy Alta",AH59="Leve"),AND(AF59="Muy Alta",AH59="Menor"),AND(AF59="Muy Alta",AH59="Moderado"),AND(AF59="Muy Alta",AH59="Mayor")),"Alto",IF(OR(AND(AF59="Muy Baja",AH59="Catastrófico"),AND(AF59="Baja",AH59="Catastrófico"),AND(AF59="Media",AH59="Catastrófico"),AND(AF59="Alta",AH59="Catastrófico"),AND(AF59="Muy Alta",AH59="Catastrófico")),"Extremo","")))),"")</f>
        <v/>
      </c>
      <c r="AK59" s="181"/>
      <c r="AL59" s="172"/>
      <c r="AM59" s="182"/>
      <c r="AN59" s="182"/>
      <c r="AO59" s="183"/>
      <c r="AP59" s="313"/>
      <c r="AQ59" s="313"/>
      <c r="AR59" s="313"/>
    </row>
    <row r="60" spans="1:44" ht="37.5" customHeight="1" x14ac:dyDescent="0.2">
      <c r="A60" s="329"/>
      <c r="B60" s="330"/>
      <c r="C60" s="330"/>
      <c r="D60" s="330"/>
      <c r="E60" s="330"/>
      <c r="F60" s="330"/>
      <c r="G60" s="321"/>
      <c r="H60" s="321"/>
      <c r="I60" s="321"/>
      <c r="J60" s="321"/>
      <c r="K60" s="321"/>
      <c r="L60" s="321"/>
      <c r="M60" s="321"/>
      <c r="N60" s="313"/>
      <c r="O60" s="312"/>
      <c r="P60" s="311"/>
      <c r="Q60" s="310"/>
      <c r="R60" s="311">
        <f>IF(NOT(ISERROR(MATCH(Q60,_xlfn.ANCHORARRAY(E71),0))),Q73&amp;"Por favor no seleccionar los criterios de impacto",Q60)</f>
        <v>0</v>
      </c>
      <c r="S60" s="312"/>
      <c r="T60" s="311"/>
      <c r="U60" s="324"/>
      <c r="V60" s="200">
        <v>6</v>
      </c>
      <c r="W60" s="173"/>
      <c r="X60" s="175" t="str">
        <f t="shared" si="68"/>
        <v/>
      </c>
      <c r="Y60" s="176"/>
      <c r="Z60" s="176"/>
      <c r="AA60" s="177" t="str">
        <f t="shared" si="63"/>
        <v/>
      </c>
      <c r="AB60" s="176"/>
      <c r="AC60" s="176"/>
      <c r="AD60" s="176"/>
      <c r="AE60" s="178" t="str">
        <f t="shared" si="69"/>
        <v/>
      </c>
      <c r="AF60" s="179" t="str">
        <f t="shared" si="2"/>
        <v/>
      </c>
      <c r="AG60" s="177" t="str">
        <f t="shared" si="64"/>
        <v/>
      </c>
      <c r="AH60" s="179" t="str">
        <f t="shared" si="4"/>
        <v/>
      </c>
      <c r="AI60" s="177" t="str">
        <f t="shared" si="13"/>
        <v/>
      </c>
      <c r="AJ60" s="180" t="str">
        <f t="shared" si="70"/>
        <v/>
      </c>
      <c r="AK60" s="181"/>
      <c r="AL60" s="172"/>
      <c r="AM60" s="182"/>
      <c r="AN60" s="182"/>
      <c r="AO60" s="183"/>
      <c r="AP60" s="313"/>
      <c r="AQ60" s="313"/>
      <c r="AR60" s="313"/>
    </row>
    <row r="61" spans="1:44" ht="37.5" customHeight="1" x14ac:dyDescent="0.2">
      <c r="A61" s="329">
        <v>9</v>
      </c>
      <c r="B61" s="330"/>
      <c r="C61" s="330"/>
      <c r="D61" s="330"/>
      <c r="E61" s="330"/>
      <c r="F61" s="330"/>
      <c r="G61" s="319"/>
      <c r="H61" s="319"/>
      <c r="I61" s="207"/>
      <c r="J61" s="207"/>
      <c r="K61" s="207"/>
      <c r="L61" s="319"/>
      <c r="M61" s="319"/>
      <c r="N61" s="313"/>
      <c r="O61" s="312" t="str">
        <f>IF(N61&lt;=0,"",IF(N61&lt;=2,"Muy Baja",IF(N61&lt;=24,"Baja",IF(N61&lt;=500,"Media",IF(N61&lt;=5000,"Alta","Muy Alta")))))</f>
        <v/>
      </c>
      <c r="P61" s="311" t="str">
        <f>IF(O61="","",IF(O61="Muy Baja",0.2,IF(O61="Baja",0.4,IF(O61="Media",0.6,IF(O61="Alta",0.8,IF(O61="Muy Alta",1,))))))</f>
        <v/>
      </c>
      <c r="Q61" s="310"/>
      <c r="R61" s="311">
        <f>IF(NOT(ISERROR(MATCH(Q61,'Tabla Impacto'!$B$222:$B$224,0))),'Tabla Impacto'!$F$224&amp;"Por favor no seleccionar los criterios de impacto(Afectación Económica o presupuestal y Pérdida Reputacional)",Q61)</f>
        <v>0</v>
      </c>
      <c r="S61" s="312" t="str">
        <f>IF(OR(R61='Tabla Impacto'!$C$12,R61='Tabla Impacto'!$D$12),"Leve",IF(OR(R61='Tabla Impacto'!$C$13,R61='Tabla Impacto'!$D$13),"Menor",IF(OR(R61='Tabla Impacto'!$C$14,R61='Tabla Impacto'!$D$14),"Moderado",IF(OR(R61='Tabla Impacto'!$C$15,R61='Tabla Impacto'!$D$15),"Mayor",IF(OR(R61='Tabla Impacto'!$C$16,R61='Tabla Impacto'!$D$16),"Catastrófico","")))))</f>
        <v/>
      </c>
      <c r="T61" s="311" t="str">
        <f>IF(S61="","",IF(S61="Leve",0.2,IF(S61="Menor",0.4,IF(S61="Moderado",0.6,IF(S61="Mayor",0.8,IF(S61="Catastrófico",1,))))))</f>
        <v/>
      </c>
      <c r="U61" s="324"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200">
        <v>1</v>
      </c>
      <c r="W61" s="173"/>
      <c r="X61" s="175" t="str">
        <f>IF(OR(Y61="Preventivo",Y61="Detectivo"),"Probabilidad",IF(Y61="Correctivo","Impacto",""))</f>
        <v/>
      </c>
      <c r="Y61" s="176"/>
      <c r="Z61" s="176"/>
      <c r="AA61" s="177" t="str">
        <f>IF(AND(Y61="Preventivo",Z61="Automático"),"50%",IF(AND(Y61="Preventivo",Z61="Manual"),"40%",IF(AND(Y61="Detectivo",Z61="Automático"),"40%",IF(AND(Y61="Detectivo",Z61="Manual"),"30%",IF(AND(Y61="Correctivo",Z61="Automático"),"35%",IF(AND(Y61="Correctivo",Z61="Manual"),"25%",""))))))</f>
        <v/>
      </c>
      <c r="AB61" s="176"/>
      <c r="AC61" s="176"/>
      <c r="AD61" s="176"/>
      <c r="AE61" s="178" t="str">
        <f>IFERROR(IF(X61="Probabilidad",(P61-(+P61*AA61)),IF(X61="Impacto",P61,"")),"")</f>
        <v/>
      </c>
      <c r="AF61" s="179" t="str">
        <f>IFERROR(IF(AE61="","",IF(AE61&lt;=0.2,"Muy Baja",IF(AE61&lt;=0.4,"Baja",IF(AE61&lt;=0.6,"Media",IF(AE61&lt;=0.8,"Alta","Muy Alta"))))),"")</f>
        <v/>
      </c>
      <c r="AG61" s="177" t="str">
        <f>+AE61</f>
        <v/>
      </c>
      <c r="AH61" s="179" t="str">
        <f>IFERROR(IF(AI61="","",IF(AI61&lt;=0.2,"Leve",IF(AI61&lt;=0.4,"Menor",IF(AI61&lt;=0.6,"Moderado",IF(AI61&lt;=0.8,"Mayor","Catastrófico"))))),"")</f>
        <v/>
      </c>
      <c r="AI61" s="177" t="str">
        <f t="shared" ref="AI61" si="71">IFERROR(IF(X61="Impacto",(T61-(+T61*AA61)),IF(X61="Probabilidad",T61,"")),"")</f>
        <v/>
      </c>
      <c r="AJ61" s="180" t="str">
        <f>IFERROR(IF(OR(AND(AF61="Muy Baja",AH61="Leve"),AND(AF61="Muy Baja",AH61="Menor"),AND(AF61="Baja",AH61="Leve")),"Bajo",IF(OR(AND(AF61="Muy baja",AH61="Moderado"),AND(AF61="Baja",AH61="Menor"),AND(AF61="Baja",AH61="Moderado"),AND(AF61="Media",AH61="Leve"),AND(AF61="Media",AH61="Menor"),AND(AF61="Media",AH61="Moderado"),AND(AF61="Alta",AH61="Leve"),AND(AF61="Alta",AH61="Menor")),"Moderado",IF(OR(AND(AF61="Muy Baja",AH61="Mayor"),AND(AF61="Baja",AH61="Mayor"),AND(AF61="Media",AH61="Mayor"),AND(AF61="Alta",AH61="Moderado"),AND(AF61="Alta",AH61="Mayor"),AND(AF61="Muy Alta",AH61="Leve"),AND(AF61="Muy Alta",AH61="Menor"),AND(AF61="Muy Alta",AH61="Moderado"),AND(AF61="Muy Alta",AH61="Mayor")),"Alto",IF(OR(AND(AF61="Muy Baja",AH61="Catastrófico"),AND(AF61="Baja",AH61="Catastrófico"),AND(AF61="Media",AH61="Catastrófico"),AND(AF61="Alta",AH61="Catastrófico"),AND(AF61="Muy Alta",AH61="Catastrófico")),"Extremo","")))),"")</f>
        <v/>
      </c>
      <c r="AK61" s="181"/>
      <c r="AL61" s="172"/>
      <c r="AM61" s="182"/>
      <c r="AN61" s="182"/>
      <c r="AO61" s="183"/>
      <c r="AP61" s="313"/>
      <c r="AQ61" s="313"/>
      <c r="AR61" s="313"/>
    </row>
    <row r="62" spans="1:44" ht="37.5" customHeight="1" x14ac:dyDescent="0.2">
      <c r="A62" s="329"/>
      <c r="B62" s="330"/>
      <c r="C62" s="330"/>
      <c r="D62" s="330"/>
      <c r="E62" s="330"/>
      <c r="F62" s="330"/>
      <c r="G62" s="320"/>
      <c r="H62" s="320"/>
      <c r="I62" s="208"/>
      <c r="J62" s="208"/>
      <c r="K62" s="208"/>
      <c r="L62" s="320"/>
      <c r="M62" s="320"/>
      <c r="N62" s="313"/>
      <c r="O62" s="312"/>
      <c r="P62" s="311"/>
      <c r="Q62" s="310"/>
      <c r="R62" s="311">
        <f>IF(NOT(ISERROR(MATCH(Q62,_xlfn.ANCHORARRAY(F73),0))),Q75&amp;"Por favor no seleccionar los criterios de impacto",Q62)</f>
        <v>0</v>
      </c>
      <c r="S62" s="312"/>
      <c r="T62" s="311"/>
      <c r="U62" s="324"/>
      <c r="V62" s="200">
        <v>2</v>
      </c>
      <c r="W62" s="173"/>
      <c r="X62" s="175" t="str">
        <f>IF(OR(Y62="Preventivo",Y62="Detectivo"),"Probabilidad",IF(Y62="Correctivo","Impacto",""))</f>
        <v/>
      </c>
      <c r="Y62" s="176"/>
      <c r="Z62" s="176"/>
      <c r="AA62" s="177" t="str">
        <f t="shared" ref="AA62:AA66" si="72">IF(AND(Y62="Preventivo",Z62="Automático"),"50%",IF(AND(Y62="Preventivo",Z62="Manual"),"40%",IF(AND(Y62="Detectivo",Z62="Automático"),"40%",IF(AND(Y62="Detectivo",Z62="Manual"),"30%",IF(AND(Y62="Correctivo",Z62="Automático"),"35%",IF(AND(Y62="Correctivo",Z62="Manual"),"25%",""))))))</f>
        <v/>
      </c>
      <c r="AB62" s="176"/>
      <c r="AC62" s="176"/>
      <c r="AD62" s="176"/>
      <c r="AE62" s="178" t="str">
        <f>IFERROR(IF(AND(X61="Probabilidad",X62="Probabilidad"),(AG61-(+AG61*AA62)),IF(X62="Probabilidad",(P61-(+P61*AA62)),IF(X62="Impacto",AG61,""))),"")</f>
        <v/>
      </c>
      <c r="AF62" s="179" t="str">
        <f t="shared" si="2"/>
        <v/>
      </c>
      <c r="AG62" s="177" t="str">
        <f t="shared" ref="AG62:AG66" si="73">+AE62</f>
        <v/>
      </c>
      <c r="AH62" s="179" t="str">
        <f t="shared" si="4"/>
        <v/>
      </c>
      <c r="AI62" s="177" t="str">
        <f t="shared" ref="AI62" si="74">IFERROR(IF(AND(X61="Impacto",X62="Impacto"),(AI61-(+AI61*AA62)),IF(X62="Impacto",($T$13-(+$T$13*AA62)),IF(X62="Probabilidad",AI61,""))),"")</f>
        <v/>
      </c>
      <c r="AJ62" s="180" t="str">
        <f t="shared" ref="AJ62:AJ63" si="75">IFERROR(IF(OR(AND(AF62="Muy Baja",AH62="Leve"),AND(AF62="Muy Baja",AH62="Menor"),AND(AF62="Baja",AH62="Leve")),"Bajo",IF(OR(AND(AF62="Muy baja",AH62="Moderado"),AND(AF62="Baja",AH62="Menor"),AND(AF62="Baja",AH62="Moderado"),AND(AF62="Media",AH62="Leve"),AND(AF62="Media",AH62="Menor"),AND(AF62="Media",AH62="Moderado"),AND(AF62="Alta",AH62="Leve"),AND(AF62="Alta",AH62="Menor")),"Moderado",IF(OR(AND(AF62="Muy Baja",AH62="Mayor"),AND(AF62="Baja",AH62="Mayor"),AND(AF62="Media",AH62="Mayor"),AND(AF62="Alta",AH62="Moderado"),AND(AF62="Alta",AH62="Mayor"),AND(AF62="Muy Alta",AH62="Leve"),AND(AF62="Muy Alta",AH62="Menor"),AND(AF62="Muy Alta",AH62="Moderado"),AND(AF62="Muy Alta",AH62="Mayor")),"Alto",IF(OR(AND(AF62="Muy Baja",AH62="Catastrófico"),AND(AF62="Baja",AH62="Catastrófico"),AND(AF62="Media",AH62="Catastrófico"),AND(AF62="Alta",AH62="Catastrófico"),AND(AF62="Muy Alta",AH62="Catastrófico")),"Extremo","")))),"")</f>
        <v/>
      </c>
      <c r="AK62" s="181"/>
      <c r="AL62" s="172"/>
      <c r="AM62" s="182"/>
      <c r="AN62" s="182"/>
      <c r="AO62" s="183"/>
      <c r="AP62" s="313"/>
      <c r="AQ62" s="313"/>
      <c r="AR62" s="313"/>
    </row>
    <row r="63" spans="1:44" ht="37.5" customHeight="1" x14ac:dyDescent="0.2">
      <c r="A63" s="329"/>
      <c r="B63" s="330"/>
      <c r="C63" s="330"/>
      <c r="D63" s="330"/>
      <c r="E63" s="330"/>
      <c r="F63" s="330"/>
      <c r="G63" s="320"/>
      <c r="H63" s="320"/>
      <c r="I63" s="208"/>
      <c r="J63" s="208"/>
      <c r="K63" s="208"/>
      <c r="L63" s="320"/>
      <c r="M63" s="320"/>
      <c r="N63" s="313"/>
      <c r="O63" s="312"/>
      <c r="P63" s="311"/>
      <c r="Q63" s="310"/>
      <c r="R63" s="311">
        <f>IF(NOT(ISERROR(MATCH(Q63,_xlfn.ANCHORARRAY(F74),0))),Q76&amp;"Por favor no seleccionar los criterios de impacto",Q63)</f>
        <v>0</v>
      </c>
      <c r="S63" s="312"/>
      <c r="T63" s="311"/>
      <c r="U63" s="324"/>
      <c r="V63" s="200">
        <v>3</v>
      </c>
      <c r="W63" s="173"/>
      <c r="X63" s="175" t="str">
        <f>IF(OR(Y63="Preventivo",Y63="Detectivo"),"Probabilidad",IF(Y63="Correctivo","Impacto",""))</f>
        <v/>
      </c>
      <c r="Y63" s="176"/>
      <c r="Z63" s="176"/>
      <c r="AA63" s="177" t="str">
        <f t="shared" si="72"/>
        <v/>
      </c>
      <c r="AB63" s="176"/>
      <c r="AC63" s="176"/>
      <c r="AD63" s="176"/>
      <c r="AE63" s="178" t="str">
        <f>IFERROR(IF(AND(X62="Probabilidad",X63="Probabilidad"),(AG62-(+AG62*AA63)),IF(AND(X62="Impacto",X63="Probabilidad"),(AG61-(+AG61*AA63)),IF(X63="Impacto",AG62,""))),"")</f>
        <v/>
      </c>
      <c r="AF63" s="179" t="str">
        <f t="shared" si="2"/>
        <v/>
      </c>
      <c r="AG63" s="177" t="str">
        <f t="shared" si="73"/>
        <v/>
      </c>
      <c r="AH63" s="179" t="str">
        <f t="shared" si="4"/>
        <v/>
      </c>
      <c r="AI63" s="177" t="str">
        <f t="shared" ref="AI63" si="76">IFERROR(IF(AND(X62="Impacto",X63="Impacto"),(AI62-(+AI62*AA63)),IF(AND(X62="Probabilidad",X63="Impacto"),(AI61-(+AI61*AA63)),IF(X63="Probabilidad",AI62,""))),"")</f>
        <v/>
      </c>
      <c r="AJ63" s="180" t="str">
        <f t="shared" si="75"/>
        <v/>
      </c>
      <c r="AK63" s="181"/>
      <c r="AL63" s="172"/>
      <c r="AM63" s="182"/>
      <c r="AN63" s="182"/>
      <c r="AO63" s="183"/>
      <c r="AP63" s="313"/>
      <c r="AQ63" s="313"/>
      <c r="AR63" s="313"/>
    </row>
    <row r="64" spans="1:44" ht="37.5" customHeight="1" x14ac:dyDescent="0.2">
      <c r="A64" s="329"/>
      <c r="B64" s="330"/>
      <c r="C64" s="330"/>
      <c r="D64" s="330"/>
      <c r="E64" s="330"/>
      <c r="F64" s="330"/>
      <c r="G64" s="320"/>
      <c r="H64" s="320"/>
      <c r="I64" s="208"/>
      <c r="J64" s="208"/>
      <c r="K64" s="208"/>
      <c r="L64" s="320"/>
      <c r="M64" s="320"/>
      <c r="N64" s="313"/>
      <c r="O64" s="312"/>
      <c r="P64" s="311"/>
      <c r="Q64" s="310"/>
      <c r="R64" s="311">
        <f>IF(NOT(ISERROR(MATCH(Q64,_xlfn.ANCHORARRAY(F75),0))),Q77&amp;"Por favor no seleccionar los criterios de impacto",Q64)</f>
        <v>0</v>
      </c>
      <c r="S64" s="312"/>
      <c r="T64" s="311"/>
      <c r="U64" s="324"/>
      <c r="V64" s="200">
        <v>4</v>
      </c>
      <c r="W64" s="173"/>
      <c r="X64" s="175" t="str">
        <f t="shared" ref="X64:X66" si="77">IF(OR(Y64="Preventivo",Y64="Detectivo"),"Probabilidad",IF(Y64="Correctivo","Impacto",""))</f>
        <v/>
      </c>
      <c r="Y64" s="176"/>
      <c r="Z64" s="176"/>
      <c r="AA64" s="177" t="str">
        <f t="shared" si="72"/>
        <v/>
      </c>
      <c r="AB64" s="176"/>
      <c r="AC64" s="176"/>
      <c r="AD64" s="176"/>
      <c r="AE64" s="178" t="str">
        <f t="shared" ref="AE64:AE66" si="78">IFERROR(IF(AND(X63="Probabilidad",X64="Probabilidad"),(AG63-(+AG63*AA64)),IF(AND(X63="Impacto",X64="Probabilidad"),(AG62-(+AG62*AA64)),IF(X64="Impacto",AG63,""))),"")</f>
        <v/>
      </c>
      <c r="AF64" s="179" t="str">
        <f t="shared" si="2"/>
        <v/>
      </c>
      <c r="AG64" s="177" t="str">
        <f t="shared" si="73"/>
        <v/>
      </c>
      <c r="AH64" s="179" t="str">
        <f t="shared" si="4"/>
        <v/>
      </c>
      <c r="AI64" s="177" t="str">
        <f t="shared" si="13"/>
        <v/>
      </c>
      <c r="AJ64" s="180" t="str">
        <f>IFERROR(IF(OR(AND(AF64="Muy Baja",AH64="Leve"),AND(AF64="Muy Baja",AH64="Menor"),AND(AF64="Baja",AH64="Leve")),"Bajo",IF(OR(AND(AF64="Muy baja",AH64="Moderado"),AND(AF64="Baja",AH64="Menor"),AND(AF64="Baja",AH64="Moderado"),AND(AF64="Media",AH64="Leve"),AND(AF64="Media",AH64="Menor"),AND(AF64="Media",AH64="Moderado"),AND(AF64="Alta",AH64="Leve"),AND(AF64="Alta",AH64="Menor")),"Moderado",IF(OR(AND(AF64="Muy Baja",AH64="Mayor"),AND(AF64="Baja",AH64="Mayor"),AND(AF64="Media",AH64="Mayor"),AND(AF64="Alta",AH64="Moderado"),AND(AF64="Alta",AH64="Mayor"),AND(AF64="Muy Alta",AH64="Leve"),AND(AF64="Muy Alta",AH64="Menor"),AND(AF64="Muy Alta",AH64="Moderado"),AND(AF64="Muy Alta",AH64="Mayor")),"Alto",IF(OR(AND(AF64="Muy Baja",AH64="Catastrófico"),AND(AF64="Baja",AH64="Catastrófico"),AND(AF64="Media",AH64="Catastrófico"),AND(AF64="Alta",AH64="Catastrófico"),AND(AF64="Muy Alta",AH64="Catastrófico")),"Extremo","")))),"")</f>
        <v/>
      </c>
      <c r="AK64" s="181"/>
      <c r="AL64" s="172"/>
      <c r="AM64" s="182"/>
      <c r="AN64" s="182"/>
      <c r="AO64" s="183"/>
      <c r="AP64" s="313"/>
      <c r="AQ64" s="313"/>
      <c r="AR64" s="313"/>
    </row>
    <row r="65" spans="1:44" ht="37.5" customHeight="1" x14ac:dyDescent="0.2">
      <c r="A65" s="329"/>
      <c r="B65" s="330"/>
      <c r="C65" s="330"/>
      <c r="D65" s="330"/>
      <c r="E65" s="330"/>
      <c r="F65" s="330"/>
      <c r="G65" s="320"/>
      <c r="H65" s="320"/>
      <c r="I65" s="208"/>
      <c r="J65" s="208"/>
      <c r="K65" s="208"/>
      <c r="L65" s="320"/>
      <c r="M65" s="320"/>
      <c r="N65" s="313"/>
      <c r="O65" s="312"/>
      <c r="P65" s="311"/>
      <c r="Q65" s="310"/>
      <c r="R65" s="311">
        <f>IF(NOT(ISERROR(MATCH(Q65,_xlfn.ANCHORARRAY(F76),0))),Q78&amp;"Por favor no seleccionar los criterios de impacto",Q65)</f>
        <v>0</v>
      </c>
      <c r="S65" s="312"/>
      <c r="T65" s="311"/>
      <c r="U65" s="324"/>
      <c r="V65" s="200">
        <v>5</v>
      </c>
      <c r="W65" s="173"/>
      <c r="X65" s="175" t="str">
        <f t="shared" si="77"/>
        <v/>
      </c>
      <c r="Y65" s="176"/>
      <c r="Z65" s="176"/>
      <c r="AA65" s="177" t="str">
        <f t="shared" si="72"/>
        <v/>
      </c>
      <c r="AB65" s="176"/>
      <c r="AC65" s="176"/>
      <c r="AD65" s="176"/>
      <c r="AE65" s="178" t="str">
        <f t="shared" si="78"/>
        <v/>
      </c>
      <c r="AF65" s="179" t="str">
        <f t="shared" si="2"/>
        <v/>
      </c>
      <c r="AG65" s="177" t="str">
        <f t="shared" si="73"/>
        <v/>
      </c>
      <c r="AH65" s="179" t="str">
        <f t="shared" si="4"/>
        <v/>
      </c>
      <c r="AI65" s="177" t="str">
        <f t="shared" si="13"/>
        <v/>
      </c>
      <c r="AJ65" s="180" t="str">
        <f t="shared" ref="AJ65:AJ66" si="79">IFERROR(IF(OR(AND(AF65="Muy Baja",AH65="Leve"),AND(AF65="Muy Baja",AH65="Menor"),AND(AF65="Baja",AH65="Leve")),"Bajo",IF(OR(AND(AF65="Muy baja",AH65="Moderado"),AND(AF65="Baja",AH65="Menor"),AND(AF65="Baja",AH65="Moderado"),AND(AF65="Media",AH65="Leve"),AND(AF65="Media",AH65="Menor"),AND(AF65="Media",AH65="Moderado"),AND(AF65="Alta",AH65="Leve"),AND(AF65="Alta",AH65="Menor")),"Moderado",IF(OR(AND(AF65="Muy Baja",AH65="Mayor"),AND(AF65="Baja",AH65="Mayor"),AND(AF65="Media",AH65="Mayor"),AND(AF65="Alta",AH65="Moderado"),AND(AF65="Alta",AH65="Mayor"),AND(AF65="Muy Alta",AH65="Leve"),AND(AF65="Muy Alta",AH65="Menor"),AND(AF65="Muy Alta",AH65="Moderado"),AND(AF65="Muy Alta",AH65="Mayor")),"Alto",IF(OR(AND(AF65="Muy Baja",AH65="Catastrófico"),AND(AF65="Baja",AH65="Catastrófico"),AND(AF65="Media",AH65="Catastrófico"),AND(AF65="Alta",AH65="Catastrófico"),AND(AF65="Muy Alta",AH65="Catastrófico")),"Extremo","")))),"")</f>
        <v/>
      </c>
      <c r="AK65" s="181"/>
      <c r="AL65" s="172"/>
      <c r="AM65" s="182"/>
      <c r="AN65" s="182"/>
      <c r="AO65" s="183"/>
      <c r="AP65" s="313"/>
      <c r="AQ65" s="313"/>
      <c r="AR65" s="313"/>
    </row>
    <row r="66" spans="1:44" ht="37.5" customHeight="1" x14ac:dyDescent="0.2">
      <c r="A66" s="329"/>
      <c r="B66" s="330"/>
      <c r="C66" s="330"/>
      <c r="D66" s="330"/>
      <c r="E66" s="330"/>
      <c r="F66" s="330"/>
      <c r="G66" s="321"/>
      <c r="H66" s="321"/>
      <c r="I66" s="209"/>
      <c r="J66" s="209"/>
      <c r="K66" s="209"/>
      <c r="L66" s="321"/>
      <c r="M66" s="321"/>
      <c r="N66" s="313"/>
      <c r="O66" s="312"/>
      <c r="P66" s="311"/>
      <c r="Q66" s="310"/>
      <c r="R66" s="311">
        <f>IF(NOT(ISERROR(MATCH(Q66,_xlfn.ANCHORARRAY(F77),0))),Q79&amp;"Por favor no seleccionar los criterios de impacto",Q66)</f>
        <v>0</v>
      </c>
      <c r="S66" s="312"/>
      <c r="T66" s="311"/>
      <c r="U66" s="324"/>
      <c r="V66" s="200">
        <v>6</v>
      </c>
      <c r="W66" s="173"/>
      <c r="X66" s="175" t="str">
        <f t="shared" si="77"/>
        <v/>
      </c>
      <c r="Y66" s="176"/>
      <c r="Z66" s="176"/>
      <c r="AA66" s="177" t="str">
        <f t="shared" si="72"/>
        <v/>
      </c>
      <c r="AB66" s="176"/>
      <c r="AC66" s="176"/>
      <c r="AD66" s="176"/>
      <c r="AE66" s="178" t="str">
        <f t="shared" si="78"/>
        <v/>
      </c>
      <c r="AF66" s="179" t="str">
        <f t="shared" si="2"/>
        <v/>
      </c>
      <c r="AG66" s="177" t="str">
        <f t="shared" si="73"/>
        <v/>
      </c>
      <c r="AH66" s="179" t="str">
        <f t="shared" si="4"/>
        <v/>
      </c>
      <c r="AI66" s="177" t="str">
        <f t="shared" si="13"/>
        <v/>
      </c>
      <c r="AJ66" s="180" t="str">
        <f t="shared" si="79"/>
        <v/>
      </c>
      <c r="AK66" s="181"/>
      <c r="AL66" s="172"/>
      <c r="AM66" s="182"/>
      <c r="AN66" s="182"/>
      <c r="AO66" s="183"/>
      <c r="AP66" s="313"/>
      <c r="AQ66" s="313"/>
      <c r="AR66" s="313"/>
    </row>
    <row r="67" spans="1:44" ht="37.5" customHeight="1" x14ac:dyDescent="0.2">
      <c r="A67" s="329">
        <v>10</v>
      </c>
      <c r="B67" s="330"/>
      <c r="C67" s="330"/>
      <c r="D67" s="330"/>
      <c r="E67" s="330"/>
      <c r="F67" s="330"/>
      <c r="G67" s="319"/>
      <c r="H67" s="319"/>
      <c r="I67" s="207"/>
      <c r="J67" s="207"/>
      <c r="K67" s="207"/>
      <c r="L67" s="319"/>
      <c r="M67" s="319"/>
      <c r="N67" s="313"/>
      <c r="O67" s="312" t="str">
        <f>IF(N67&lt;=0,"",IF(N67&lt;=2,"Muy Baja",IF(N67&lt;=24,"Baja",IF(N67&lt;=500,"Media",IF(N67&lt;=5000,"Alta","Muy Alta")))))</f>
        <v/>
      </c>
      <c r="P67" s="311" t="str">
        <f>IF(O67="","",IF(O67="Muy Baja",0.2,IF(O67="Baja",0.4,IF(O67="Media",0.6,IF(O67="Alta",0.8,IF(O67="Muy Alta",1,))))))</f>
        <v/>
      </c>
      <c r="Q67" s="310"/>
      <c r="R67" s="311">
        <f>IF(NOT(ISERROR(MATCH(Q67,'Tabla Impacto'!$B$222:$B$224,0))),'Tabla Impacto'!$F$224&amp;"Por favor no seleccionar los criterios de impacto(Afectación Económica o presupuestal y Pérdida Reputacional)",Q67)</f>
        <v>0</v>
      </c>
      <c r="S67" s="312" t="str">
        <f>IF(OR(R67='Tabla Impacto'!$C$12,R67='Tabla Impacto'!$D$12),"Leve",IF(OR(R67='Tabla Impacto'!$C$13,R67='Tabla Impacto'!$D$13),"Menor",IF(OR(R67='Tabla Impacto'!$C$14,R67='Tabla Impacto'!$D$14),"Moderado",IF(OR(R67='Tabla Impacto'!$C$15,R67='Tabla Impacto'!$D$15),"Mayor",IF(OR(R67='Tabla Impacto'!$C$16,R67='Tabla Impacto'!$D$16),"Catastrófico","")))))</f>
        <v/>
      </c>
      <c r="T67" s="311" t="str">
        <f>IF(S67="","",IF(S67="Leve",0.2,IF(S67="Menor",0.4,IF(S67="Moderado",0.6,IF(S67="Mayor",0.8,IF(S67="Catastrófico",1,))))))</f>
        <v/>
      </c>
      <c r="U67" s="324"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200">
        <v>1</v>
      </c>
      <c r="W67" s="173"/>
      <c r="X67" s="175" t="str">
        <f>IF(OR(Y67="Preventivo",Y67="Detectivo"),"Probabilidad",IF(Y67="Correctivo","Impacto",""))</f>
        <v/>
      </c>
      <c r="Y67" s="176"/>
      <c r="Z67" s="176"/>
      <c r="AA67" s="177" t="str">
        <f>IF(AND(Y67="Preventivo",Z67="Automático"),"50%",IF(AND(Y67="Preventivo",Z67="Manual"),"40%",IF(AND(Y67="Detectivo",Z67="Automático"),"40%",IF(AND(Y67="Detectivo",Z67="Manual"),"30%",IF(AND(Y67="Correctivo",Z67="Automático"),"35%",IF(AND(Y67="Correctivo",Z67="Manual"),"25%",""))))))</f>
        <v/>
      </c>
      <c r="AB67" s="176"/>
      <c r="AC67" s="176"/>
      <c r="AD67" s="176"/>
      <c r="AE67" s="178" t="str">
        <f>IFERROR(IF(X67="Probabilidad",(P67-(+P67*AA67)),IF(X67="Impacto",P67,"")),"")</f>
        <v/>
      </c>
      <c r="AF67" s="179" t="str">
        <f>IFERROR(IF(AE67="","",IF(AE67&lt;=0.2,"Muy Baja",IF(AE67&lt;=0.4,"Baja",IF(AE67&lt;=0.6,"Media",IF(AE67&lt;=0.8,"Alta","Muy Alta"))))),"")</f>
        <v/>
      </c>
      <c r="AG67" s="177" t="str">
        <f>+AE67</f>
        <v/>
      </c>
      <c r="AH67" s="179" t="str">
        <f>IFERROR(IF(AI67="","",IF(AI67&lt;=0.2,"Leve",IF(AI67&lt;=0.4,"Menor",IF(AI67&lt;=0.6,"Moderado",IF(AI67&lt;=0.8,"Mayor","Catastrófico"))))),"")</f>
        <v/>
      </c>
      <c r="AI67" s="177" t="str">
        <f t="shared" ref="AI67" si="80">IFERROR(IF(X67="Impacto",(T67-(+T67*AA67)),IF(X67="Probabilidad",T67,"")),"")</f>
        <v/>
      </c>
      <c r="AJ67" s="180" t="str">
        <f>IFERROR(IF(OR(AND(AF67="Muy Baja",AH67="Leve"),AND(AF67="Muy Baja",AH67="Menor"),AND(AF67="Baja",AH67="Leve")),"Bajo",IF(OR(AND(AF67="Muy baja",AH67="Moderado"),AND(AF67="Baja",AH67="Menor"),AND(AF67="Baja",AH67="Moderado"),AND(AF67="Media",AH67="Leve"),AND(AF67="Media",AH67="Menor"),AND(AF67="Media",AH67="Moderado"),AND(AF67="Alta",AH67="Leve"),AND(AF67="Alta",AH67="Menor")),"Moderado",IF(OR(AND(AF67="Muy Baja",AH67="Mayor"),AND(AF67="Baja",AH67="Mayor"),AND(AF67="Media",AH67="Mayor"),AND(AF67="Alta",AH67="Moderado"),AND(AF67="Alta",AH67="Mayor"),AND(AF67="Muy Alta",AH67="Leve"),AND(AF67="Muy Alta",AH67="Menor"),AND(AF67="Muy Alta",AH67="Moderado"),AND(AF67="Muy Alta",AH67="Mayor")),"Alto",IF(OR(AND(AF67="Muy Baja",AH67="Catastrófico"),AND(AF67="Baja",AH67="Catastrófico"),AND(AF67="Media",AH67="Catastrófico"),AND(AF67="Alta",AH67="Catastrófico"),AND(AF67="Muy Alta",AH67="Catastrófico")),"Extremo","")))),"")</f>
        <v/>
      </c>
      <c r="AK67" s="181"/>
      <c r="AL67" s="172"/>
      <c r="AM67" s="182"/>
      <c r="AN67" s="182"/>
      <c r="AO67" s="183"/>
      <c r="AP67" s="313"/>
      <c r="AQ67" s="313"/>
      <c r="AR67" s="313"/>
    </row>
    <row r="68" spans="1:44" ht="37.5" customHeight="1" x14ac:dyDescent="0.2">
      <c r="A68" s="329"/>
      <c r="B68" s="330"/>
      <c r="C68" s="330"/>
      <c r="D68" s="330"/>
      <c r="E68" s="330"/>
      <c r="F68" s="330"/>
      <c r="G68" s="320"/>
      <c r="H68" s="320"/>
      <c r="I68" s="208"/>
      <c r="J68" s="208"/>
      <c r="K68" s="208"/>
      <c r="L68" s="320"/>
      <c r="M68" s="320"/>
      <c r="N68" s="313"/>
      <c r="O68" s="312"/>
      <c r="P68" s="311"/>
      <c r="Q68" s="310"/>
      <c r="R68" s="311">
        <f>IF(NOT(ISERROR(MATCH(Q68,_xlfn.ANCHORARRAY(F79),0))),Q81&amp;"Por favor no seleccionar los criterios de impacto",Q68)</f>
        <v>0</v>
      </c>
      <c r="S68" s="312"/>
      <c r="T68" s="311"/>
      <c r="U68" s="324"/>
      <c r="V68" s="200">
        <v>2</v>
      </c>
      <c r="W68" s="173"/>
      <c r="X68" s="175" t="str">
        <f>IF(OR(Y68="Preventivo",Y68="Detectivo"),"Probabilidad",IF(Y68="Correctivo","Impacto",""))</f>
        <v/>
      </c>
      <c r="Y68" s="176"/>
      <c r="Z68" s="176"/>
      <c r="AA68" s="177" t="str">
        <f t="shared" ref="AA68:AA72" si="81">IF(AND(Y68="Preventivo",Z68="Automático"),"50%",IF(AND(Y68="Preventivo",Z68="Manual"),"40%",IF(AND(Y68="Detectivo",Z68="Automático"),"40%",IF(AND(Y68="Detectivo",Z68="Manual"),"30%",IF(AND(Y68="Correctivo",Z68="Automático"),"35%",IF(AND(Y68="Correctivo",Z68="Manual"),"25%",""))))))</f>
        <v/>
      </c>
      <c r="AB68" s="176"/>
      <c r="AC68" s="176"/>
      <c r="AD68" s="176"/>
      <c r="AE68" s="178" t="str">
        <f>IFERROR(IF(AND(X67="Probabilidad",X68="Probabilidad"),(AG67-(+AG67*AA68)),IF(X68="Probabilidad",(P67-(+P67*AA68)),IF(X68="Impacto",AG67,""))),"")</f>
        <v/>
      </c>
      <c r="AF68" s="179" t="str">
        <f t="shared" si="2"/>
        <v/>
      </c>
      <c r="AG68" s="177" t="str">
        <f t="shared" ref="AG68:AG72" si="82">+AE68</f>
        <v/>
      </c>
      <c r="AH68" s="179" t="str">
        <f t="shared" si="4"/>
        <v/>
      </c>
      <c r="AI68" s="177" t="str">
        <f t="shared" ref="AI68" si="83">IFERROR(IF(AND(X67="Impacto",X68="Impacto"),(AI67-(+AI67*AA68)),IF(X68="Impacto",($T$13-(+$T$13*AA68)),IF(X68="Probabilidad",AI67,""))),"")</f>
        <v/>
      </c>
      <c r="AJ68" s="180" t="str">
        <f t="shared" ref="AJ68:AJ69" si="84">IFERROR(IF(OR(AND(AF68="Muy Baja",AH68="Leve"),AND(AF68="Muy Baja",AH68="Menor"),AND(AF68="Baja",AH68="Leve")),"Bajo",IF(OR(AND(AF68="Muy baja",AH68="Moderado"),AND(AF68="Baja",AH68="Menor"),AND(AF68="Baja",AH68="Moderado"),AND(AF68="Media",AH68="Leve"),AND(AF68="Media",AH68="Menor"),AND(AF68="Media",AH68="Moderado"),AND(AF68="Alta",AH68="Leve"),AND(AF68="Alta",AH68="Menor")),"Moderado",IF(OR(AND(AF68="Muy Baja",AH68="Mayor"),AND(AF68="Baja",AH68="Mayor"),AND(AF68="Media",AH68="Mayor"),AND(AF68="Alta",AH68="Moderado"),AND(AF68="Alta",AH68="Mayor"),AND(AF68="Muy Alta",AH68="Leve"),AND(AF68="Muy Alta",AH68="Menor"),AND(AF68="Muy Alta",AH68="Moderado"),AND(AF68="Muy Alta",AH68="Mayor")),"Alto",IF(OR(AND(AF68="Muy Baja",AH68="Catastrófico"),AND(AF68="Baja",AH68="Catastrófico"),AND(AF68="Media",AH68="Catastrófico"),AND(AF68="Alta",AH68="Catastrófico"),AND(AF68="Muy Alta",AH68="Catastrófico")),"Extremo","")))),"")</f>
        <v/>
      </c>
      <c r="AK68" s="181"/>
      <c r="AL68" s="172"/>
      <c r="AM68" s="182"/>
      <c r="AN68" s="182"/>
      <c r="AO68" s="183"/>
      <c r="AP68" s="313"/>
      <c r="AQ68" s="313"/>
      <c r="AR68" s="313"/>
    </row>
    <row r="69" spans="1:44" ht="37.5" customHeight="1" x14ac:dyDescent="0.2">
      <c r="A69" s="329"/>
      <c r="B69" s="330"/>
      <c r="C69" s="330"/>
      <c r="D69" s="330"/>
      <c r="E69" s="330"/>
      <c r="F69" s="330"/>
      <c r="G69" s="320"/>
      <c r="H69" s="320"/>
      <c r="I69" s="208"/>
      <c r="J69" s="208"/>
      <c r="K69" s="208"/>
      <c r="L69" s="320"/>
      <c r="M69" s="320"/>
      <c r="N69" s="313"/>
      <c r="O69" s="312"/>
      <c r="P69" s="311"/>
      <c r="Q69" s="310"/>
      <c r="R69" s="311">
        <f>IF(NOT(ISERROR(MATCH(Q69,_xlfn.ANCHORARRAY(F80),0))),Q82&amp;"Por favor no seleccionar los criterios de impacto",Q69)</f>
        <v>0</v>
      </c>
      <c r="S69" s="312"/>
      <c r="T69" s="311"/>
      <c r="U69" s="324"/>
      <c r="V69" s="200">
        <v>3</v>
      </c>
      <c r="W69" s="173"/>
      <c r="X69" s="175" t="str">
        <f>IF(OR(Y69="Preventivo",Y69="Detectivo"),"Probabilidad",IF(Y69="Correctivo","Impacto",""))</f>
        <v/>
      </c>
      <c r="Y69" s="176"/>
      <c r="Z69" s="176"/>
      <c r="AA69" s="177" t="str">
        <f t="shared" si="81"/>
        <v/>
      </c>
      <c r="AB69" s="176"/>
      <c r="AC69" s="176"/>
      <c r="AD69" s="176"/>
      <c r="AE69" s="178" t="str">
        <f>IFERROR(IF(AND(X68="Probabilidad",X69="Probabilidad"),(AG68-(+AG68*AA69)),IF(AND(X68="Impacto",X69="Probabilidad"),(AG67-(+AG67*AA69)),IF(X69="Impacto",AG68,""))),"")</f>
        <v/>
      </c>
      <c r="AF69" s="179" t="str">
        <f t="shared" si="2"/>
        <v/>
      </c>
      <c r="AG69" s="177" t="str">
        <f t="shared" si="82"/>
        <v/>
      </c>
      <c r="AH69" s="179" t="str">
        <f t="shared" si="4"/>
        <v/>
      </c>
      <c r="AI69" s="177" t="str">
        <f t="shared" ref="AI69" si="85">IFERROR(IF(AND(X68="Impacto",X69="Impacto"),(AI68-(+AI68*AA69)),IF(AND(X68="Probabilidad",X69="Impacto"),(AI67-(+AI67*AA69)),IF(X69="Probabilidad",AI68,""))),"")</f>
        <v/>
      </c>
      <c r="AJ69" s="180" t="str">
        <f t="shared" si="84"/>
        <v/>
      </c>
      <c r="AK69" s="181"/>
      <c r="AL69" s="172"/>
      <c r="AM69" s="182"/>
      <c r="AN69" s="182"/>
      <c r="AO69" s="183"/>
      <c r="AP69" s="313"/>
      <c r="AQ69" s="313"/>
      <c r="AR69" s="313"/>
    </row>
    <row r="70" spans="1:44" ht="37.5" customHeight="1" x14ac:dyDescent="0.2">
      <c r="A70" s="329"/>
      <c r="B70" s="330"/>
      <c r="C70" s="330"/>
      <c r="D70" s="330"/>
      <c r="E70" s="330"/>
      <c r="F70" s="330"/>
      <c r="G70" s="320"/>
      <c r="H70" s="320"/>
      <c r="I70" s="208"/>
      <c r="J70" s="208"/>
      <c r="K70" s="208"/>
      <c r="L70" s="320"/>
      <c r="M70" s="320"/>
      <c r="N70" s="313"/>
      <c r="O70" s="312"/>
      <c r="P70" s="311"/>
      <c r="Q70" s="310"/>
      <c r="R70" s="311">
        <f>IF(NOT(ISERROR(MATCH(Q70,_xlfn.ANCHORARRAY(F81),0))),Q83&amp;"Por favor no seleccionar los criterios de impacto",Q70)</f>
        <v>0</v>
      </c>
      <c r="S70" s="312"/>
      <c r="T70" s="311"/>
      <c r="U70" s="324"/>
      <c r="V70" s="200">
        <v>4</v>
      </c>
      <c r="W70" s="173"/>
      <c r="X70" s="175" t="str">
        <f t="shared" ref="X70:X72" si="86">IF(OR(Y70="Preventivo",Y70="Detectivo"),"Probabilidad",IF(Y70="Correctivo","Impacto",""))</f>
        <v/>
      </c>
      <c r="Y70" s="176"/>
      <c r="Z70" s="176"/>
      <c r="AA70" s="177" t="str">
        <f t="shared" si="81"/>
        <v/>
      </c>
      <c r="AB70" s="176"/>
      <c r="AC70" s="176"/>
      <c r="AD70" s="176"/>
      <c r="AE70" s="178" t="str">
        <f t="shared" ref="AE70:AE72" si="87">IFERROR(IF(AND(X69="Probabilidad",X70="Probabilidad"),(AG69-(+AG69*AA70)),IF(AND(X69="Impacto",X70="Probabilidad"),(AG68-(+AG68*AA70)),IF(X70="Impacto",AG69,""))),"")</f>
        <v/>
      </c>
      <c r="AF70" s="179" t="str">
        <f t="shared" si="2"/>
        <v/>
      </c>
      <c r="AG70" s="177" t="str">
        <f t="shared" si="82"/>
        <v/>
      </c>
      <c r="AH70" s="179" t="str">
        <f t="shared" si="4"/>
        <v/>
      </c>
      <c r="AI70" s="177" t="str">
        <f t="shared" si="13"/>
        <v/>
      </c>
      <c r="AJ70" s="180" t="str">
        <f>IFERROR(IF(OR(AND(AF70="Muy Baja",AH70="Leve"),AND(AF70="Muy Baja",AH70="Menor"),AND(AF70="Baja",AH70="Leve")),"Bajo",IF(OR(AND(AF70="Muy baja",AH70="Moderado"),AND(AF70="Baja",AH70="Menor"),AND(AF70="Baja",AH70="Moderado"),AND(AF70="Media",AH70="Leve"),AND(AF70="Media",AH70="Menor"),AND(AF70="Media",AH70="Moderado"),AND(AF70="Alta",AH70="Leve"),AND(AF70="Alta",AH70="Menor")),"Moderado",IF(OR(AND(AF70="Muy Baja",AH70="Mayor"),AND(AF70="Baja",AH70="Mayor"),AND(AF70="Media",AH70="Mayor"),AND(AF70="Alta",AH70="Moderado"),AND(AF70="Alta",AH70="Mayor"),AND(AF70="Muy Alta",AH70="Leve"),AND(AF70="Muy Alta",AH70="Menor"),AND(AF70="Muy Alta",AH70="Moderado"),AND(AF70="Muy Alta",AH70="Mayor")),"Alto",IF(OR(AND(AF70="Muy Baja",AH70="Catastrófico"),AND(AF70="Baja",AH70="Catastrófico"),AND(AF70="Media",AH70="Catastrófico"),AND(AF70="Alta",AH70="Catastrófico"),AND(AF70="Muy Alta",AH70="Catastrófico")),"Extremo","")))),"")</f>
        <v/>
      </c>
      <c r="AK70" s="181"/>
      <c r="AL70" s="172"/>
      <c r="AM70" s="182"/>
      <c r="AN70" s="182"/>
      <c r="AO70" s="183"/>
      <c r="AP70" s="313"/>
      <c r="AQ70" s="313"/>
      <c r="AR70" s="313"/>
    </row>
    <row r="71" spans="1:44" ht="37.5" customHeight="1" x14ac:dyDescent="0.2">
      <c r="A71" s="329"/>
      <c r="B71" s="330"/>
      <c r="C71" s="330"/>
      <c r="D71" s="330"/>
      <c r="E71" s="330"/>
      <c r="F71" s="330"/>
      <c r="G71" s="320"/>
      <c r="H71" s="320"/>
      <c r="I71" s="208"/>
      <c r="J71" s="208"/>
      <c r="K71" s="208"/>
      <c r="L71" s="320"/>
      <c r="M71" s="320"/>
      <c r="N71" s="313"/>
      <c r="O71" s="312"/>
      <c r="P71" s="311"/>
      <c r="Q71" s="310"/>
      <c r="R71" s="311">
        <f>IF(NOT(ISERROR(MATCH(Q71,_xlfn.ANCHORARRAY(F82),0))),Q84&amp;"Por favor no seleccionar los criterios de impacto",Q71)</f>
        <v>0</v>
      </c>
      <c r="S71" s="312"/>
      <c r="T71" s="311"/>
      <c r="U71" s="324"/>
      <c r="V71" s="200">
        <v>5</v>
      </c>
      <c r="W71" s="173"/>
      <c r="X71" s="175" t="str">
        <f t="shared" si="86"/>
        <v/>
      </c>
      <c r="Y71" s="176"/>
      <c r="Z71" s="176"/>
      <c r="AA71" s="177" t="str">
        <f t="shared" si="81"/>
        <v/>
      </c>
      <c r="AB71" s="176"/>
      <c r="AC71" s="176"/>
      <c r="AD71" s="176"/>
      <c r="AE71" s="178" t="str">
        <f t="shared" si="87"/>
        <v/>
      </c>
      <c r="AF71" s="179" t="str">
        <f t="shared" si="2"/>
        <v/>
      </c>
      <c r="AG71" s="177" t="str">
        <f t="shared" si="82"/>
        <v/>
      </c>
      <c r="AH71" s="179" t="str">
        <f t="shared" si="4"/>
        <v/>
      </c>
      <c r="AI71" s="177" t="str">
        <f t="shared" si="13"/>
        <v/>
      </c>
      <c r="AJ71" s="180" t="str">
        <f t="shared" ref="AJ71:AJ72" si="88">IFERROR(IF(OR(AND(AF71="Muy Baja",AH71="Leve"),AND(AF71="Muy Baja",AH71="Menor"),AND(AF71="Baja",AH71="Leve")),"Bajo",IF(OR(AND(AF71="Muy baja",AH71="Moderado"),AND(AF71="Baja",AH71="Menor"),AND(AF71="Baja",AH71="Moderado"),AND(AF71="Media",AH71="Leve"),AND(AF71="Media",AH71="Menor"),AND(AF71="Media",AH71="Moderado"),AND(AF71="Alta",AH71="Leve"),AND(AF71="Alta",AH71="Menor")),"Moderado",IF(OR(AND(AF71="Muy Baja",AH71="Mayor"),AND(AF71="Baja",AH71="Mayor"),AND(AF71="Media",AH71="Mayor"),AND(AF71="Alta",AH71="Moderado"),AND(AF71="Alta",AH71="Mayor"),AND(AF71="Muy Alta",AH71="Leve"),AND(AF71="Muy Alta",AH71="Menor"),AND(AF71="Muy Alta",AH71="Moderado"),AND(AF71="Muy Alta",AH71="Mayor")),"Alto",IF(OR(AND(AF71="Muy Baja",AH71="Catastrófico"),AND(AF71="Baja",AH71="Catastrófico"),AND(AF71="Media",AH71="Catastrófico"),AND(AF71="Alta",AH71="Catastrófico"),AND(AF71="Muy Alta",AH71="Catastrófico")),"Extremo","")))),"")</f>
        <v/>
      </c>
      <c r="AK71" s="181"/>
      <c r="AL71" s="172"/>
      <c r="AM71" s="182"/>
      <c r="AN71" s="182"/>
      <c r="AO71" s="183"/>
      <c r="AP71" s="313"/>
      <c r="AQ71" s="313"/>
      <c r="AR71" s="313"/>
    </row>
    <row r="72" spans="1:44" ht="37.5" customHeight="1" x14ac:dyDescent="0.2">
      <c r="A72" s="329"/>
      <c r="B72" s="330"/>
      <c r="C72" s="330"/>
      <c r="D72" s="330"/>
      <c r="E72" s="330"/>
      <c r="F72" s="330"/>
      <c r="G72" s="321"/>
      <c r="H72" s="321"/>
      <c r="I72" s="209"/>
      <c r="J72" s="209"/>
      <c r="K72" s="209"/>
      <c r="L72" s="321"/>
      <c r="M72" s="321"/>
      <c r="N72" s="313"/>
      <c r="O72" s="312"/>
      <c r="P72" s="311"/>
      <c r="Q72" s="310"/>
      <c r="R72" s="311">
        <f>IF(NOT(ISERROR(MATCH(Q72,_xlfn.ANCHORARRAY(F83),0))),Q85&amp;"Por favor no seleccionar los criterios de impacto",Q72)</f>
        <v>0</v>
      </c>
      <c r="S72" s="312"/>
      <c r="T72" s="311"/>
      <c r="U72" s="324"/>
      <c r="V72" s="200">
        <v>6</v>
      </c>
      <c r="W72" s="173"/>
      <c r="X72" s="175" t="str">
        <f t="shared" si="86"/>
        <v/>
      </c>
      <c r="Y72" s="176"/>
      <c r="Z72" s="176"/>
      <c r="AA72" s="177" t="str">
        <f t="shared" si="81"/>
        <v/>
      </c>
      <c r="AB72" s="176"/>
      <c r="AC72" s="176"/>
      <c r="AD72" s="176"/>
      <c r="AE72" s="178" t="str">
        <f t="shared" si="87"/>
        <v/>
      </c>
      <c r="AF72" s="179" t="str">
        <f t="shared" si="2"/>
        <v/>
      </c>
      <c r="AG72" s="177" t="str">
        <f t="shared" si="82"/>
        <v/>
      </c>
      <c r="AH72" s="179" t="str">
        <f t="shared" si="4"/>
        <v/>
      </c>
      <c r="AI72" s="177" t="str">
        <f t="shared" si="13"/>
        <v/>
      </c>
      <c r="AJ72" s="180" t="str">
        <f t="shared" si="88"/>
        <v/>
      </c>
      <c r="AK72" s="181"/>
      <c r="AL72" s="172"/>
      <c r="AM72" s="182"/>
      <c r="AN72" s="182"/>
      <c r="AO72" s="183"/>
      <c r="AP72" s="313"/>
      <c r="AQ72" s="313"/>
      <c r="AR72" s="313"/>
    </row>
    <row r="73" spans="1:44" ht="49.5" customHeight="1" x14ac:dyDescent="0.2">
      <c r="A73" s="202"/>
      <c r="B73" s="335" t="s">
        <v>246</v>
      </c>
      <c r="C73" s="336"/>
      <c r="D73" s="336"/>
      <c r="E73" s="336"/>
      <c r="F73" s="336"/>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row>
    <row r="75" spans="1:44" ht="15.75" x14ac:dyDescent="0.2">
      <c r="A75" s="184"/>
      <c r="B75" s="192" t="s">
        <v>247</v>
      </c>
      <c r="C75" s="184"/>
      <c r="D75" s="184"/>
      <c r="E75" s="184"/>
      <c r="N75" s="184"/>
    </row>
  </sheetData>
  <dataConsolidate/>
  <mergeCells count="299">
    <mergeCell ref="A6:B6"/>
    <mergeCell ref="W6:Y6"/>
    <mergeCell ref="Z6:AR6"/>
    <mergeCell ref="A7:B7"/>
    <mergeCell ref="Z7:AR7"/>
    <mergeCell ref="A1:C4"/>
    <mergeCell ref="X1:AR2"/>
    <mergeCell ref="X3:AL3"/>
    <mergeCell ref="AM3:AR3"/>
    <mergeCell ref="X4:AR4"/>
    <mergeCell ref="D3:I3"/>
    <mergeCell ref="D1:T2"/>
    <mergeCell ref="J3:T3"/>
    <mergeCell ref="D4:T4"/>
    <mergeCell ref="C6:T6"/>
    <mergeCell ref="C7:T7"/>
    <mergeCell ref="A8:B8"/>
    <mergeCell ref="Z8:AR8"/>
    <mergeCell ref="A10:F10"/>
    <mergeCell ref="G10:K10"/>
    <mergeCell ref="P10:V10"/>
    <mergeCell ref="W10:AE10"/>
    <mergeCell ref="AF10:AJ10"/>
    <mergeCell ref="AK10:AO10"/>
    <mergeCell ref="AP10:AR10"/>
    <mergeCell ref="C8:T8"/>
    <mergeCell ref="A11:A12"/>
    <mergeCell ref="B11:B12"/>
    <mergeCell ref="C11:C12"/>
    <mergeCell ref="D11:D12"/>
    <mergeCell ref="E11:E12"/>
    <mergeCell ref="F11:F12"/>
    <mergeCell ref="G11:G12"/>
    <mergeCell ref="H11:H12"/>
    <mergeCell ref="I11:I12"/>
    <mergeCell ref="U13:U18"/>
    <mergeCell ref="AP13:AP18"/>
    <mergeCell ref="AQ13:AQ18"/>
    <mergeCell ref="AR11:AR12"/>
    <mergeCell ref="A13:A18"/>
    <mergeCell ref="B13:B18"/>
    <mergeCell ref="C13:C18"/>
    <mergeCell ref="D13:D18"/>
    <mergeCell ref="E13:E18"/>
    <mergeCell ref="F13:F18"/>
    <mergeCell ref="AI11:AI12"/>
    <mergeCell ref="AJ11:AJ12"/>
    <mergeCell ref="AK11:AK12"/>
    <mergeCell ref="AL11:AL12"/>
    <mergeCell ref="AM11:AM12"/>
    <mergeCell ref="AN11:AN12"/>
    <mergeCell ref="X11:X12"/>
    <mergeCell ref="Y11:AD11"/>
    <mergeCell ref="AE11:AE12"/>
    <mergeCell ref="AF11:AF12"/>
    <mergeCell ref="AG11:AG12"/>
    <mergeCell ref="AH11:AH12"/>
    <mergeCell ref="R11:R12"/>
    <mergeCell ref="S11:S12"/>
    <mergeCell ref="AO11:AO12"/>
    <mergeCell ref="AP11:AP12"/>
    <mergeCell ref="AQ11:AQ12"/>
    <mergeCell ref="W11:W12"/>
    <mergeCell ref="J11:J12"/>
    <mergeCell ref="K11:K12"/>
    <mergeCell ref="N11:N12"/>
    <mergeCell ref="O11:O12"/>
    <mergeCell ref="P11:P12"/>
    <mergeCell ref="Q11:Q12"/>
    <mergeCell ref="T11:T12"/>
    <mergeCell ref="U11:U12"/>
    <mergeCell ref="V11:V12"/>
    <mergeCell ref="AR13:AR18"/>
    <mergeCell ref="M13:M18"/>
    <mergeCell ref="N13:N18"/>
    <mergeCell ref="O13:O18"/>
    <mergeCell ref="P13:P18"/>
    <mergeCell ref="Q13:Q18"/>
    <mergeCell ref="R13:R18"/>
    <mergeCell ref="G19:G24"/>
    <mergeCell ref="H19:H24"/>
    <mergeCell ref="I19:I24"/>
    <mergeCell ref="J19:J24"/>
    <mergeCell ref="K19:K24"/>
    <mergeCell ref="L19:L24"/>
    <mergeCell ref="AP19:AP24"/>
    <mergeCell ref="AQ19:AQ24"/>
    <mergeCell ref="AR19:AR24"/>
    <mergeCell ref="G13:G18"/>
    <mergeCell ref="H13:H18"/>
    <mergeCell ref="I13:I18"/>
    <mergeCell ref="J13:J18"/>
    <mergeCell ref="K13:K18"/>
    <mergeCell ref="L13:L18"/>
    <mergeCell ref="S13:S18"/>
    <mergeCell ref="T13: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P25:AP30"/>
    <mergeCell ref="AQ25:AQ30"/>
    <mergeCell ref="AR25:AR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P31:AP36"/>
    <mergeCell ref="AQ31:AQ36"/>
    <mergeCell ref="AR31:AR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P37:AP42"/>
    <mergeCell ref="AQ37:AQ42"/>
    <mergeCell ref="AR37:AR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P43:AP48"/>
    <mergeCell ref="AQ43:AQ48"/>
    <mergeCell ref="AR43:AR48"/>
    <mergeCell ref="M43:M48"/>
    <mergeCell ref="N43:N48"/>
    <mergeCell ref="O43:O48"/>
    <mergeCell ref="P43:P48"/>
    <mergeCell ref="Q43:Q48"/>
    <mergeCell ref="R43:R48"/>
    <mergeCell ref="G49:G54"/>
    <mergeCell ref="H49:H54"/>
    <mergeCell ref="I49:I54"/>
    <mergeCell ref="J49:J54"/>
    <mergeCell ref="K49:K54"/>
    <mergeCell ref="L49:L54"/>
    <mergeCell ref="A49:A54"/>
    <mergeCell ref="B49:B54"/>
    <mergeCell ref="C49:C54"/>
    <mergeCell ref="D49:D54"/>
    <mergeCell ref="E49:E54"/>
    <mergeCell ref="F49:F54"/>
    <mergeCell ref="S49:S54"/>
    <mergeCell ref="T49:T54"/>
    <mergeCell ref="U49:U54"/>
    <mergeCell ref="AP49:AP54"/>
    <mergeCell ref="AQ49:AQ54"/>
    <mergeCell ref="AR49:AR54"/>
    <mergeCell ref="M49:M54"/>
    <mergeCell ref="N49:N54"/>
    <mergeCell ref="O49:O54"/>
    <mergeCell ref="P49:P54"/>
    <mergeCell ref="Q49:Q54"/>
    <mergeCell ref="R49:R54"/>
    <mergeCell ref="G55:G60"/>
    <mergeCell ref="H55:H60"/>
    <mergeCell ref="I55:I60"/>
    <mergeCell ref="J55:J60"/>
    <mergeCell ref="K55:K60"/>
    <mergeCell ref="L55:L60"/>
    <mergeCell ref="A55:A60"/>
    <mergeCell ref="B55:B60"/>
    <mergeCell ref="C55:C60"/>
    <mergeCell ref="D55:D60"/>
    <mergeCell ref="E55:E60"/>
    <mergeCell ref="F55:F60"/>
    <mergeCell ref="T55:T60"/>
    <mergeCell ref="U55:U60"/>
    <mergeCell ref="AP55:AP60"/>
    <mergeCell ref="AQ55:AQ60"/>
    <mergeCell ref="AR55:AR60"/>
    <mergeCell ref="M55:M60"/>
    <mergeCell ref="N55:N60"/>
    <mergeCell ref="O55:O60"/>
    <mergeCell ref="P55:P60"/>
    <mergeCell ref="Q55:Q60"/>
    <mergeCell ref="R55:R60"/>
    <mergeCell ref="A67:A72"/>
    <mergeCell ref="B67:B72"/>
    <mergeCell ref="C67:C72"/>
    <mergeCell ref="D67:D72"/>
    <mergeCell ref="E67:E72"/>
    <mergeCell ref="F67:F72"/>
    <mergeCell ref="G67:G72"/>
    <mergeCell ref="P61:P66"/>
    <mergeCell ref="Q61:Q66"/>
    <mergeCell ref="G61:G66"/>
    <mergeCell ref="H61:H66"/>
    <mergeCell ref="L61:L66"/>
    <mergeCell ref="M61:M66"/>
    <mergeCell ref="N61:N66"/>
    <mergeCell ref="O61:O66"/>
    <mergeCell ref="A61:A66"/>
    <mergeCell ref="B61:B66"/>
    <mergeCell ref="C61:C66"/>
    <mergeCell ref="D61:D66"/>
    <mergeCell ref="E61:E66"/>
    <mergeCell ref="F61:F66"/>
    <mergeCell ref="AQ67:AQ72"/>
    <mergeCell ref="AR67:AR72"/>
    <mergeCell ref="B73:AP73"/>
    <mergeCell ref="L10:M11"/>
    <mergeCell ref="Q67:Q72"/>
    <mergeCell ref="R67:R72"/>
    <mergeCell ref="S67:S72"/>
    <mergeCell ref="T67:T72"/>
    <mergeCell ref="U67:U72"/>
    <mergeCell ref="AP67:AP72"/>
    <mergeCell ref="H67:H72"/>
    <mergeCell ref="L67:L72"/>
    <mergeCell ref="M67:M72"/>
    <mergeCell ref="N67:N72"/>
    <mergeCell ref="O67:O72"/>
    <mergeCell ref="P67:P72"/>
    <mergeCell ref="AP61:AP66"/>
    <mergeCell ref="AQ61:AQ66"/>
    <mergeCell ref="AR61:AR66"/>
    <mergeCell ref="R61:R66"/>
    <mergeCell ref="S61:S66"/>
    <mergeCell ref="T61:T66"/>
    <mergeCell ref="U61:U66"/>
    <mergeCell ref="S55:S60"/>
  </mergeCells>
  <conditionalFormatting sqref="O13 O19">
    <cfRule type="cellIs" dxfId="469" priority="227" operator="equal">
      <formula>"Muy Alta"</formula>
    </cfRule>
    <cfRule type="cellIs" dxfId="468" priority="228" operator="equal">
      <formula>"Alta"</formula>
    </cfRule>
    <cfRule type="cellIs" dxfId="467" priority="229" operator="equal">
      <formula>"Media"</formula>
    </cfRule>
    <cfRule type="cellIs" dxfId="466" priority="230" operator="equal">
      <formula>"Baja"</formula>
    </cfRule>
    <cfRule type="cellIs" dxfId="465" priority="231" operator="equal">
      <formula>"Muy Baja"</formula>
    </cfRule>
  </conditionalFormatting>
  <conditionalFormatting sqref="S13 S19 S25 S31 S37 S43 S49 S55 S61 S67">
    <cfRule type="cellIs" dxfId="464" priority="222" operator="equal">
      <formula>"Catastrófico"</formula>
    </cfRule>
    <cfRule type="cellIs" dxfId="463" priority="223" operator="equal">
      <formula>"Mayor"</formula>
    </cfRule>
    <cfRule type="cellIs" dxfId="462" priority="224" operator="equal">
      <formula>"Moderado"</formula>
    </cfRule>
    <cfRule type="cellIs" dxfId="461" priority="225" operator="equal">
      <formula>"Menor"</formula>
    </cfRule>
    <cfRule type="cellIs" dxfId="460" priority="226" operator="equal">
      <formula>"Leve"</formula>
    </cfRule>
  </conditionalFormatting>
  <conditionalFormatting sqref="U13">
    <cfRule type="cellIs" dxfId="459" priority="218" operator="equal">
      <formula>"Extremo"</formula>
    </cfRule>
    <cfRule type="cellIs" dxfId="458" priority="219" operator="equal">
      <formula>"Alto"</formula>
    </cfRule>
    <cfRule type="cellIs" dxfId="457" priority="220" operator="equal">
      <formula>"Moderado"</formula>
    </cfRule>
    <cfRule type="cellIs" dxfId="456" priority="221" operator="equal">
      <formula>"Bajo"</formula>
    </cfRule>
  </conditionalFormatting>
  <conditionalFormatting sqref="AF13:AF18">
    <cfRule type="cellIs" dxfId="455" priority="213" operator="equal">
      <formula>"Muy Alta"</formula>
    </cfRule>
    <cfRule type="cellIs" dxfId="454" priority="214" operator="equal">
      <formula>"Alta"</formula>
    </cfRule>
    <cfRule type="cellIs" dxfId="453" priority="215" operator="equal">
      <formula>"Media"</formula>
    </cfRule>
    <cfRule type="cellIs" dxfId="452" priority="216" operator="equal">
      <formula>"Baja"</formula>
    </cfRule>
    <cfRule type="cellIs" dxfId="451" priority="217" operator="equal">
      <formula>"Muy Baja"</formula>
    </cfRule>
  </conditionalFormatting>
  <conditionalFormatting sqref="AH13:AH18">
    <cfRule type="cellIs" dxfId="450" priority="208" operator="equal">
      <formula>"Catastrófico"</formula>
    </cfRule>
    <cfRule type="cellIs" dxfId="449" priority="209" operator="equal">
      <formula>"Mayor"</formula>
    </cfRule>
    <cfRule type="cellIs" dxfId="448" priority="210" operator="equal">
      <formula>"Moderado"</formula>
    </cfRule>
    <cfRule type="cellIs" dxfId="447" priority="211" operator="equal">
      <formula>"Menor"</formula>
    </cfRule>
    <cfRule type="cellIs" dxfId="446" priority="212" operator="equal">
      <formula>"Leve"</formula>
    </cfRule>
  </conditionalFormatting>
  <conditionalFormatting sqref="AJ13:AJ18">
    <cfRule type="cellIs" dxfId="445" priority="204" operator="equal">
      <formula>"Extremo"</formula>
    </cfRule>
    <cfRule type="cellIs" dxfId="444" priority="205" operator="equal">
      <formula>"Alto"</formula>
    </cfRule>
    <cfRule type="cellIs" dxfId="443" priority="206" operator="equal">
      <formula>"Moderado"</formula>
    </cfRule>
    <cfRule type="cellIs" dxfId="442" priority="207" operator="equal">
      <formula>"Bajo"</formula>
    </cfRule>
  </conditionalFormatting>
  <conditionalFormatting sqref="O61">
    <cfRule type="cellIs" dxfId="441" priority="48" operator="equal">
      <formula>"Muy Alta"</formula>
    </cfRule>
    <cfRule type="cellIs" dxfId="440" priority="49" operator="equal">
      <formula>"Alta"</formula>
    </cfRule>
    <cfRule type="cellIs" dxfId="439" priority="50" operator="equal">
      <formula>"Media"</formula>
    </cfRule>
    <cfRule type="cellIs" dxfId="438" priority="51" operator="equal">
      <formula>"Baja"</formula>
    </cfRule>
    <cfRule type="cellIs" dxfId="437" priority="52" operator="equal">
      <formula>"Muy Baja"</formula>
    </cfRule>
  </conditionalFormatting>
  <conditionalFormatting sqref="U19">
    <cfRule type="cellIs" dxfId="436" priority="200" operator="equal">
      <formula>"Extremo"</formula>
    </cfRule>
    <cfRule type="cellIs" dxfId="435" priority="201" operator="equal">
      <formula>"Alto"</formula>
    </cfRule>
    <cfRule type="cellIs" dxfId="434" priority="202" operator="equal">
      <formula>"Moderado"</formula>
    </cfRule>
    <cfRule type="cellIs" dxfId="433" priority="203" operator="equal">
      <formula>"Bajo"</formula>
    </cfRule>
  </conditionalFormatting>
  <conditionalFormatting sqref="AF19:AF24">
    <cfRule type="cellIs" dxfId="432" priority="195" operator="equal">
      <formula>"Muy Alta"</formula>
    </cfRule>
    <cfRule type="cellIs" dxfId="431" priority="196" operator="equal">
      <formula>"Alta"</formula>
    </cfRule>
    <cfRule type="cellIs" dxfId="430" priority="197" operator="equal">
      <formula>"Media"</formula>
    </cfRule>
    <cfRule type="cellIs" dxfId="429" priority="198" operator="equal">
      <formula>"Baja"</formula>
    </cfRule>
    <cfRule type="cellIs" dxfId="428" priority="199" operator="equal">
      <formula>"Muy Baja"</formula>
    </cfRule>
  </conditionalFormatting>
  <conditionalFormatting sqref="AH19:AH24">
    <cfRule type="cellIs" dxfId="427" priority="190" operator="equal">
      <formula>"Catastrófico"</formula>
    </cfRule>
    <cfRule type="cellIs" dxfId="426" priority="191" operator="equal">
      <formula>"Mayor"</formula>
    </cfRule>
    <cfRule type="cellIs" dxfId="425" priority="192" operator="equal">
      <formula>"Moderado"</formula>
    </cfRule>
    <cfRule type="cellIs" dxfId="424" priority="193" operator="equal">
      <formula>"Menor"</formula>
    </cfRule>
    <cfRule type="cellIs" dxfId="423" priority="194" operator="equal">
      <formula>"Leve"</formula>
    </cfRule>
  </conditionalFormatting>
  <conditionalFormatting sqref="AJ19:AJ24">
    <cfRule type="cellIs" dxfId="422" priority="186" operator="equal">
      <formula>"Extremo"</formula>
    </cfRule>
    <cfRule type="cellIs" dxfId="421" priority="187" operator="equal">
      <formula>"Alto"</formula>
    </cfRule>
    <cfRule type="cellIs" dxfId="420" priority="188" operator="equal">
      <formula>"Moderado"</formula>
    </cfRule>
    <cfRule type="cellIs" dxfId="419" priority="189" operator="equal">
      <formula>"Bajo"</formula>
    </cfRule>
  </conditionalFormatting>
  <conditionalFormatting sqref="O25">
    <cfRule type="cellIs" dxfId="418" priority="181" operator="equal">
      <formula>"Muy Alta"</formula>
    </cfRule>
    <cfRule type="cellIs" dxfId="417" priority="182" operator="equal">
      <formula>"Alta"</formula>
    </cfRule>
    <cfRule type="cellIs" dxfId="416" priority="183" operator="equal">
      <formula>"Media"</formula>
    </cfRule>
    <cfRule type="cellIs" dxfId="415" priority="184" operator="equal">
      <formula>"Baja"</formula>
    </cfRule>
    <cfRule type="cellIs" dxfId="414" priority="185" operator="equal">
      <formula>"Muy Baja"</formula>
    </cfRule>
  </conditionalFormatting>
  <conditionalFormatting sqref="U25">
    <cfRule type="cellIs" dxfId="413" priority="177" operator="equal">
      <formula>"Extremo"</formula>
    </cfRule>
    <cfRule type="cellIs" dxfId="412" priority="178" operator="equal">
      <formula>"Alto"</formula>
    </cfRule>
    <cfRule type="cellIs" dxfId="411" priority="179" operator="equal">
      <formula>"Moderado"</formula>
    </cfRule>
    <cfRule type="cellIs" dxfId="410" priority="180" operator="equal">
      <formula>"Bajo"</formula>
    </cfRule>
  </conditionalFormatting>
  <conditionalFormatting sqref="AF25:AF30">
    <cfRule type="cellIs" dxfId="409" priority="172" operator="equal">
      <formula>"Muy Alta"</formula>
    </cfRule>
    <cfRule type="cellIs" dxfId="408" priority="173" operator="equal">
      <formula>"Alta"</formula>
    </cfRule>
    <cfRule type="cellIs" dxfId="407" priority="174" operator="equal">
      <formula>"Media"</formula>
    </cfRule>
    <cfRule type="cellIs" dxfId="406" priority="175" operator="equal">
      <formula>"Baja"</formula>
    </cfRule>
    <cfRule type="cellIs" dxfId="405" priority="176" operator="equal">
      <formula>"Muy Baja"</formula>
    </cfRule>
  </conditionalFormatting>
  <conditionalFormatting sqref="AH25:AH30">
    <cfRule type="cellIs" dxfId="404" priority="167" operator="equal">
      <formula>"Catastrófico"</formula>
    </cfRule>
    <cfRule type="cellIs" dxfId="403" priority="168" operator="equal">
      <formula>"Mayor"</formula>
    </cfRule>
    <cfRule type="cellIs" dxfId="402" priority="169" operator="equal">
      <formula>"Moderado"</formula>
    </cfRule>
    <cfRule type="cellIs" dxfId="401" priority="170" operator="equal">
      <formula>"Menor"</formula>
    </cfRule>
    <cfRule type="cellIs" dxfId="400" priority="171" operator="equal">
      <formula>"Leve"</formula>
    </cfRule>
  </conditionalFormatting>
  <conditionalFormatting sqref="AJ25:AJ30">
    <cfRule type="cellIs" dxfId="399" priority="163" operator="equal">
      <formula>"Extremo"</formula>
    </cfRule>
    <cfRule type="cellIs" dxfId="398" priority="164" operator="equal">
      <formula>"Alto"</formula>
    </cfRule>
    <cfRule type="cellIs" dxfId="397" priority="165" operator="equal">
      <formula>"Moderado"</formula>
    </cfRule>
    <cfRule type="cellIs" dxfId="396" priority="166" operator="equal">
      <formula>"Bajo"</formula>
    </cfRule>
  </conditionalFormatting>
  <conditionalFormatting sqref="O31">
    <cfRule type="cellIs" dxfId="395" priority="158" operator="equal">
      <formula>"Muy Alta"</formula>
    </cfRule>
    <cfRule type="cellIs" dxfId="394" priority="159" operator="equal">
      <formula>"Alta"</formula>
    </cfRule>
    <cfRule type="cellIs" dxfId="393" priority="160" operator="equal">
      <formula>"Media"</formula>
    </cfRule>
    <cfRule type="cellIs" dxfId="392" priority="161" operator="equal">
      <formula>"Baja"</formula>
    </cfRule>
    <cfRule type="cellIs" dxfId="391" priority="162" operator="equal">
      <formula>"Muy Baja"</formula>
    </cfRule>
  </conditionalFormatting>
  <conditionalFormatting sqref="U31">
    <cfRule type="cellIs" dxfId="390" priority="154" operator="equal">
      <formula>"Extremo"</formula>
    </cfRule>
    <cfRule type="cellIs" dxfId="389" priority="155" operator="equal">
      <formula>"Alto"</formula>
    </cfRule>
    <cfRule type="cellIs" dxfId="388" priority="156" operator="equal">
      <formula>"Moderado"</formula>
    </cfRule>
    <cfRule type="cellIs" dxfId="387" priority="157" operator="equal">
      <formula>"Bajo"</formula>
    </cfRule>
  </conditionalFormatting>
  <conditionalFormatting sqref="AF31:AF36">
    <cfRule type="cellIs" dxfId="386" priority="149" operator="equal">
      <formula>"Muy Alta"</formula>
    </cfRule>
    <cfRule type="cellIs" dxfId="385" priority="150" operator="equal">
      <formula>"Alta"</formula>
    </cfRule>
    <cfRule type="cellIs" dxfId="384" priority="151" operator="equal">
      <formula>"Media"</formula>
    </cfRule>
    <cfRule type="cellIs" dxfId="383" priority="152" operator="equal">
      <formula>"Baja"</formula>
    </cfRule>
    <cfRule type="cellIs" dxfId="382" priority="153" operator="equal">
      <formula>"Muy Baja"</formula>
    </cfRule>
  </conditionalFormatting>
  <conditionalFormatting sqref="AH31:AH36">
    <cfRule type="cellIs" dxfId="381" priority="144" operator="equal">
      <formula>"Catastrófico"</formula>
    </cfRule>
    <cfRule type="cellIs" dxfId="380" priority="145" operator="equal">
      <formula>"Mayor"</formula>
    </cfRule>
    <cfRule type="cellIs" dxfId="379" priority="146" operator="equal">
      <formula>"Moderado"</formula>
    </cfRule>
    <cfRule type="cellIs" dxfId="378" priority="147" operator="equal">
      <formula>"Menor"</formula>
    </cfRule>
    <cfRule type="cellIs" dxfId="377" priority="148" operator="equal">
      <formula>"Leve"</formula>
    </cfRule>
  </conditionalFormatting>
  <conditionalFormatting sqref="AJ31:AJ36">
    <cfRule type="cellIs" dxfId="376" priority="140" operator="equal">
      <formula>"Extremo"</formula>
    </cfRule>
    <cfRule type="cellIs" dxfId="375" priority="141" operator="equal">
      <formula>"Alto"</formula>
    </cfRule>
    <cfRule type="cellIs" dxfId="374" priority="142" operator="equal">
      <formula>"Moderado"</formula>
    </cfRule>
    <cfRule type="cellIs" dxfId="373" priority="143" operator="equal">
      <formula>"Bajo"</formula>
    </cfRule>
  </conditionalFormatting>
  <conditionalFormatting sqref="O37">
    <cfRule type="cellIs" dxfId="372" priority="135" operator="equal">
      <formula>"Muy Alta"</formula>
    </cfRule>
    <cfRule type="cellIs" dxfId="371" priority="136" operator="equal">
      <formula>"Alta"</formula>
    </cfRule>
    <cfRule type="cellIs" dxfId="370" priority="137" operator="equal">
      <formula>"Media"</formula>
    </cfRule>
    <cfRule type="cellIs" dxfId="369" priority="138" operator="equal">
      <formula>"Baja"</formula>
    </cfRule>
    <cfRule type="cellIs" dxfId="368" priority="139" operator="equal">
      <formula>"Muy Baja"</formula>
    </cfRule>
  </conditionalFormatting>
  <conditionalFormatting sqref="U37">
    <cfRule type="cellIs" dxfId="367" priority="131" operator="equal">
      <formula>"Extremo"</formula>
    </cfRule>
    <cfRule type="cellIs" dxfId="366" priority="132" operator="equal">
      <formula>"Alto"</formula>
    </cfRule>
    <cfRule type="cellIs" dxfId="365" priority="133" operator="equal">
      <formula>"Moderado"</formula>
    </cfRule>
    <cfRule type="cellIs" dxfId="364" priority="134" operator="equal">
      <formula>"Bajo"</formula>
    </cfRule>
  </conditionalFormatting>
  <conditionalFormatting sqref="AF37:AF42">
    <cfRule type="cellIs" dxfId="363" priority="126" operator="equal">
      <formula>"Muy Alta"</formula>
    </cfRule>
    <cfRule type="cellIs" dxfId="362" priority="127" operator="equal">
      <formula>"Alta"</formula>
    </cfRule>
    <cfRule type="cellIs" dxfId="361" priority="128" operator="equal">
      <formula>"Media"</formula>
    </cfRule>
    <cfRule type="cellIs" dxfId="360" priority="129" operator="equal">
      <formula>"Baja"</formula>
    </cfRule>
    <cfRule type="cellIs" dxfId="359" priority="130" operator="equal">
      <formula>"Muy Baja"</formula>
    </cfRule>
  </conditionalFormatting>
  <conditionalFormatting sqref="AH37:AH42">
    <cfRule type="cellIs" dxfId="358" priority="121" operator="equal">
      <formula>"Catastrófico"</formula>
    </cfRule>
    <cfRule type="cellIs" dxfId="357" priority="122" operator="equal">
      <formula>"Mayor"</formula>
    </cfRule>
    <cfRule type="cellIs" dxfId="356" priority="123" operator="equal">
      <formula>"Moderado"</formula>
    </cfRule>
    <cfRule type="cellIs" dxfId="355" priority="124" operator="equal">
      <formula>"Menor"</formula>
    </cfRule>
    <cfRule type="cellIs" dxfId="354" priority="125" operator="equal">
      <formula>"Leve"</formula>
    </cfRule>
  </conditionalFormatting>
  <conditionalFormatting sqref="AJ37:AJ42">
    <cfRule type="cellIs" dxfId="353" priority="117" operator="equal">
      <formula>"Extremo"</formula>
    </cfRule>
    <cfRule type="cellIs" dxfId="352" priority="118" operator="equal">
      <formula>"Alto"</formula>
    </cfRule>
    <cfRule type="cellIs" dxfId="351" priority="119" operator="equal">
      <formula>"Moderado"</formula>
    </cfRule>
    <cfRule type="cellIs" dxfId="350" priority="120" operator="equal">
      <formula>"Bajo"</formula>
    </cfRule>
  </conditionalFormatting>
  <conditionalFormatting sqref="O43">
    <cfRule type="cellIs" dxfId="349" priority="112" operator="equal">
      <formula>"Muy Alta"</formula>
    </cfRule>
    <cfRule type="cellIs" dxfId="348" priority="113" operator="equal">
      <formula>"Alta"</formula>
    </cfRule>
    <cfRule type="cellIs" dxfId="347" priority="114" operator="equal">
      <formula>"Media"</formula>
    </cfRule>
    <cfRule type="cellIs" dxfId="346" priority="115" operator="equal">
      <formula>"Baja"</formula>
    </cfRule>
    <cfRule type="cellIs" dxfId="345" priority="116" operator="equal">
      <formula>"Muy Baja"</formula>
    </cfRule>
  </conditionalFormatting>
  <conditionalFormatting sqref="U43">
    <cfRule type="cellIs" dxfId="344" priority="108" operator="equal">
      <formula>"Extremo"</formula>
    </cfRule>
    <cfRule type="cellIs" dxfId="343" priority="109" operator="equal">
      <formula>"Alto"</formula>
    </cfRule>
    <cfRule type="cellIs" dxfId="342" priority="110" operator="equal">
      <formula>"Moderado"</formula>
    </cfRule>
    <cfRule type="cellIs" dxfId="341" priority="111" operator="equal">
      <formula>"Bajo"</formula>
    </cfRule>
  </conditionalFormatting>
  <conditionalFormatting sqref="AF43:AF48">
    <cfRule type="cellIs" dxfId="340" priority="103" operator="equal">
      <formula>"Muy Alta"</formula>
    </cfRule>
    <cfRule type="cellIs" dxfId="339" priority="104" operator="equal">
      <formula>"Alta"</formula>
    </cfRule>
    <cfRule type="cellIs" dxfId="338" priority="105" operator="equal">
      <formula>"Media"</formula>
    </cfRule>
    <cfRule type="cellIs" dxfId="337" priority="106" operator="equal">
      <formula>"Baja"</formula>
    </cfRule>
    <cfRule type="cellIs" dxfId="336" priority="107" operator="equal">
      <formula>"Muy Baja"</formula>
    </cfRule>
  </conditionalFormatting>
  <conditionalFormatting sqref="AH43:AH48">
    <cfRule type="cellIs" dxfId="335" priority="98" operator="equal">
      <formula>"Catastrófico"</formula>
    </cfRule>
    <cfRule type="cellIs" dxfId="334" priority="99" operator="equal">
      <formula>"Mayor"</formula>
    </cfRule>
    <cfRule type="cellIs" dxfId="333" priority="100" operator="equal">
      <formula>"Moderado"</formula>
    </cfRule>
    <cfRule type="cellIs" dxfId="332" priority="101" operator="equal">
      <formula>"Menor"</formula>
    </cfRule>
    <cfRule type="cellIs" dxfId="331" priority="102" operator="equal">
      <formula>"Leve"</formula>
    </cfRule>
  </conditionalFormatting>
  <conditionalFormatting sqref="AJ43:AJ48">
    <cfRule type="cellIs" dxfId="330" priority="94" operator="equal">
      <formula>"Extremo"</formula>
    </cfRule>
    <cfRule type="cellIs" dxfId="329" priority="95" operator="equal">
      <formula>"Alto"</formula>
    </cfRule>
    <cfRule type="cellIs" dxfId="328" priority="96" operator="equal">
      <formula>"Moderado"</formula>
    </cfRule>
    <cfRule type="cellIs" dxfId="327" priority="97" operator="equal">
      <formula>"Bajo"</formula>
    </cfRule>
  </conditionalFormatting>
  <conditionalFormatting sqref="O49">
    <cfRule type="cellIs" dxfId="326" priority="89" operator="equal">
      <formula>"Muy Alta"</formula>
    </cfRule>
    <cfRule type="cellIs" dxfId="325" priority="90" operator="equal">
      <formula>"Alta"</formula>
    </cfRule>
    <cfRule type="cellIs" dxfId="324" priority="91" operator="equal">
      <formula>"Media"</formula>
    </cfRule>
    <cfRule type="cellIs" dxfId="323" priority="92" operator="equal">
      <formula>"Baja"</formula>
    </cfRule>
    <cfRule type="cellIs" dxfId="322" priority="93" operator="equal">
      <formula>"Muy Baja"</formula>
    </cfRule>
  </conditionalFormatting>
  <conditionalFormatting sqref="U49">
    <cfRule type="cellIs" dxfId="321" priority="85" operator="equal">
      <formula>"Extremo"</formula>
    </cfRule>
    <cfRule type="cellIs" dxfId="320" priority="86" operator="equal">
      <formula>"Alto"</formula>
    </cfRule>
    <cfRule type="cellIs" dxfId="319" priority="87" operator="equal">
      <formula>"Moderado"</formula>
    </cfRule>
    <cfRule type="cellIs" dxfId="318" priority="88" operator="equal">
      <formula>"Bajo"</formula>
    </cfRule>
  </conditionalFormatting>
  <conditionalFormatting sqref="AF49:AF54">
    <cfRule type="cellIs" dxfId="317" priority="80" operator="equal">
      <formula>"Muy Alta"</formula>
    </cfRule>
    <cfRule type="cellIs" dxfId="316" priority="81" operator="equal">
      <formula>"Alta"</formula>
    </cfRule>
    <cfRule type="cellIs" dxfId="315" priority="82" operator="equal">
      <formula>"Media"</formula>
    </cfRule>
    <cfRule type="cellIs" dxfId="314" priority="83" operator="equal">
      <formula>"Baja"</formula>
    </cfRule>
    <cfRule type="cellIs" dxfId="313" priority="84" operator="equal">
      <formula>"Muy Baja"</formula>
    </cfRule>
  </conditionalFormatting>
  <conditionalFormatting sqref="AH49:AH54">
    <cfRule type="cellIs" dxfId="312" priority="75" operator="equal">
      <formula>"Catastrófico"</formula>
    </cfRule>
    <cfRule type="cellIs" dxfId="311" priority="76" operator="equal">
      <formula>"Mayor"</formula>
    </cfRule>
    <cfRule type="cellIs" dxfId="310" priority="77" operator="equal">
      <formula>"Moderado"</formula>
    </cfRule>
    <cfRule type="cellIs" dxfId="309" priority="78" operator="equal">
      <formula>"Menor"</formula>
    </cfRule>
    <cfRule type="cellIs" dxfId="308" priority="79" operator="equal">
      <formula>"Leve"</formula>
    </cfRule>
  </conditionalFormatting>
  <conditionalFormatting sqref="AJ49:AJ54">
    <cfRule type="cellIs" dxfId="307" priority="71" operator="equal">
      <formula>"Extremo"</formula>
    </cfRule>
    <cfRule type="cellIs" dxfId="306" priority="72" operator="equal">
      <formula>"Alto"</formula>
    </cfRule>
    <cfRule type="cellIs" dxfId="305" priority="73" operator="equal">
      <formula>"Moderado"</formula>
    </cfRule>
    <cfRule type="cellIs" dxfId="304" priority="74" operator="equal">
      <formula>"Bajo"</formula>
    </cfRule>
  </conditionalFormatting>
  <conditionalFormatting sqref="U55">
    <cfRule type="cellIs" dxfId="303" priority="67" operator="equal">
      <formula>"Extremo"</formula>
    </cfRule>
    <cfRule type="cellIs" dxfId="302" priority="68" operator="equal">
      <formula>"Alto"</formula>
    </cfRule>
    <cfRule type="cellIs" dxfId="301" priority="69" operator="equal">
      <formula>"Moderado"</formula>
    </cfRule>
    <cfRule type="cellIs" dxfId="300" priority="70" operator="equal">
      <formula>"Bajo"</formula>
    </cfRule>
  </conditionalFormatting>
  <conditionalFormatting sqref="AF55:AF60">
    <cfRule type="cellIs" dxfId="299" priority="62" operator="equal">
      <formula>"Muy Alta"</formula>
    </cfRule>
    <cfRule type="cellIs" dxfId="298" priority="63" operator="equal">
      <formula>"Alta"</formula>
    </cfRule>
    <cfRule type="cellIs" dxfId="297" priority="64" operator="equal">
      <formula>"Media"</formula>
    </cfRule>
    <cfRule type="cellIs" dxfId="296" priority="65" operator="equal">
      <formula>"Baja"</formula>
    </cfRule>
    <cfRule type="cellIs" dxfId="295" priority="66" operator="equal">
      <formula>"Muy Baja"</formula>
    </cfRule>
  </conditionalFormatting>
  <conditionalFormatting sqref="AH55:AH60">
    <cfRule type="cellIs" dxfId="294" priority="57" operator="equal">
      <formula>"Catastrófico"</formula>
    </cfRule>
    <cfRule type="cellIs" dxfId="293" priority="58" operator="equal">
      <formula>"Mayor"</formula>
    </cfRule>
    <cfRule type="cellIs" dxfId="292" priority="59" operator="equal">
      <formula>"Moderado"</formula>
    </cfRule>
    <cfRule type="cellIs" dxfId="291" priority="60" operator="equal">
      <formula>"Menor"</formula>
    </cfRule>
    <cfRule type="cellIs" dxfId="290" priority="61" operator="equal">
      <formula>"Leve"</formula>
    </cfRule>
  </conditionalFormatting>
  <conditionalFormatting sqref="AJ55:AJ60">
    <cfRule type="cellIs" dxfId="289" priority="53" operator="equal">
      <formula>"Extremo"</formula>
    </cfRule>
    <cfRule type="cellIs" dxfId="288" priority="54" operator="equal">
      <formula>"Alto"</formula>
    </cfRule>
    <cfRule type="cellIs" dxfId="287" priority="55" operator="equal">
      <formula>"Moderado"</formula>
    </cfRule>
    <cfRule type="cellIs" dxfId="286" priority="56" operator="equal">
      <formula>"Bajo"</formula>
    </cfRule>
  </conditionalFormatting>
  <conditionalFormatting sqref="U61">
    <cfRule type="cellIs" dxfId="285" priority="44" operator="equal">
      <formula>"Extremo"</formula>
    </cfRule>
    <cfRule type="cellIs" dxfId="284" priority="45" operator="equal">
      <formula>"Alto"</formula>
    </cfRule>
    <cfRule type="cellIs" dxfId="283" priority="46" operator="equal">
      <formula>"Moderado"</formula>
    </cfRule>
    <cfRule type="cellIs" dxfId="282" priority="47" operator="equal">
      <formula>"Bajo"</formula>
    </cfRule>
  </conditionalFormatting>
  <conditionalFormatting sqref="AF61:AF66">
    <cfRule type="cellIs" dxfId="281" priority="39" operator="equal">
      <formula>"Muy Alta"</formula>
    </cfRule>
    <cfRule type="cellIs" dxfId="280" priority="40" operator="equal">
      <formula>"Alta"</formula>
    </cfRule>
    <cfRule type="cellIs" dxfId="279" priority="41" operator="equal">
      <formula>"Media"</formula>
    </cfRule>
    <cfRule type="cellIs" dxfId="278" priority="42" operator="equal">
      <formula>"Baja"</formula>
    </cfRule>
    <cfRule type="cellIs" dxfId="277" priority="43" operator="equal">
      <formula>"Muy Baja"</formula>
    </cfRule>
  </conditionalFormatting>
  <conditionalFormatting sqref="AH61:AH66">
    <cfRule type="cellIs" dxfId="276" priority="34" operator="equal">
      <formula>"Catastrófico"</formula>
    </cfRule>
    <cfRule type="cellIs" dxfId="275" priority="35" operator="equal">
      <formula>"Mayor"</formula>
    </cfRule>
    <cfRule type="cellIs" dxfId="274" priority="36" operator="equal">
      <formula>"Moderado"</formula>
    </cfRule>
    <cfRule type="cellIs" dxfId="273" priority="37" operator="equal">
      <formula>"Menor"</formula>
    </cfRule>
    <cfRule type="cellIs" dxfId="272" priority="38" operator="equal">
      <formula>"Leve"</formula>
    </cfRule>
  </conditionalFormatting>
  <conditionalFormatting sqref="AJ61:AJ66">
    <cfRule type="cellIs" dxfId="271" priority="30" operator="equal">
      <formula>"Extremo"</formula>
    </cfRule>
    <cfRule type="cellIs" dxfId="270" priority="31" operator="equal">
      <formula>"Alto"</formula>
    </cfRule>
    <cfRule type="cellIs" dxfId="269" priority="32" operator="equal">
      <formula>"Moderado"</formula>
    </cfRule>
    <cfRule type="cellIs" dxfId="268" priority="33" operator="equal">
      <formula>"Bajo"</formula>
    </cfRule>
  </conditionalFormatting>
  <conditionalFormatting sqref="O67">
    <cfRule type="cellIs" dxfId="267" priority="25" operator="equal">
      <formula>"Muy Alta"</formula>
    </cfRule>
    <cfRule type="cellIs" dxfId="266" priority="26" operator="equal">
      <formula>"Alta"</formula>
    </cfRule>
    <cfRule type="cellIs" dxfId="265" priority="27" operator="equal">
      <formula>"Media"</formula>
    </cfRule>
    <cfRule type="cellIs" dxfId="264" priority="28" operator="equal">
      <formula>"Baja"</formula>
    </cfRule>
    <cfRule type="cellIs" dxfId="263" priority="29" operator="equal">
      <formula>"Muy Baja"</formula>
    </cfRule>
  </conditionalFormatting>
  <conditionalFormatting sqref="U67">
    <cfRule type="cellIs" dxfId="262" priority="21" operator="equal">
      <formula>"Extremo"</formula>
    </cfRule>
    <cfRule type="cellIs" dxfId="261" priority="22" operator="equal">
      <formula>"Alto"</formula>
    </cfRule>
    <cfRule type="cellIs" dxfId="260" priority="23" operator="equal">
      <formula>"Moderado"</formula>
    </cfRule>
    <cfRule type="cellIs" dxfId="259" priority="24" operator="equal">
      <formula>"Bajo"</formula>
    </cfRule>
  </conditionalFormatting>
  <conditionalFormatting sqref="AF67:AF72">
    <cfRule type="cellIs" dxfId="258" priority="16" operator="equal">
      <formula>"Muy Alta"</formula>
    </cfRule>
    <cfRule type="cellIs" dxfId="257" priority="17" operator="equal">
      <formula>"Alta"</formula>
    </cfRule>
    <cfRule type="cellIs" dxfId="256" priority="18" operator="equal">
      <formula>"Media"</formula>
    </cfRule>
    <cfRule type="cellIs" dxfId="255" priority="19" operator="equal">
      <formula>"Baja"</formula>
    </cfRule>
    <cfRule type="cellIs" dxfId="254" priority="20" operator="equal">
      <formula>"Muy Baja"</formula>
    </cfRule>
  </conditionalFormatting>
  <conditionalFormatting sqref="AH67:AH72">
    <cfRule type="cellIs" dxfId="253" priority="11" operator="equal">
      <formula>"Catastrófico"</formula>
    </cfRule>
    <cfRule type="cellIs" dxfId="252" priority="12" operator="equal">
      <formula>"Mayor"</formula>
    </cfRule>
    <cfRule type="cellIs" dxfId="251" priority="13" operator="equal">
      <formula>"Moderado"</formula>
    </cfRule>
    <cfRule type="cellIs" dxfId="250" priority="14" operator="equal">
      <formula>"Menor"</formula>
    </cfRule>
    <cfRule type="cellIs" dxfId="249" priority="15" operator="equal">
      <formula>"Leve"</formula>
    </cfRule>
  </conditionalFormatting>
  <conditionalFormatting sqref="AJ67:AJ72">
    <cfRule type="cellIs" dxfId="248" priority="7" operator="equal">
      <formula>"Extremo"</formula>
    </cfRule>
    <cfRule type="cellIs" dxfId="247" priority="8" operator="equal">
      <formula>"Alto"</formula>
    </cfRule>
    <cfRule type="cellIs" dxfId="246" priority="9" operator="equal">
      <formula>"Moderado"</formula>
    </cfRule>
    <cfRule type="cellIs" dxfId="245" priority="10" operator="equal">
      <formula>"Bajo"</formula>
    </cfRule>
  </conditionalFormatting>
  <conditionalFormatting sqref="R13:R72">
    <cfRule type="containsText" dxfId="244" priority="6" operator="containsText" text="❌">
      <formula>NOT(ISERROR(SEARCH("❌",R13)))</formula>
    </cfRule>
  </conditionalFormatting>
  <conditionalFormatting sqref="O55">
    <cfRule type="cellIs" dxfId="243" priority="1" operator="equal">
      <formula>"Muy Alta"</formula>
    </cfRule>
    <cfRule type="cellIs" dxfId="242" priority="2" operator="equal">
      <formula>"Alta"</formula>
    </cfRule>
    <cfRule type="cellIs" dxfId="241" priority="3" operator="equal">
      <formula>"Media"</formula>
    </cfRule>
    <cfRule type="cellIs" dxfId="240" priority="4" operator="equal">
      <formula>"Baja"</formula>
    </cfRule>
    <cfRule type="cellIs" dxfId="239"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1" manualBreakCount="1">
    <brk id="30" max="43" man="1"/>
  </rowBreaks>
  <colBreaks count="1" manualBreakCount="1">
    <brk id="20" min="3" max="65" man="1"/>
  </col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F658C02B-993D-424E-BB84-44117E492661}">
          <x14:formula1>
            <xm:f>Listas!$H$14:$H$18</xm:f>
          </x14:formula1>
          <xm:sqref>M13:M72</xm:sqref>
        </x14:dataValidation>
        <x14:dataValidation type="list" allowBlank="1" showInputMessage="1" showErrorMessage="1" xr:uid="{40312BE1-7798-450E-AF3E-05C67AC8BF93}">
          <x14:formula1>
            <xm:f>Listas!$H$8:$H$12</xm:f>
          </x14:formula1>
          <xm:sqref>L13:L72</xm:sqref>
        </x14:dataValidation>
        <x14:dataValidation type="list" allowBlank="1" showInputMessage="1" showErrorMessage="1" xr:uid="{AA2E5EA3-1692-46F4-901A-D93807733420}">
          <x14:formula1>
            <xm:f>Intructivo!$C$300:$C$316</xm:f>
          </x14:formula1>
          <xm:sqref>C6 T6:V6</xm:sqref>
        </x14:dataValidation>
        <x14:dataValidation type="list" allowBlank="1" showInputMessage="1" showErrorMessage="1" xr:uid="{03DE59EA-53B5-45A4-8E26-599EB4253647}">
          <x14:formula1>
            <xm:f>Listas!$F$8:$F$9</xm:f>
          </x14:formula1>
          <xm:sqref>G13:G72</xm:sqref>
        </x14:dataValidation>
        <x14:dataValidation type="list" allowBlank="1" showInputMessage="1" showErrorMessage="1" xr:uid="{4606DDEB-9F54-40BD-9BAC-47E32FED934C}">
          <x14:formula1>
            <xm:f>Listas!$B$17:$B$19</xm:f>
          </x14:formula1>
          <xm:sqref>F13:F72</xm:sqref>
        </x14:dataValidation>
        <x14:dataValidation type="custom" allowBlank="1" showInputMessage="1" showErrorMessage="1" error="Recuerde que las acciones se generan bajo la medida de mitigar el riesgo" xr:uid="{3A1535EF-A4E0-4446-B8FF-E932552AAE11}">
          <x14:formula1>
            <xm:f>IF(OR(#REF!=Listas!$B$2,#REF!=Listas!$B$3,#REF!=Listas!$B$4),ISBLANK(#REF!),ISTEXT(#REF!))</xm:f>
          </x14:formula1>
          <xm:sqref>AP19:AR19 AP67:AR67 AP61:AR61 AP55:AR55 AP49:AR49 AP43:AR43 AP37:AR37 AP31:AR31 AP25:AR25</xm:sqref>
        </x14:dataValidation>
        <x14:dataValidation type="list" allowBlank="1" showInputMessage="1" showErrorMessage="1" xr:uid="{BA3C577B-DF51-41B8-800C-3C49B635B328}">
          <x14:formula1>
            <xm:f>Listas!$B$2:$B$5</xm:f>
          </x14:formula1>
          <xm:sqref>AK13:AK72</xm:sqref>
        </x14:dataValidation>
        <x14:dataValidation type="list" allowBlank="1" showInputMessage="1" showErrorMessage="1" xr:uid="{A7E97360-E878-482D-944B-FEFCE41EF2DD}">
          <x14:formula1>
            <xm:f>Listas!$E$2:$E$4</xm:f>
          </x14:formula1>
          <xm:sqref>B13:B72</xm:sqref>
        </x14:dataValidation>
        <x14:dataValidation type="list" allowBlank="1" showInputMessage="1" showErrorMessage="1" xr:uid="{81C7FE65-3E9A-49D2-8D53-7625D18167FA}">
          <x14:formula1>
            <xm:f>'Tabla Valoración controles'!$D$13:$D$14</xm:f>
          </x14:formula1>
          <xm:sqref>AD13:AD72</xm:sqref>
        </x14:dataValidation>
        <x14:dataValidation type="list" allowBlank="1" showInputMessage="1" showErrorMessage="1" xr:uid="{75D2C17F-7073-40C7-BC59-5A01C7A822CF}">
          <x14:formula1>
            <xm:f>'Tabla Valoración controles'!$D$11:$D$12</xm:f>
          </x14:formula1>
          <xm:sqref>AC13:AC72</xm:sqref>
        </x14:dataValidation>
        <x14:dataValidation type="list" allowBlank="1" showInputMessage="1" showErrorMessage="1" xr:uid="{015BB405-A86D-4571-9891-19202338A1E6}">
          <x14:formula1>
            <xm:f>'Tabla Valoración controles'!$D$9:$D$10</xm:f>
          </x14:formula1>
          <xm:sqref>AB13:AB72</xm:sqref>
        </x14:dataValidation>
        <x14:dataValidation type="list" allowBlank="1" showInputMessage="1" showErrorMessage="1" xr:uid="{64B71EBA-5AD1-4DF5-9300-D6F7874916B7}">
          <x14:formula1>
            <xm:f>'Tabla Valoración controles'!$D$7:$D$8</xm:f>
          </x14:formula1>
          <xm:sqref>Z13:Z72</xm:sqref>
        </x14:dataValidation>
        <x14:dataValidation type="list" allowBlank="1" showInputMessage="1" showErrorMessage="1" xr:uid="{EBBABF09-1E74-4DDE-947E-E544CB741FC0}">
          <x14:formula1>
            <xm:f>'Tabla Valoración controles'!$D$4:$D$6</xm:f>
          </x14:formula1>
          <xm:sqref>Y13:Y72</xm:sqref>
        </x14:dataValidation>
        <x14:dataValidation type="list" allowBlank="1" showInputMessage="1" showErrorMessage="1" xr:uid="{D541873E-5750-49B0-B960-2521B212E76B}">
          <x14:formula1>
            <xm:f>'Tabla Impacto'!$F$220:$F$222</xm:f>
          </x14:formula1>
          <xm:sqref>Q13:Q72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F29"/>
  <sheetViews>
    <sheetView zoomScaleNormal="100" zoomScaleSheetLayoutView="90" workbookViewId="0">
      <selection activeCell="B25" sqref="B25:F25"/>
    </sheetView>
  </sheetViews>
  <sheetFormatPr baseColWidth="10" defaultColWidth="11.42578125" defaultRowHeight="14.25" x14ac:dyDescent="0.25"/>
  <cols>
    <col min="1" max="1" width="2.140625" style="141" customWidth="1"/>
    <col min="2" max="2" width="11.42578125" style="141"/>
    <col min="3" max="3" width="34.28515625" style="141" customWidth="1"/>
    <col min="4" max="4" width="36.42578125" style="141" customWidth="1"/>
    <col min="5" max="6" width="13.85546875" style="141" customWidth="1"/>
    <col min="7" max="7" width="1.28515625" style="141" customWidth="1"/>
    <col min="8" max="16384" width="11.42578125" style="141"/>
  </cols>
  <sheetData>
    <row r="1" spans="2:6" ht="11.25" customHeight="1" thickBot="1" x14ac:dyDescent="0.3"/>
    <row r="2" spans="2:6" ht="18.75" customHeight="1" thickBot="1" x14ac:dyDescent="0.3">
      <c r="B2" s="518" t="s">
        <v>267</v>
      </c>
      <c r="C2" s="519"/>
      <c r="D2" s="519"/>
      <c r="E2" s="519"/>
      <c r="F2" s="520"/>
    </row>
    <row r="3" spans="2:6" ht="31.9" customHeight="1" x14ac:dyDescent="0.25">
      <c r="B3" s="521" t="s">
        <v>268</v>
      </c>
      <c r="C3" s="523" t="s">
        <v>269</v>
      </c>
      <c r="D3" s="523"/>
      <c r="E3" s="523" t="s">
        <v>270</v>
      </c>
      <c r="F3" s="525"/>
    </row>
    <row r="4" spans="2:6" ht="28.15" customHeight="1" thickBot="1" x14ac:dyDescent="0.3">
      <c r="B4" s="522"/>
      <c r="C4" s="524"/>
      <c r="D4" s="524"/>
      <c r="E4" s="151" t="s">
        <v>271</v>
      </c>
      <c r="F4" s="152" t="s">
        <v>272</v>
      </c>
    </row>
    <row r="5" spans="2:6" ht="23.25" customHeight="1" x14ac:dyDescent="0.25">
      <c r="B5" s="142">
        <v>1</v>
      </c>
      <c r="C5" s="526" t="s">
        <v>273</v>
      </c>
      <c r="D5" s="526"/>
      <c r="E5" s="164"/>
      <c r="F5" s="165"/>
    </row>
    <row r="6" spans="2:6" ht="33" customHeight="1" x14ac:dyDescent="0.25">
      <c r="B6" s="143">
        <v>2</v>
      </c>
      <c r="C6" s="517" t="s">
        <v>274</v>
      </c>
      <c r="D6" s="517"/>
      <c r="E6" s="166"/>
      <c r="F6" s="167"/>
    </row>
    <row r="7" spans="2:6" ht="39" customHeight="1" x14ac:dyDescent="0.25">
      <c r="B7" s="143">
        <v>3</v>
      </c>
      <c r="C7" s="517" t="s">
        <v>275</v>
      </c>
      <c r="D7" s="517"/>
      <c r="E7" s="166"/>
      <c r="F7" s="167"/>
    </row>
    <row r="8" spans="2:6" ht="24.75" customHeight="1" x14ac:dyDescent="0.25">
      <c r="B8" s="143">
        <v>4</v>
      </c>
      <c r="C8" s="517" t="s">
        <v>276</v>
      </c>
      <c r="D8" s="517"/>
      <c r="E8" s="166"/>
      <c r="F8" s="167"/>
    </row>
    <row r="9" spans="2:6" ht="23.25" customHeight="1" x14ac:dyDescent="0.25">
      <c r="B9" s="143">
        <v>5</v>
      </c>
      <c r="C9" s="517" t="s">
        <v>277</v>
      </c>
      <c r="D9" s="517"/>
      <c r="E9" s="166"/>
      <c r="F9" s="167"/>
    </row>
    <row r="10" spans="2:6" ht="23.25" customHeight="1" x14ac:dyDescent="0.25">
      <c r="B10" s="143">
        <v>6</v>
      </c>
      <c r="C10" s="517" t="s">
        <v>278</v>
      </c>
      <c r="D10" s="517"/>
      <c r="E10" s="166"/>
      <c r="F10" s="167"/>
    </row>
    <row r="11" spans="2:6" ht="23.25" customHeight="1" x14ac:dyDescent="0.25">
      <c r="B11" s="143">
        <v>7</v>
      </c>
      <c r="C11" s="517" t="s">
        <v>279</v>
      </c>
      <c r="D11" s="517"/>
      <c r="E11" s="166"/>
      <c r="F11" s="167"/>
    </row>
    <row r="12" spans="2:6" ht="25.5" customHeight="1" x14ac:dyDescent="0.25">
      <c r="B12" s="143">
        <v>8</v>
      </c>
      <c r="C12" s="517" t="s">
        <v>280</v>
      </c>
      <c r="D12" s="517"/>
      <c r="E12" s="144"/>
      <c r="F12" s="145"/>
    </row>
    <row r="13" spans="2:6" ht="23.25" customHeight="1" x14ac:dyDescent="0.25">
      <c r="B13" s="143">
        <v>9</v>
      </c>
      <c r="C13" s="517" t="s">
        <v>281</v>
      </c>
      <c r="D13" s="517"/>
      <c r="E13" s="144"/>
      <c r="F13" s="145"/>
    </row>
    <row r="14" spans="2:6" ht="23.25" customHeight="1" x14ac:dyDescent="0.25">
      <c r="B14" s="143">
        <v>10</v>
      </c>
      <c r="C14" s="517" t="s">
        <v>282</v>
      </c>
      <c r="D14" s="517"/>
      <c r="E14" s="144"/>
      <c r="F14" s="145"/>
    </row>
    <row r="15" spans="2:6" ht="23.25" customHeight="1" x14ac:dyDescent="0.25">
      <c r="B15" s="143">
        <v>11</v>
      </c>
      <c r="C15" s="517" t="s">
        <v>283</v>
      </c>
      <c r="D15" s="517"/>
      <c r="E15" s="144"/>
      <c r="F15" s="145"/>
    </row>
    <row r="16" spans="2:6" ht="23.25" customHeight="1" x14ac:dyDescent="0.25">
      <c r="B16" s="143">
        <v>12</v>
      </c>
      <c r="C16" s="517" t="s">
        <v>284</v>
      </c>
      <c r="D16" s="517"/>
      <c r="E16" s="144"/>
      <c r="F16" s="145"/>
    </row>
    <row r="17" spans="2:6" ht="23.25" customHeight="1" x14ac:dyDescent="0.25">
      <c r="B17" s="143">
        <v>13</v>
      </c>
      <c r="C17" s="517" t="s">
        <v>285</v>
      </c>
      <c r="D17" s="517"/>
      <c r="E17" s="144"/>
      <c r="F17" s="145"/>
    </row>
    <row r="18" spans="2:6" ht="23.25" customHeight="1" x14ac:dyDescent="0.25">
      <c r="B18" s="143">
        <v>14</v>
      </c>
      <c r="C18" s="517" t="s">
        <v>286</v>
      </c>
      <c r="D18" s="517"/>
      <c r="E18" s="144"/>
      <c r="F18" s="145"/>
    </row>
    <row r="19" spans="2:6" ht="23.25" customHeight="1" x14ac:dyDescent="0.25">
      <c r="B19" s="143">
        <v>15</v>
      </c>
      <c r="C19" s="517" t="s">
        <v>287</v>
      </c>
      <c r="D19" s="517"/>
      <c r="E19" s="144"/>
      <c r="F19" s="145"/>
    </row>
    <row r="20" spans="2:6" ht="23.25" customHeight="1" x14ac:dyDescent="0.25">
      <c r="B20" s="143">
        <v>16</v>
      </c>
      <c r="C20" s="517" t="s">
        <v>288</v>
      </c>
      <c r="D20" s="517"/>
      <c r="E20" s="144"/>
      <c r="F20" s="145"/>
    </row>
    <row r="21" spans="2:6" ht="23.25" customHeight="1" x14ac:dyDescent="0.25">
      <c r="B21" s="143">
        <v>17</v>
      </c>
      <c r="C21" s="517" t="s">
        <v>289</v>
      </c>
      <c r="D21" s="517"/>
      <c r="E21" s="144"/>
      <c r="F21" s="145"/>
    </row>
    <row r="22" spans="2:6" ht="23.25" customHeight="1" x14ac:dyDescent="0.25">
      <c r="B22" s="143">
        <v>18</v>
      </c>
      <c r="C22" s="531" t="s">
        <v>290</v>
      </c>
      <c r="D22" s="531"/>
      <c r="E22" s="144"/>
      <c r="F22" s="145"/>
    </row>
    <row r="23" spans="2:6" ht="23.25" customHeight="1" thickBot="1" x14ac:dyDescent="0.3">
      <c r="B23" s="143">
        <v>19</v>
      </c>
      <c r="C23" s="517" t="s">
        <v>291</v>
      </c>
      <c r="D23" s="517"/>
      <c r="E23" s="144"/>
      <c r="F23" s="145"/>
    </row>
    <row r="24" spans="2:6" ht="15.75" customHeight="1" thickBot="1" x14ac:dyDescent="0.3">
      <c r="B24" s="532" t="s">
        <v>292</v>
      </c>
      <c r="C24" s="527"/>
      <c r="D24" s="527"/>
      <c r="E24" s="527">
        <f>COUNTIF(E5:E23,"X")</f>
        <v>0</v>
      </c>
      <c r="F24" s="528"/>
    </row>
    <row r="25" spans="2:6" ht="45.75" customHeight="1" x14ac:dyDescent="0.25">
      <c r="B25" s="529" t="s">
        <v>293</v>
      </c>
      <c r="C25" s="529"/>
      <c r="D25" s="529"/>
      <c r="E25" s="529"/>
      <c r="F25" s="529"/>
    </row>
    <row r="26" spans="2:6" ht="9.75" customHeight="1" x14ac:dyDescent="0.25">
      <c r="B26" s="530"/>
      <c r="C26" s="530"/>
      <c r="D26" s="530"/>
      <c r="E26" s="530"/>
      <c r="F26" s="530"/>
    </row>
    <row r="27" spans="2:6" x14ac:dyDescent="0.25">
      <c r="B27" s="233"/>
    </row>
    <row r="28" spans="2:6" x14ac:dyDescent="0.25">
      <c r="B28" s="233"/>
    </row>
    <row r="29" spans="2:6" x14ac:dyDescent="0.25">
      <c r="B29" s="233"/>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11E0E-4360-4EE4-8FCE-3C26F04C9F2C}">
  <sheetPr>
    <tabColor rgb="FF002060"/>
  </sheetPr>
  <dimension ref="A1:JP75"/>
  <sheetViews>
    <sheetView tabSelected="1" topLeftCell="X14" zoomScale="55" zoomScaleNormal="55" zoomScaleSheetLayoutView="50" zoomScalePageLayoutView="60" workbookViewId="0">
      <selection activeCell="AC19" sqref="AC19:AH22"/>
    </sheetView>
  </sheetViews>
  <sheetFormatPr baseColWidth="10" defaultColWidth="11.42578125" defaultRowHeight="15" x14ac:dyDescent="0.2"/>
  <cols>
    <col min="1" max="1" width="6.5703125" style="204" customWidth="1"/>
    <col min="2" max="2" width="16" style="204" customWidth="1"/>
    <col min="3" max="3" width="19.140625" style="204" customWidth="1"/>
    <col min="4" max="4" width="25.28515625" style="204" customWidth="1"/>
    <col min="5" max="5" width="58.140625" style="204" customWidth="1"/>
    <col min="6" max="10" width="17.7109375" style="184" customWidth="1"/>
    <col min="11" max="11" width="16" style="184" customWidth="1"/>
    <col min="12" max="12" width="24.28515625" style="184" customWidth="1"/>
    <col min="13" max="14" width="29.42578125" style="184" customWidth="1"/>
    <col min="15" max="15" width="24.28515625" style="184" customWidth="1"/>
    <col min="16" max="16" width="19.42578125" style="184" customWidth="1"/>
    <col min="17" max="17" width="20.5703125" style="184" customWidth="1"/>
    <col min="18" max="18" width="16.7109375" style="205" customWidth="1"/>
    <col min="19" max="19" width="16.7109375" style="184" customWidth="1"/>
    <col min="20" max="20" width="20.42578125" style="184" customWidth="1"/>
    <col min="21" max="21" width="30.140625" style="184" customWidth="1"/>
    <col min="22" max="22" width="35.85546875" style="184" customWidth="1"/>
    <col min="23" max="23" width="30.5703125" style="184" customWidth="1"/>
    <col min="24" max="24" width="17.5703125" style="184" customWidth="1"/>
    <col min="25" max="25" width="15" style="184" customWidth="1"/>
    <col min="26" max="26" width="16" style="184" customWidth="1"/>
    <col min="27" max="27" width="63.85546875" style="184" customWidth="1"/>
    <col min="28" max="28" width="26.85546875" style="184" customWidth="1"/>
    <col min="29" max="29" width="5.85546875" style="184" customWidth="1"/>
    <col min="30" max="30" width="6.85546875" style="184" customWidth="1"/>
    <col min="31" max="31" width="5" style="184" customWidth="1"/>
    <col min="32" max="32" width="5.5703125" style="184" customWidth="1"/>
    <col min="33" max="33" width="7.140625" style="184" customWidth="1"/>
    <col min="34" max="34" width="6.7109375" style="184" customWidth="1"/>
    <col min="35" max="35" width="7.5703125" style="184" customWidth="1"/>
    <col min="36" max="36" width="8.5703125" style="184" customWidth="1"/>
    <col min="37" max="41" width="10.85546875" style="184" customWidth="1"/>
    <col min="42" max="42" width="26.140625" style="203" customWidth="1"/>
    <col min="43" max="43" width="23" style="184" customWidth="1"/>
    <col min="44" max="44" width="18.85546875" style="184" customWidth="1"/>
    <col min="45" max="45" width="21.5703125" style="184" customWidth="1"/>
    <col min="46" max="46" width="22.42578125" style="184" customWidth="1"/>
    <col min="47" max="47" width="16.42578125" style="184" customWidth="1"/>
    <col min="48" max="48" width="20.5703125" style="184" customWidth="1"/>
    <col min="49" max="16384" width="11.42578125" style="184"/>
  </cols>
  <sheetData>
    <row r="1" spans="1:276" s="187" customFormat="1" ht="20.25" x14ac:dyDescent="0.3">
      <c r="A1" s="350"/>
      <c r="B1" s="351"/>
      <c r="C1" s="352"/>
      <c r="D1" s="362" t="s">
        <v>193</v>
      </c>
      <c r="E1" s="363"/>
      <c r="F1" s="363"/>
      <c r="G1" s="363"/>
      <c r="H1" s="363"/>
      <c r="I1" s="363"/>
      <c r="J1" s="363"/>
      <c r="K1" s="363"/>
      <c r="L1" s="363"/>
      <c r="M1" s="363"/>
      <c r="N1" s="363"/>
      <c r="O1" s="363"/>
      <c r="P1" s="363"/>
      <c r="Q1" s="363"/>
      <c r="R1" s="363"/>
      <c r="S1" s="363"/>
      <c r="T1" s="364"/>
      <c r="U1" s="238"/>
      <c r="V1" s="238"/>
      <c r="W1" s="238"/>
      <c r="X1" s="337"/>
      <c r="Y1" s="337"/>
      <c r="Z1" s="337"/>
      <c r="AA1" s="337"/>
      <c r="AB1" s="337"/>
      <c r="AC1" s="337"/>
      <c r="AD1" s="337"/>
      <c r="AE1" s="337"/>
      <c r="AF1" s="337"/>
      <c r="AG1" s="337"/>
      <c r="AH1" s="337"/>
      <c r="AI1" s="337"/>
      <c r="AJ1" s="337"/>
      <c r="AK1" s="337"/>
      <c r="AL1" s="337"/>
      <c r="AM1" s="337"/>
      <c r="AN1" s="337"/>
      <c r="AO1" s="337"/>
      <c r="AP1" s="337"/>
      <c r="AQ1" s="337"/>
      <c r="AR1" s="337"/>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row>
    <row r="2" spans="1:276" s="187" customFormat="1" ht="21" thickBot="1" x14ac:dyDescent="0.35">
      <c r="A2" s="353"/>
      <c r="B2" s="354"/>
      <c r="C2" s="355"/>
      <c r="D2" s="365"/>
      <c r="E2" s="366"/>
      <c r="F2" s="366"/>
      <c r="G2" s="366"/>
      <c r="H2" s="366"/>
      <c r="I2" s="366"/>
      <c r="J2" s="366"/>
      <c r="K2" s="366"/>
      <c r="L2" s="366"/>
      <c r="M2" s="366"/>
      <c r="N2" s="366"/>
      <c r="O2" s="366"/>
      <c r="P2" s="366"/>
      <c r="Q2" s="366"/>
      <c r="R2" s="366"/>
      <c r="S2" s="366"/>
      <c r="T2" s="367"/>
      <c r="U2" s="238"/>
      <c r="V2" s="238"/>
      <c r="W2" s="238"/>
      <c r="X2" s="337"/>
      <c r="Y2" s="337"/>
      <c r="Z2" s="337"/>
      <c r="AA2" s="337"/>
      <c r="AB2" s="337"/>
      <c r="AC2" s="337"/>
      <c r="AD2" s="337"/>
      <c r="AE2" s="337"/>
      <c r="AF2" s="337"/>
      <c r="AG2" s="337"/>
      <c r="AH2" s="337"/>
      <c r="AI2" s="337"/>
      <c r="AJ2" s="337"/>
      <c r="AK2" s="337"/>
      <c r="AL2" s="337"/>
      <c r="AM2" s="337"/>
      <c r="AN2" s="337"/>
      <c r="AO2" s="337"/>
      <c r="AP2" s="337"/>
      <c r="AQ2" s="337"/>
      <c r="AR2" s="337"/>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row>
    <row r="3" spans="1:276" s="187" customFormat="1" ht="21" thickBot="1" x14ac:dyDescent="0.35">
      <c r="A3" s="353"/>
      <c r="B3" s="354"/>
      <c r="C3" s="355"/>
      <c r="D3" s="368" t="s">
        <v>194</v>
      </c>
      <c r="E3" s="369"/>
      <c r="F3" s="369"/>
      <c r="G3" s="369"/>
      <c r="H3" s="369"/>
      <c r="I3" s="370"/>
      <c r="J3" s="368"/>
      <c r="K3" s="369"/>
      <c r="L3" s="369"/>
      <c r="M3" s="369"/>
      <c r="N3" s="369"/>
      <c r="O3" s="369"/>
      <c r="P3" s="369"/>
      <c r="Q3" s="369"/>
      <c r="R3" s="369"/>
      <c r="S3" s="369" t="s">
        <v>195</v>
      </c>
      <c r="T3" s="370"/>
      <c r="U3" s="239"/>
      <c r="V3" s="239"/>
      <c r="W3" s="238"/>
      <c r="X3" s="338"/>
      <c r="Y3" s="338"/>
      <c r="Z3" s="338"/>
      <c r="AA3" s="338"/>
      <c r="AB3" s="338"/>
      <c r="AC3" s="338"/>
      <c r="AD3" s="338"/>
      <c r="AE3" s="338"/>
      <c r="AF3" s="338"/>
      <c r="AG3" s="338"/>
      <c r="AH3" s="338"/>
      <c r="AI3" s="338"/>
      <c r="AJ3" s="338"/>
      <c r="AK3" s="338"/>
      <c r="AL3" s="338"/>
      <c r="AM3" s="338"/>
      <c r="AN3" s="338"/>
      <c r="AO3" s="338"/>
      <c r="AP3" s="338"/>
      <c r="AQ3" s="338"/>
      <c r="AR3" s="338"/>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row>
    <row r="4" spans="1:276" s="187" customFormat="1" ht="21" thickBot="1" x14ac:dyDescent="0.35">
      <c r="A4" s="356"/>
      <c r="B4" s="357"/>
      <c r="C4" s="358"/>
      <c r="D4" s="368" t="s">
        <v>407</v>
      </c>
      <c r="E4" s="369"/>
      <c r="F4" s="369"/>
      <c r="G4" s="369"/>
      <c r="H4" s="369"/>
      <c r="I4" s="369"/>
      <c r="J4" s="369"/>
      <c r="K4" s="369"/>
      <c r="L4" s="369"/>
      <c r="M4" s="369"/>
      <c r="N4" s="369"/>
      <c r="O4" s="369"/>
      <c r="P4" s="369"/>
      <c r="Q4" s="369"/>
      <c r="R4" s="369"/>
      <c r="S4" s="369"/>
      <c r="T4" s="370"/>
      <c r="U4" s="238"/>
      <c r="V4" s="238"/>
      <c r="W4" s="238"/>
      <c r="X4" s="338"/>
      <c r="Y4" s="338"/>
      <c r="Z4" s="338"/>
      <c r="AA4" s="338"/>
      <c r="AB4" s="338"/>
      <c r="AC4" s="338"/>
      <c r="AD4" s="338"/>
      <c r="AE4" s="338"/>
      <c r="AF4" s="338"/>
      <c r="AG4" s="338"/>
      <c r="AH4" s="338"/>
      <c r="AI4" s="338"/>
      <c r="AJ4" s="338"/>
      <c r="AK4" s="338"/>
      <c r="AL4" s="338"/>
      <c r="AM4" s="338"/>
      <c r="AN4" s="338"/>
      <c r="AO4" s="338"/>
      <c r="AP4" s="338"/>
      <c r="AQ4" s="338"/>
      <c r="AR4" s="338"/>
      <c r="AS4" s="186"/>
      <c r="AT4" s="186"/>
      <c r="AU4" s="186"/>
      <c r="AV4" s="186"/>
      <c r="AW4" s="186"/>
      <c r="AX4" s="186"/>
      <c r="AY4" s="186"/>
      <c r="AZ4" s="186"/>
      <c r="BA4" s="186"/>
      <c r="BB4" s="186"/>
      <c r="BC4" s="186"/>
      <c r="BD4" s="186"/>
      <c r="BE4" s="186"/>
      <c r="BF4" s="186"/>
      <c r="BG4" s="186"/>
      <c r="BH4" s="186"/>
      <c r="BI4" s="186"/>
      <c r="BJ4" s="186"/>
      <c r="BK4" s="186"/>
      <c r="BL4" s="186"/>
      <c r="BM4" s="186"/>
      <c r="BN4" s="186"/>
      <c r="BO4" s="186"/>
      <c r="BP4" s="186"/>
    </row>
    <row r="5" spans="1:276" ht="15.75" thickBot="1" x14ac:dyDescent="0.25">
      <c r="A5" s="188"/>
      <c r="B5" s="189"/>
      <c r="C5" s="188"/>
      <c r="D5" s="188"/>
      <c r="E5" s="188"/>
      <c r="F5" s="190"/>
      <c r="G5" s="190"/>
      <c r="H5" s="190"/>
      <c r="I5" s="190"/>
      <c r="J5" s="190"/>
      <c r="K5" s="190"/>
      <c r="L5" s="190"/>
      <c r="M5" s="190"/>
      <c r="N5" s="191"/>
      <c r="O5" s="190"/>
      <c r="P5" s="190"/>
      <c r="Q5" s="190"/>
      <c r="R5" s="190"/>
      <c r="S5" s="190"/>
      <c r="T5" s="190"/>
      <c r="U5" s="190"/>
      <c r="V5" s="190"/>
      <c r="W5" s="190"/>
      <c r="X5" s="190"/>
      <c r="Y5" s="190"/>
      <c r="Z5" s="190"/>
      <c r="AA5" s="190"/>
      <c r="AB5" s="190"/>
      <c r="AC5" s="190"/>
      <c r="AD5" s="190"/>
      <c r="AE5" s="190"/>
      <c r="AF5" s="190"/>
      <c r="AG5" s="190"/>
      <c r="AH5" s="190"/>
      <c r="AI5" s="190"/>
      <c r="AJ5" s="190"/>
      <c r="AK5" s="190"/>
      <c r="AL5" s="24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row>
    <row r="6" spans="1:276" ht="17.25" thickBot="1" x14ac:dyDescent="0.25">
      <c r="A6" s="371" t="s">
        <v>196</v>
      </c>
      <c r="B6" s="372"/>
      <c r="C6" s="340" t="s">
        <v>75</v>
      </c>
      <c r="D6" s="341"/>
      <c r="E6" s="341"/>
      <c r="F6" s="341"/>
      <c r="G6" s="341"/>
      <c r="H6" s="341"/>
      <c r="I6" s="341"/>
      <c r="J6" s="341"/>
      <c r="K6" s="341"/>
      <c r="L6" s="341"/>
      <c r="M6" s="341"/>
      <c r="N6" s="341"/>
      <c r="O6" s="341"/>
      <c r="P6" s="341"/>
      <c r="Q6" s="341"/>
      <c r="R6" s="341"/>
      <c r="S6" s="341"/>
      <c r="T6" s="342"/>
      <c r="U6" s="241"/>
      <c r="V6" s="241"/>
      <c r="W6" s="339"/>
      <c r="X6" s="339"/>
      <c r="Y6" s="339"/>
      <c r="Z6" s="377"/>
      <c r="AA6" s="377"/>
      <c r="AB6" s="377"/>
      <c r="AC6" s="377"/>
      <c r="AD6" s="377"/>
      <c r="AE6" s="377"/>
      <c r="AF6" s="377"/>
      <c r="AG6" s="377"/>
      <c r="AH6" s="377"/>
      <c r="AI6" s="377"/>
      <c r="AJ6" s="377"/>
      <c r="AK6" s="377"/>
      <c r="AL6" s="377"/>
      <c r="AM6" s="377"/>
      <c r="AN6" s="377"/>
      <c r="AO6" s="377"/>
      <c r="AP6" s="377"/>
      <c r="AQ6" s="377"/>
      <c r="AR6" s="377"/>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row>
    <row r="7" spans="1:276" ht="16.5" thickBot="1" x14ac:dyDescent="0.3">
      <c r="A7" s="373" t="s">
        <v>197</v>
      </c>
      <c r="B7" s="374"/>
      <c r="C7" s="343" t="s">
        <v>482</v>
      </c>
      <c r="D7" s="344"/>
      <c r="E7" s="344"/>
      <c r="F7" s="344"/>
      <c r="G7" s="344"/>
      <c r="H7" s="344"/>
      <c r="I7" s="344"/>
      <c r="J7" s="344"/>
      <c r="K7" s="344"/>
      <c r="L7" s="344"/>
      <c r="M7" s="344"/>
      <c r="N7" s="344"/>
      <c r="O7" s="344"/>
      <c r="P7" s="344"/>
      <c r="Q7" s="344"/>
      <c r="R7" s="344"/>
      <c r="S7" s="344"/>
      <c r="T7" s="345"/>
      <c r="U7" s="242"/>
      <c r="V7" s="242"/>
      <c r="W7" s="243"/>
      <c r="X7" s="243"/>
      <c r="Y7" s="243"/>
      <c r="Z7" s="377"/>
      <c r="AA7" s="377"/>
      <c r="AB7" s="377"/>
      <c r="AC7" s="377"/>
      <c r="AD7" s="377"/>
      <c r="AE7" s="377"/>
      <c r="AF7" s="377"/>
      <c r="AG7" s="377"/>
      <c r="AH7" s="377"/>
      <c r="AI7" s="377"/>
      <c r="AJ7" s="377"/>
      <c r="AK7" s="377"/>
      <c r="AL7" s="377"/>
      <c r="AM7" s="377"/>
      <c r="AN7" s="377"/>
      <c r="AO7" s="377"/>
      <c r="AP7" s="377"/>
      <c r="AQ7" s="377"/>
      <c r="AR7" s="377"/>
      <c r="AS7" s="190"/>
      <c r="AT7" s="190"/>
      <c r="AU7" s="190"/>
      <c r="AV7" s="190"/>
      <c r="AW7" s="190"/>
      <c r="AX7" s="190"/>
      <c r="AY7" s="190"/>
      <c r="AZ7" s="190"/>
      <c r="BA7" s="190"/>
      <c r="BB7" s="190"/>
      <c r="BC7" s="190"/>
      <c r="BD7" s="190"/>
      <c r="BE7" s="190"/>
      <c r="BF7" s="190"/>
      <c r="BG7" s="190"/>
      <c r="BH7" s="190"/>
      <c r="BI7" s="190"/>
      <c r="BJ7" s="190"/>
      <c r="BK7" s="190"/>
      <c r="BL7" s="190"/>
      <c r="BM7" s="190"/>
      <c r="BN7" s="190"/>
      <c r="BO7" s="190"/>
      <c r="BP7" s="190"/>
    </row>
    <row r="8" spans="1:276" ht="16.5" thickBot="1" x14ac:dyDescent="0.3">
      <c r="A8" s="375" t="s">
        <v>198</v>
      </c>
      <c r="B8" s="376"/>
      <c r="C8" s="343" t="s">
        <v>483</v>
      </c>
      <c r="D8" s="344"/>
      <c r="E8" s="344"/>
      <c r="F8" s="344"/>
      <c r="G8" s="344"/>
      <c r="H8" s="344"/>
      <c r="I8" s="344"/>
      <c r="J8" s="344"/>
      <c r="K8" s="344"/>
      <c r="L8" s="344"/>
      <c r="M8" s="344"/>
      <c r="N8" s="344"/>
      <c r="O8" s="344"/>
      <c r="P8" s="344"/>
      <c r="Q8" s="344"/>
      <c r="R8" s="344"/>
      <c r="S8" s="344"/>
      <c r="T8" s="345"/>
      <c r="U8" s="242"/>
      <c r="V8" s="242"/>
      <c r="W8" s="243"/>
      <c r="X8" s="243"/>
      <c r="Y8" s="243"/>
      <c r="Z8" s="377"/>
      <c r="AA8" s="377"/>
      <c r="AB8" s="377"/>
      <c r="AC8" s="377"/>
      <c r="AD8" s="377"/>
      <c r="AE8" s="377"/>
      <c r="AF8" s="377"/>
      <c r="AG8" s="377"/>
      <c r="AH8" s="377"/>
      <c r="AI8" s="377"/>
      <c r="AJ8" s="377"/>
      <c r="AK8" s="377"/>
      <c r="AL8" s="377"/>
      <c r="AM8" s="377"/>
      <c r="AN8" s="377"/>
      <c r="AO8" s="377"/>
      <c r="AP8" s="377"/>
      <c r="AQ8" s="377"/>
      <c r="AR8" s="377"/>
      <c r="AS8" s="190"/>
      <c r="AT8" s="190"/>
      <c r="AU8" s="190"/>
      <c r="AV8" s="190"/>
      <c r="AW8" s="190"/>
      <c r="AX8" s="190"/>
      <c r="AY8" s="190"/>
      <c r="AZ8" s="190"/>
      <c r="BA8" s="190"/>
      <c r="BB8" s="190"/>
      <c r="BC8" s="190"/>
      <c r="BD8" s="190"/>
      <c r="BE8" s="190"/>
      <c r="BF8" s="190"/>
      <c r="BG8" s="190"/>
      <c r="BH8" s="190"/>
      <c r="BI8" s="190"/>
      <c r="BJ8" s="190"/>
      <c r="BK8" s="190"/>
      <c r="BL8" s="190"/>
      <c r="BM8" s="190"/>
      <c r="BN8" s="190"/>
      <c r="BO8" s="190"/>
      <c r="BP8" s="190"/>
    </row>
    <row r="9" spans="1:276" ht="15.75" x14ac:dyDescent="0.25">
      <c r="A9" s="192"/>
      <c r="B9" s="192"/>
      <c r="C9" s="193"/>
      <c r="D9" s="193"/>
      <c r="E9" s="193"/>
      <c r="F9" s="193"/>
      <c r="G9" s="193"/>
      <c r="H9" s="193"/>
      <c r="I9" s="193"/>
      <c r="J9" s="193"/>
      <c r="K9" s="193"/>
      <c r="L9" s="193"/>
      <c r="M9" s="193"/>
      <c r="N9" s="193"/>
      <c r="O9" s="193"/>
      <c r="P9" s="193"/>
      <c r="Q9" s="193"/>
      <c r="R9" s="193"/>
      <c r="S9" s="193"/>
      <c r="T9" s="193"/>
      <c r="U9" s="193"/>
      <c r="V9" s="193"/>
      <c r="W9" s="194"/>
      <c r="X9" s="194"/>
      <c r="Y9" s="194"/>
      <c r="Z9" s="195"/>
      <c r="AA9" s="195"/>
      <c r="AB9" s="195"/>
      <c r="AC9" s="195"/>
      <c r="AD9" s="195"/>
      <c r="AE9" s="195"/>
      <c r="AF9" s="195"/>
      <c r="AG9" s="195"/>
      <c r="AH9" s="195"/>
      <c r="AI9" s="195"/>
      <c r="AJ9" s="195"/>
      <c r="AK9" s="195"/>
      <c r="AL9" s="195"/>
      <c r="AM9" s="195"/>
      <c r="AN9" s="195"/>
      <c r="AO9" s="195"/>
      <c r="AP9" s="195"/>
      <c r="AQ9" s="195"/>
      <c r="AR9" s="195"/>
    </row>
    <row r="10" spans="1:276" ht="15.75" x14ac:dyDescent="0.2">
      <c r="A10" s="359" t="s">
        <v>199</v>
      </c>
      <c r="B10" s="360"/>
      <c r="C10" s="360"/>
      <c r="D10" s="360"/>
      <c r="E10" s="360"/>
      <c r="F10" s="360"/>
      <c r="G10" s="360"/>
      <c r="H10" s="360"/>
      <c r="I10" s="360"/>
      <c r="J10" s="361"/>
      <c r="K10" s="325" t="s">
        <v>200</v>
      </c>
      <c r="L10" s="326"/>
      <c r="M10" s="326"/>
      <c r="N10" s="326"/>
      <c r="O10" s="327"/>
      <c r="P10" s="536" t="s">
        <v>201</v>
      </c>
      <c r="Q10" s="537"/>
      <c r="R10" s="210"/>
      <c r="S10" s="210"/>
      <c r="T10" s="309" t="s">
        <v>202</v>
      </c>
      <c r="U10" s="309"/>
      <c r="V10" s="309"/>
      <c r="W10" s="309"/>
      <c r="X10" s="309"/>
      <c r="Y10" s="309"/>
      <c r="Z10" s="309"/>
      <c r="AA10" s="309" t="s">
        <v>203</v>
      </c>
      <c r="AB10" s="309"/>
      <c r="AC10" s="309"/>
      <c r="AD10" s="309"/>
      <c r="AE10" s="309"/>
      <c r="AF10" s="309"/>
      <c r="AG10" s="309"/>
      <c r="AH10" s="309"/>
      <c r="AI10" s="309"/>
      <c r="AJ10" s="316" t="s">
        <v>204</v>
      </c>
      <c r="AK10" s="317"/>
      <c r="AL10" s="317"/>
      <c r="AM10" s="317"/>
      <c r="AN10" s="318"/>
      <c r="AO10" s="316" t="s">
        <v>205</v>
      </c>
      <c r="AP10" s="317"/>
      <c r="AQ10" s="317"/>
      <c r="AR10" s="317"/>
      <c r="AS10" s="318"/>
      <c r="AT10" s="316" t="s">
        <v>206</v>
      </c>
      <c r="AU10" s="317"/>
      <c r="AV10" s="318"/>
      <c r="AW10" s="190"/>
      <c r="AX10" s="190"/>
      <c r="AY10" s="190"/>
      <c r="AZ10" s="190"/>
      <c r="BA10" s="190"/>
      <c r="BB10" s="190"/>
      <c r="BC10" s="190"/>
      <c r="BD10" s="190"/>
      <c r="BE10" s="190"/>
      <c r="BF10" s="190"/>
      <c r="BG10" s="190"/>
      <c r="BH10" s="190"/>
      <c r="BI10" s="190"/>
      <c r="BJ10" s="190"/>
      <c r="BK10" s="190"/>
      <c r="BL10" s="190"/>
      <c r="BM10" s="190"/>
      <c r="BN10" s="190"/>
      <c r="BO10" s="190"/>
      <c r="BP10" s="190"/>
      <c r="BQ10" s="190"/>
      <c r="BR10" s="190"/>
      <c r="BS10" s="190"/>
      <c r="BT10" s="190"/>
    </row>
    <row r="11" spans="1:276" ht="15.75" x14ac:dyDescent="0.2">
      <c r="A11" s="378" t="s">
        <v>207</v>
      </c>
      <c r="B11" s="349" t="s">
        <v>15</v>
      </c>
      <c r="C11" s="348" t="s">
        <v>17</v>
      </c>
      <c r="D11" s="348" t="s">
        <v>19</v>
      </c>
      <c r="E11" s="349" t="s">
        <v>21</v>
      </c>
      <c r="F11" s="348" t="s">
        <v>23</v>
      </c>
      <c r="G11" s="533" t="s">
        <v>294</v>
      </c>
      <c r="H11" s="535" t="s">
        <v>295</v>
      </c>
      <c r="I11" s="535" t="s">
        <v>296</v>
      </c>
      <c r="J11" s="535" t="s">
        <v>297</v>
      </c>
      <c r="K11" s="346" t="s">
        <v>109</v>
      </c>
      <c r="L11" s="346" t="s">
        <v>265</v>
      </c>
      <c r="M11" s="346" t="s">
        <v>209</v>
      </c>
      <c r="N11" s="346" t="s">
        <v>210</v>
      </c>
      <c r="O11" s="346" t="s">
        <v>211</v>
      </c>
      <c r="P11" s="237"/>
      <c r="Q11" s="237"/>
      <c r="R11" s="322" t="s">
        <v>212</v>
      </c>
      <c r="S11" s="322" t="s">
        <v>213</v>
      </c>
      <c r="T11" s="323" t="s">
        <v>214</v>
      </c>
      <c r="U11" s="322" t="s">
        <v>215</v>
      </c>
      <c r="V11" s="322" t="s">
        <v>216</v>
      </c>
      <c r="W11" s="322" t="s">
        <v>217</v>
      </c>
      <c r="X11" s="323" t="s">
        <v>214</v>
      </c>
      <c r="Y11" s="322" t="s">
        <v>29</v>
      </c>
      <c r="Z11" s="328" t="s">
        <v>218</v>
      </c>
      <c r="AA11" s="322" t="s">
        <v>31</v>
      </c>
      <c r="AB11" s="322" t="s">
        <v>33</v>
      </c>
      <c r="AC11" s="322" t="s">
        <v>219</v>
      </c>
      <c r="AD11" s="322"/>
      <c r="AE11" s="322"/>
      <c r="AF11" s="322"/>
      <c r="AG11" s="322"/>
      <c r="AH11" s="322"/>
      <c r="AI11" s="328" t="s">
        <v>220</v>
      </c>
      <c r="AJ11" s="328" t="s">
        <v>221</v>
      </c>
      <c r="AK11" s="328" t="s">
        <v>214</v>
      </c>
      <c r="AL11" s="328" t="s">
        <v>222</v>
      </c>
      <c r="AM11" s="328" t="s">
        <v>214</v>
      </c>
      <c r="AN11" s="328" t="s">
        <v>223</v>
      </c>
      <c r="AO11" s="328" t="s">
        <v>49</v>
      </c>
      <c r="AP11" s="322" t="s">
        <v>224</v>
      </c>
      <c r="AQ11" s="322" t="s">
        <v>225</v>
      </c>
      <c r="AR11" s="322" t="s">
        <v>226</v>
      </c>
      <c r="AS11" s="322" t="s">
        <v>227</v>
      </c>
      <c r="AT11" s="322" t="s">
        <v>228</v>
      </c>
      <c r="AU11" s="322" t="s">
        <v>229</v>
      </c>
      <c r="AV11" s="322" t="s">
        <v>230</v>
      </c>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row>
    <row r="12" spans="1:276" s="199" customFormat="1" ht="73.5" customHeight="1" x14ac:dyDescent="0.25">
      <c r="A12" s="378"/>
      <c r="B12" s="349"/>
      <c r="C12" s="348"/>
      <c r="D12" s="348"/>
      <c r="E12" s="349"/>
      <c r="F12" s="348"/>
      <c r="G12" s="534"/>
      <c r="H12" s="535"/>
      <c r="I12" s="535"/>
      <c r="J12" s="535"/>
      <c r="K12" s="347"/>
      <c r="L12" s="347"/>
      <c r="M12" s="347"/>
      <c r="N12" s="347"/>
      <c r="O12" s="347"/>
      <c r="P12" s="236" t="s">
        <v>410</v>
      </c>
      <c r="Q12" s="236" t="s">
        <v>231</v>
      </c>
      <c r="R12" s="322"/>
      <c r="S12" s="322"/>
      <c r="T12" s="323"/>
      <c r="U12" s="322"/>
      <c r="V12" s="322"/>
      <c r="W12" s="323"/>
      <c r="X12" s="323"/>
      <c r="Y12" s="322"/>
      <c r="Z12" s="328"/>
      <c r="AA12" s="322"/>
      <c r="AB12" s="322"/>
      <c r="AC12" s="196" t="s">
        <v>232</v>
      </c>
      <c r="AD12" s="196" t="s">
        <v>233</v>
      </c>
      <c r="AE12" s="196" t="s">
        <v>234</v>
      </c>
      <c r="AF12" s="196" t="s">
        <v>235</v>
      </c>
      <c r="AG12" s="196" t="s">
        <v>236</v>
      </c>
      <c r="AH12" s="196" t="s">
        <v>237</v>
      </c>
      <c r="AI12" s="328"/>
      <c r="AJ12" s="328"/>
      <c r="AK12" s="328"/>
      <c r="AL12" s="328"/>
      <c r="AM12" s="328"/>
      <c r="AN12" s="328"/>
      <c r="AO12" s="328"/>
      <c r="AP12" s="322"/>
      <c r="AQ12" s="322"/>
      <c r="AR12" s="322"/>
      <c r="AS12" s="322"/>
      <c r="AT12" s="322"/>
      <c r="AU12" s="322"/>
      <c r="AV12" s="322"/>
      <c r="AW12" s="197"/>
      <c r="AX12" s="197"/>
      <c r="AY12" s="197"/>
      <c r="AZ12" s="197"/>
      <c r="BA12" s="197"/>
      <c r="BB12" s="197"/>
      <c r="BC12" s="197"/>
      <c r="BD12" s="197"/>
      <c r="BE12" s="197"/>
      <c r="BF12" s="197"/>
      <c r="BG12" s="197"/>
      <c r="BH12" s="197"/>
      <c r="BI12" s="197"/>
      <c r="BJ12" s="197"/>
      <c r="BK12" s="197"/>
      <c r="BL12" s="197"/>
      <c r="BM12" s="197"/>
      <c r="BN12" s="197"/>
      <c r="BO12" s="197"/>
      <c r="BP12" s="197"/>
      <c r="BQ12" s="197"/>
      <c r="BR12" s="197"/>
      <c r="BS12" s="197"/>
      <c r="BT12" s="198"/>
      <c r="BU12" s="198"/>
      <c r="BV12" s="198"/>
      <c r="BW12" s="198"/>
      <c r="BX12" s="198"/>
      <c r="BY12" s="198"/>
      <c r="BZ12" s="198"/>
      <c r="CA12" s="198"/>
      <c r="CB12" s="198"/>
      <c r="CC12" s="198"/>
      <c r="CD12" s="198"/>
      <c r="CE12" s="198"/>
      <c r="CF12" s="198"/>
      <c r="CG12" s="198"/>
      <c r="CH12" s="198"/>
      <c r="CI12" s="198"/>
      <c r="CJ12" s="198"/>
      <c r="CK12" s="198"/>
      <c r="CL12" s="198"/>
      <c r="CM12" s="198"/>
      <c r="CN12" s="198"/>
      <c r="CO12" s="198"/>
      <c r="CP12" s="198"/>
      <c r="CQ12" s="198"/>
      <c r="CR12" s="198"/>
      <c r="CS12" s="198"/>
      <c r="CT12" s="198"/>
      <c r="CU12" s="198"/>
      <c r="CV12" s="198"/>
      <c r="CW12" s="198"/>
      <c r="CX12" s="198"/>
      <c r="CY12" s="198"/>
      <c r="CZ12" s="198"/>
      <c r="DA12" s="198"/>
      <c r="DB12" s="198"/>
      <c r="DC12" s="198"/>
      <c r="DD12" s="198"/>
      <c r="DE12" s="198"/>
      <c r="DF12" s="198"/>
      <c r="DG12" s="198"/>
      <c r="DH12" s="198"/>
      <c r="DI12" s="198"/>
      <c r="DJ12" s="198"/>
      <c r="DK12" s="198"/>
      <c r="DL12" s="198"/>
      <c r="DM12" s="198"/>
      <c r="DN12" s="198"/>
      <c r="DO12" s="198"/>
      <c r="DP12" s="198"/>
      <c r="DQ12" s="198"/>
      <c r="DR12" s="198"/>
      <c r="DS12" s="198"/>
      <c r="DT12" s="198"/>
      <c r="DU12" s="198"/>
      <c r="DV12" s="198"/>
      <c r="DW12" s="198"/>
      <c r="DX12" s="198"/>
      <c r="DY12" s="198"/>
      <c r="DZ12" s="198"/>
      <c r="EA12" s="198"/>
      <c r="EB12" s="198"/>
      <c r="EC12" s="198"/>
      <c r="ED12" s="198"/>
      <c r="EE12" s="198"/>
      <c r="EF12" s="198"/>
      <c r="EG12" s="198"/>
      <c r="EH12" s="198"/>
      <c r="EI12" s="198"/>
      <c r="EJ12" s="198"/>
      <c r="EK12" s="198"/>
      <c r="EL12" s="198"/>
      <c r="EM12" s="198"/>
      <c r="EN12" s="198"/>
      <c r="EO12" s="198"/>
      <c r="EP12" s="198"/>
      <c r="EQ12" s="198"/>
      <c r="ER12" s="198"/>
      <c r="ES12" s="198"/>
      <c r="ET12" s="198"/>
      <c r="EU12" s="198"/>
      <c r="EV12" s="198"/>
      <c r="EW12" s="198"/>
      <c r="EX12" s="198"/>
      <c r="EY12" s="198"/>
      <c r="EZ12" s="198"/>
      <c r="FA12" s="198"/>
      <c r="FB12" s="198"/>
      <c r="FC12" s="198"/>
      <c r="FD12" s="198"/>
      <c r="FE12" s="198"/>
      <c r="FF12" s="198"/>
      <c r="FG12" s="198"/>
      <c r="FH12" s="198"/>
      <c r="FI12" s="198"/>
      <c r="FJ12" s="198"/>
      <c r="FK12" s="198"/>
      <c r="FL12" s="198"/>
      <c r="FM12" s="198"/>
      <c r="FN12" s="198"/>
      <c r="FO12" s="198"/>
      <c r="FP12" s="198"/>
      <c r="FQ12" s="198"/>
      <c r="FR12" s="198"/>
      <c r="FS12" s="198"/>
      <c r="FT12" s="198"/>
      <c r="FU12" s="198"/>
      <c r="FV12" s="198"/>
      <c r="FW12" s="198"/>
      <c r="FX12" s="198"/>
      <c r="FY12" s="198"/>
      <c r="FZ12" s="198"/>
      <c r="GA12" s="198"/>
      <c r="GB12" s="198"/>
      <c r="GC12" s="198"/>
      <c r="GD12" s="198"/>
      <c r="GE12" s="198"/>
      <c r="GF12" s="198"/>
      <c r="GG12" s="198"/>
      <c r="GH12" s="198"/>
      <c r="GI12" s="198"/>
      <c r="GJ12" s="198"/>
      <c r="GK12" s="198"/>
      <c r="GL12" s="198"/>
      <c r="GM12" s="198"/>
      <c r="GN12" s="198"/>
      <c r="GO12" s="198"/>
      <c r="GP12" s="198"/>
      <c r="GQ12" s="198"/>
      <c r="GR12" s="198"/>
      <c r="GS12" s="198"/>
      <c r="GT12" s="198"/>
      <c r="GU12" s="198"/>
      <c r="GV12" s="198"/>
      <c r="GW12" s="198"/>
      <c r="GX12" s="198"/>
      <c r="GY12" s="198"/>
      <c r="GZ12" s="198"/>
      <c r="HA12" s="198"/>
      <c r="HB12" s="198"/>
      <c r="HC12" s="198"/>
      <c r="HD12" s="198"/>
      <c r="HE12" s="198"/>
      <c r="HF12" s="198"/>
      <c r="HG12" s="198"/>
      <c r="HH12" s="198"/>
      <c r="HI12" s="198"/>
      <c r="HJ12" s="198"/>
      <c r="HK12" s="198"/>
      <c r="HL12" s="198"/>
      <c r="HM12" s="198"/>
      <c r="HN12" s="198"/>
      <c r="HO12" s="198"/>
      <c r="HP12" s="198"/>
      <c r="HQ12" s="198"/>
      <c r="HR12" s="198"/>
      <c r="HS12" s="198"/>
      <c r="HT12" s="198"/>
      <c r="HU12" s="198"/>
      <c r="HV12" s="198"/>
      <c r="HW12" s="198"/>
      <c r="HX12" s="198"/>
      <c r="HY12" s="198"/>
      <c r="HZ12" s="198"/>
      <c r="IA12" s="198"/>
      <c r="IB12" s="198"/>
      <c r="IC12" s="198"/>
      <c r="ID12" s="198"/>
      <c r="IE12" s="198"/>
      <c r="IF12" s="198"/>
      <c r="IG12" s="198"/>
      <c r="IH12" s="198"/>
      <c r="II12" s="198"/>
      <c r="IJ12" s="198"/>
      <c r="IK12" s="198"/>
      <c r="IL12" s="198"/>
      <c r="IM12" s="198"/>
      <c r="IN12" s="198"/>
      <c r="IO12" s="198"/>
      <c r="IP12" s="198"/>
      <c r="IQ12" s="198"/>
      <c r="IR12" s="198"/>
      <c r="IS12" s="198"/>
      <c r="IT12" s="198"/>
      <c r="IU12" s="198"/>
      <c r="IV12" s="198"/>
      <c r="IW12" s="198"/>
      <c r="IX12" s="198"/>
      <c r="IY12" s="198"/>
      <c r="IZ12" s="198"/>
      <c r="JA12" s="198"/>
      <c r="JB12" s="198"/>
      <c r="JC12" s="198"/>
      <c r="JD12" s="198"/>
      <c r="JE12" s="198"/>
      <c r="JF12" s="198"/>
      <c r="JG12" s="198"/>
      <c r="JH12" s="198"/>
      <c r="JI12" s="198"/>
      <c r="JJ12" s="198"/>
      <c r="JK12" s="198"/>
      <c r="JL12" s="198"/>
      <c r="JM12" s="198"/>
      <c r="JN12" s="198"/>
      <c r="JO12" s="198"/>
      <c r="JP12" s="198"/>
    </row>
    <row r="13" spans="1:276" s="201" customFormat="1" ht="103.5" customHeight="1" x14ac:dyDescent="0.25">
      <c r="A13" s="329">
        <v>1</v>
      </c>
      <c r="B13" s="330" t="s">
        <v>107</v>
      </c>
      <c r="C13" s="330" t="s">
        <v>411</v>
      </c>
      <c r="D13" s="330" t="s">
        <v>412</v>
      </c>
      <c r="E13" s="331" t="s">
        <v>413</v>
      </c>
      <c r="F13" s="330" t="s">
        <v>139</v>
      </c>
      <c r="G13" s="319" t="s">
        <v>372</v>
      </c>
      <c r="H13" s="319" t="s">
        <v>414</v>
      </c>
      <c r="I13" s="319" t="s">
        <v>141</v>
      </c>
      <c r="J13" s="319" t="s">
        <v>415</v>
      </c>
      <c r="K13" s="319" t="s">
        <v>112</v>
      </c>
      <c r="L13" s="319" t="s">
        <v>484</v>
      </c>
      <c r="M13" s="319" t="s">
        <v>486</v>
      </c>
      <c r="N13" s="319" t="s">
        <v>485</v>
      </c>
      <c r="O13" s="319" t="s">
        <v>487</v>
      </c>
      <c r="P13" s="319" t="s">
        <v>116</v>
      </c>
      <c r="Q13" s="319" t="s">
        <v>130</v>
      </c>
      <c r="R13" s="313">
        <v>850</v>
      </c>
      <c r="S13" s="312" t="str">
        <f>IF(R13&lt;=0,"",IF(R13&lt;=2,"Muy Baja",IF(R13&lt;=24,"Baja",IF(R13&lt;=500,"Media",IF(R13&lt;=5000,"Alta","Muy Alta")))))</f>
        <v>Alta</v>
      </c>
      <c r="T13" s="311">
        <f>IF(S13="","",IF(S13="Muy Baja",0.2,IF(S13="Baja",0.4,IF(S13="Media",0.6,IF(S13="Alta",0.8,IF(S13="Muy Alta",1,))))))</f>
        <v>0.8</v>
      </c>
      <c r="U13" s="558" t="s">
        <v>337</v>
      </c>
      <c r="V13" s="311" t="str">
        <f>IF(NOT(ISERROR(MATCH(U13,'Tabla Impacto'!$B$222:$B$224,0))),'Tabla Impacto'!$F$224&amp;"Por favor no seleccionar los criterios de impacto(Afectación Económica o presupuestal y Pérdida Reputacional)",U13)</f>
        <v xml:space="preserve">     Entre 130 y 650 SMLMV </v>
      </c>
      <c r="W13" s="312" t="str">
        <f>IF(OR(V13='Tabla Impacto'!$C$12,V13='Tabla Impacto'!$D$12),"Leve",IF(OR(V13='Tabla Impacto'!$C$13,V13='Tabla Impacto'!$D$13),"Menor",IF(OR(V13='Tabla Impacto'!$C$14,V13='Tabla Impacto'!$D$14),"Moderado",IF(OR(V13='Tabla Impacto'!$C$15,V13='Tabla Impacto'!$D$15),"Mayor",IF(OR(V13='Tabla Impacto'!$C$16,V13='Tabla Impacto'!$D$16),"Catastrófico","")))))</f>
        <v>Menor</v>
      </c>
      <c r="X13" s="311">
        <f>IF(W13="","",IF(W13="Leve",0.2,IF(W13="Menor",0.4,IF(W13="Moderado",0.6,IF(W13="Mayor",0.8,IF(W13="Catastrófico",1,))))))</f>
        <v>0.4</v>
      </c>
      <c r="Y13" s="324" t="str">
        <f>IF(OR(AND(S13="Muy Baja",W13="Leve"),AND(S13="Muy Baja",W13="Menor"),AND(S13="Baja",W13="Leve")),"Bajo",IF(OR(AND(S13="Muy baja",W13="Moderado"),AND(S13="Baja",W13="Menor"),AND(S13="Baja",W13="Moderado"),AND(S13="Media",W13="Leve"),AND(S13="Media",W13="Menor"),AND(S13="Media",W13="Moderado"),AND(S13="Alta",W13="Leve"),AND(S13="Alta",W13="Menor")),"Moderado",IF(OR(AND(S13="Muy Baja",W13="Mayor"),AND(S13="Baja",W13="Mayor"),AND(S13="Media",W13="Mayor"),AND(S13="Alta",W13="Moderado"),AND(S13="Alta",W13="Mayor"),AND(S13="Muy Alta",W13="Leve"),AND(S13="Muy Alta",W13="Menor"),AND(S13="Muy Alta",W13="Moderado"),AND(S13="Muy Alta",W13="Mayor")),"Alto",IF(OR(AND(S13="Muy Baja",W13="Catastrófico"),AND(S13="Baja",W13="Catastrófico"),AND(S13="Media",W13="Catastrófico"),AND(S13="Alta",W13="Catastrófico"),AND(S13="Muy Alta",W13="Catastrófico")),"Extremo",""))))</f>
        <v>Moderado</v>
      </c>
      <c r="Z13" s="200">
        <v>1</v>
      </c>
      <c r="AA13" s="226" t="s">
        <v>416</v>
      </c>
      <c r="AB13" s="175" t="str">
        <f t="shared" ref="AB13:AB18" si="0">IF(OR(AC13="Preventivo",AC13="Detectivo"),"Probabilidad",IF(AC13="Correctivo","Impacto",""))</f>
        <v>Probabilidad</v>
      </c>
      <c r="AC13" s="176" t="s">
        <v>244</v>
      </c>
      <c r="AD13" s="176" t="s">
        <v>240</v>
      </c>
      <c r="AE13" s="177" t="str">
        <f>IF(AND(AC13="Preventivo",AD13="Automático"),"50%",IF(AND(AC13="Preventivo",AD13="Manual"),"40%",IF(AND(AC13="Detectivo",AD13="Automático"),"40%",IF(AND(AC13="Detectivo",AD13="Manual"),"30%",IF(AND(AC13="Correctivo",AD13="Automático"),"35%",IF(AND(AC13="Correctivo",AD13="Manual"),"25%",""))))))</f>
        <v>30%</v>
      </c>
      <c r="AF13" s="176" t="s">
        <v>245</v>
      </c>
      <c r="AG13" s="176" t="s">
        <v>242</v>
      </c>
      <c r="AH13" s="176" t="s">
        <v>400</v>
      </c>
      <c r="AI13" s="178">
        <f>IFERROR(IF(AB13="Probabilidad",(T13-(+T13*AE13)),IF(AB13="Impacto",T13,"")),"")</f>
        <v>0.56000000000000005</v>
      </c>
      <c r="AJ13" s="179" t="str">
        <f>IFERROR(IF(AI13="","",IF(AI13&lt;=0.2,"Muy Baja",IF(AI13&lt;=0.4,"Baja",IF(AI13&lt;=0.6,"Media",IF(AI13&lt;=0.8,"Alta","Muy Alta"))))),"")</f>
        <v>Media</v>
      </c>
      <c r="AK13" s="177">
        <f>+AI13</f>
        <v>0.56000000000000005</v>
      </c>
      <c r="AL13" s="179" t="str">
        <f>IFERROR(IF(AM13="","",IF(AM13&lt;=0.2,"Leve",IF(AM13&lt;=0.4,"Menor",IF(AM13&lt;=0.6,"Moderado",IF(AM13&lt;=0.8,"Mayor","Catastrófico"))))),"")</f>
        <v>Menor</v>
      </c>
      <c r="AM13" s="177">
        <f>IFERROR(IF(AB13="Impacto",(X13-(+X13*AE13)),IF(AB13="Probabilidad",X13,"")),"")</f>
        <v>0.4</v>
      </c>
      <c r="AN13" s="180" t="str">
        <f>IFERROR(IF(OR(AND(AJ13="Muy Baja",AL13="Leve"),AND(AJ13="Muy Baja",AL13="Menor"),AND(AJ13="Baja",AL13="Leve")),"Bajo",IF(OR(AND(AJ13="Muy baja",AL13="Moderado"),AND(AJ13="Baja",AL13="Menor"),AND(AJ13="Baja",AL13="Moderado"),AND(AJ13="Media",AL13="Leve"),AND(AJ13="Media",AL13="Menor"),AND(AJ13="Media",AL13="Moderado"),AND(AJ13="Alta",AL13="Leve"),AND(AJ13="Alta",AL13="Menor")),"Moderado",IF(OR(AND(AJ13="Muy Baja",AL13="Mayor"),AND(AJ13="Baja",AL13="Mayor"),AND(AJ13="Media",AL13="Mayor"),AND(AJ13="Alta",AL13="Moderado"),AND(AJ13="Alta",AL13="Mayor"),AND(AJ13="Muy Alta",AL13="Leve"),AND(AJ13="Muy Alta",AL13="Menor"),AND(AJ13="Muy Alta",AL13="Moderado"),AND(AJ13="Muy Alta",AL13="Mayor")),"Alto",IF(OR(AND(AJ13="Muy Baja",AL13="Catastrófico"),AND(AJ13="Baja",AL13="Catastrófico"),AND(AJ13="Media",AL13="Catastrófico"),AND(AJ13="Alta",AL13="Catastrófico"),AND(AJ13="Muy Alta",AL13="Catastrófico")),"Extremo","")))),"")</f>
        <v>Moderado</v>
      </c>
      <c r="AO13" s="181" t="s">
        <v>108</v>
      </c>
      <c r="AP13" s="172" t="s">
        <v>418</v>
      </c>
      <c r="AQ13" s="172" t="s">
        <v>420</v>
      </c>
      <c r="AR13" s="172" t="s">
        <v>422</v>
      </c>
      <c r="AS13" s="248" t="s">
        <v>425</v>
      </c>
      <c r="AT13" s="330" t="s">
        <v>426</v>
      </c>
      <c r="AU13" s="330" t="s">
        <v>427</v>
      </c>
      <c r="AV13" s="330" t="s">
        <v>428</v>
      </c>
    </row>
    <row r="14" spans="1:276" ht="94.5" customHeight="1" x14ac:dyDescent="0.2">
      <c r="A14" s="329"/>
      <c r="B14" s="330"/>
      <c r="C14" s="330"/>
      <c r="D14" s="330"/>
      <c r="E14" s="331"/>
      <c r="F14" s="330"/>
      <c r="G14" s="320"/>
      <c r="H14" s="320"/>
      <c r="I14" s="320"/>
      <c r="J14" s="320"/>
      <c r="K14" s="320"/>
      <c r="L14" s="320"/>
      <c r="M14" s="320"/>
      <c r="N14" s="320"/>
      <c r="O14" s="320"/>
      <c r="P14" s="320"/>
      <c r="Q14" s="320"/>
      <c r="R14" s="313"/>
      <c r="S14" s="312"/>
      <c r="T14" s="311"/>
      <c r="U14" s="559"/>
      <c r="V14" s="311">
        <f>IF(NOT(ISERROR(MATCH(U14,_xlfn.ANCHORARRAY(E25),0))),T27&amp;"Por favor no seleccionar los criterios de impacto",U14)</f>
        <v>0</v>
      </c>
      <c r="W14" s="312"/>
      <c r="X14" s="311"/>
      <c r="Y14" s="324"/>
      <c r="Z14" s="200">
        <v>2</v>
      </c>
      <c r="AA14" s="226" t="s">
        <v>417</v>
      </c>
      <c r="AB14" s="175" t="str">
        <f t="shared" si="0"/>
        <v>Probabilidad</v>
      </c>
      <c r="AC14" s="176" t="s">
        <v>239</v>
      </c>
      <c r="AD14" s="176" t="s">
        <v>240</v>
      </c>
      <c r="AE14" s="177" t="str">
        <f t="shared" ref="AE14:AE18" si="1">IF(AND(AC14="Preventivo",AD14="Automático"),"50%",IF(AND(AC14="Preventivo",AD14="Manual"),"40%",IF(AND(AC14="Detectivo",AD14="Automático"),"40%",IF(AND(AC14="Detectivo",AD14="Manual"),"30%",IF(AND(AC14="Correctivo",AD14="Automático"),"35%",IF(AND(AC14="Correctivo",AD14="Manual"),"25%",""))))))</f>
        <v>40%</v>
      </c>
      <c r="AF14" s="176" t="s">
        <v>245</v>
      </c>
      <c r="AG14" s="176" t="s">
        <v>397</v>
      </c>
      <c r="AH14" s="176" t="s">
        <v>400</v>
      </c>
      <c r="AI14" s="178">
        <f>IFERROR(IF(AND(AB13="Probabilidad",AB14="Probabilidad"),(AK13-(+AK13*AE14)),IF(AB14="Probabilidad",(T13-(+T13*AE14)),IF(AB14="Impacto",AK13,""))),"")</f>
        <v>0.33600000000000002</v>
      </c>
      <c r="AJ14" s="179" t="str">
        <f t="shared" ref="AJ14:AJ72" si="2">IFERROR(IF(AI14="","",IF(AI14&lt;=0.2,"Muy Baja",IF(AI14&lt;=0.4,"Baja",IF(AI14&lt;=0.6,"Media",IF(AI14&lt;=0.8,"Alta","Muy Alta"))))),"")</f>
        <v>Baja</v>
      </c>
      <c r="AK14" s="177">
        <f t="shared" ref="AK14:AK18" si="3">+AI14</f>
        <v>0.33600000000000002</v>
      </c>
      <c r="AL14" s="179" t="str">
        <f t="shared" ref="AL14:AL72" si="4">IFERROR(IF(AM14="","",IF(AM14&lt;=0.2,"Leve",IF(AM14&lt;=0.4,"Menor",IF(AM14&lt;=0.6,"Moderado",IF(AM14&lt;=0.8,"Mayor","Catastrófico"))))),"")</f>
        <v>Menor</v>
      </c>
      <c r="AM14" s="177">
        <f>IFERROR(IF(AND(AB13="Impacto",AB14="Impacto"),(AM13-(+AM13*AE14)),IF(AB14="Impacto",($X$13-(+$X$13*AE14)),IF(AB14="Probabilidad",AM13,""))),"")</f>
        <v>0.4</v>
      </c>
      <c r="AN14" s="180" t="str">
        <f t="shared" ref="AN14:AN18" si="5">IFERROR(IF(OR(AND(AJ14="Muy Baja",AL14="Leve"),AND(AJ14="Muy Baja",AL14="Menor"),AND(AJ14="Baja",AL14="Leve")),"Bajo",IF(OR(AND(AJ14="Muy baja",AL14="Moderado"),AND(AJ14="Baja",AL14="Menor"),AND(AJ14="Baja",AL14="Moderado"),AND(AJ14="Media",AL14="Leve"),AND(AJ14="Media",AL14="Menor"),AND(AJ14="Media",AL14="Moderado"),AND(AJ14="Alta",AL14="Leve"),AND(AJ14="Alta",AL14="Menor")),"Moderado",IF(OR(AND(AJ14="Muy Baja",AL14="Mayor"),AND(AJ14="Baja",AL14="Mayor"),AND(AJ14="Media",AL14="Mayor"),AND(AJ14="Alta",AL14="Moderado"),AND(AJ14="Alta",AL14="Mayor"),AND(AJ14="Muy Alta",AL14="Leve"),AND(AJ14="Muy Alta",AL14="Menor"),AND(AJ14="Muy Alta",AL14="Moderado"),AND(AJ14="Muy Alta",AL14="Mayor")),"Alto",IF(OR(AND(AJ14="Muy Baja",AL14="Catastrófico"),AND(AJ14="Baja",AL14="Catastrófico"),AND(AJ14="Media",AL14="Catastrófico"),AND(AJ14="Alta",AL14="Catastrófico"),AND(AJ14="Muy Alta",AL14="Catastrófico")),"Extremo","")))),"")</f>
        <v>Moderado</v>
      </c>
      <c r="AO14" s="181" t="s">
        <v>108</v>
      </c>
      <c r="AP14" s="172" t="s">
        <v>419</v>
      </c>
      <c r="AQ14" s="182" t="s">
        <v>421</v>
      </c>
      <c r="AR14" s="172" t="s">
        <v>423</v>
      </c>
      <c r="AS14" s="248" t="s">
        <v>424</v>
      </c>
      <c r="AT14" s="330"/>
      <c r="AU14" s="330"/>
      <c r="AV14" s="330"/>
    </row>
    <row r="15" spans="1:276" ht="37.5" customHeight="1" x14ac:dyDescent="0.2">
      <c r="A15" s="329"/>
      <c r="B15" s="330"/>
      <c r="C15" s="330"/>
      <c r="D15" s="330"/>
      <c r="E15" s="331"/>
      <c r="F15" s="330"/>
      <c r="G15" s="320"/>
      <c r="H15" s="320"/>
      <c r="I15" s="320"/>
      <c r="J15" s="320"/>
      <c r="K15" s="320"/>
      <c r="L15" s="320"/>
      <c r="M15" s="320"/>
      <c r="N15" s="320"/>
      <c r="O15" s="320"/>
      <c r="P15" s="320"/>
      <c r="Q15" s="320"/>
      <c r="R15" s="313"/>
      <c r="S15" s="312"/>
      <c r="T15" s="311"/>
      <c r="U15" s="559"/>
      <c r="V15" s="311">
        <f>IF(NOT(ISERROR(MATCH(U15,_xlfn.ANCHORARRAY(E26),0))),T28&amp;"Por favor no seleccionar los criterios de impacto",U15)</f>
        <v>0</v>
      </c>
      <c r="W15" s="312"/>
      <c r="X15" s="311"/>
      <c r="Y15" s="324"/>
      <c r="Z15" s="200">
        <v>3</v>
      </c>
      <c r="AA15" s="174"/>
      <c r="AB15" s="175" t="str">
        <f t="shared" si="0"/>
        <v/>
      </c>
      <c r="AC15" s="176"/>
      <c r="AD15" s="176"/>
      <c r="AE15" s="177" t="str">
        <f t="shared" si="1"/>
        <v/>
      </c>
      <c r="AF15" s="176"/>
      <c r="AG15" s="176"/>
      <c r="AH15" s="176"/>
      <c r="AI15" s="178" t="str">
        <f>IFERROR(IF(AND(AB14="Probabilidad",AB15="Probabilidad"),(AK14-(+AK14*AE15)),IF(AND(AB14="Impacto",AB15="Probabilidad"),(AK13-(+AK13*AE15)),IF(AB15="Impacto",AK14,""))),"")</f>
        <v/>
      </c>
      <c r="AJ15" s="179" t="str">
        <f t="shared" si="2"/>
        <v/>
      </c>
      <c r="AK15" s="177" t="str">
        <f t="shared" si="3"/>
        <v/>
      </c>
      <c r="AL15" s="179" t="str">
        <f t="shared" si="4"/>
        <v/>
      </c>
      <c r="AM15" s="177" t="str">
        <f>IFERROR(IF(AND(AB14="Impacto",AB15="Impacto"),(AM14-(+AM14*AE15)),IF(AND(AB14="Probabilidad",AB15="Impacto"),(AM13-(+AM13*AE15)),IF(AB15="Probabilidad",AM14,""))),"")</f>
        <v/>
      </c>
      <c r="AN15" s="180" t="str">
        <f t="shared" si="5"/>
        <v/>
      </c>
      <c r="AO15" s="181"/>
      <c r="AP15" s="172"/>
      <c r="AQ15" s="182"/>
      <c r="AR15" s="182"/>
      <c r="AS15" s="183"/>
      <c r="AT15" s="330"/>
      <c r="AU15" s="330"/>
      <c r="AV15" s="330"/>
    </row>
    <row r="16" spans="1:276" ht="37.5" customHeight="1" x14ac:dyDescent="0.2">
      <c r="A16" s="329"/>
      <c r="B16" s="330"/>
      <c r="C16" s="330"/>
      <c r="D16" s="330"/>
      <c r="E16" s="331"/>
      <c r="F16" s="330"/>
      <c r="G16" s="320"/>
      <c r="H16" s="320"/>
      <c r="I16" s="320"/>
      <c r="J16" s="320"/>
      <c r="K16" s="320"/>
      <c r="L16" s="320"/>
      <c r="M16" s="320"/>
      <c r="N16" s="320"/>
      <c r="O16" s="320"/>
      <c r="P16" s="320"/>
      <c r="Q16" s="320"/>
      <c r="R16" s="313"/>
      <c r="S16" s="312"/>
      <c r="T16" s="311"/>
      <c r="U16" s="559"/>
      <c r="V16" s="311">
        <f>IF(NOT(ISERROR(MATCH(U16,_xlfn.ANCHORARRAY(E27),0))),T29&amp;"Por favor no seleccionar los criterios de impacto",U16)</f>
        <v>0</v>
      </c>
      <c r="W16" s="312"/>
      <c r="X16" s="311"/>
      <c r="Y16" s="324"/>
      <c r="Z16" s="200">
        <v>4</v>
      </c>
      <c r="AA16" s="173"/>
      <c r="AB16" s="175" t="str">
        <f t="shared" si="0"/>
        <v/>
      </c>
      <c r="AC16" s="176"/>
      <c r="AD16" s="176"/>
      <c r="AE16" s="177" t="str">
        <f t="shared" si="1"/>
        <v/>
      </c>
      <c r="AF16" s="176"/>
      <c r="AG16" s="176"/>
      <c r="AH16" s="176"/>
      <c r="AI16" s="178" t="str">
        <f t="shared" ref="AI16:AI18" si="6">IFERROR(IF(AND(AB15="Probabilidad",AB16="Probabilidad"),(AK15-(+AK15*AE16)),IF(AND(AB15="Impacto",AB16="Probabilidad"),(AK14-(+AK14*AE16)),IF(AB16="Impacto",AK15,""))),"")</f>
        <v/>
      </c>
      <c r="AJ16" s="179" t="str">
        <f t="shared" si="2"/>
        <v/>
      </c>
      <c r="AK16" s="177" t="str">
        <f t="shared" si="3"/>
        <v/>
      </c>
      <c r="AL16" s="179" t="str">
        <f t="shared" si="4"/>
        <v/>
      </c>
      <c r="AM16" s="177" t="str">
        <f t="shared" ref="AM16:AM18" si="7">IFERROR(IF(AND(AB15="Impacto",AB16="Impacto"),(AM15-(+AM15*AE16)),IF(AND(AB15="Probabilidad",AB16="Impacto"),(AM14-(+AM14*AE16)),IF(AB16="Probabilidad",AM15,""))),"")</f>
        <v/>
      </c>
      <c r="AN16" s="180" t="str">
        <f>IFERROR(IF(OR(AND(AJ16="Muy Baja",AL16="Leve"),AND(AJ16="Muy Baja",AL16="Menor"),AND(AJ16="Baja",AL16="Leve")),"Bajo",IF(OR(AND(AJ16="Muy baja",AL16="Moderado"),AND(AJ16="Baja",AL16="Menor"),AND(AJ16="Baja",AL16="Moderado"),AND(AJ16="Media",AL16="Leve"),AND(AJ16="Media",AL16="Menor"),AND(AJ16="Media",AL16="Moderado"),AND(AJ16="Alta",AL16="Leve"),AND(AJ16="Alta",AL16="Menor")),"Moderado",IF(OR(AND(AJ16="Muy Baja",AL16="Mayor"),AND(AJ16="Baja",AL16="Mayor"),AND(AJ16="Media",AL16="Mayor"),AND(AJ16="Alta",AL16="Moderado"),AND(AJ16="Alta",AL16="Mayor"),AND(AJ16="Muy Alta",AL16="Leve"),AND(AJ16="Muy Alta",AL16="Menor"),AND(AJ16="Muy Alta",AL16="Moderado"),AND(AJ16="Muy Alta",AL16="Mayor")),"Alto",IF(OR(AND(AJ16="Muy Baja",AL16="Catastrófico"),AND(AJ16="Baja",AL16="Catastrófico"),AND(AJ16="Media",AL16="Catastrófico"),AND(AJ16="Alta",AL16="Catastrófico"),AND(AJ16="Muy Alta",AL16="Catastrófico")),"Extremo","")))),"")</f>
        <v/>
      </c>
      <c r="AO16" s="181"/>
      <c r="AP16" s="172"/>
      <c r="AQ16" s="182"/>
      <c r="AR16" s="182"/>
      <c r="AS16" s="183"/>
      <c r="AT16" s="330"/>
      <c r="AU16" s="330"/>
      <c r="AV16" s="330"/>
    </row>
    <row r="17" spans="1:48" ht="37.5" customHeight="1" x14ac:dyDescent="0.2">
      <c r="A17" s="329"/>
      <c r="B17" s="330"/>
      <c r="C17" s="330"/>
      <c r="D17" s="330"/>
      <c r="E17" s="331"/>
      <c r="F17" s="330"/>
      <c r="G17" s="320"/>
      <c r="H17" s="320"/>
      <c r="I17" s="320"/>
      <c r="J17" s="320"/>
      <c r="K17" s="320"/>
      <c r="L17" s="320"/>
      <c r="M17" s="320"/>
      <c r="N17" s="320"/>
      <c r="O17" s="320"/>
      <c r="P17" s="320"/>
      <c r="Q17" s="320"/>
      <c r="R17" s="313"/>
      <c r="S17" s="312"/>
      <c r="T17" s="311"/>
      <c r="U17" s="559"/>
      <c r="V17" s="311">
        <f>IF(NOT(ISERROR(MATCH(U17,_xlfn.ANCHORARRAY(E28),0))),T30&amp;"Por favor no seleccionar los criterios de impacto",U17)</f>
        <v>0</v>
      </c>
      <c r="W17" s="312"/>
      <c r="X17" s="311"/>
      <c r="Y17" s="324"/>
      <c r="Z17" s="200">
        <v>5</v>
      </c>
      <c r="AA17" s="173"/>
      <c r="AB17" s="175" t="str">
        <f t="shared" si="0"/>
        <v/>
      </c>
      <c r="AC17" s="176"/>
      <c r="AD17" s="176"/>
      <c r="AE17" s="177" t="str">
        <f t="shared" si="1"/>
        <v/>
      </c>
      <c r="AF17" s="176"/>
      <c r="AG17" s="176"/>
      <c r="AH17" s="176"/>
      <c r="AI17" s="178" t="str">
        <f t="shared" si="6"/>
        <v/>
      </c>
      <c r="AJ17" s="179" t="str">
        <f t="shared" si="2"/>
        <v/>
      </c>
      <c r="AK17" s="177" t="str">
        <f t="shared" si="3"/>
        <v/>
      </c>
      <c r="AL17" s="179" t="str">
        <f t="shared" si="4"/>
        <v/>
      </c>
      <c r="AM17" s="177" t="str">
        <f t="shared" si="7"/>
        <v/>
      </c>
      <c r="AN17" s="180" t="str">
        <f t="shared" si="5"/>
        <v/>
      </c>
      <c r="AO17" s="181"/>
      <c r="AP17" s="172"/>
      <c r="AQ17" s="182"/>
      <c r="AR17" s="182"/>
      <c r="AS17" s="183"/>
      <c r="AT17" s="330"/>
      <c r="AU17" s="330"/>
      <c r="AV17" s="330"/>
    </row>
    <row r="18" spans="1:48" ht="37.5" customHeight="1" x14ac:dyDescent="0.2">
      <c r="A18" s="329"/>
      <c r="B18" s="330"/>
      <c r="C18" s="330"/>
      <c r="D18" s="330"/>
      <c r="E18" s="331"/>
      <c r="F18" s="330"/>
      <c r="G18" s="321"/>
      <c r="H18" s="321"/>
      <c r="I18" s="321"/>
      <c r="J18" s="321"/>
      <c r="K18" s="321"/>
      <c r="L18" s="321"/>
      <c r="M18" s="321"/>
      <c r="N18" s="321"/>
      <c r="O18" s="321"/>
      <c r="P18" s="321"/>
      <c r="Q18" s="321"/>
      <c r="R18" s="313"/>
      <c r="S18" s="312"/>
      <c r="T18" s="311"/>
      <c r="U18" s="560"/>
      <c r="V18" s="311">
        <f>IF(NOT(ISERROR(MATCH(U18,_xlfn.ANCHORARRAY(E29),0))),T31&amp;"Por favor no seleccionar los criterios de impacto",U18)</f>
        <v>0</v>
      </c>
      <c r="W18" s="312"/>
      <c r="X18" s="311"/>
      <c r="Y18" s="324"/>
      <c r="Z18" s="200">
        <v>6</v>
      </c>
      <c r="AA18" s="173"/>
      <c r="AB18" s="175" t="str">
        <f t="shared" si="0"/>
        <v/>
      </c>
      <c r="AC18" s="176"/>
      <c r="AD18" s="176"/>
      <c r="AE18" s="177" t="str">
        <f t="shared" si="1"/>
        <v/>
      </c>
      <c r="AF18" s="176"/>
      <c r="AG18" s="176"/>
      <c r="AH18" s="176"/>
      <c r="AI18" s="178" t="str">
        <f t="shared" si="6"/>
        <v/>
      </c>
      <c r="AJ18" s="179" t="str">
        <f t="shared" si="2"/>
        <v/>
      </c>
      <c r="AK18" s="177" t="str">
        <f t="shared" si="3"/>
        <v/>
      </c>
      <c r="AL18" s="179" t="str">
        <f t="shared" si="4"/>
        <v/>
      </c>
      <c r="AM18" s="177" t="str">
        <f t="shared" si="7"/>
        <v/>
      </c>
      <c r="AN18" s="180" t="str">
        <f t="shared" si="5"/>
        <v/>
      </c>
      <c r="AO18" s="181"/>
      <c r="AP18" s="172"/>
      <c r="AQ18" s="182"/>
      <c r="AR18" s="182"/>
      <c r="AS18" s="183"/>
      <c r="AT18" s="330"/>
      <c r="AU18" s="330"/>
      <c r="AV18" s="330"/>
    </row>
    <row r="19" spans="1:48" ht="105" customHeight="1" x14ac:dyDescent="0.2">
      <c r="A19" s="329">
        <v>2</v>
      </c>
      <c r="B19" s="330" t="s">
        <v>107</v>
      </c>
      <c r="C19" s="330" t="s">
        <v>441</v>
      </c>
      <c r="D19" s="330" t="s">
        <v>442</v>
      </c>
      <c r="E19" s="331" t="s">
        <v>443</v>
      </c>
      <c r="F19" s="330" t="s">
        <v>137</v>
      </c>
      <c r="G19" s="319" t="s">
        <v>371</v>
      </c>
      <c r="H19" s="319" t="s">
        <v>444</v>
      </c>
      <c r="I19" s="319" t="s">
        <v>141</v>
      </c>
      <c r="J19" s="319" t="s">
        <v>445</v>
      </c>
      <c r="K19" s="319" t="s">
        <v>112</v>
      </c>
      <c r="L19" s="319" t="s">
        <v>498</v>
      </c>
      <c r="M19" s="319" t="s">
        <v>492</v>
      </c>
      <c r="N19" s="319" t="s">
        <v>494</v>
      </c>
      <c r="O19" s="319" t="s">
        <v>493</v>
      </c>
      <c r="P19" s="319" t="s">
        <v>116</v>
      </c>
      <c r="Q19" s="319" t="s">
        <v>130</v>
      </c>
      <c r="R19" s="313">
        <v>24</v>
      </c>
      <c r="S19" s="312" t="str">
        <f>IF(R19&lt;=0,"",IF(R19&lt;=2,"Muy Baja",IF(R19&lt;=24,"Baja",IF(R19&lt;=500,"Media",IF(R19&lt;=5000,"Alta","Muy Alta")))))</f>
        <v>Baja</v>
      </c>
      <c r="T19" s="311">
        <f>IF(S19="","",IF(S19="Muy Baja",0.2,IF(S19="Baja",0.4,IF(S19="Media",0.6,IF(S19="Alta",0.8,IF(S19="Muy Alta",1,))))))</f>
        <v>0.4</v>
      </c>
      <c r="U19" s="558" t="s">
        <v>341</v>
      </c>
      <c r="V19" s="311" t="str">
        <f>IF(NOT(ISERROR(MATCH(U19,'Tabla Impacto'!$B$222:$B$224,0))),'Tabla Impacto'!$F$224&amp;"Por favor no seleccionar los criterios de impacto(Afectación Económica o presupuestal y Pérdida Reputacional)",U19)</f>
        <v xml:space="preserve">     El riesgo afecta la imagen de de la entidad con efecto publicitario sostenido a nivel de sector administrativo, nivel departamental o municipal</v>
      </c>
      <c r="W19" s="312" t="str">
        <f>IF(OR(V19='Tabla Impacto'!$C$12,V19='Tabla Impacto'!$D$12),"Leve",IF(OR(V19='Tabla Impacto'!$C$13,V19='Tabla Impacto'!$D$13),"Menor",IF(OR(V19='Tabla Impacto'!$C$14,V19='Tabla Impacto'!$D$14),"Moderado",IF(OR(V19='Tabla Impacto'!$C$15,V19='Tabla Impacto'!$D$15),"Mayor",IF(OR(V19='Tabla Impacto'!$C$16,V19='Tabla Impacto'!$D$16),"Catastrófico","")))))</f>
        <v>Mayor</v>
      </c>
      <c r="X19" s="311">
        <f>IF(W19="","",IF(W19="Leve",0.2,IF(W19="Menor",0.4,IF(W19="Moderado",0.6,IF(W19="Mayor",0.8,IF(W19="Catastrófico",1,))))))</f>
        <v>0.8</v>
      </c>
      <c r="Y19" s="324" t="str">
        <f>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Alto</v>
      </c>
      <c r="Z19" s="200">
        <v>1</v>
      </c>
      <c r="AA19" s="173" t="s">
        <v>446</v>
      </c>
      <c r="AB19" s="175" t="str">
        <f>IF(OR(AC19="Preventivo",AC19="Detectivo"),"Probabilidad",IF(AC19="Correctivo","Impacto",""))</f>
        <v>Impacto</v>
      </c>
      <c r="AC19" s="176" t="s">
        <v>266</v>
      </c>
      <c r="AD19" s="176" t="s">
        <v>240</v>
      </c>
      <c r="AE19" s="177" t="str">
        <f>IF(AND(AC19="Preventivo",AD19="Automático"),"50%",IF(AND(AC19="Preventivo",AD19="Manual"),"40%",IF(AND(AC19="Detectivo",AD19="Automático"),"40%",IF(AND(AC19="Detectivo",AD19="Manual"),"30%",IF(AND(AC19="Correctivo",AD19="Automático"),"35%",IF(AND(AC19="Correctivo",AD19="Manual"),"25%",""))))))</f>
        <v>25%</v>
      </c>
      <c r="AF19" s="176" t="s">
        <v>241</v>
      </c>
      <c r="AG19" s="176" t="s">
        <v>242</v>
      </c>
      <c r="AH19" s="176" t="s">
        <v>243</v>
      </c>
      <c r="AI19" s="178">
        <f>IFERROR(IF(AB19="Probabilidad",(T19-(+T19*AE19)),IF(AB19="Impacto",T19,"")),"")</f>
        <v>0.4</v>
      </c>
      <c r="AJ19" s="179" t="str">
        <f>IFERROR(IF(AI19="","",IF(AI19&lt;=0.2,"Muy Baja",IF(AI19&lt;=0.4,"Baja",IF(AI19&lt;=0.6,"Media",IF(AI19&lt;=0.8,"Alta","Muy Alta"))))),"")</f>
        <v>Baja</v>
      </c>
      <c r="AK19" s="177">
        <f>+AI19</f>
        <v>0.4</v>
      </c>
      <c r="AL19" s="179" t="str">
        <f>IFERROR(IF(AM19="","",IF(AM19&lt;=0.2,"Leve",IF(AM19&lt;=0.4,"Menor",IF(AM19&lt;=0.6,"Moderado",IF(AM19&lt;=0.8,"Mayor","Catastrófico"))))),"")</f>
        <v>Moderado</v>
      </c>
      <c r="AM19" s="177">
        <f t="shared" ref="AM19" si="8">IFERROR(IF(AB19="Impacto",(X19-(+X19*AE19)),IF(AB19="Probabilidad",X19,"")),"")</f>
        <v>0.60000000000000009</v>
      </c>
      <c r="AN19" s="180" t="str">
        <f>IFERROR(IF(OR(AND(AJ19="Muy Baja",AL19="Leve"),AND(AJ19="Muy Baja",AL19="Menor"),AND(AJ19="Baja",AL19="Leve")),"Bajo",IF(OR(AND(AJ19="Muy baja",AL19="Moderado"),AND(AJ19="Baja",AL19="Menor"),AND(AJ19="Baja",AL19="Moderado"),AND(AJ19="Media",AL19="Leve"),AND(AJ19="Media",AL19="Menor"),AND(AJ19="Media",AL19="Moderado"),AND(AJ19="Alta",AL19="Leve"),AND(AJ19="Alta",AL19="Menor")),"Moderado",IF(OR(AND(AJ19="Muy Baja",AL19="Mayor"),AND(AJ19="Baja",AL19="Mayor"),AND(AJ19="Media",AL19="Mayor"),AND(AJ19="Alta",AL19="Moderado"),AND(AJ19="Alta",AL19="Mayor"),AND(AJ19="Muy Alta",AL19="Leve"),AND(AJ19="Muy Alta",AL19="Menor"),AND(AJ19="Muy Alta",AL19="Moderado"),AND(AJ19="Muy Alta",AL19="Mayor")),"Alto",IF(OR(AND(AJ19="Muy Baja",AL19="Catastrófico"),AND(AJ19="Baja",AL19="Catastrófico"),AND(AJ19="Media",AL19="Catastrófico"),AND(AJ19="Alta",AL19="Catastrófico"),AND(AJ19="Muy Alta",AL19="Catastrófico")),"Extremo","")))),"")</f>
        <v>Moderado</v>
      </c>
      <c r="AO19" s="181" t="s">
        <v>108</v>
      </c>
      <c r="AP19" s="172" t="s">
        <v>502</v>
      </c>
      <c r="AQ19" s="182" t="s">
        <v>421</v>
      </c>
      <c r="AR19" s="172" t="s">
        <v>449</v>
      </c>
      <c r="AS19" s="183" t="s">
        <v>450</v>
      </c>
      <c r="AT19" s="330" t="s">
        <v>453</v>
      </c>
      <c r="AU19" s="330" t="s">
        <v>454</v>
      </c>
      <c r="AV19" s="330" t="s">
        <v>455</v>
      </c>
    </row>
    <row r="20" spans="1:48" ht="183" x14ac:dyDescent="0.2">
      <c r="A20" s="329"/>
      <c r="B20" s="330"/>
      <c r="C20" s="330"/>
      <c r="D20" s="330"/>
      <c r="E20" s="331"/>
      <c r="F20" s="330"/>
      <c r="G20" s="320"/>
      <c r="H20" s="320"/>
      <c r="I20" s="320"/>
      <c r="J20" s="320"/>
      <c r="K20" s="320"/>
      <c r="L20" s="320"/>
      <c r="M20" s="320"/>
      <c r="N20" s="320"/>
      <c r="O20" s="320"/>
      <c r="P20" s="320"/>
      <c r="Q20" s="320"/>
      <c r="R20" s="313"/>
      <c r="S20" s="312"/>
      <c r="T20" s="311"/>
      <c r="U20" s="559"/>
      <c r="V20" s="311">
        <f>IF(NOT(ISERROR(MATCH(U20,_xlfn.ANCHORARRAY(E31),0))),T33&amp;"Por favor no seleccionar los criterios de impacto",U20)</f>
        <v>0</v>
      </c>
      <c r="W20" s="312"/>
      <c r="X20" s="311"/>
      <c r="Y20" s="324"/>
      <c r="Z20" s="200">
        <v>2</v>
      </c>
      <c r="AA20" s="173" t="s">
        <v>497</v>
      </c>
      <c r="AB20" s="175" t="str">
        <f>IF(OR(AC20="Preventivo",AC20="Detectivo"),"Probabilidad",IF(AC20="Correctivo","Impacto",""))</f>
        <v>Probabilidad</v>
      </c>
      <c r="AC20" s="176" t="s">
        <v>244</v>
      </c>
      <c r="AD20" s="176" t="s">
        <v>240</v>
      </c>
      <c r="AE20" s="177" t="str">
        <f t="shared" ref="AE20:AE24" si="9">IF(AND(AC20="Preventivo",AD20="Automático"),"50%",IF(AND(AC20="Preventivo",AD20="Manual"),"40%",IF(AND(AC20="Detectivo",AD20="Automático"),"40%",IF(AND(AC20="Detectivo",AD20="Manual"),"30%",IF(AND(AC20="Correctivo",AD20="Automático"),"35%",IF(AND(AC20="Correctivo",AD20="Manual"),"25%",""))))))</f>
        <v>30%</v>
      </c>
      <c r="AF20" s="176" t="s">
        <v>245</v>
      </c>
      <c r="AG20" s="176" t="s">
        <v>242</v>
      </c>
      <c r="AH20" s="176" t="s">
        <v>243</v>
      </c>
      <c r="AI20" s="178">
        <f>IFERROR(IF(AND(AB19="Probabilidad",AB20="Probabilidad"),(AK19-(+AK19*AE20)),IF(AB20="Probabilidad",(T19-(+T19*AE20)),IF(AB20="Impacto",AK19,""))),"")</f>
        <v>0.28000000000000003</v>
      </c>
      <c r="AJ20" s="179" t="str">
        <f t="shared" si="2"/>
        <v>Baja</v>
      </c>
      <c r="AK20" s="177">
        <f t="shared" ref="AK20:AK24" si="10">+AI20</f>
        <v>0.28000000000000003</v>
      </c>
      <c r="AL20" s="179" t="str">
        <f t="shared" si="4"/>
        <v>Moderado</v>
      </c>
      <c r="AM20" s="177">
        <f t="shared" ref="AM20" si="11">IFERROR(IF(AND(AB19="Impacto",AB20="Impacto"),(AM19-(+AM19*AE20)),IF(AB20="Impacto",($X$13-(+$X$13*AE20)),IF(AB20="Probabilidad",AM19,""))),"")</f>
        <v>0.60000000000000009</v>
      </c>
      <c r="AN20" s="180" t="str">
        <f t="shared" ref="AN20:AN21" si="12">IFERROR(IF(OR(AND(AJ20="Muy Baja",AL20="Leve"),AND(AJ20="Muy Baja",AL20="Menor"),AND(AJ20="Baja",AL20="Leve")),"Bajo",IF(OR(AND(AJ20="Muy baja",AL20="Moderado"),AND(AJ20="Baja",AL20="Menor"),AND(AJ20="Baja",AL20="Moderado"),AND(AJ20="Media",AL20="Leve"),AND(AJ20="Media",AL20="Menor"),AND(AJ20="Media",AL20="Moderado"),AND(AJ20="Alta",AL20="Leve"),AND(AJ20="Alta",AL20="Menor")),"Moderado",IF(OR(AND(AJ20="Muy Baja",AL20="Mayor"),AND(AJ20="Baja",AL20="Mayor"),AND(AJ20="Media",AL20="Mayor"),AND(AJ20="Alta",AL20="Moderado"),AND(AJ20="Alta",AL20="Mayor"),AND(AJ20="Muy Alta",AL20="Leve"),AND(AJ20="Muy Alta",AL20="Menor"),AND(AJ20="Muy Alta",AL20="Moderado"),AND(AJ20="Muy Alta",AL20="Mayor")),"Alto",IF(OR(AND(AJ20="Muy Baja",AL20="Catastrófico"),AND(AJ20="Baja",AL20="Catastrófico"),AND(AJ20="Media",AL20="Catastrófico"),AND(AJ20="Alta",AL20="Catastrófico"),AND(AJ20="Muy Alta",AL20="Catastrófico")),"Extremo","")))),"")</f>
        <v>Moderado</v>
      </c>
      <c r="AO20" s="181" t="s">
        <v>108</v>
      </c>
      <c r="AP20" s="172" t="s">
        <v>503</v>
      </c>
      <c r="AQ20" s="172" t="s">
        <v>495</v>
      </c>
      <c r="AR20" s="172" t="s">
        <v>496</v>
      </c>
      <c r="AS20" s="248" t="s">
        <v>456</v>
      </c>
      <c r="AT20" s="313"/>
      <c r="AU20" s="330"/>
      <c r="AV20" s="330"/>
    </row>
    <row r="21" spans="1:48" ht="240" x14ac:dyDescent="0.2">
      <c r="A21" s="329"/>
      <c r="B21" s="330"/>
      <c r="C21" s="330"/>
      <c r="D21" s="330"/>
      <c r="E21" s="331"/>
      <c r="F21" s="330"/>
      <c r="G21" s="320"/>
      <c r="H21" s="320"/>
      <c r="I21" s="320"/>
      <c r="J21" s="320"/>
      <c r="K21" s="320"/>
      <c r="L21" s="320"/>
      <c r="M21" s="320"/>
      <c r="N21" s="320"/>
      <c r="O21" s="320"/>
      <c r="P21" s="320"/>
      <c r="Q21" s="320"/>
      <c r="R21" s="313"/>
      <c r="S21" s="312"/>
      <c r="T21" s="311"/>
      <c r="U21" s="559"/>
      <c r="V21" s="311">
        <f>IF(NOT(ISERROR(MATCH(U21,_xlfn.ANCHORARRAY(E32),0))),T34&amp;"Por favor no seleccionar los criterios de impacto",U21)</f>
        <v>0</v>
      </c>
      <c r="W21" s="312"/>
      <c r="X21" s="311"/>
      <c r="Y21" s="324"/>
      <c r="Z21" s="200">
        <v>3</v>
      </c>
      <c r="AA21" s="173" t="s">
        <v>447</v>
      </c>
      <c r="AB21" s="175" t="str">
        <f>IF(OR(AC21="Preventivo",AC21="Detectivo"),"Probabilidad",IF(AC21="Correctivo","Impacto",""))</f>
        <v>Probabilidad</v>
      </c>
      <c r="AC21" s="176" t="s">
        <v>239</v>
      </c>
      <c r="AD21" s="176" t="s">
        <v>240</v>
      </c>
      <c r="AE21" s="177" t="str">
        <f t="shared" si="9"/>
        <v>40%</v>
      </c>
      <c r="AF21" s="176" t="s">
        <v>245</v>
      </c>
      <c r="AG21" s="176" t="s">
        <v>242</v>
      </c>
      <c r="AH21" s="176" t="s">
        <v>243</v>
      </c>
      <c r="AI21" s="178">
        <f>IFERROR(IF(AND(AB20="Probabilidad",AB21="Probabilidad"),(AK20-(+AK20*AE21)),IF(AND(AB20="Impacto",AB21="Probabilidad"),(AK19-(+AK19*AE21)),IF(AB21="Impacto",AK20,""))),"")</f>
        <v>0.16800000000000001</v>
      </c>
      <c r="AJ21" s="179" t="str">
        <f t="shared" si="2"/>
        <v>Muy Baja</v>
      </c>
      <c r="AK21" s="177">
        <f t="shared" si="10"/>
        <v>0.16800000000000001</v>
      </c>
      <c r="AL21" s="179" t="str">
        <f t="shared" si="4"/>
        <v>Moderado</v>
      </c>
      <c r="AM21" s="177">
        <f t="shared" ref="AM21:AM72" si="13">IFERROR(IF(AND(AB20="Impacto",AB21="Impacto"),(AM20-(+AM20*AE21)),IF(AND(AB20="Probabilidad",AB21="Impacto"),(AM19-(+AM19*AE21)),IF(AB21="Probabilidad",AM20,""))),"")</f>
        <v>0.60000000000000009</v>
      </c>
      <c r="AN21" s="180" t="str">
        <f t="shared" si="12"/>
        <v>Moderado</v>
      </c>
      <c r="AO21" s="181" t="s">
        <v>108</v>
      </c>
      <c r="AP21" s="172" t="s">
        <v>504</v>
      </c>
      <c r="AQ21" s="172" t="s">
        <v>451</v>
      </c>
      <c r="AR21" s="172" t="s">
        <v>422</v>
      </c>
      <c r="AS21" s="248" t="s">
        <v>424</v>
      </c>
      <c r="AT21" s="313"/>
      <c r="AU21" s="330"/>
      <c r="AV21" s="330"/>
    </row>
    <row r="22" spans="1:48" ht="120" x14ac:dyDescent="0.2">
      <c r="A22" s="329"/>
      <c r="B22" s="330"/>
      <c r="C22" s="330"/>
      <c r="D22" s="330"/>
      <c r="E22" s="331"/>
      <c r="F22" s="330"/>
      <c r="G22" s="320"/>
      <c r="H22" s="320"/>
      <c r="I22" s="320"/>
      <c r="J22" s="320"/>
      <c r="K22" s="320"/>
      <c r="L22" s="320"/>
      <c r="M22" s="320"/>
      <c r="N22" s="320"/>
      <c r="O22" s="320"/>
      <c r="P22" s="320"/>
      <c r="Q22" s="320"/>
      <c r="R22" s="313"/>
      <c r="S22" s="312"/>
      <c r="T22" s="311"/>
      <c r="U22" s="559"/>
      <c r="V22" s="311">
        <f>IF(NOT(ISERROR(MATCH(U22,_xlfn.ANCHORARRAY(E33),0))),T35&amp;"Por favor no seleccionar los criterios de impacto",U22)</f>
        <v>0</v>
      </c>
      <c r="W22" s="312"/>
      <c r="X22" s="311"/>
      <c r="Y22" s="324"/>
      <c r="Z22" s="200">
        <v>4</v>
      </c>
      <c r="AA22" s="173" t="s">
        <v>448</v>
      </c>
      <c r="AB22" s="175" t="str">
        <f t="shared" ref="AB22:AB24" si="14">IF(OR(AC22="Preventivo",AC22="Detectivo"),"Probabilidad",IF(AC22="Correctivo","Impacto",""))</f>
        <v>Probabilidad</v>
      </c>
      <c r="AC22" s="176" t="s">
        <v>239</v>
      </c>
      <c r="AD22" s="176" t="s">
        <v>389</v>
      </c>
      <c r="AE22" s="177" t="str">
        <f t="shared" si="9"/>
        <v>50%</v>
      </c>
      <c r="AF22" s="176" t="s">
        <v>245</v>
      </c>
      <c r="AG22" s="176" t="s">
        <v>242</v>
      </c>
      <c r="AH22" s="176" t="s">
        <v>243</v>
      </c>
      <c r="AI22" s="178">
        <f t="shared" ref="AI22:AI24" si="15">IFERROR(IF(AND(AB21="Probabilidad",AB22="Probabilidad"),(AK21-(+AK21*AE22)),IF(AND(AB21="Impacto",AB22="Probabilidad"),(AK20-(+AK20*AE22)),IF(AB22="Impacto",AK21,""))),"")</f>
        <v>8.4000000000000005E-2</v>
      </c>
      <c r="AJ22" s="179" t="str">
        <f t="shared" si="2"/>
        <v>Muy Baja</v>
      </c>
      <c r="AK22" s="177">
        <f t="shared" si="10"/>
        <v>8.4000000000000005E-2</v>
      </c>
      <c r="AL22" s="179" t="str">
        <f t="shared" si="4"/>
        <v>Moderado</v>
      </c>
      <c r="AM22" s="177">
        <f t="shared" si="13"/>
        <v>0.60000000000000009</v>
      </c>
      <c r="AN22" s="180" t="str">
        <f>IFERROR(IF(OR(AND(AJ22="Muy Baja",AL22="Leve"),AND(AJ22="Muy Baja",AL22="Menor"),AND(AJ22="Baja",AL22="Leve")),"Bajo",IF(OR(AND(AJ22="Muy baja",AL22="Moderado"),AND(AJ22="Baja",AL22="Menor"),AND(AJ22="Baja",AL22="Moderado"),AND(AJ22="Media",AL22="Leve"),AND(AJ22="Media",AL22="Menor"),AND(AJ22="Media",AL22="Moderado"),AND(AJ22="Alta",AL22="Leve"),AND(AJ22="Alta",AL22="Menor")),"Moderado",IF(OR(AND(AJ22="Muy Baja",AL22="Mayor"),AND(AJ22="Baja",AL22="Mayor"),AND(AJ22="Media",AL22="Mayor"),AND(AJ22="Alta",AL22="Moderado"),AND(AJ22="Alta",AL22="Mayor"),AND(AJ22="Muy Alta",AL22="Leve"),AND(AJ22="Muy Alta",AL22="Menor"),AND(AJ22="Muy Alta",AL22="Moderado"),AND(AJ22="Muy Alta",AL22="Mayor")),"Alto",IF(OR(AND(AJ22="Muy Baja",AL22="Catastrófico"),AND(AJ22="Baja",AL22="Catastrófico"),AND(AJ22="Media",AL22="Catastrófico"),AND(AJ22="Alta",AL22="Catastrófico"),AND(AJ22="Muy Alta",AL22="Catastrófico")),"Extremo","")))),"")</f>
        <v>Moderado</v>
      </c>
      <c r="AO22" s="181" t="s">
        <v>108</v>
      </c>
      <c r="AP22" s="172" t="s">
        <v>499</v>
      </c>
      <c r="AQ22" s="172" t="s">
        <v>452</v>
      </c>
      <c r="AR22" s="172" t="s">
        <v>500</v>
      </c>
      <c r="AS22" s="248" t="s">
        <v>450</v>
      </c>
      <c r="AT22" s="313"/>
      <c r="AU22" s="330"/>
      <c r="AV22" s="330"/>
    </row>
    <row r="23" spans="1:48" ht="37.5" customHeight="1" x14ac:dyDescent="0.2">
      <c r="A23" s="329"/>
      <c r="B23" s="330"/>
      <c r="C23" s="330"/>
      <c r="D23" s="330"/>
      <c r="E23" s="331"/>
      <c r="F23" s="330"/>
      <c r="G23" s="320"/>
      <c r="H23" s="320"/>
      <c r="I23" s="320"/>
      <c r="J23" s="320"/>
      <c r="K23" s="320"/>
      <c r="L23" s="320"/>
      <c r="M23" s="320"/>
      <c r="N23" s="320"/>
      <c r="O23" s="320"/>
      <c r="P23" s="320"/>
      <c r="Q23" s="320"/>
      <c r="R23" s="313"/>
      <c r="S23" s="312"/>
      <c r="T23" s="311"/>
      <c r="U23" s="559"/>
      <c r="V23" s="311">
        <f>IF(NOT(ISERROR(MATCH(U23,_xlfn.ANCHORARRAY(E34),0))),T36&amp;"Por favor no seleccionar los criterios de impacto",U23)</f>
        <v>0</v>
      </c>
      <c r="W23" s="312"/>
      <c r="X23" s="311"/>
      <c r="Y23" s="324"/>
      <c r="Z23" s="200">
        <v>5</v>
      </c>
      <c r="AA23" s="173"/>
      <c r="AB23" s="175" t="str">
        <f t="shared" si="14"/>
        <v/>
      </c>
      <c r="AC23" s="176"/>
      <c r="AD23" s="176"/>
      <c r="AE23" s="177" t="str">
        <f t="shared" si="9"/>
        <v/>
      </c>
      <c r="AF23" s="176"/>
      <c r="AG23" s="176"/>
      <c r="AH23" s="176"/>
      <c r="AI23" s="178" t="str">
        <f t="shared" si="15"/>
        <v/>
      </c>
      <c r="AJ23" s="179" t="str">
        <f t="shared" si="2"/>
        <v/>
      </c>
      <c r="AK23" s="177" t="str">
        <f t="shared" si="10"/>
        <v/>
      </c>
      <c r="AL23" s="179" t="str">
        <f t="shared" si="4"/>
        <v/>
      </c>
      <c r="AM23" s="177" t="str">
        <f t="shared" si="13"/>
        <v/>
      </c>
      <c r="AN23" s="180" t="str">
        <f t="shared" ref="AN23:AN24" si="16">IFERROR(IF(OR(AND(AJ23="Muy Baja",AL23="Leve"),AND(AJ23="Muy Baja",AL23="Menor"),AND(AJ23="Baja",AL23="Leve")),"Bajo",IF(OR(AND(AJ23="Muy baja",AL23="Moderado"),AND(AJ23="Baja",AL23="Menor"),AND(AJ23="Baja",AL23="Moderado"),AND(AJ23="Media",AL23="Leve"),AND(AJ23="Media",AL23="Menor"),AND(AJ23="Media",AL23="Moderado"),AND(AJ23="Alta",AL23="Leve"),AND(AJ23="Alta",AL23="Menor")),"Moderado",IF(OR(AND(AJ23="Muy Baja",AL23="Mayor"),AND(AJ23="Baja",AL23="Mayor"),AND(AJ23="Media",AL23="Mayor"),AND(AJ23="Alta",AL23="Moderado"),AND(AJ23="Alta",AL23="Mayor"),AND(AJ23="Muy Alta",AL23="Leve"),AND(AJ23="Muy Alta",AL23="Menor"),AND(AJ23="Muy Alta",AL23="Moderado"),AND(AJ23="Muy Alta",AL23="Mayor")),"Alto",IF(OR(AND(AJ23="Muy Baja",AL23="Catastrófico"),AND(AJ23="Baja",AL23="Catastrófico"),AND(AJ23="Media",AL23="Catastrófico"),AND(AJ23="Alta",AL23="Catastrófico"),AND(AJ23="Muy Alta",AL23="Catastrófico")),"Extremo","")))),"")</f>
        <v/>
      </c>
      <c r="AO23" s="181"/>
      <c r="AP23" s="172"/>
      <c r="AQ23" s="182"/>
      <c r="AR23" s="182"/>
      <c r="AS23" s="183"/>
      <c r="AT23" s="313"/>
      <c r="AU23" s="330"/>
      <c r="AV23" s="330"/>
    </row>
    <row r="24" spans="1:48" ht="37.5" customHeight="1" x14ac:dyDescent="0.2">
      <c r="A24" s="329"/>
      <c r="B24" s="330"/>
      <c r="C24" s="330"/>
      <c r="D24" s="330"/>
      <c r="E24" s="331"/>
      <c r="F24" s="330"/>
      <c r="G24" s="321"/>
      <c r="H24" s="321"/>
      <c r="I24" s="321"/>
      <c r="J24" s="321"/>
      <c r="K24" s="321"/>
      <c r="L24" s="321"/>
      <c r="M24" s="321"/>
      <c r="N24" s="321"/>
      <c r="O24" s="321"/>
      <c r="P24" s="321"/>
      <c r="Q24" s="321"/>
      <c r="R24" s="313"/>
      <c r="S24" s="312"/>
      <c r="T24" s="311"/>
      <c r="U24" s="560"/>
      <c r="V24" s="311">
        <f>IF(NOT(ISERROR(MATCH(U24,_xlfn.ANCHORARRAY(E35),0))),T37&amp;"Por favor no seleccionar los criterios de impacto",U24)</f>
        <v>0</v>
      </c>
      <c r="W24" s="312"/>
      <c r="X24" s="311"/>
      <c r="Y24" s="324"/>
      <c r="Z24" s="200">
        <v>6</v>
      </c>
      <c r="AA24" s="173"/>
      <c r="AB24" s="175" t="str">
        <f t="shared" si="14"/>
        <v/>
      </c>
      <c r="AC24" s="176"/>
      <c r="AD24" s="176"/>
      <c r="AE24" s="177" t="str">
        <f t="shared" si="9"/>
        <v/>
      </c>
      <c r="AF24" s="176"/>
      <c r="AG24" s="176"/>
      <c r="AH24" s="176"/>
      <c r="AI24" s="178" t="str">
        <f t="shared" si="15"/>
        <v/>
      </c>
      <c r="AJ24" s="179" t="str">
        <f t="shared" si="2"/>
        <v/>
      </c>
      <c r="AK24" s="177" t="str">
        <f t="shared" si="10"/>
        <v/>
      </c>
      <c r="AL24" s="179" t="str">
        <f t="shared" si="4"/>
        <v/>
      </c>
      <c r="AM24" s="177" t="str">
        <f t="shared" si="13"/>
        <v/>
      </c>
      <c r="AN24" s="180" t="str">
        <f t="shared" si="16"/>
        <v/>
      </c>
      <c r="AO24" s="181"/>
      <c r="AP24" s="172"/>
      <c r="AQ24" s="182"/>
      <c r="AR24" s="182"/>
      <c r="AS24" s="183"/>
      <c r="AT24" s="313"/>
      <c r="AU24" s="330"/>
      <c r="AV24" s="330"/>
    </row>
    <row r="25" spans="1:48" ht="37.5" customHeight="1" x14ac:dyDescent="0.2">
      <c r="A25" s="329">
        <v>3</v>
      </c>
      <c r="B25" s="330"/>
      <c r="C25" s="330"/>
      <c r="D25" s="330"/>
      <c r="E25" s="331"/>
      <c r="F25" s="330"/>
      <c r="G25" s="319"/>
      <c r="H25" s="319"/>
      <c r="I25" s="319"/>
      <c r="J25" s="319"/>
      <c r="K25" s="319"/>
      <c r="L25" s="319"/>
      <c r="M25" s="319"/>
      <c r="N25" s="319"/>
      <c r="O25" s="319"/>
      <c r="P25" s="319"/>
      <c r="Q25" s="319"/>
      <c r="R25" s="313"/>
      <c r="S25" s="312" t="str">
        <f>IF(R25&lt;=0,"",IF(R25&lt;=2,"Muy Baja",IF(R25&lt;=24,"Baja",IF(R25&lt;=500,"Media",IF(R25&lt;=5000,"Alta","Muy Alta")))))</f>
        <v/>
      </c>
      <c r="T25" s="311" t="str">
        <f>IF(S25="","",IF(S25="Muy Baja",0.2,IF(S25="Baja",0.4,IF(S25="Media",0.6,IF(S25="Alta",0.8,IF(S25="Muy Alta",1,))))))</f>
        <v/>
      </c>
      <c r="U25" s="310"/>
      <c r="V25" s="311">
        <f>IF(NOT(ISERROR(MATCH(U25,'Tabla Impacto'!$B$222:$B$224,0))),'Tabla Impacto'!$F$224&amp;"Por favor no seleccionar los criterios de impacto(Afectación Económica o presupuestal y Pérdida Reputacional)",U25)</f>
        <v>0</v>
      </c>
      <c r="W25" s="312" t="str">
        <f>IF(OR(V25='Tabla Impacto'!$C$12,V25='Tabla Impacto'!$D$12),"Leve",IF(OR(V25='Tabla Impacto'!$C$13,V25='Tabla Impacto'!$D$13),"Menor",IF(OR(V25='Tabla Impacto'!$C$14,V25='Tabla Impacto'!$D$14),"Moderado",IF(OR(V25='Tabla Impacto'!$C$15,V25='Tabla Impacto'!$D$15),"Mayor",IF(OR(V25='Tabla Impacto'!$C$16,V25='Tabla Impacto'!$D$16),"Catastrófico","")))))</f>
        <v/>
      </c>
      <c r="X25" s="311" t="str">
        <f>IF(W25="","",IF(W25="Leve",0.2,IF(W25="Menor",0.4,IF(W25="Moderado",0.6,IF(W25="Mayor",0.8,IF(W25="Catastrófico",1,))))))</f>
        <v/>
      </c>
      <c r="Y25" s="324" t="str">
        <f>IF(OR(AND(S25="Muy Baja",W25="Leve"),AND(S25="Muy Baja",W25="Menor"),AND(S25="Baja",W25="Leve")),"Bajo",IF(OR(AND(S25="Muy baja",W25="Moderado"),AND(S25="Baja",W25="Menor"),AND(S25="Baja",W25="Moderado"),AND(S25="Media",W25="Leve"),AND(S25="Media",W25="Menor"),AND(S25="Media",W25="Moderado"),AND(S25="Alta",W25="Leve"),AND(S25="Alta",W25="Menor")),"Moderado",IF(OR(AND(S25="Muy Baja",W25="Mayor"),AND(S25="Baja",W25="Mayor"),AND(S25="Media",W25="Mayor"),AND(S25="Alta",W25="Moderado"),AND(S25="Alta",W25="Mayor"),AND(S25="Muy Alta",W25="Leve"),AND(S25="Muy Alta",W25="Menor"),AND(S25="Muy Alta",W25="Moderado"),AND(S25="Muy Alta",W25="Mayor")),"Alto",IF(OR(AND(S25="Muy Baja",W25="Catastrófico"),AND(S25="Baja",W25="Catastrófico"),AND(S25="Media",W25="Catastrófico"),AND(S25="Alta",W25="Catastrófico"),AND(S25="Muy Alta",W25="Catastrófico")),"Extremo",""))))</f>
        <v/>
      </c>
      <c r="Z25" s="200">
        <v>1</v>
      </c>
      <c r="AA25" s="173"/>
      <c r="AB25" s="175" t="str">
        <f>IF(OR(AC25="Preventivo",AC25="Detectivo"),"Probabilidad",IF(AC25="Correctivo","Impacto",""))</f>
        <v/>
      </c>
      <c r="AC25" s="176"/>
      <c r="AD25" s="176"/>
      <c r="AE25" s="177" t="str">
        <f>IF(AND(AC25="Preventivo",AD25="Automático"),"50%",IF(AND(AC25="Preventivo",AD25="Manual"),"40%",IF(AND(AC25="Detectivo",AD25="Automático"),"40%",IF(AND(AC25="Detectivo",AD25="Manual"),"30%",IF(AND(AC25="Correctivo",AD25="Automático"),"35%",IF(AND(AC25="Correctivo",AD25="Manual"),"25%",""))))))</f>
        <v/>
      </c>
      <c r="AF25" s="176"/>
      <c r="AG25" s="176"/>
      <c r="AH25" s="176"/>
      <c r="AI25" s="178" t="str">
        <f>IFERROR(IF(AB25="Probabilidad",(T25-(+T25*AE25)),IF(AB25="Impacto",T25,"")),"")</f>
        <v/>
      </c>
      <c r="AJ25" s="179" t="str">
        <f>IFERROR(IF(AI25="","",IF(AI25&lt;=0.2,"Muy Baja",IF(AI25&lt;=0.4,"Baja",IF(AI25&lt;=0.6,"Media",IF(AI25&lt;=0.8,"Alta","Muy Alta"))))),"")</f>
        <v/>
      </c>
      <c r="AK25" s="177" t="str">
        <f>+AI25</f>
        <v/>
      </c>
      <c r="AL25" s="179" t="str">
        <f>IFERROR(IF(AM25="","",IF(AM25&lt;=0.2,"Leve",IF(AM25&lt;=0.4,"Menor",IF(AM25&lt;=0.6,"Moderado",IF(AM25&lt;=0.8,"Mayor","Catastrófico"))))),"")</f>
        <v/>
      </c>
      <c r="AM25" s="177" t="str">
        <f t="shared" ref="AM25" si="17">IFERROR(IF(AB25="Impacto",(X25-(+X25*AE25)),IF(AB25="Probabilidad",X25,"")),"")</f>
        <v/>
      </c>
      <c r="AN25" s="180" t="str">
        <f>IFERROR(IF(OR(AND(AJ25="Muy Baja",AL25="Leve"),AND(AJ25="Muy Baja",AL25="Menor"),AND(AJ25="Baja",AL25="Leve")),"Bajo",IF(OR(AND(AJ25="Muy baja",AL25="Moderado"),AND(AJ25="Baja",AL25="Menor"),AND(AJ25="Baja",AL25="Moderado"),AND(AJ25="Media",AL25="Leve"),AND(AJ25="Media",AL25="Menor"),AND(AJ25="Media",AL25="Moderado"),AND(AJ25="Alta",AL25="Leve"),AND(AJ25="Alta",AL25="Menor")),"Moderado",IF(OR(AND(AJ25="Muy Baja",AL25="Mayor"),AND(AJ25="Baja",AL25="Mayor"),AND(AJ25="Media",AL25="Mayor"),AND(AJ25="Alta",AL25="Moderado"),AND(AJ25="Alta",AL25="Mayor"),AND(AJ25="Muy Alta",AL25="Leve"),AND(AJ25="Muy Alta",AL25="Menor"),AND(AJ25="Muy Alta",AL25="Moderado"),AND(AJ25="Muy Alta",AL25="Mayor")),"Alto",IF(OR(AND(AJ25="Muy Baja",AL25="Catastrófico"),AND(AJ25="Baja",AL25="Catastrófico"),AND(AJ25="Media",AL25="Catastrófico"),AND(AJ25="Alta",AL25="Catastrófico"),AND(AJ25="Muy Alta",AL25="Catastrófico")),"Extremo","")))),"")</f>
        <v/>
      </c>
      <c r="AO25" s="181"/>
      <c r="AP25" s="172"/>
      <c r="AQ25" s="182"/>
      <c r="AR25" s="182"/>
      <c r="AS25" s="183"/>
      <c r="AT25" s="313"/>
      <c r="AU25" s="313"/>
      <c r="AV25" s="313"/>
    </row>
    <row r="26" spans="1:48" ht="37.5" customHeight="1" x14ac:dyDescent="0.2">
      <c r="A26" s="329"/>
      <c r="B26" s="330"/>
      <c r="C26" s="330"/>
      <c r="D26" s="330"/>
      <c r="E26" s="331"/>
      <c r="F26" s="330"/>
      <c r="G26" s="320"/>
      <c r="H26" s="320"/>
      <c r="I26" s="320"/>
      <c r="J26" s="320"/>
      <c r="K26" s="320"/>
      <c r="L26" s="320"/>
      <c r="M26" s="320"/>
      <c r="N26" s="320"/>
      <c r="O26" s="320"/>
      <c r="P26" s="320"/>
      <c r="Q26" s="320"/>
      <c r="R26" s="313"/>
      <c r="S26" s="312"/>
      <c r="T26" s="311"/>
      <c r="U26" s="310"/>
      <c r="V26" s="311">
        <f>IF(NOT(ISERROR(MATCH(U26,_xlfn.ANCHORARRAY(E37),0))),T39&amp;"Por favor no seleccionar los criterios de impacto",U26)</f>
        <v>0</v>
      </c>
      <c r="W26" s="312"/>
      <c r="X26" s="311"/>
      <c r="Y26" s="324"/>
      <c r="Z26" s="200">
        <v>2</v>
      </c>
      <c r="AA26" s="173"/>
      <c r="AB26" s="175" t="str">
        <f>IF(OR(AC26="Preventivo",AC26="Detectivo"),"Probabilidad",IF(AC26="Correctivo","Impacto",""))</f>
        <v/>
      </c>
      <c r="AC26" s="176"/>
      <c r="AD26" s="176"/>
      <c r="AE26" s="177" t="str">
        <f t="shared" ref="AE26:AE30" si="18">IF(AND(AC26="Preventivo",AD26="Automático"),"50%",IF(AND(AC26="Preventivo",AD26="Manual"),"40%",IF(AND(AC26="Detectivo",AD26="Automático"),"40%",IF(AND(AC26="Detectivo",AD26="Manual"),"30%",IF(AND(AC26="Correctivo",AD26="Automático"),"35%",IF(AND(AC26="Correctivo",AD26="Manual"),"25%",""))))))</f>
        <v/>
      </c>
      <c r="AF26" s="176"/>
      <c r="AG26" s="176"/>
      <c r="AH26" s="176"/>
      <c r="AI26" s="178" t="str">
        <f>IFERROR(IF(AND(AB25="Probabilidad",AB26="Probabilidad"),(AK25-(+AK25*AE26)),IF(AB26="Probabilidad",(T25-(+T25*AE26)),IF(AB26="Impacto",AK25,""))),"")</f>
        <v/>
      </c>
      <c r="AJ26" s="179" t="str">
        <f t="shared" si="2"/>
        <v/>
      </c>
      <c r="AK26" s="177" t="str">
        <f t="shared" ref="AK26:AK30" si="19">+AI26</f>
        <v/>
      </c>
      <c r="AL26" s="179" t="str">
        <f t="shared" si="4"/>
        <v/>
      </c>
      <c r="AM26" s="177" t="str">
        <f t="shared" ref="AM26" si="20">IFERROR(IF(AND(AB25="Impacto",AB26="Impacto"),(AM25-(+AM25*AE26)),IF(AB26="Impacto",($X$13-(+$X$13*AE26)),IF(AB26="Probabilidad",AM25,""))),"")</f>
        <v/>
      </c>
      <c r="AN26" s="180" t="str">
        <f t="shared" ref="AN26:AN27" si="21">IFERROR(IF(OR(AND(AJ26="Muy Baja",AL26="Leve"),AND(AJ26="Muy Baja",AL26="Menor"),AND(AJ26="Baja",AL26="Leve")),"Bajo",IF(OR(AND(AJ26="Muy baja",AL26="Moderado"),AND(AJ26="Baja",AL26="Menor"),AND(AJ26="Baja",AL26="Moderado"),AND(AJ26="Media",AL26="Leve"),AND(AJ26="Media",AL26="Menor"),AND(AJ26="Media",AL26="Moderado"),AND(AJ26="Alta",AL26="Leve"),AND(AJ26="Alta",AL26="Menor")),"Moderado",IF(OR(AND(AJ26="Muy Baja",AL26="Mayor"),AND(AJ26="Baja",AL26="Mayor"),AND(AJ26="Media",AL26="Mayor"),AND(AJ26="Alta",AL26="Moderado"),AND(AJ26="Alta",AL26="Mayor"),AND(AJ26="Muy Alta",AL26="Leve"),AND(AJ26="Muy Alta",AL26="Menor"),AND(AJ26="Muy Alta",AL26="Moderado"),AND(AJ26="Muy Alta",AL26="Mayor")),"Alto",IF(OR(AND(AJ26="Muy Baja",AL26="Catastrófico"),AND(AJ26="Baja",AL26="Catastrófico"),AND(AJ26="Media",AL26="Catastrófico"),AND(AJ26="Alta",AL26="Catastrófico"),AND(AJ26="Muy Alta",AL26="Catastrófico")),"Extremo","")))),"")</f>
        <v/>
      </c>
      <c r="AO26" s="181"/>
      <c r="AP26" s="172"/>
      <c r="AQ26" s="182"/>
      <c r="AR26" s="182"/>
      <c r="AS26" s="183"/>
      <c r="AT26" s="313"/>
      <c r="AU26" s="313"/>
      <c r="AV26" s="313"/>
    </row>
    <row r="27" spans="1:48" ht="37.5" customHeight="1" x14ac:dyDescent="0.2">
      <c r="A27" s="329"/>
      <c r="B27" s="330"/>
      <c r="C27" s="330"/>
      <c r="D27" s="330"/>
      <c r="E27" s="331"/>
      <c r="F27" s="330"/>
      <c r="G27" s="320"/>
      <c r="H27" s="320"/>
      <c r="I27" s="320"/>
      <c r="J27" s="320"/>
      <c r="K27" s="320"/>
      <c r="L27" s="320"/>
      <c r="M27" s="320"/>
      <c r="N27" s="320"/>
      <c r="O27" s="320"/>
      <c r="P27" s="320"/>
      <c r="Q27" s="320"/>
      <c r="R27" s="313"/>
      <c r="S27" s="312"/>
      <c r="T27" s="311"/>
      <c r="U27" s="310"/>
      <c r="V27" s="311">
        <f>IF(NOT(ISERROR(MATCH(U27,_xlfn.ANCHORARRAY(E38),0))),T40&amp;"Por favor no seleccionar los criterios de impacto",U27)</f>
        <v>0</v>
      </c>
      <c r="W27" s="312"/>
      <c r="X27" s="311"/>
      <c r="Y27" s="324"/>
      <c r="Z27" s="200">
        <v>3</v>
      </c>
      <c r="AA27" s="173"/>
      <c r="AB27" s="175" t="str">
        <f>IF(OR(AC27="Preventivo",AC27="Detectivo"),"Probabilidad",IF(AC27="Correctivo","Impacto",""))</f>
        <v/>
      </c>
      <c r="AC27" s="176"/>
      <c r="AD27" s="176"/>
      <c r="AE27" s="177" t="str">
        <f t="shared" si="18"/>
        <v/>
      </c>
      <c r="AF27" s="176"/>
      <c r="AG27" s="176"/>
      <c r="AH27" s="176"/>
      <c r="AI27" s="178" t="str">
        <f>IFERROR(IF(AND(AB26="Probabilidad",AB27="Probabilidad"),(AK26-(+AK26*AE27)),IF(AND(AB26="Impacto",AB27="Probabilidad"),(AK25-(+AK25*AE27)),IF(AB27="Impacto",AK26,""))),"")</f>
        <v/>
      </c>
      <c r="AJ27" s="179" t="str">
        <f t="shared" si="2"/>
        <v/>
      </c>
      <c r="AK27" s="177" t="str">
        <f t="shared" si="19"/>
        <v/>
      </c>
      <c r="AL27" s="179" t="str">
        <f t="shared" si="4"/>
        <v/>
      </c>
      <c r="AM27" s="177" t="str">
        <f t="shared" ref="AM27" si="22">IFERROR(IF(AND(AB26="Impacto",AB27="Impacto"),(AM26-(+AM26*AE27)),IF(AND(AB26="Probabilidad",AB27="Impacto"),(AM25-(+AM25*AE27)),IF(AB27="Probabilidad",AM26,""))),"")</f>
        <v/>
      </c>
      <c r="AN27" s="180" t="str">
        <f t="shared" si="21"/>
        <v/>
      </c>
      <c r="AO27" s="181"/>
      <c r="AP27" s="172"/>
      <c r="AQ27" s="182"/>
      <c r="AR27" s="182"/>
      <c r="AS27" s="183"/>
      <c r="AT27" s="313"/>
      <c r="AU27" s="313"/>
      <c r="AV27" s="313"/>
    </row>
    <row r="28" spans="1:48" ht="37.5" customHeight="1" x14ac:dyDescent="0.2">
      <c r="A28" s="329"/>
      <c r="B28" s="330"/>
      <c r="C28" s="330"/>
      <c r="D28" s="330"/>
      <c r="E28" s="331"/>
      <c r="F28" s="330"/>
      <c r="G28" s="320"/>
      <c r="H28" s="320"/>
      <c r="I28" s="320"/>
      <c r="J28" s="320"/>
      <c r="K28" s="320"/>
      <c r="L28" s="320"/>
      <c r="M28" s="320"/>
      <c r="N28" s="320"/>
      <c r="O28" s="320"/>
      <c r="P28" s="320"/>
      <c r="Q28" s="320"/>
      <c r="R28" s="313"/>
      <c r="S28" s="312"/>
      <c r="T28" s="311"/>
      <c r="U28" s="310"/>
      <c r="V28" s="311">
        <f>IF(NOT(ISERROR(MATCH(U28,_xlfn.ANCHORARRAY(E39),0))),T41&amp;"Por favor no seleccionar los criterios de impacto",U28)</f>
        <v>0</v>
      </c>
      <c r="W28" s="312"/>
      <c r="X28" s="311"/>
      <c r="Y28" s="324"/>
      <c r="Z28" s="200">
        <v>4</v>
      </c>
      <c r="AA28" s="173"/>
      <c r="AB28" s="175" t="str">
        <f t="shared" ref="AB28:AB30" si="23">IF(OR(AC28="Preventivo",AC28="Detectivo"),"Probabilidad",IF(AC28="Correctivo","Impacto",""))</f>
        <v/>
      </c>
      <c r="AC28" s="176"/>
      <c r="AD28" s="176"/>
      <c r="AE28" s="177" t="str">
        <f t="shared" si="18"/>
        <v/>
      </c>
      <c r="AF28" s="176"/>
      <c r="AG28" s="176"/>
      <c r="AH28" s="176"/>
      <c r="AI28" s="178" t="str">
        <f t="shared" ref="AI28:AI30" si="24">IFERROR(IF(AND(AB27="Probabilidad",AB28="Probabilidad"),(AK27-(+AK27*AE28)),IF(AND(AB27="Impacto",AB28="Probabilidad"),(AK26-(+AK26*AE28)),IF(AB28="Impacto",AK27,""))),"")</f>
        <v/>
      </c>
      <c r="AJ28" s="179" t="str">
        <f t="shared" si="2"/>
        <v/>
      </c>
      <c r="AK28" s="177" t="str">
        <f t="shared" si="19"/>
        <v/>
      </c>
      <c r="AL28" s="179" t="str">
        <f t="shared" si="4"/>
        <v/>
      </c>
      <c r="AM28" s="177" t="str">
        <f t="shared" si="13"/>
        <v/>
      </c>
      <c r="AN28" s="180" t="str">
        <f>IFERROR(IF(OR(AND(AJ28="Muy Baja",AL28="Leve"),AND(AJ28="Muy Baja",AL28="Menor"),AND(AJ28="Baja",AL28="Leve")),"Bajo",IF(OR(AND(AJ28="Muy baja",AL28="Moderado"),AND(AJ28="Baja",AL28="Menor"),AND(AJ28="Baja",AL28="Moderado"),AND(AJ28="Media",AL28="Leve"),AND(AJ28="Media",AL28="Menor"),AND(AJ28="Media",AL28="Moderado"),AND(AJ28="Alta",AL28="Leve"),AND(AJ28="Alta",AL28="Menor")),"Moderado",IF(OR(AND(AJ28="Muy Baja",AL28="Mayor"),AND(AJ28="Baja",AL28="Mayor"),AND(AJ28="Media",AL28="Mayor"),AND(AJ28="Alta",AL28="Moderado"),AND(AJ28="Alta",AL28="Mayor"),AND(AJ28="Muy Alta",AL28="Leve"),AND(AJ28="Muy Alta",AL28="Menor"),AND(AJ28="Muy Alta",AL28="Moderado"),AND(AJ28="Muy Alta",AL28="Mayor")),"Alto",IF(OR(AND(AJ28="Muy Baja",AL28="Catastrófico"),AND(AJ28="Baja",AL28="Catastrófico"),AND(AJ28="Media",AL28="Catastrófico"),AND(AJ28="Alta",AL28="Catastrófico"),AND(AJ28="Muy Alta",AL28="Catastrófico")),"Extremo","")))),"")</f>
        <v/>
      </c>
      <c r="AO28" s="181"/>
      <c r="AP28" s="172"/>
      <c r="AQ28" s="182"/>
      <c r="AR28" s="182"/>
      <c r="AS28" s="183"/>
      <c r="AT28" s="313"/>
      <c r="AU28" s="313"/>
      <c r="AV28" s="313"/>
    </row>
    <row r="29" spans="1:48" ht="37.5" customHeight="1" x14ac:dyDescent="0.2">
      <c r="A29" s="329"/>
      <c r="B29" s="330"/>
      <c r="C29" s="330"/>
      <c r="D29" s="330"/>
      <c r="E29" s="331"/>
      <c r="F29" s="330"/>
      <c r="G29" s="320"/>
      <c r="H29" s="320"/>
      <c r="I29" s="320"/>
      <c r="J29" s="320"/>
      <c r="K29" s="320"/>
      <c r="L29" s="320"/>
      <c r="M29" s="320"/>
      <c r="N29" s="320"/>
      <c r="O29" s="320"/>
      <c r="P29" s="320"/>
      <c r="Q29" s="320"/>
      <c r="R29" s="313"/>
      <c r="S29" s="312"/>
      <c r="T29" s="311"/>
      <c r="U29" s="310"/>
      <c r="V29" s="311">
        <f>IF(NOT(ISERROR(MATCH(U29,_xlfn.ANCHORARRAY(E40),0))),T42&amp;"Por favor no seleccionar los criterios de impacto",U29)</f>
        <v>0</v>
      </c>
      <c r="W29" s="312"/>
      <c r="X29" s="311"/>
      <c r="Y29" s="324"/>
      <c r="Z29" s="200">
        <v>5</v>
      </c>
      <c r="AA29" s="173"/>
      <c r="AB29" s="175" t="str">
        <f t="shared" si="23"/>
        <v/>
      </c>
      <c r="AC29" s="176"/>
      <c r="AD29" s="176"/>
      <c r="AE29" s="177" t="str">
        <f t="shared" si="18"/>
        <v/>
      </c>
      <c r="AF29" s="176"/>
      <c r="AG29" s="176"/>
      <c r="AH29" s="176"/>
      <c r="AI29" s="178" t="str">
        <f t="shared" si="24"/>
        <v/>
      </c>
      <c r="AJ29" s="179" t="str">
        <f t="shared" si="2"/>
        <v/>
      </c>
      <c r="AK29" s="177" t="str">
        <f t="shared" si="19"/>
        <v/>
      </c>
      <c r="AL29" s="179" t="str">
        <f t="shared" si="4"/>
        <v/>
      </c>
      <c r="AM29" s="177" t="str">
        <f t="shared" si="13"/>
        <v/>
      </c>
      <c r="AN29" s="180" t="str">
        <f t="shared" ref="AN29:AN30" si="25">IFERROR(IF(OR(AND(AJ29="Muy Baja",AL29="Leve"),AND(AJ29="Muy Baja",AL29="Menor"),AND(AJ29="Baja",AL29="Leve")),"Bajo",IF(OR(AND(AJ29="Muy baja",AL29="Moderado"),AND(AJ29="Baja",AL29="Menor"),AND(AJ29="Baja",AL29="Moderado"),AND(AJ29="Media",AL29="Leve"),AND(AJ29="Media",AL29="Menor"),AND(AJ29="Media",AL29="Moderado"),AND(AJ29="Alta",AL29="Leve"),AND(AJ29="Alta",AL29="Menor")),"Moderado",IF(OR(AND(AJ29="Muy Baja",AL29="Mayor"),AND(AJ29="Baja",AL29="Mayor"),AND(AJ29="Media",AL29="Mayor"),AND(AJ29="Alta",AL29="Moderado"),AND(AJ29="Alta",AL29="Mayor"),AND(AJ29="Muy Alta",AL29="Leve"),AND(AJ29="Muy Alta",AL29="Menor"),AND(AJ29="Muy Alta",AL29="Moderado"),AND(AJ29="Muy Alta",AL29="Mayor")),"Alto",IF(OR(AND(AJ29="Muy Baja",AL29="Catastrófico"),AND(AJ29="Baja",AL29="Catastrófico"),AND(AJ29="Media",AL29="Catastrófico"),AND(AJ29="Alta",AL29="Catastrófico"),AND(AJ29="Muy Alta",AL29="Catastrófico")),"Extremo","")))),"")</f>
        <v/>
      </c>
      <c r="AO29" s="181"/>
      <c r="AP29" s="172"/>
      <c r="AQ29" s="182"/>
      <c r="AR29" s="182"/>
      <c r="AS29" s="183"/>
      <c r="AT29" s="313"/>
      <c r="AU29" s="313"/>
      <c r="AV29" s="313"/>
    </row>
    <row r="30" spans="1:48" ht="37.5" customHeight="1" x14ac:dyDescent="0.2">
      <c r="A30" s="329"/>
      <c r="B30" s="330"/>
      <c r="C30" s="330"/>
      <c r="D30" s="330"/>
      <c r="E30" s="331"/>
      <c r="F30" s="330"/>
      <c r="G30" s="321"/>
      <c r="H30" s="321"/>
      <c r="I30" s="321"/>
      <c r="J30" s="321"/>
      <c r="K30" s="321"/>
      <c r="L30" s="321"/>
      <c r="M30" s="321"/>
      <c r="N30" s="321"/>
      <c r="O30" s="321"/>
      <c r="P30" s="321"/>
      <c r="Q30" s="321"/>
      <c r="R30" s="313"/>
      <c r="S30" s="312"/>
      <c r="T30" s="311"/>
      <c r="U30" s="310"/>
      <c r="V30" s="311">
        <f>IF(NOT(ISERROR(MATCH(U30,_xlfn.ANCHORARRAY(E41),0))),T43&amp;"Por favor no seleccionar los criterios de impacto",U30)</f>
        <v>0</v>
      </c>
      <c r="W30" s="312"/>
      <c r="X30" s="311"/>
      <c r="Y30" s="324"/>
      <c r="Z30" s="200">
        <v>6</v>
      </c>
      <c r="AA30" s="173"/>
      <c r="AB30" s="175" t="str">
        <f t="shared" si="23"/>
        <v/>
      </c>
      <c r="AC30" s="176"/>
      <c r="AD30" s="176"/>
      <c r="AE30" s="177" t="str">
        <f t="shared" si="18"/>
        <v/>
      </c>
      <c r="AF30" s="176"/>
      <c r="AG30" s="176"/>
      <c r="AH30" s="176"/>
      <c r="AI30" s="178" t="str">
        <f t="shared" si="24"/>
        <v/>
      </c>
      <c r="AJ30" s="179" t="str">
        <f t="shared" si="2"/>
        <v/>
      </c>
      <c r="AK30" s="177" t="str">
        <f t="shared" si="19"/>
        <v/>
      </c>
      <c r="AL30" s="179" t="str">
        <f t="shared" si="4"/>
        <v/>
      </c>
      <c r="AM30" s="177" t="str">
        <f t="shared" si="13"/>
        <v/>
      </c>
      <c r="AN30" s="180" t="str">
        <f t="shared" si="25"/>
        <v/>
      </c>
      <c r="AO30" s="181"/>
      <c r="AP30" s="172"/>
      <c r="AQ30" s="182"/>
      <c r="AR30" s="182"/>
      <c r="AS30" s="183"/>
      <c r="AT30" s="313"/>
      <c r="AU30" s="313"/>
      <c r="AV30" s="313"/>
    </row>
    <row r="31" spans="1:48" ht="37.5" customHeight="1" x14ac:dyDescent="0.2">
      <c r="A31" s="329">
        <v>4</v>
      </c>
      <c r="B31" s="330"/>
      <c r="C31" s="330"/>
      <c r="D31" s="330"/>
      <c r="E31" s="330"/>
      <c r="F31" s="330"/>
      <c r="G31" s="319"/>
      <c r="H31" s="319"/>
      <c r="I31" s="319"/>
      <c r="J31" s="319"/>
      <c r="K31" s="319"/>
      <c r="L31" s="319"/>
      <c r="M31" s="319"/>
      <c r="N31" s="319"/>
      <c r="O31" s="319"/>
      <c r="P31" s="319"/>
      <c r="Q31" s="319"/>
      <c r="R31" s="313"/>
      <c r="S31" s="312" t="str">
        <f>IF(R31&lt;=0,"",IF(R31&lt;=2,"Muy Baja",IF(R31&lt;=24,"Baja",IF(R31&lt;=500,"Media",IF(R31&lt;=5000,"Alta","Muy Alta")))))</f>
        <v/>
      </c>
      <c r="T31" s="311" t="str">
        <f>IF(S31="","",IF(S31="Muy Baja",0.2,IF(S31="Baja",0.4,IF(S31="Media",0.6,IF(S31="Alta",0.8,IF(S31="Muy Alta",1,))))))</f>
        <v/>
      </c>
      <c r="U31" s="310"/>
      <c r="V31" s="311">
        <f>IF(NOT(ISERROR(MATCH(U31,'Tabla Impacto'!$B$222:$B$224,0))),'Tabla Impacto'!$F$224&amp;"Por favor no seleccionar los criterios de impacto(Afectación Económica o presupuestal y Pérdida Reputacional)",U31)</f>
        <v>0</v>
      </c>
      <c r="W31" s="312" t="str">
        <f>IF(OR(V31='Tabla Impacto'!$C$12,V31='Tabla Impacto'!$D$12),"Leve",IF(OR(V31='Tabla Impacto'!$C$13,V31='Tabla Impacto'!$D$13),"Menor",IF(OR(V31='Tabla Impacto'!$C$14,V31='Tabla Impacto'!$D$14),"Moderado",IF(OR(V31='Tabla Impacto'!$C$15,V31='Tabla Impacto'!$D$15),"Mayor",IF(OR(V31='Tabla Impacto'!$C$16,V31='Tabla Impacto'!$D$16),"Catastrófico","")))))</f>
        <v/>
      </c>
      <c r="X31" s="311" t="str">
        <f>IF(W31="","",IF(W31="Leve",0.2,IF(W31="Menor",0.4,IF(W31="Moderado",0.6,IF(W31="Mayor",0.8,IF(W31="Catastrófico",1,))))))</f>
        <v/>
      </c>
      <c r="Y31" s="324" t="str">
        <f>IF(OR(AND(S31="Muy Baja",W31="Leve"),AND(S31="Muy Baja",W31="Menor"),AND(S31="Baja",W31="Leve")),"Bajo",IF(OR(AND(S31="Muy baja",W31="Moderado"),AND(S31="Baja",W31="Menor"),AND(S31="Baja",W31="Moderado"),AND(S31="Media",W31="Leve"),AND(S31="Media",W31="Menor"),AND(S31="Media",W31="Moderado"),AND(S31="Alta",W31="Leve"),AND(S31="Alta",W31="Menor")),"Moderado",IF(OR(AND(S31="Muy Baja",W31="Mayor"),AND(S31="Baja",W31="Mayor"),AND(S31="Media",W31="Mayor"),AND(S31="Alta",W31="Moderado"),AND(S31="Alta",W31="Mayor"),AND(S31="Muy Alta",W31="Leve"),AND(S31="Muy Alta",W31="Menor"),AND(S31="Muy Alta",W31="Moderado"),AND(S31="Muy Alta",W31="Mayor")),"Alto",IF(OR(AND(S31="Muy Baja",W31="Catastrófico"),AND(S31="Baja",W31="Catastrófico"),AND(S31="Media",W31="Catastrófico"),AND(S31="Alta",W31="Catastrófico"),AND(S31="Muy Alta",W31="Catastrófico")),"Extremo",""))))</f>
        <v/>
      </c>
      <c r="Z31" s="200">
        <v>1</v>
      </c>
      <c r="AA31" s="173"/>
      <c r="AB31" s="175" t="str">
        <f>IF(OR(AC31="Preventivo",AC31="Detectivo"),"Probabilidad",IF(AC31="Correctivo","Impacto",""))</f>
        <v/>
      </c>
      <c r="AC31" s="176"/>
      <c r="AD31" s="176"/>
      <c r="AE31" s="177" t="str">
        <f>IF(AND(AC31="Preventivo",AD31="Automático"),"50%",IF(AND(AC31="Preventivo",AD31="Manual"),"40%",IF(AND(AC31="Detectivo",AD31="Automático"),"40%",IF(AND(AC31="Detectivo",AD31="Manual"),"30%",IF(AND(AC31="Correctivo",AD31="Automático"),"35%",IF(AND(AC31="Correctivo",AD31="Manual"),"25%",""))))))</f>
        <v/>
      </c>
      <c r="AF31" s="176"/>
      <c r="AG31" s="176"/>
      <c r="AH31" s="176"/>
      <c r="AI31" s="178" t="str">
        <f>IFERROR(IF(AB31="Probabilidad",(T31-(+T31*AE31)),IF(AB31="Impacto",T31,"")),"")</f>
        <v/>
      </c>
      <c r="AJ31" s="179" t="str">
        <f>IFERROR(IF(AI31="","",IF(AI31&lt;=0.2,"Muy Baja",IF(AI31&lt;=0.4,"Baja",IF(AI31&lt;=0.6,"Media",IF(AI31&lt;=0.8,"Alta","Muy Alta"))))),"")</f>
        <v/>
      </c>
      <c r="AK31" s="177" t="str">
        <f>+AI31</f>
        <v/>
      </c>
      <c r="AL31" s="179" t="str">
        <f>IFERROR(IF(AM31="","",IF(AM31&lt;=0.2,"Leve",IF(AM31&lt;=0.4,"Menor",IF(AM31&lt;=0.6,"Moderado",IF(AM31&lt;=0.8,"Mayor","Catastrófico"))))),"")</f>
        <v/>
      </c>
      <c r="AM31" s="177" t="str">
        <f t="shared" ref="AM31" si="26">IFERROR(IF(AB31="Impacto",(X31-(+X31*AE31)),IF(AB31="Probabilidad",X31,"")),"")</f>
        <v/>
      </c>
      <c r="AN31" s="180" t="str">
        <f>IFERROR(IF(OR(AND(AJ31="Muy Baja",AL31="Leve"),AND(AJ31="Muy Baja",AL31="Menor"),AND(AJ31="Baja",AL31="Leve")),"Bajo",IF(OR(AND(AJ31="Muy baja",AL31="Moderado"),AND(AJ31="Baja",AL31="Menor"),AND(AJ31="Baja",AL31="Moderado"),AND(AJ31="Media",AL31="Leve"),AND(AJ31="Media",AL31="Menor"),AND(AJ31="Media",AL31="Moderado"),AND(AJ31="Alta",AL31="Leve"),AND(AJ31="Alta",AL31="Menor")),"Moderado",IF(OR(AND(AJ31="Muy Baja",AL31="Mayor"),AND(AJ31="Baja",AL31="Mayor"),AND(AJ31="Media",AL31="Mayor"),AND(AJ31="Alta",AL31="Moderado"),AND(AJ31="Alta",AL31="Mayor"),AND(AJ31="Muy Alta",AL31="Leve"),AND(AJ31="Muy Alta",AL31="Menor"),AND(AJ31="Muy Alta",AL31="Moderado"),AND(AJ31="Muy Alta",AL31="Mayor")),"Alto",IF(OR(AND(AJ31="Muy Baja",AL31="Catastrófico"),AND(AJ31="Baja",AL31="Catastrófico"),AND(AJ31="Media",AL31="Catastrófico"),AND(AJ31="Alta",AL31="Catastrófico"),AND(AJ31="Muy Alta",AL31="Catastrófico")),"Extremo","")))),"")</f>
        <v/>
      </c>
      <c r="AO31" s="181"/>
      <c r="AP31" s="172"/>
      <c r="AQ31" s="182"/>
      <c r="AR31" s="182"/>
      <c r="AS31" s="183"/>
      <c r="AT31" s="313"/>
      <c r="AU31" s="313"/>
      <c r="AV31" s="313"/>
    </row>
    <row r="32" spans="1:48" ht="37.5" customHeight="1" x14ac:dyDescent="0.2">
      <c r="A32" s="329"/>
      <c r="B32" s="330"/>
      <c r="C32" s="330"/>
      <c r="D32" s="330"/>
      <c r="E32" s="330"/>
      <c r="F32" s="330"/>
      <c r="G32" s="320"/>
      <c r="H32" s="320"/>
      <c r="I32" s="320"/>
      <c r="J32" s="320"/>
      <c r="K32" s="320"/>
      <c r="L32" s="320"/>
      <c r="M32" s="320"/>
      <c r="N32" s="320"/>
      <c r="O32" s="320"/>
      <c r="P32" s="320"/>
      <c r="Q32" s="320"/>
      <c r="R32" s="313"/>
      <c r="S32" s="312"/>
      <c r="T32" s="311"/>
      <c r="U32" s="310"/>
      <c r="V32" s="311">
        <f>IF(NOT(ISERROR(MATCH(U32,_xlfn.ANCHORARRAY(E43),0))),T45&amp;"Por favor no seleccionar los criterios de impacto",U32)</f>
        <v>0</v>
      </c>
      <c r="W32" s="312"/>
      <c r="X32" s="311"/>
      <c r="Y32" s="324"/>
      <c r="Z32" s="200">
        <v>2</v>
      </c>
      <c r="AA32" s="173"/>
      <c r="AB32" s="175" t="str">
        <f>IF(OR(AC32="Preventivo",AC32="Detectivo"),"Probabilidad",IF(AC32="Correctivo","Impacto",""))</f>
        <v/>
      </c>
      <c r="AC32" s="176"/>
      <c r="AD32" s="176"/>
      <c r="AE32" s="177" t="str">
        <f t="shared" ref="AE32:AE36" si="27">IF(AND(AC32="Preventivo",AD32="Automático"),"50%",IF(AND(AC32="Preventivo",AD32="Manual"),"40%",IF(AND(AC32="Detectivo",AD32="Automático"),"40%",IF(AND(AC32="Detectivo",AD32="Manual"),"30%",IF(AND(AC32="Correctivo",AD32="Automático"),"35%",IF(AND(AC32="Correctivo",AD32="Manual"),"25%",""))))))</f>
        <v/>
      </c>
      <c r="AF32" s="176"/>
      <c r="AG32" s="176"/>
      <c r="AH32" s="176"/>
      <c r="AI32" s="178" t="str">
        <f>IFERROR(IF(AND(AB31="Probabilidad",AB32="Probabilidad"),(AK31-(+AK31*AE32)),IF(AB32="Probabilidad",(T31-(+T31*AE32)),IF(AB32="Impacto",AK31,""))),"")</f>
        <v/>
      </c>
      <c r="AJ32" s="179" t="str">
        <f t="shared" si="2"/>
        <v/>
      </c>
      <c r="AK32" s="177" t="str">
        <f t="shared" ref="AK32:AK36" si="28">+AI32</f>
        <v/>
      </c>
      <c r="AL32" s="179" t="str">
        <f t="shared" si="4"/>
        <v/>
      </c>
      <c r="AM32" s="177" t="str">
        <f t="shared" ref="AM32" si="29">IFERROR(IF(AND(AB31="Impacto",AB32="Impacto"),(AM31-(+AM31*AE32)),IF(AB32="Impacto",($X$13-(+$X$13*AE32)),IF(AB32="Probabilidad",AM31,""))),"")</f>
        <v/>
      </c>
      <c r="AN32" s="180" t="str">
        <f t="shared" ref="AN32:AN33" si="30">IFERROR(IF(OR(AND(AJ32="Muy Baja",AL32="Leve"),AND(AJ32="Muy Baja",AL32="Menor"),AND(AJ32="Baja",AL32="Leve")),"Bajo",IF(OR(AND(AJ32="Muy baja",AL32="Moderado"),AND(AJ32="Baja",AL32="Menor"),AND(AJ32="Baja",AL32="Moderado"),AND(AJ32="Media",AL32="Leve"),AND(AJ32="Media",AL32="Menor"),AND(AJ32="Media",AL32="Moderado"),AND(AJ32="Alta",AL32="Leve"),AND(AJ32="Alta",AL32="Menor")),"Moderado",IF(OR(AND(AJ32="Muy Baja",AL32="Mayor"),AND(AJ32="Baja",AL32="Mayor"),AND(AJ32="Media",AL32="Mayor"),AND(AJ32="Alta",AL32="Moderado"),AND(AJ32="Alta",AL32="Mayor"),AND(AJ32="Muy Alta",AL32="Leve"),AND(AJ32="Muy Alta",AL32="Menor"),AND(AJ32="Muy Alta",AL32="Moderado"),AND(AJ32="Muy Alta",AL32="Mayor")),"Alto",IF(OR(AND(AJ32="Muy Baja",AL32="Catastrófico"),AND(AJ32="Baja",AL32="Catastrófico"),AND(AJ32="Media",AL32="Catastrófico"),AND(AJ32="Alta",AL32="Catastrófico"),AND(AJ32="Muy Alta",AL32="Catastrófico")),"Extremo","")))),"")</f>
        <v/>
      </c>
      <c r="AO32" s="181"/>
      <c r="AP32" s="172"/>
      <c r="AQ32" s="182"/>
      <c r="AR32" s="182"/>
      <c r="AS32" s="183"/>
      <c r="AT32" s="313"/>
      <c r="AU32" s="313"/>
      <c r="AV32" s="313"/>
    </row>
    <row r="33" spans="1:48" ht="37.5" customHeight="1" x14ac:dyDescent="0.2">
      <c r="A33" s="329"/>
      <c r="B33" s="330"/>
      <c r="C33" s="330"/>
      <c r="D33" s="330"/>
      <c r="E33" s="330"/>
      <c r="F33" s="330"/>
      <c r="G33" s="320"/>
      <c r="H33" s="320"/>
      <c r="I33" s="320"/>
      <c r="J33" s="320"/>
      <c r="K33" s="320"/>
      <c r="L33" s="320"/>
      <c r="M33" s="320"/>
      <c r="N33" s="320"/>
      <c r="O33" s="320"/>
      <c r="P33" s="320"/>
      <c r="Q33" s="320"/>
      <c r="R33" s="313"/>
      <c r="S33" s="312"/>
      <c r="T33" s="311"/>
      <c r="U33" s="310"/>
      <c r="V33" s="311">
        <f>IF(NOT(ISERROR(MATCH(U33,_xlfn.ANCHORARRAY(E44),0))),T46&amp;"Por favor no seleccionar los criterios de impacto",U33)</f>
        <v>0</v>
      </c>
      <c r="W33" s="312"/>
      <c r="X33" s="311"/>
      <c r="Y33" s="324"/>
      <c r="Z33" s="200">
        <v>3</v>
      </c>
      <c r="AA33" s="174"/>
      <c r="AB33" s="175" t="str">
        <f>IF(OR(AC33="Preventivo",AC33="Detectivo"),"Probabilidad",IF(AC33="Correctivo","Impacto",""))</f>
        <v/>
      </c>
      <c r="AC33" s="176"/>
      <c r="AD33" s="176"/>
      <c r="AE33" s="177" t="str">
        <f t="shared" si="27"/>
        <v/>
      </c>
      <c r="AF33" s="176"/>
      <c r="AG33" s="176"/>
      <c r="AH33" s="176"/>
      <c r="AI33" s="178" t="str">
        <f>IFERROR(IF(AND(AB32="Probabilidad",AB33="Probabilidad"),(AK32-(+AK32*AE33)),IF(AND(AB32="Impacto",AB33="Probabilidad"),(AK31-(+AK31*AE33)),IF(AB33="Impacto",AK32,""))),"")</f>
        <v/>
      </c>
      <c r="AJ33" s="179" t="str">
        <f t="shared" si="2"/>
        <v/>
      </c>
      <c r="AK33" s="177" t="str">
        <f t="shared" si="28"/>
        <v/>
      </c>
      <c r="AL33" s="179" t="str">
        <f t="shared" si="4"/>
        <v/>
      </c>
      <c r="AM33" s="177" t="str">
        <f t="shared" ref="AM33" si="31">IFERROR(IF(AND(AB32="Impacto",AB33="Impacto"),(AM32-(+AM32*AE33)),IF(AND(AB32="Probabilidad",AB33="Impacto"),(AM31-(+AM31*AE33)),IF(AB33="Probabilidad",AM32,""))),"")</f>
        <v/>
      </c>
      <c r="AN33" s="180" t="str">
        <f t="shared" si="30"/>
        <v/>
      </c>
      <c r="AO33" s="181"/>
      <c r="AP33" s="172"/>
      <c r="AQ33" s="182"/>
      <c r="AR33" s="182"/>
      <c r="AS33" s="183"/>
      <c r="AT33" s="313"/>
      <c r="AU33" s="313"/>
      <c r="AV33" s="313"/>
    </row>
    <row r="34" spans="1:48" ht="37.5" customHeight="1" x14ac:dyDescent="0.2">
      <c r="A34" s="329"/>
      <c r="B34" s="330"/>
      <c r="C34" s="330"/>
      <c r="D34" s="330"/>
      <c r="E34" s="330"/>
      <c r="F34" s="330"/>
      <c r="G34" s="320"/>
      <c r="H34" s="320"/>
      <c r="I34" s="320"/>
      <c r="J34" s="320"/>
      <c r="K34" s="320"/>
      <c r="L34" s="320"/>
      <c r="M34" s="320"/>
      <c r="N34" s="320"/>
      <c r="O34" s="320"/>
      <c r="P34" s="320"/>
      <c r="Q34" s="320"/>
      <c r="R34" s="313"/>
      <c r="S34" s="312"/>
      <c r="T34" s="311"/>
      <c r="U34" s="310"/>
      <c r="V34" s="311">
        <f>IF(NOT(ISERROR(MATCH(U34,_xlfn.ANCHORARRAY(E45),0))),T47&amp;"Por favor no seleccionar los criterios de impacto",U34)</f>
        <v>0</v>
      </c>
      <c r="W34" s="312"/>
      <c r="X34" s="311"/>
      <c r="Y34" s="324"/>
      <c r="Z34" s="200">
        <v>4</v>
      </c>
      <c r="AA34" s="173"/>
      <c r="AB34" s="175" t="str">
        <f t="shared" ref="AB34:AB36" si="32">IF(OR(AC34="Preventivo",AC34="Detectivo"),"Probabilidad",IF(AC34="Correctivo","Impacto",""))</f>
        <v/>
      </c>
      <c r="AC34" s="176"/>
      <c r="AD34" s="176"/>
      <c r="AE34" s="177" t="str">
        <f t="shared" si="27"/>
        <v/>
      </c>
      <c r="AF34" s="176"/>
      <c r="AG34" s="176"/>
      <c r="AH34" s="176"/>
      <c r="AI34" s="178" t="str">
        <f t="shared" ref="AI34:AI36" si="33">IFERROR(IF(AND(AB33="Probabilidad",AB34="Probabilidad"),(AK33-(+AK33*AE34)),IF(AND(AB33="Impacto",AB34="Probabilidad"),(AK32-(+AK32*AE34)),IF(AB34="Impacto",AK33,""))),"")</f>
        <v/>
      </c>
      <c r="AJ34" s="179" t="str">
        <f t="shared" si="2"/>
        <v/>
      </c>
      <c r="AK34" s="177" t="str">
        <f t="shared" si="28"/>
        <v/>
      </c>
      <c r="AL34" s="179" t="str">
        <f t="shared" si="4"/>
        <v/>
      </c>
      <c r="AM34" s="177" t="str">
        <f t="shared" si="13"/>
        <v/>
      </c>
      <c r="AN34" s="180" t="str">
        <f>IFERROR(IF(OR(AND(AJ34="Muy Baja",AL34="Leve"),AND(AJ34="Muy Baja",AL34="Menor"),AND(AJ34="Baja",AL34="Leve")),"Bajo",IF(OR(AND(AJ34="Muy baja",AL34="Moderado"),AND(AJ34="Baja",AL34="Menor"),AND(AJ34="Baja",AL34="Moderado"),AND(AJ34="Media",AL34="Leve"),AND(AJ34="Media",AL34="Menor"),AND(AJ34="Media",AL34="Moderado"),AND(AJ34="Alta",AL34="Leve"),AND(AJ34="Alta",AL34="Menor")),"Moderado",IF(OR(AND(AJ34="Muy Baja",AL34="Mayor"),AND(AJ34="Baja",AL34="Mayor"),AND(AJ34="Media",AL34="Mayor"),AND(AJ34="Alta",AL34="Moderado"),AND(AJ34="Alta",AL34="Mayor"),AND(AJ34="Muy Alta",AL34="Leve"),AND(AJ34="Muy Alta",AL34="Menor"),AND(AJ34="Muy Alta",AL34="Moderado"),AND(AJ34="Muy Alta",AL34="Mayor")),"Alto",IF(OR(AND(AJ34="Muy Baja",AL34="Catastrófico"),AND(AJ34="Baja",AL34="Catastrófico"),AND(AJ34="Media",AL34="Catastrófico"),AND(AJ34="Alta",AL34="Catastrófico"),AND(AJ34="Muy Alta",AL34="Catastrófico")),"Extremo","")))),"")</f>
        <v/>
      </c>
      <c r="AO34" s="181"/>
      <c r="AP34" s="172"/>
      <c r="AQ34" s="182"/>
      <c r="AR34" s="182"/>
      <c r="AS34" s="183"/>
      <c r="AT34" s="313"/>
      <c r="AU34" s="313"/>
      <c r="AV34" s="313"/>
    </row>
    <row r="35" spans="1:48" ht="37.5" customHeight="1" x14ac:dyDescent="0.2">
      <c r="A35" s="329"/>
      <c r="B35" s="330"/>
      <c r="C35" s="330"/>
      <c r="D35" s="330"/>
      <c r="E35" s="330"/>
      <c r="F35" s="330"/>
      <c r="G35" s="320"/>
      <c r="H35" s="320"/>
      <c r="I35" s="320"/>
      <c r="J35" s="320"/>
      <c r="K35" s="320"/>
      <c r="L35" s="320"/>
      <c r="M35" s="320"/>
      <c r="N35" s="320"/>
      <c r="O35" s="320"/>
      <c r="P35" s="320"/>
      <c r="Q35" s="320"/>
      <c r="R35" s="313"/>
      <c r="S35" s="312"/>
      <c r="T35" s="311"/>
      <c r="U35" s="310"/>
      <c r="V35" s="311">
        <f>IF(NOT(ISERROR(MATCH(U35,_xlfn.ANCHORARRAY(E46),0))),T48&amp;"Por favor no seleccionar los criterios de impacto",U35)</f>
        <v>0</v>
      </c>
      <c r="W35" s="312"/>
      <c r="X35" s="311"/>
      <c r="Y35" s="324"/>
      <c r="Z35" s="200">
        <v>5</v>
      </c>
      <c r="AA35" s="173"/>
      <c r="AB35" s="175" t="str">
        <f t="shared" si="32"/>
        <v/>
      </c>
      <c r="AC35" s="176"/>
      <c r="AD35" s="176"/>
      <c r="AE35" s="177" t="str">
        <f t="shared" si="27"/>
        <v/>
      </c>
      <c r="AF35" s="176"/>
      <c r="AG35" s="176"/>
      <c r="AH35" s="176"/>
      <c r="AI35" s="178" t="str">
        <f t="shared" si="33"/>
        <v/>
      </c>
      <c r="AJ35" s="179" t="str">
        <f>IFERROR(IF(AI35="","",IF(AI35&lt;=0.2,"Muy Baja",IF(AI35&lt;=0.4,"Baja",IF(AI35&lt;=0.6,"Media",IF(AI35&lt;=0.8,"Alta","Muy Alta"))))),"")</f>
        <v/>
      </c>
      <c r="AK35" s="177" t="str">
        <f t="shared" si="28"/>
        <v/>
      </c>
      <c r="AL35" s="179" t="str">
        <f t="shared" si="4"/>
        <v/>
      </c>
      <c r="AM35" s="177" t="str">
        <f t="shared" si="13"/>
        <v/>
      </c>
      <c r="AN35" s="180" t="str">
        <f t="shared" ref="AN35:AN36" si="34">IFERROR(IF(OR(AND(AJ35="Muy Baja",AL35="Leve"),AND(AJ35="Muy Baja",AL35="Menor"),AND(AJ35="Baja",AL35="Leve")),"Bajo",IF(OR(AND(AJ35="Muy baja",AL35="Moderado"),AND(AJ35="Baja",AL35="Menor"),AND(AJ35="Baja",AL35="Moderado"),AND(AJ35="Media",AL35="Leve"),AND(AJ35="Media",AL35="Menor"),AND(AJ35="Media",AL35="Moderado"),AND(AJ35="Alta",AL35="Leve"),AND(AJ35="Alta",AL35="Menor")),"Moderado",IF(OR(AND(AJ35="Muy Baja",AL35="Mayor"),AND(AJ35="Baja",AL35="Mayor"),AND(AJ35="Media",AL35="Mayor"),AND(AJ35="Alta",AL35="Moderado"),AND(AJ35="Alta",AL35="Mayor"),AND(AJ35="Muy Alta",AL35="Leve"),AND(AJ35="Muy Alta",AL35="Menor"),AND(AJ35="Muy Alta",AL35="Moderado"),AND(AJ35="Muy Alta",AL35="Mayor")),"Alto",IF(OR(AND(AJ35="Muy Baja",AL35="Catastrófico"),AND(AJ35="Baja",AL35="Catastrófico"),AND(AJ35="Media",AL35="Catastrófico"),AND(AJ35="Alta",AL35="Catastrófico"),AND(AJ35="Muy Alta",AL35="Catastrófico")),"Extremo","")))),"")</f>
        <v/>
      </c>
      <c r="AO35" s="181"/>
      <c r="AP35" s="172"/>
      <c r="AQ35" s="182"/>
      <c r="AR35" s="182"/>
      <c r="AS35" s="183"/>
      <c r="AT35" s="313"/>
      <c r="AU35" s="313"/>
      <c r="AV35" s="313"/>
    </row>
    <row r="36" spans="1:48" ht="37.5" customHeight="1" x14ac:dyDescent="0.2">
      <c r="A36" s="329"/>
      <c r="B36" s="330"/>
      <c r="C36" s="330"/>
      <c r="D36" s="330"/>
      <c r="E36" s="330"/>
      <c r="F36" s="330"/>
      <c r="G36" s="321"/>
      <c r="H36" s="321"/>
      <c r="I36" s="321"/>
      <c r="J36" s="321"/>
      <c r="K36" s="321"/>
      <c r="L36" s="321"/>
      <c r="M36" s="321"/>
      <c r="N36" s="321"/>
      <c r="O36" s="321"/>
      <c r="P36" s="321"/>
      <c r="Q36" s="321"/>
      <c r="R36" s="313"/>
      <c r="S36" s="312"/>
      <c r="T36" s="311"/>
      <c r="U36" s="310"/>
      <c r="V36" s="311">
        <f>IF(NOT(ISERROR(MATCH(U36,_xlfn.ANCHORARRAY(E47),0))),T49&amp;"Por favor no seleccionar los criterios de impacto",U36)</f>
        <v>0</v>
      </c>
      <c r="W36" s="312"/>
      <c r="X36" s="311"/>
      <c r="Y36" s="324"/>
      <c r="Z36" s="200">
        <v>6</v>
      </c>
      <c r="AA36" s="173"/>
      <c r="AB36" s="175" t="str">
        <f t="shared" si="32"/>
        <v/>
      </c>
      <c r="AC36" s="176"/>
      <c r="AD36" s="176"/>
      <c r="AE36" s="177" t="str">
        <f t="shared" si="27"/>
        <v/>
      </c>
      <c r="AF36" s="176"/>
      <c r="AG36" s="176"/>
      <c r="AH36" s="176"/>
      <c r="AI36" s="178" t="str">
        <f t="shared" si="33"/>
        <v/>
      </c>
      <c r="AJ36" s="179" t="str">
        <f t="shared" si="2"/>
        <v/>
      </c>
      <c r="AK36" s="177" t="str">
        <f t="shared" si="28"/>
        <v/>
      </c>
      <c r="AL36" s="179" t="str">
        <f t="shared" si="4"/>
        <v/>
      </c>
      <c r="AM36" s="177" t="str">
        <f t="shared" si="13"/>
        <v/>
      </c>
      <c r="AN36" s="180" t="str">
        <f t="shared" si="34"/>
        <v/>
      </c>
      <c r="AO36" s="181"/>
      <c r="AP36" s="172"/>
      <c r="AQ36" s="182"/>
      <c r="AR36" s="182"/>
      <c r="AS36" s="183"/>
      <c r="AT36" s="313"/>
      <c r="AU36" s="313"/>
      <c r="AV36" s="313"/>
    </row>
    <row r="37" spans="1:48" ht="37.5" customHeight="1" x14ac:dyDescent="0.2">
      <c r="A37" s="329">
        <v>5</v>
      </c>
      <c r="B37" s="330"/>
      <c r="C37" s="330"/>
      <c r="D37" s="330"/>
      <c r="E37" s="330"/>
      <c r="F37" s="330"/>
      <c r="G37" s="319"/>
      <c r="H37" s="319"/>
      <c r="I37" s="319"/>
      <c r="J37" s="319"/>
      <c r="K37" s="319"/>
      <c r="L37" s="319"/>
      <c r="M37" s="319"/>
      <c r="N37" s="319"/>
      <c r="O37" s="319"/>
      <c r="P37" s="319"/>
      <c r="Q37" s="319"/>
      <c r="R37" s="313"/>
      <c r="S37" s="312" t="str">
        <f>IF(R37&lt;=0,"",IF(R37&lt;=2,"Muy Baja",IF(R37&lt;=24,"Baja",IF(R37&lt;=500,"Media",IF(R37&lt;=5000,"Alta","Muy Alta")))))</f>
        <v/>
      </c>
      <c r="T37" s="311" t="str">
        <f>IF(S37="","",IF(S37="Muy Baja",0.2,IF(S37="Baja",0.4,IF(S37="Media",0.6,IF(S37="Alta",0.8,IF(S37="Muy Alta",1,))))))</f>
        <v/>
      </c>
      <c r="U37" s="310"/>
      <c r="V37" s="311">
        <f>IF(NOT(ISERROR(MATCH(U37,'Tabla Impacto'!$B$222:$B$224,0))),'Tabla Impacto'!$F$224&amp;"Por favor no seleccionar los criterios de impacto(Afectación Económica o presupuestal y Pérdida Reputacional)",U37)</f>
        <v>0</v>
      </c>
      <c r="W37" s="312" t="str">
        <f>IF(OR(V37='Tabla Impacto'!$C$12,V37='Tabla Impacto'!$D$12),"Leve",IF(OR(V37='Tabla Impacto'!$C$13,V37='Tabla Impacto'!$D$13),"Menor",IF(OR(V37='Tabla Impacto'!$C$14,V37='Tabla Impacto'!$D$14),"Moderado",IF(OR(V37='Tabla Impacto'!$C$15,V37='Tabla Impacto'!$D$15),"Mayor",IF(OR(V37='Tabla Impacto'!$C$16,V37='Tabla Impacto'!$D$16),"Catastrófico","")))))</f>
        <v/>
      </c>
      <c r="X37" s="311" t="str">
        <f>IF(W37="","",IF(W37="Leve",0.2,IF(W37="Menor",0.4,IF(W37="Moderado",0.6,IF(W37="Mayor",0.8,IF(W37="Catastrófico",1,))))))</f>
        <v/>
      </c>
      <c r="Y37" s="324" t="str">
        <f>IF(OR(AND(S37="Muy Baja",W37="Leve"),AND(S37="Muy Baja",W37="Menor"),AND(S37="Baja",W37="Leve")),"Bajo",IF(OR(AND(S37="Muy baja",W37="Moderado"),AND(S37="Baja",W37="Menor"),AND(S37="Baja",W37="Moderado"),AND(S37="Media",W37="Leve"),AND(S37="Media",W37="Menor"),AND(S37="Media",W37="Moderado"),AND(S37="Alta",W37="Leve"),AND(S37="Alta",W37="Menor")),"Moderado",IF(OR(AND(S37="Muy Baja",W37="Mayor"),AND(S37="Baja",W37="Mayor"),AND(S37="Media",W37="Mayor"),AND(S37="Alta",W37="Moderado"),AND(S37="Alta",W37="Mayor"),AND(S37="Muy Alta",W37="Leve"),AND(S37="Muy Alta",W37="Menor"),AND(S37="Muy Alta",W37="Moderado"),AND(S37="Muy Alta",W37="Mayor")),"Alto",IF(OR(AND(S37="Muy Baja",W37="Catastrófico"),AND(S37="Baja",W37="Catastrófico"),AND(S37="Media",W37="Catastrófico"),AND(S37="Alta",W37="Catastrófico"),AND(S37="Muy Alta",W37="Catastrófico")),"Extremo",""))))</f>
        <v/>
      </c>
      <c r="Z37" s="200">
        <v>1</v>
      </c>
      <c r="AA37" s="173"/>
      <c r="AB37" s="175" t="str">
        <f>IF(OR(AC37="Preventivo",AC37="Detectivo"),"Probabilidad",IF(AC37="Correctivo","Impacto",""))</f>
        <v/>
      </c>
      <c r="AC37" s="176"/>
      <c r="AD37" s="176"/>
      <c r="AE37" s="177" t="str">
        <f>IF(AND(AC37="Preventivo",AD37="Automático"),"50%",IF(AND(AC37="Preventivo",AD37="Manual"),"40%",IF(AND(AC37="Detectivo",AD37="Automático"),"40%",IF(AND(AC37="Detectivo",AD37="Manual"),"30%",IF(AND(AC37="Correctivo",AD37="Automático"),"35%",IF(AND(AC37="Correctivo",AD37="Manual"),"25%",""))))))</f>
        <v/>
      </c>
      <c r="AF37" s="176"/>
      <c r="AG37" s="176"/>
      <c r="AH37" s="176"/>
      <c r="AI37" s="178" t="str">
        <f>IFERROR(IF(AB37="Probabilidad",(T37-(+T37*AE37)),IF(AB37="Impacto",T37,"")),"")</f>
        <v/>
      </c>
      <c r="AJ37" s="179" t="str">
        <f>IFERROR(IF(AI37="","",IF(AI37&lt;=0.2,"Muy Baja",IF(AI37&lt;=0.4,"Baja",IF(AI37&lt;=0.6,"Media",IF(AI37&lt;=0.8,"Alta","Muy Alta"))))),"")</f>
        <v/>
      </c>
      <c r="AK37" s="177" t="str">
        <f>+AI37</f>
        <v/>
      </c>
      <c r="AL37" s="179" t="str">
        <f>IFERROR(IF(AM37="","",IF(AM37&lt;=0.2,"Leve",IF(AM37&lt;=0.4,"Menor",IF(AM37&lt;=0.6,"Moderado",IF(AM37&lt;=0.8,"Mayor","Catastrófico"))))),"")</f>
        <v/>
      </c>
      <c r="AM37" s="177" t="str">
        <f t="shared" ref="AM37" si="35">IFERROR(IF(AB37="Impacto",(X37-(+X37*AE37)),IF(AB37="Probabilidad",X37,"")),"")</f>
        <v/>
      </c>
      <c r="AN37" s="180" t="str">
        <f>IFERROR(IF(OR(AND(AJ37="Muy Baja",AL37="Leve"),AND(AJ37="Muy Baja",AL37="Menor"),AND(AJ37="Baja",AL37="Leve")),"Bajo",IF(OR(AND(AJ37="Muy baja",AL37="Moderado"),AND(AJ37="Baja",AL37="Menor"),AND(AJ37="Baja",AL37="Moderado"),AND(AJ37="Media",AL37="Leve"),AND(AJ37="Media",AL37="Menor"),AND(AJ37="Media",AL37="Moderado"),AND(AJ37="Alta",AL37="Leve"),AND(AJ37="Alta",AL37="Menor")),"Moderado",IF(OR(AND(AJ37="Muy Baja",AL37="Mayor"),AND(AJ37="Baja",AL37="Mayor"),AND(AJ37="Media",AL37="Mayor"),AND(AJ37="Alta",AL37="Moderado"),AND(AJ37="Alta",AL37="Mayor"),AND(AJ37="Muy Alta",AL37="Leve"),AND(AJ37="Muy Alta",AL37="Menor"),AND(AJ37="Muy Alta",AL37="Moderado"),AND(AJ37="Muy Alta",AL37="Mayor")),"Alto",IF(OR(AND(AJ37="Muy Baja",AL37="Catastrófico"),AND(AJ37="Baja",AL37="Catastrófico"),AND(AJ37="Media",AL37="Catastrófico"),AND(AJ37="Alta",AL37="Catastrófico"),AND(AJ37="Muy Alta",AL37="Catastrófico")),"Extremo","")))),"")</f>
        <v/>
      </c>
      <c r="AO37" s="181"/>
      <c r="AP37" s="172"/>
      <c r="AQ37" s="182"/>
      <c r="AR37" s="182"/>
      <c r="AS37" s="183"/>
      <c r="AT37" s="313"/>
      <c r="AU37" s="313"/>
      <c r="AV37" s="313"/>
    </row>
    <row r="38" spans="1:48" ht="37.5" customHeight="1" x14ac:dyDescent="0.2">
      <c r="A38" s="329"/>
      <c r="B38" s="330"/>
      <c r="C38" s="330"/>
      <c r="D38" s="330"/>
      <c r="E38" s="330"/>
      <c r="F38" s="330"/>
      <c r="G38" s="320"/>
      <c r="H38" s="320"/>
      <c r="I38" s="320"/>
      <c r="J38" s="320"/>
      <c r="K38" s="320"/>
      <c r="L38" s="320"/>
      <c r="M38" s="320"/>
      <c r="N38" s="320"/>
      <c r="O38" s="320"/>
      <c r="P38" s="320"/>
      <c r="Q38" s="320"/>
      <c r="R38" s="313"/>
      <c r="S38" s="312"/>
      <c r="T38" s="311"/>
      <c r="U38" s="310"/>
      <c r="V38" s="311">
        <f>IF(NOT(ISERROR(MATCH(U38,_xlfn.ANCHORARRAY(E49),0))),T51&amp;"Por favor no seleccionar los criterios de impacto",U38)</f>
        <v>0</v>
      </c>
      <c r="W38" s="312"/>
      <c r="X38" s="311"/>
      <c r="Y38" s="324"/>
      <c r="Z38" s="200">
        <v>2</v>
      </c>
      <c r="AA38" s="173"/>
      <c r="AB38" s="175" t="str">
        <f>IF(OR(AC38="Preventivo",AC38="Detectivo"),"Probabilidad",IF(AC38="Correctivo","Impacto",""))</f>
        <v/>
      </c>
      <c r="AC38" s="176"/>
      <c r="AD38" s="176"/>
      <c r="AE38" s="177" t="str">
        <f t="shared" ref="AE38:AE42" si="36">IF(AND(AC38="Preventivo",AD38="Automático"),"50%",IF(AND(AC38="Preventivo",AD38="Manual"),"40%",IF(AND(AC38="Detectivo",AD38="Automático"),"40%",IF(AND(AC38="Detectivo",AD38="Manual"),"30%",IF(AND(AC38="Correctivo",AD38="Automático"),"35%",IF(AND(AC38="Correctivo",AD38="Manual"),"25%",""))))))</f>
        <v/>
      </c>
      <c r="AF38" s="176"/>
      <c r="AG38" s="176"/>
      <c r="AH38" s="176"/>
      <c r="AI38" s="178" t="str">
        <f>IFERROR(IF(AND(AB37="Probabilidad",AB38="Probabilidad"),(AK37-(+AK37*AE38)),IF(AB38="Probabilidad",(T37-(+T37*AE38)),IF(AB38="Impacto",AK37,""))),"")</f>
        <v/>
      </c>
      <c r="AJ38" s="179" t="str">
        <f t="shared" si="2"/>
        <v/>
      </c>
      <c r="AK38" s="177" t="str">
        <f t="shared" ref="AK38:AK42" si="37">+AI38</f>
        <v/>
      </c>
      <c r="AL38" s="179" t="str">
        <f t="shared" si="4"/>
        <v/>
      </c>
      <c r="AM38" s="177" t="str">
        <f t="shared" ref="AM38" si="38">IFERROR(IF(AND(AB37="Impacto",AB38="Impacto"),(AM37-(+AM37*AE38)),IF(AB38="Impacto",($X$13-(+$X$13*AE38)),IF(AB38="Probabilidad",AM37,""))),"")</f>
        <v/>
      </c>
      <c r="AN38" s="180" t="str">
        <f t="shared" ref="AN38:AN39" si="39">IFERROR(IF(OR(AND(AJ38="Muy Baja",AL38="Leve"),AND(AJ38="Muy Baja",AL38="Menor"),AND(AJ38="Baja",AL38="Leve")),"Bajo",IF(OR(AND(AJ38="Muy baja",AL38="Moderado"),AND(AJ38="Baja",AL38="Menor"),AND(AJ38="Baja",AL38="Moderado"),AND(AJ38="Media",AL38="Leve"),AND(AJ38="Media",AL38="Menor"),AND(AJ38="Media",AL38="Moderado"),AND(AJ38="Alta",AL38="Leve"),AND(AJ38="Alta",AL38="Menor")),"Moderado",IF(OR(AND(AJ38="Muy Baja",AL38="Mayor"),AND(AJ38="Baja",AL38="Mayor"),AND(AJ38="Media",AL38="Mayor"),AND(AJ38="Alta",AL38="Moderado"),AND(AJ38="Alta",AL38="Mayor"),AND(AJ38="Muy Alta",AL38="Leve"),AND(AJ38="Muy Alta",AL38="Menor"),AND(AJ38="Muy Alta",AL38="Moderado"),AND(AJ38="Muy Alta",AL38="Mayor")),"Alto",IF(OR(AND(AJ38="Muy Baja",AL38="Catastrófico"),AND(AJ38="Baja",AL38="Catastrófico"),AND(AJ38="Media",AL38="Catastrófico"),AND(AJ38="Alta",AL38="Catastrófico"),AND(AJ38="Muy Alta",AL38="Catastrófico")),"Extremo","")))),"")</f>
        <v/>
      </c>
      <c r="AO38" s="181"/>
      <c r="AP38" s="172"/>
      <c r="AQ38" s="182"/>
      <c r="AR38" s="182"/>
      <c r="AS38" s="183"/>
      <c r="AT38" s="313"/>
      <c r="AU38" s="313"/>
      <c r="AV38" s="313"/>
    </row>
    <row r="39" spans="1:48" ht="37.5" customHeight="1" x14ac:dyDescent="0.2">
      <c r="A39" s="329"/>
      <c r="B39" s="330"/>
      <c r="C39" s="330"/>
      <c r="D39" s="330"/>
      <c r="E39" s="330"/>
      <c r="F39" s="330"/>
      <c r="G39" s="320"/>
      <c r="H39" s="320"/>
      <c r="I39" s="320"/>
      <c r="J39" s="320"/>
      <c r="K39" s="320"/>
      <c r="L39" s="320"/>
      <c r="M39" s="320"/>
      <c r="N39" s="320"/>
      <c r="O39" s="320"/>
      <c r="P39" s="320"/>
      <c r="Q39" s="320"/>
      <c r="R39" s="313"/>
      <c r="S39" s="312"/>
      <c r="T39" s="311"/>
      <c r="U39" s="310"/>
      <c r="V39" s="311">
        <f>IF(NOT(ISERROR(MATCH(U39,_xlfn.ANCHORARRAY(E50),0))),T52&amp;"Por favor no seleccionar los criterios de impacto",U39)</f>
        <v>0</v>
      </c>
      <c r="W39" s="312"/>
      <c r="X39" s="311"/>
      <c r="Y39" s="324"/>
      <c r="Z39" s="200">
        <v>3</v>
      </c>
      <c r="AA39" s="174"/>
      <c r="AB39" s="175" t="str">
        <f>IF(OR(AC39="Preventivo",AC39="Detectivo"),"Probabilidad",IF(AC39="Correctivo","Impacto",""))</f>
        <v/>
      </c>
      <c r="AC39" s="176"/>
      <c r="AD39" s="176"/>
      <c r="AE39" s="177" t="str">
        <f t="shared" si="36"/>
        <v/>
      </c>
      <c r="AF39" s="176"/>
      <c r="AG39" s="176"/>
      <c r="AH39" s="176"/>
      <c r="AI39" s="178" t="str">
        <f>IFERROR(IF(AND(AB38="Probabilidad",AB39="Probabilidad"),(AK38-(+AK38*AE39)),IF(AND(AB38="Impacto",AB39="Probabilidad"),(AK37-(+AK37*AE39)),IF(AB39="Impacto",AK38,""))),"")</f>
        <v/>
      </c>
      <c r="AJ39" s="179" t="str">
        <f t="shared" si="2"/>
        <v/>
      </c>
      <c r="AK39" s="177" t="str">
        <f t="shared" si="37"/>
        <v/>
      </c>
      <c r="AL39" s="179" t="str">
        <f t="shared" si="4"/>
        <v/>
      </c>
      <c r="AM39" s="177" t="str">
        <f t="shared" ref="AM39" si="40">IFERROR(IF(AND(AB38="Impacto",AB39="Impacto"),(AM38-(+AM38*AE39)),IF(AND(AB38="Probabilidad",AB39="Impacto"),(AM37-(+AM37*AE39)),IF(AB39="Probabilidad",AM38,""))),"")</f>
        <v/>
      </c>
      <c r="AN39" s="180" t="str">
        <f t="shared" si="39"/>
        <v/>
      </c>
      <c r="AO39" s="181"/>
      <c r="AP39" s="172"/>
      <c r="AQ39" s="182"/>
      <c r="AR39" s="182"/>
      <c r="AS39" s="183"/>
      <c r="AT39" s="313"/>
      <c r="AU39" s="313"/>
      <c r="AV39" s="313"/>
    </row>
    <row r="40" spans="1:48" ht="37.5" customHeight="1" x14ac:dyDescent="0.2">
      <c r="A40" s="329"/>
      <c r="B40" s="330"/>
      <c r="C40" s="330"/>
      <c r="D40" s="330"/>
      <c r="E40" s="330"/>
      <c r="F40" s="330"/>
      <c r="G40" s="320"/>
      <c r="H40" s="320"/>
      <c r="I40" s="320"/>
      <c r="J40" s="320"/>
      <c r="K40" s="320"/>
      <c r="L40" s="320"/>
      <c r="M40" s="320"/>
      <c r="N40" s="320"/>
      <c r="O40" s="320"/>
      <c r="P40" s="320"/>
      <c r="Q40" s="320"/>
      <c r="R40" s="313"/>
      <c r="S40" s="312"/>
      <c r="T40" s="311"/>
      <c r="U40" s="310"/>
      <c r="V40" s="311">
        <f>IF(NOT(ISERROR(MATCH(U40,_xlfn.ANCHORARRAY(E51),0))),T53&amp;"Por favor no seleccionar los criterios de impacto",U40)</f>
        <v>0</v>
      </c>
      <c r="W40" s="312"/>
      <c r="X40" s="311"/>
      <c r="Y40" s="324"/>
      <c r="Z40" s="200">
        <v>4</v>
      </c>
      <c r="AA40" s="173"/>
      <c r="AB40" s="175" t="str">
        <f t="shared" ref="AB40:AB42" si="41">IF(OR(AC40="Preventivo",AC40="Detectivo"),"Probabilidad",IF(AC40="Correctivo","Impacto",""))</f>
        <v/>
      </c>
      <c r="AC40" s="176"/>
      <c r="AD40" s="176"/>
      <c r="AE40" s="177" t="str">
        <f t="shared" si="36"/>
        <v/>
      </c>
      <c r="AF40" s="176"/>
      <c r="AG40" s="176"/>
      <c r="AH40" s="176"/>
      <c r="AI40" s="178" t="str">
        <f t="shared" ref="AI40:AI42" si="42">IFERROR(IF(AND(AB39="Probabilidad",AB40="Probabilidad"),(AK39-(+AK39*AE40)),IF(AND(AB39="Impacto",AB40="Probabilidad"),(AK38-(+AK38*AE40)),IF(AB40="Impacto",AK39,""))),"")</f>
        <v/>
      </c>
      <c r="AJ40" s="179" t="str">
        <f t="shared" si="2"/>
        <v/>
      </c>
      <c r="AK40" s="177" t="str">
        <f t="shared" si="37"/>
        <v/>
      </c>
      <c r="AL40" s="179" t="str">
        <f t="shared" si="4"/>
        <v/>
      </c>
      <c r="AM40" s="177" t="str">
        <f t="shared" si="13"/>
        <v/>
      </c>
      <c r="AN40" s="180" t="str">
        <f>IFERROR(IF(OR(AND(AJ40="Muy Baja",AL40="Leve"),AND(AJ40="Muy Baja",AL40="Menor"),AND(AJ40="Baja",AL40="Leve")),"Bajo",IF(OR(AND(AJ40="Muy baja",AL40="Moderado"),AND(AJ40="Baja",AL40="Menor"),AND(AJ40="Baja",AL40="Moderado"),AND(AJ40="Media",AL40="Leve"),AND(AJ40="Media",AL40="Menor"),AND(AJ40="Media",AL40="Moderado"),AND(AJ40="Alta",AL40="Leve"),AND(AJ40="Alta",AL40="Menor")),"Moderado",IF(OR(AND(AJ40="Muy Baja",AL40="Mayor"),AND(AJ40="Baja",AL40="Mayor"),AND(AJ40="Media",AL40="Mayor"),AND(AJ40="Alta",AL40="Moderado"),AND(AJ40="Alta",AL40="Mayor"),AND(AJ40="Muy Alta",AL40="Leve"),AND(AJ40="Muy Alta",AL40="Menor"),AND(AJ40="Muy Alta",AL40="Moderado"),AND(AJ40="Muy Alta",AL40="Mayor")),"Alto",IF(OR(AND(AJ40="Muy Baja",AL40="Catastrófico"),AND(AJ40="Baja",AL40="Catastrófico"),AND(AJ40="Media",AL40="Catastrófico"),AND(AJ40="Alta",AL40="Catastrófico"),AND(AJ40="Muy Alta",AL40="Catastrófico")),"Extremo","")))),"")</f>
        <v/>
      </c>
      <c r="AO40" s="181"/>
      <c r="AP40" s="172"/>
      <c r="AQ40" s="182"/>
      <c r="AR40" s="182"/>
      <c r="AS40" s="183"/>
      <c r="AT40" s="313"/>
      <c r="AU40" s="313"/>
      <c r="AV40" s="313"/>
    </row>
    <row r="41" spans="1:48" ht="37.5" customHeight="1" x14ac:dyDescent="0.2">
      <c r="A41" s="329"/>
      <c r="B41" s="330"/>
      <c r="C41" s="330"/>
      <c r="D41" s="330"/>
      <c r="E41" s="330"/>
      <c r="F41" s="330"/>
      <c r="G41" s="320"/>
      <c r="H41" s="320"/>
      <c r="I41" s="320"/>
      <c r="J41" s="320"/>
      <c r="K41" s="320"/>
      <c r="L41" s="320"/>
      <c r="M41" s="320"/>
      <c r="N41" s="320"/>
      <c r="O41" s="320"/>
      <c r="P41" s="320"/>
      <c r="Q41" s="320"/>
      <c r="R41" s="313"/>
      <c r="S41" s="312"/>
      <c r="T41" s="311"/>
      <c r="U41" s="310"/>
      <c r="V41" s="311">
        <f>IF(NOT(ISERROR(MATCH(U41,_xlfn.ANCHORARRAY(E52),0))),T54&amp;"Por favor no seleccionar los criterios de impacto",U41)</f>
        <v>0</v>
      </c>
      <c r="W41" s="312"/>
      <c r="X41" s="311"/>
      <c r="Y41" s="324"/>
      <c r="Z41" s="200">
        <v>5</v>
      </c>
      <c r="AA41" s="173"/>
      <c r="AB41" s="175" t="str">
        <f t="shared" si="41"/>
        <v/>
      </c>
      <c r="AC41" s="176"/>
      <c r="AD41" s="176"/>
      <c r="AE41" s="177" t="str">
        <f t="shared" si="36"/>
        <v/>
      </c>
      <c r="AF41" s="176"/>
      <c r="AG41" s="176"/>
      <c r="AH41" s="176"/>
      <c r="AI41" s="178" t="str">
        <f t="shared" si="42"/>
        <v/>
      </c>
      <c r="AJ41" s="179" t="str">
        <f t="shared" si="2"/>
        <v/>
      </c>
      <c r="AK41" s="177" t="str">
        <f t="shared" si="37"/>
        <v/>
      </c>
      <c r="AL41" s="179" t="str">
        <f t="shared" si="4"/>
        <v/>
      </c>
      <c r="AM41" s="177" t="str">
        <f t="shared" si="13"/>
        <v/>
      </c>
      <c r="AN41" s="180" t="str">
        <f t="shared" ref="AN41:AN42" si="43">IFERROR(IF(OR(AND(AJ41="Muy Baja",AL41="Leve"),AND(AJ41="Muy Baja",AL41="Menor"),AND(AJ41="Baja",AL41="Leve")),"Bajo",IF(OR(AND(AJ41="Muy baja",AL41="Moderado"),AND(AJ41="Baja",AL41="Menor"),AND(AJ41="Baja",AL41="Moderado"),AND(AJ41="Media",AL41="Leve"),AND(AJ41="Media",AL41="Menor"),AND(AJ41="Media",AL41="Moderado"),AND(AJ41="Alta",AL41="Leve"),AND(AJ41="Alta",AL41="Menor")),"Moderado",IF(OR(AND(AJ41="Muy Baja",AL41="Mayor"),AND(AJ41="Baja",AL41="Mayor"),AND(AJ41="Media",AL41="Mayor"),AND(AJ41="Alta",AL41="Moderado"),AND(AJ41="Alta",AL41="Mayor"),AND(AJ41="Muy Alta",AL41="Leve"),AND(AJ41="Muy Alta",AL41="Menor"),AND(AJ41="Muy Alta",AL41="Moderado"),AND(AJ41="Muy Alta",AL41="Mayor")),"Alto",IF(OR(AND(AJ41="Muy Baja",AL41="Catastrófico"),AND(AJ41="Baja",AL41="Catastrófico"),AND(AJ41="Media",AL41="Catastrófico"),AND(AJ41="Alta",AL41="Catastrófico"),AND(AJ41="Muy Alta",AL41="Catastrófico")),"Extremo","")))),"")</f>
        <v/>
      </c>
      <c r="AO41" s="181"/>
      <c r="AP41" s="172"/>
      <c r="AQ41" s="182"/>
      <c r="AR41" s="182"/>
      <c r="AS41" s="183"/>
      <c r="AT41" s="313"/>
      <c r="AU41" s="313"/>
      <c r="AV41" s="313"/>
    </row>
    <row r="42" spans="1:48" ht="37.5" customHeight="1" x14ac:dyDescent="0.2">
      <c r="A42" s="329"/>
      <c r="B42" s="330"/>
      <c r="C42" s="330"/>
      <c r="D42" s="330"/>
      <c r="E42" s="330"/>
      <c r="F42" s="330"/>
      <c r="G42" s="321"/>
      <c r="H42" s="321"/>
      <c r="I42" s="321"/>
      <c r="J42" s="321"/>
      <c r="K42" s="321"/>
      <c r="L42" s="321"/>
      <c r="M42" s="321"/>
      <c r="N42" s="321"/>
      <c r="O42" s="321"/>
      <c r="P42" s="321"/>
      <c r="Q42" s="321"/>
      <c r="R42" s="313"/>
      <c r="S42" s="312"/>
      <c r="T42" s="311"/>
      <c r="U42" s="310"/>
      <c r="V42" s="311">
        <f>IF(NOT(ISERROR(MATCH(U42,_xlfn.ANCHORARRAY(E53),0))),T55&amp;"Por favor no seleccionar los criterios de impacto",U42)</f>
        <v>0</v>
      </c>
      <c r="W42" s="312"/>
      <c r="X42" s="311"/>
      <c r="Y42" s="324"/>
      <c r="Z42" s="200">
        <v>6</v>
      </c>
      <c r="AA42" s="173"/>
      <c r="AB42" s="175" t="str">
        <f t="shared" si="41"/>
        <v/>
      </c>
      <c r="AC42" s="176"/>
      <c r="AD42" s="176"/>
      <c r="AE42" s="177" t="str">
        <f t="shared" si="36"/>
        <v/>
      </c>
      <c r="AF42" s="176"/>
      <c r="AG42" s="176"/>
      <c r="AH42" s="176"/>
      <c r="AI42" s="178" t="str">
        <f t="shared" si="42"/>
        <v/>
      </c>
      <c r="AJ42" s="179" t="str">
        <f t="shared" si="2"/>
        <v/>
      </c>
      <c r="AK42" s="177" t="str">
        <f t="shared" si="37"/>
        <v/>
      </c>
      <c r="AL42" s="179" t="str">
        <f t="shared" si="4"/>
        <v/>
      </c>
      <c r="AM42" s="177" t="str">
        <f t="shared" si="13"/>
        <v/>
      </c>
      <c r="AN42" s="180" t="str">
        <f t="shared" si="43"/>
        <v/>
      </c>
      <c r="AO42" s="181"/>
      <c r="AP42" s="172"/>
      <c r="AQ42" s="182"/>
      <c r="AR42" s="182"/>
      <c r="AS42" s="183"/>
      <c r="AT42" s="313"/>
      <c r="AU42" s="313"/>
      <c r="AV42" s="313"/>
    </row>
    <row r="43" spans="1:48" ht="37.5" customHeight="1" x14ac:dyDescent="0.2">
      <c r="A43" s="329">
        <v>6</v>
      </c>
      <c r="B43" s="330"/>
      <c r="C43" s="330"/>
      <c r="D43" s="330"/>
      <c r="E43" s="319"/>
      <c r="F43" s="330"/>
      <c r="G43" s="319"/>
      <c r="H43" s="319"/>
      <c r="I43" s="319"/>
      <c r="J43" s="319"/>
      <c r="K43" s="319"/>
      <c r="L43" s="319"/>
      <c r="M43" s="319"/>
      <c r="N43" s="319"/>
      <c r="O43" s="319"/>
      <c r="P43" s="319"/>
      <c r="Q43" s="319"/>
      <c r="R43" s="313"/>
      <c r="S43" s="312" t="str">
        <f>IF(R43&lt;=0,"",IF(R43&lt;=2,"Muy Baja",IF(R43&lt;=24,"Baja",IF(R43&lt;=500,"Media",IF(R43&lt;=5000,"Alta","Muy Alta")))))</f>
        <v/>
      </c>
      <c r="T43" s="311" t="str">
        <f>IF(S43="","",IF(S43="Muy Baja",0.2,IF(S43="Baja",0.4,IF(S43="Media",0.6,IF(S43="Alta",0.8,IF(S43="Muy Alta",1,))))))</f>
        <v/>
      </c>
      <c r="U43" s="310"/>
      <c r="V43" s="311">
        <f>IF(NOT(ISERROR(MATCH(U43,'Tabla Impacto'!$B$222:$B$224,0))),'Tabla Impacto'!$F$224&amp;"Por favor no seleccionar los criterios de impacto(Afectación Económica o presupuestal y Pérdida Reputacional)",U43)</f>
        <v>0</v>
      </c>
      <c r="W43" s="312" t="str">
        <f>IF(OR(V43='Tabla Impacto'!$C$12,V43='Tabla Impacto'!$D$12),"Leve",IF(OR(V43='Tabla Impacto'!$C$13,V43='Tabla Impacto'!$D$13),"Menor",IF(OR(V43='Tabla Impacto'!$C$14,V43='Tabla Impacto'!$D$14),"Moderado",IF(OR(V43='Tabla Impacto'!$C$15,V43='Tabla Impacto'!$D$15),"Mayor",IF(OR(V43='Tabla Impacto'!$C$16,V43='Tabla Impacto'!$D$16),"Catastrófico","")))))</f>
        <v/>
      </c>
      <c r="X43" s="311" t="str">
        <f>IF(W43="","",IF(W43="Leve",0.2,IF(W43="Menor",0.4,IF(W43="Moderado",0.6,IF(W43="Mayor",0.8,IF(W43="Catastrófico",1,))))))</f>
        <v/>
      </c>
      <c r="Y43" s="324" t="str">
        <f>IF(OR(AND(S43="Muy Baja",W43="Leve"),AND(S43="Muy Baja",W43="Menor"),AND(S43="Baja",W43="Leve")),"Bajo",IF(OR(AND(S43="Muy baja",W43="Moderado"),AND(S43="Baja",W43="Menor"),AND(S43="Baja",W43="Moderado"),AND(S43="Media",W43="Leve"),AND(S43="Media",W43="Menor"),AND(S43="Media",W43="Moderado"),AND(S43="Alta",W43="Leve"),AND(S43="Alta",W43="Menor")),"Moderado",IF(OR(AND(S43="Muy Baja",W43="Mayor"),AND(S43="Baja",W43="Mayor"),AND(S43="Media",W43="Mayor"),AND(S43="Alta",W43="Moderado"),AND(S43="Alta",W43="Mayor"),AND(S43="Muy Alta",W43="Leve"),AND(S43="Muy Alta",W43="Menor"),AND(S43="Muy Alta",W43="Moderado"),AND(S43="Muy Alta",W43="Mayor")),"Alto",IF(OR(AND(S43="Muy Baja",W43="Catastrófico"),AND(S43="Baja",W43="Catastrófico"),AND(S43="Media",W43="Catastrófico"),AND(S43="Alta",W43="Catastrófico"),AND(S43="Muy Alta",W43="Catastrófico")),"Extremo",""))))</f>
        <v/>
      </c>
      <c r="Z43" s="200">
        <v>1</v>
      </c>
      <c r="AA43" s="173"/>
      <c r="AB43" s="175" t="str">
        <f>IF(OR(AC43="Preventivo",AC43="Detectivo"),"Probabilidad",IF(AC43="Correctivo","Impacto",""))</f>
        <v/>
      </c>
      <c r="AC43" s="176"/>
      <c r="AD43" s="176"/>
      <c r="AE43" s="177" t="str">
        <f>IF(AND(AC43="Preventivo",AD43="Automático"),"50%",IF(AND(AC43="Preventivo",AD43="Manual"),"40%",IF(AND(AC43="Detectivo",AD43="Automático"),"40%",IF(AND(AC43="Detectivo",AD43="Manual"),"30%",IF(AND(AC43="Correctivo",AD43="Automático"),"35%",IF(AND(AC43="Correctivo",AD43="Manual"),"25%",""))))))</f>
        <v/>
      </c>
      <c r="AF43" s="176"/>
      <c r="AG43" s="176"/>
      <c r="AH43" s="176"/>
      <c r="AI43" s="178" t="str">
        <f>IFERROR(IF(AB43="Probabilidad",(T43-(+T43*AE43)),IF(AB43="Impacto",T43,"")),"")</f>
        <v/>
      </c>
      <c r="AJ43" s="179" t="str">
        <f>IFERROR(IF(AI43="","",IF(AI43&lt;=0.2,"Muy Baja",IF(AI43&lt;=0.4,"Baja",IF(AI43&lt;=0.6,"Media",IF(AI43&lt;=0.8,"Alta","Muy Alta"))))),"")</f>
        <v/>
      </c>
      <c r="AK43" s="177" t="str">
        <f>+AI43</f>
        <v/>
      </c>
      <c r="AL43" s="179" t="str">
        <f>IFERROR(IF(AM43="","",IF(AM43&lt;=0.2,"Leve",IF(AM43&lt;=0.4,"Menor",IF(AM43&lt;=0.6,"Moderado",IF(AM43&lt;=0.8,"Mayor","Catastrófico"))))),"")</f>
        <v/>
      </c>
      <c r="AM43" s="177" t="str">
        <f t="shared" ref="AM43" si="44">IFERROR(IF(AB43="Impacto",(X43-(+X43*AE43)),IF(AB43="Probabilidad",X43,"")),"")</f>
        <v/>
      </c>
      <c r="AN43" s="180" t="str">
        <f>IFERROR(IF(OR(AND(AJ43="Muy Baja",AL43="Leve"),AND(AJ43="Muy Baja",AL43="Menor"),AND(AJ43="Baja",AL43="Leve")),"Bajo",IF(OR(AND(AJ43="Muy baja",AL43="Moderado"),AND(AJ43="Baja",AL43="Menor"),AND(AJ43="Baja",AL43="Moderado"),AND(AJ43="Media",AL43="Leve"),AND(AJ43="Media",AL43="Menor"),AND(AJ43="Media",AL43="Moderado"),AND(AJ43="Alta",AL43="Leve"),AND(AJ43="Alta",AL43="Menor")),"Moderado",IF(OR(AND(AJ43="Muy Baja",AL43="Mayor"),AND(AJ43="Baja",AL43="Mayor"),AND(AJ43="Media",AL43="Mayor"),AND(AJ43="Alta",AL43="Moderado"),AND(AJ43="Alta",AL43="Mayor"),AND(AJ43="Muy Alta",AL43="Leve"),AND(AJ43="Muy Alta",AL43="Menor"),AND(AJ43="Muy Alta",AL43="Moderado"),AND(AJ43="Muy Alta",AL43="Mayor")),"Alto",IF(OR(AND(AJ43="Muy Baja",AL43="Catastrófico"),AND(AJ43="Baja",AL43="Catastrófico"),AND(AJ43="Media",AL43="Catastrófico"),AND(AJ43="Alta",AL43="Catastrófico"),AND(AJ43="Muy Alta",AL43="Catastrófico")),"Extremo","")))),"")</f>
        <v/>
      </c>
      <c r="AO43" s="176"/>
      <c r="AP43" s="172"/>
      <c r="AQ43" s="182"/>
      <c r="AR43" s="182"/>
      <c r="AS43" s="183"/>
      <c r="AT43" s="313"/>
      <c r="AU43" s="313"/>
      <c r="AV43" s="313"/>
    </row>
    <row r="44" spans="1:48" ht="37.5" customHeight="1" x14ac:dyDescent="0.2">
      <c r="A44" s="329"/>
      <c r="B44" s="330"/>
      <c r="C44" s="330"/>
      <c r="D44" s="330"/>
      <c r="E44" s="320"/>
      <c r="F44" s="330"/>
      <c r="G44" s="320"/>
      <c r="H44" s="320"/>
      <c r="I44" s="320"/>
      <c r="J44" s="320"/>
      <c r="K44" s="320"/>
      <c r="L44" s="320"/>
      <c r="M44" s="320"/>
      <c r="N44" s="320"/>
      <c r="O44" s="320"/>
      <c r="P44" s="320"/>
      <c r="Q44" s="320"/>
      <c r="R44" s="313"/>
      <c r="S44" s="312"/>
      <c r="T44" s="311"/>
      <c r="U44" s="310"/>
      <c r="V44" s="311">
        <f>IF(NOT(ISERROR(MATCH(U44,_xlfn.ANCHORARRAY(E55),0))),T57&amp;"Por favor no seleccionar los criterios de impacto",U44)</f>
        <v>0</v>
      </c>
      <c r="W44" s="312"/>
      <c r="X44" s="311"/>
      <c r="Y44" s="324"/>
      <c r="Z44" s="200">
        <v>2</v>
      </c>
      <c r="AA44" s="173"/>
      <c r="AB44" s="175" t="str">
        <f>IF(OR(AC44="Preventivo",AC44="Detectivo"),"Probabilidad",IF(AC44="Correctivo","Impacto",""))</f>
        <v/>
      </c>
      <c r="AC44" s="176"/>
      <c r="AD44" s="176"/>
      <c r="AE44" s="177" t="str">
        <f t="shared" ref="AE44:AE48" si="45">IF(AND(AC44="Preventivo",AD44="Automático"),"50%",IF(AND(AC44="Preventivo",AD44="Manual"),"40%",IF(AND(AC44="Detectivo",AD44="Automático"),"40%",IF(AND(AC44="Detectivo",AD44="Manual"),"30%",IF(AND(AC44="Correctivo",AD44="Automático"),"35%",IF(AND(AC44="Correctivo",AD44="Manual"),"25%",""))))))</f>
        <v/>
      </c>
      <c r="AF44" s="176"/>
      <c r="AG44" s="176"/>
      <c r="AH44" s="176"/>
      <c r="AI44" s="178" t="str">
        <f>IFERROR(IF(AND(AB43="Probabilidad",AB44="Probabilidad"),(AK43-(+AK43*AE44)),IF(AB44="Probabilidad",(T43-(+T43*AE44)),IF(AB44="Impacto",AK43,""))),"")</f>
        <v/>
      </c>
      <c r="AJ44" s="179" t="str">
        <f t="shared" si="2"/>
        <v/>
      </c>
      <c r="AK44" s="177" t="str">
        <f t="shared" ref="AK44:AK48" si="46">+AI44</f>
        <v/>
      </c>
      <c r="AL44" s="179" t="str">
        <f t="shared" si="4"/>
        <v/>
      </c>
      <c r="AM44" s="177" t="str">
        <f t="shared" ref="AM44" si="47">IFERROR(IF(AND(AB43="Impacto",AB44="Impacto"),(AM43-(+AM43*AE44)),IF(AB44="Impacto",($X$13-(+$X$13*AE44)),IF(AB44="Probabilidad",AM43,""))),"")</f>
        <v/>
      </c>
      <c r="AN44" s="180" t="str">
        <f t="shared" ref="AN44:AN45" si="48">IFERROR(IF(OR(AND(AJ44="Muy Baja",AL44="Leve"),AND(AJ44="Muy Baja",AL44="Menor"),AND(AJ44="Baja",AL44="Leve")),"Bajo",IF(OR(AND(AJ44="Muy baja",AL44="Moderado"),AND(AJ44="Baja",AL44="Menor"),AND(AJ44="Baja",AL44="Moderado"),AND(AJ44="Media",AL44="Leve"),AND(AJ44="Media",AL44="Menor"),AND(AJ44="Media",AL44="Moderado"),AND(AJ44="Alta",AL44="Leve"),AND(AJ44="Alta",AL44="Menor")),"Moderado",IF(OR(AND(AJ44="Muy Baja",AL44="Mayor"),AND(AJ44="Baja",AL44="Mayor"),AND(AJ44="Media",AL44="Mayor"),AND(AJ44="Alta",AL44="Moderado"),AND(AJ44="Alta",AL44="Mayor"),AND(AJ44="Muy Alta",AL44="Leve"),AND(AJ44="Muy Alta",AL44="Menor"),AND(AJ44="Muy Alta",AL44="Moderado"),AND(AJ44="Muy Alta",AL44="Mayor")),"Alto",IF(OR(AND(AJ44="Muy Baja",AL44="Catastrófico"),AND(AJ44="Baja",AL44="Catastrófico"),AND(AJ44="Media",AL44="Catastrófico"),AND(AJ44="Alta",AL44="Catastrófico"),AND(AJ44="Muy Alta",AL44="Catastrófico")),"Extremo","")))),"")</f>
        <v/>
      </c>
      <c r="AO44" s="181"/>
      <c r="AP44" s="172"/>
      <c r="AQ44" s="182"/>
      <c r="AR44" s="182"/>
      <c r="AS44" s="183"/>
      <c r="AT44" s="313"/>
      <c r="AU44" s="313"/>
      <c r="AV44" s="313"/>
    </row>
    <row r="45" spans="1:48" ht="37.5" customHeight="1" x14ac:dyDescent="0.2">
      <c r="A45" s="329"/>
      <c r="B45" s="330"/>
      <c r="C45" s="330"/>
      <c r="D45" s="330"/>
      <c r="E45" s="320"/>
      <c r="F45" s="330"/>
      <c r="G45" s="320"/>
      <c r="H45" s="320"/>
      <c r="I45" s="320"/>
      <c r="J45" s="320"/>
      <c r="K45" s="320"/>
      <c r="L45" s="320"/>
      <c r="M45" s="320"/>
      <c r="N45" s="320"/>
      <c r="O45" s="320"/>
      <c r="P45" s="320"/>
      <c r="Q45" s="320"/>
      <c r="R45" s="313"/>
      <c r="S45" s="312"/>
      <c r="T45" s="311"/>
      <c r="U45" s="310"/>
      <c r="V45" s="311">
        <f>IF(NOT(ISERROR(MATCH(U45,_xlfn.ANCHORARRAY(E56),0))),T58&amp;"Por favor no seleccionar los criterios de impacto",U45)</f>
        <v>0</v>
      </c>
      <c r="W45" s="312"/>
      <c r="X45" s="311"/>
      <c r="Y45" s="324"/>
      <c r="Z45" s="200">
        <v>3</v>
      </c>
      <c r="AA45" s="174"/>
      <c r="AB45" s="175" t="str">
        <f>IF(OR(AC45="Preventivo",AC45="Detectivo"),"Probabilidad",IF(AC45="Correctivo","Impacto",""))</f>
        <v/>
      </c>
      <c r="AC45" s="176"/>
      <c r="AD45" s="176"/>
      <c r="AE45" s="177" t="str">
        <f t="shared" si="45"/>
        <v/>
      </c>
      <c r="AF45" s="176"/>
      <c r="AG45" s="176"/>
      <c r="AH45" s="176"/>
      <c r="AI45" s="178" t="str">
        <f>IFERROR(IF(AND(AB44="Probabilidad",AB45="Probabilidad"),(AK44-(+AK44*AE45)),IF(AND(AB44="Impacto",AB45="Probabilidad"),(AK43-(+AK43*AE45)),IF(AB45="Impacto",AK44,""))),"")</f>
        <v/>
      </c>
      <c r="AJ45" s="179" t="str">
        <f t="shared" si="2"/>
        <v/>
      </c>
      <c r="AK45" s="177" t="str">
        <f t="shared" si="46"/>
        <v/>
      </c>
      <c r="AL45" s="179" t="str">
        <f t="shared" si="4"/>
        <v/>
      </c>
      <c r="AM45" s="177" t="str">
        <f t="shared" ref="AM45" si="49">IFERROR(IF(AND(AB44="Impacto",AB45="Impacto"),(AM44-(+AM44*AE45)),IF(AND(AB44="Probabilidad",AB45="Impacto"),(AM43-(+AM43*AE45)),IF(AB45="Probabilidad",AM44,""))),"")</f>
        <v/>
      </c>
      <c r="AN45" s="180" t="str">
        <f t="shared" si="48"/>
        <v/>
      </c>
      <c r="AO45" s="181"/>
      <c r="AP45" s="172"/>
      <c r="AQ45" s="182"/>
      <c r="AR45" s="182"/>
      <c r="AS45" s="183"/>
      <c r="AT45" s="313"/>
      <c r="AU45" s="313"/>
      <c r="AV45" s="313"/>
    </row>
    <row r="46" spans="1:48" ht="37.5" customHeight="1" x14ac:dyDescent="0.2">
      <c r="A46" s="329"/>
      <c r="B46" s="330"/>
      <c r="C46" s="330"/>
      <c r="D46" s="330"/>
      <c r="E46" s="320"/>
      <c r="F46" s="330"/>
      <c r="G46" s="320"/>
      <c r="H46" s="320"/>
      <c r="I46" s="320"/>
      <c r="J46" s="320"/>
      <c r="K46" s="320"/>
      <c r="L46" s="320"/>
      <c r="M46" s="320"/>
      <c r="N46" s="320"/>
      <c r="O46" s="320"/>
      <c r="P46" s="320"/>
      <c r="Q46" s="320"/>
      <c r="R46" s="313"/>
      <c r="S46" s="312"/>
      <c r="T46" s="311"/>
      <c r="U46" s="310"/>
      <c r="V46" s="311">
        <f>IF(NOT(ISERROR(MATCH(U46,_xlfn.ANCHORARRAY(E57),0))),T59&amp;"Por favor no seleccionar los criterios de impacto",U46)</f>
        <v>0</v>
      </c>
      <c r="W46" s="312"/>
      <c r="X46" s="311"/>
      <c r="Y46" s="324"/>
      <c r="Z46" s="200">
        <v>4</v>
      </c>
      <c r="AA46" s="173"/>
      <c r="AB46" s="175" t="str">
        <f t="shared" ref="AB46:AB48" si="50">IF(OR(AC46="Preventivo",AC46="Detectivo"),"Probabilidad",IF(AC46="Correctivo","Impacto",""))</f>
        <v/>
      </c>
      <c r="AC46" s="176"/>
      <c r="AD46" s="176"/>
      <c r="AE46" s="177" t="str">
        <f t="shared" si="45"/>
        <v/>
      </c>
      <c r="AF46" s="176"/>
      <c r="AG46" s="176"/>
      <c r="AH46" s="176"/>
      <c r="AI46" s="178" t="str">
        <f t="shared" ref="AI46:AI48" si="51">IFERROR(IF(AND(AB45="Probabilidad",AB46="Probabilidad"),(AK45-(+AK45*AE46)),IF(AND(AB45="Impacto",AB46="Probabilidad"),(AK44-(+AK44*AE46)),IF(AB46="Impacto",AK45,""))),"")</f>
        <v/>
      </c>
      <c r="AJ46" s="179" t="str">
        <f t="shared" si="2"/>
        <v/>
      </c>
      <c r="AK46" s="177" t="str">
        <f t="shared" si="46"/>
        <v/>
      </c>
      <c r="AL46" s="179" t="str">
        <f t="shared" si="4"/>
        <v/>
      </c>
      <c r="AM46" s="177" t="str">
        <f t="shared" si="13"/>
        <v/>
      </c>
      <c r="AN46" s="180" t="str">
        <f>IFERROR(IF(OR(AND(AJ46="Muy Baja",AL46="Leve"),AND(AJ46="Muy Baja",AL46="Menor"),AND(AJ46="Baja",AL46="Leve")),"Bajo",IF(OR(AND(AJ46="Muy baja",AL46="Moderado"),AND(AJ46="Baja",AL46="Menor"),AND(AJ46="Baja",AL46="Moderado"),AND(AJ46="Media",AL46="Leve"),AND(AJ46="Media",AL46="Menor"),AND(AJ46="Media",AL46="Moderado"),AND(AJ46="Alta",AL46="Leve"),AND(AJ46="Alta",AL46="Menor")),"Moderado",IF(OR(AND(AJ46="Muy Baja",AL46="Mayor"),AND(AJ46="Baja",AL46="Mayor"),AND(AJ46="Media",AL46="Mayor"),AND(AJ46="Alta",AL46="Moderado"),AND(AJ46="Alta",AL46="Mayor"),AND(AJ46="Muy Alta",AL46="Leve"),AND(AJ46="Muy Alta",AL46="Menor"),AND(AJ46="Muy Alta",AL46="Moderado"),AND(AJ46="Muy Alta",AL46="Mayor")),"Alto",IF(OR(AND(AJ46="Muy Baja",AL46="Catastrófico"),AND(AJ46="Baja",AL46="Catastrófico"),AND(AJ46="Media",AL46="Catastrófico"),AND(AJ46="Alta",AL46="Catastrófico"),AND(AJ46="Muy Alta",AL46="Catastrófico")),"Extremo","")))),"")</f>
        <v/>
      </c>
      <c r="AO46" s="181"/>
      <c r="AP46" s="172"/>
      <c r="AQ46" s="182"/>
      <c r="AR46" s="182"/>
      <c r="AS46" s="183"/>
      <c r="AT46" s="313"/>
      <c r="AU46" s="313"/>
      <c r="AV46" s="313"/>
    </row>
    <row r="47" spans="1:48" ht="37.5" customHeight="1" x14ac:dyDescent="0.2">
      <c r="A47" s="329"/>
      <c r="B47" s="330"/>
      <c r="C47" s="330"/>
      <c r="D47" s="330"/>
      <c r="E47" s="320"/>
      <c r="F47" s="330"/>
      <c r="G47" s="320"/>
      <c r="H47" s="320"/>
      <c r="I47" s="320"/>
      <c r="J47" s="320"/>
      <c r="K47" s="320"/>
      <c r="L47" s="320"/>
      <c r="M47" s="320"/>
      <c r="N47" s="320"/>
      <c r="O47" s="320"/>
      <c r="P47" s="320"/>
      <c r="Q47" s="320"/>
      <c r="R47" s="313"/>
      <c r="S47" s="312"/>
      <c r="T47" s="311"/>
      <c r="U47" s="310"/>
      <c r="V47" s="311">
        <f>IF(NOT(ISERROR(MATCH(U47,_xlfn.ANCHORARRAY(E58),0))),T60&amp;"Por favor no seleccionar los criterios de impacto",U47)</f>
        <v>0</v>
      </c>
      <c r="W47" s="312"/>
      <c r="X47" s="311"/>
      <c r="Y47" s="324"/>
      <c r="Z47" s="200">
        <v>5</v>
      </c>
      <c r="AA47" s="173"/>
      <c r="AB47" s="175" t="str">
        <f t="shared" si="50"/>
        <v/>
      </c>
      <c r="AC47" s="176"/>
      <c r="AD47" s="176"/>
      <c r="AE47" s="177" t="str">
        <f t="shared" si="45"/>
        <v/>
      </c>
      <c r="AF47" s="176"/>
      <c r="AG47" s="176"/>
      <c r="AH47" s="176"/>
      <c r="AI47" s="178" t="str">
        <f t="shared" si="51"/>
        <v/>
      </c>
      <c r="AJ47" s="179" t="str">
        <f t="shared" si="2"/>
        <v/>
      </c>
      <c r="AK47" s="177" t="str">
        <f t="shared" si="46"/>
        <v/>
      </c>
      <c r="AL47" s="179" t="str">
        <f t="shared" si="4"/>
        <v/>
      </c>
      <c r="AM47" s="177" t="str">
        <f t="shared" si="13"/>
        <v/>
      </c>
      <c r="AN47" s="180" t="str">
        <f t="shared" ref="AN47" si="52">IFERROR(IF(OR(AND(AJ47="Muy Baja",AL47="Leve"),AND(AJ47="Muy Baja",AL47="Menor"),AND(AJ47="Baja",AL47="Leve")),"Bajo",IF(OR(AND(AJ47="Muy baja",AL47="Moderado"),AND(AJ47="Baja",AL47="Menor"),AND(AJ47="Baja",AL47="Moderado"),AND(AJ47="Media",AL47="Leve"),AND(AJ47="Media",AL47="Menor"),AND(AJ47="Media",AL47="Moderado"),AND(AJ47="Alta",AL47="Leve"),AND(AJ47="Alta",AL47="Menor")),"Moderado",IF(OR(AND(AJ47="Muy Baja",AL47="Mayor"),AND(AJ47="Baja",AL47="Mayor"),AND(AJ47="Media",AL47="Mayor"),AND(AJ47="Alta",AL47="Moderado"),AND(AJ47="Alta",AL47="Mayor"),AND(AJ47="Muy Alta",AL47="Leve"),AND(AJ47="Muy Alta",AL47="Menor"),AND(AJ47="Muy Alta",AL47="Moderado"),AND(AJ47="Muy Alta",AL47="Mayor")),"Alto",IF(OR(AND(AJ47="Muy Baja",AL47="Catastrófico"),AND(AJ47="Baja",AL47="Catastrófico"),AND(AJ47="Media",AL47="Catastrófico"),AND(AJ47="Alta",AL47="Catastrófico"),AND(AJ47="Muy Alta",AL47="Catastrófico")),"Extremo","")))),"")</f>
        <v/>
      </c>
      <c r="AO47" s="181"/>
      <c r="AP47" s="172"/>
      <c r="AQ47" s="182"/>
      <c r="AR47" s="182"/>
      <c r="AS47" s="183"/>
      <c r="AT47" s="313"/>
      <c r="AU47" s="313"/>
      <c r="AV47" s="313"/>
    </row>
    <row r="48" spans="1:48" ht="37.5" customHeight="1" x14ac:dyDescent="0.2">
      <c r="A48" s="329"/>
      <c r="B48" s="330"/>
      <c r="C48" s="330"/>
      <c r="D48" s="330"/>
      <c r="E48" s="321"/>
      <c r="F48" s="330"/>
      <c r="G48" s="321"/>
      <c r="H48" s="321"/>
      <c r="I48" s="321"/>
      <c r="J48" s="321"/>
      <c r="K48" s="321"/>
      <c r="L48" s="321"/>
      <c r="M48" s="321"/>
      <c r="N48" s="321"/>
      <c r="O48" s="321"/>
      <c r="P48" s="321"/>
      <c r="Q48" s="321"/>
      <c r="R48" s="313"/>
      <c r="S48" s="312"/>
      <c r="T48" s="311"/>
      <c r="U48" s="310"/>
      <c r="V48" s="311">
        <f>IF(NOT(ISERROR(MATCH(U48,_xlfn.ANCHORARRAY(E59),0))),T61&amp;"Por favor no seleccionar los criterios de impacto",U48)</f>
        <v>0</v>
      </c>
      <c r="W48" s="312"/>
      <c r="X48" s="311"/>
      <c r="Y48" s="324"/>
      <c r="Z48" s="200">
        <v>6</v>
      </c>
      <c r="AA48" s="173"/>
      <c r="AB48" s="175" t="str">
        <f t="shared" si="50"/>
        <v/>
      </c>
      <c r="AC48" s="176"/>
      <c r="AD48" s="176"/>
      <c r="AE48" s="177" t="str">
        <f t="shared" si="45"/>
        <v/>
      </c>
      <c r="AF48" s="176"/>
      <c r="AG48" s="176"/>
      <c r="AH48" s="176"/>
      <c r="AI48" s="178" t="str">
        <f t="shared" si="51"/>
        <v/>
      </c>
      <c r="AJ48" s="179" t="str">
        <f t="shared" si="2"/>
        <v/>
      </c>
      <c r="AK48" s="177" t="str">
        <f t="shared" si="46"/>
        <v/>
      </c>
      <c r="AL48" s="179" t="str">
        <f>IFERROR(IF(AM48="","",IF(AM48&lt;=0.2,"Leve",IF(AM48&lt;=0.4,"Menor",IF(AM48&lt;=0.6,"Moderado",IF(AM48&lt;=0.8,"Mayor","Catastrófico"))))),"")</f>
        <v/>
      </c>
      <c r="AM48" s="177" t="str">
        <f t="shared" si="13"/>
        <v/>
      </c>
      <c r="AN48" s="180" t="str">
        <f>IFERROR(IF(OR(AND(AJ48="Muy Baja",AL48="Leve"),AND(AJ48="Muy Baja",AL48="Menor"),AND(AJ48="Baja",AL48="Leve")),"Bajo",IF(OR(AND(AJ48="Muy baja",AL48="Moderado"),AND(AJ48="Baja",AL48="Menor"),AND(AJ48="Baja",AL48="Moderado"),AND(AJ48="Media",AL48="Leve"),AND(AJ48="Media",AL48="Menor"),AND(AJ48="Media",AL48="Moderado"),AND(AJ48="Alta",AL48="Leve"),AND(AJ48="Alta",AL48="Menor")),"Moderado",IF(OR(AND(AJ48="Muy Baja",AL48="Mayor"),AND(AJ48="Baja",AL48="Mayor"),AND(AJ48="Media",AL48="Mayor"),AND(AJ48="Alta",AL48="Moderado"),AND(AJ48="Alta",AL48="Mayor"),AND(AJ48="Muy Alta",AL48="Leve"),AND(AJ48="Muy Alta",AL48="Menor"),AND(AJ48="Muy Alta",AL48="Moderado"),AND(AJ48="Muy Alta",AL48="Mayor")),"Alto",IF(OR(AND(AJ48="Muy Baja",AL48="Catastrófico"),AND(AJ48="Baja",AL48="Catastrófico"),AND(AJ48="Media",AL48="Catastrófico"),AND(AJ48="Alta",AL48="Catastrófico"),AND(AJ48="Muy Alta",AL48="Catastrófico")),"Extremo","")))),"")</f>
        <v/>
      </c>
      <c r="AO48" s="181"/>
      <c r="AP48" s="172"/>
      <c r="AQ48" s="182"/>
      <c r="AR48" s="182"/>
      <c r="AS48" s="183"/>
      <c r="AT48" s="313"/>
      <c r="AU48" s="313"/>
      <c r="AV48" s="313"/>
    </row>
    <row r="49" spans="1:48" ht="37.5" customHeight="1" x14ac:dyDescent="0.2">
      <c r="A49" s="329">
        <v>7</v>
      </c>
      <c r="B49" s="330"/>
      <c r="C49" s="330"/>
      <c r="D49" s="334"/>
      <c r="E49" s="330"/>
      <c r="F49" s="330"/>
      <c r="G49" s="319"/>
      <c r="H49" s="319"/>
      <c r="I49" s="319"/>
      <c r="J49" s="319"/>
      <c r="K49" s="319"/>
      <c r="L49" s="319"/>
      <c r="M49" s="319"/>
      <c r="N49" s="319"/>
      <c r="O49" s="319"/>
      <c r="P49" s="319"/>
      <c r="Q49" s="319"/>
      <c r="R49" s="313"/>
      <c r="S49" s="312" t="str">
        <f>IF(R49&lt;=0,"",IF(R49&lt;=2,"Muy Baja",IF(R49&lt;=24,"Baja",IF(R49&lt;=500,"Media",IF(R49&lt;=5000,"Alta","Muy Alta")))))</f>
        <v/>
      </c>
      <c r="T49" s="311" t="str">
        <f>IF(S49="","",IF(S49="Muy Baja",0.2,IF(S49="Baja",0.4,IF(S49="Media",0.6,IF(S49="Alta",0.8,IF(S49="Muy Alta",1,))))))</f>
        <v/>
      </c>
      <c r="U49" s="310"/>
      <c r="V49" s="311">
        <f>IF(NOT(ISERROR(MATCH(U49,'Tabla Impacto'!$B$222:$B$224,0))),'Tabla Impacto'!$F$224&amp;"Por favor no seleccionar los criterios de impacto(Afectación Económica o presupuestal y Pérdida Reputacional)",U49)</f>
        <v>0</v>
      </c>
      <c r="W49" s="312" t="str">
        <f>IF(OR(V49='Tabla Impacto'!$C$12,V49='Tabla Impacto'!$D$12),"Leve",IF(OR(V49='Tabla Impacto'!$C$13,V49='Tabla Impacto'!$D$13),"Menor",IF(OR(V49='Tabla Impacto'!$C$14,V49='Tabla Impacto'!$D$14),"Moderado",IF(OR(V49='Tabla Impacto'!$C$15,V49='Tabla Impacto'!$D$15),"Mayor",IF(OR(V49='Tabla Impacto'!$C$16,V49='Tabla Impacto'!$D$16),"Catastrófico","")))))</f>
        <v/>
      </c>
      <c r="X49" s="311" t="str">
        <f>IF(W49="","",IF(W49="Leve",0.2,IF(W49="Menor",0.4,IF(W49="Moderado",0.6,IF(W49="Mayor",0.8,IF(W49="Catastrófico",1,))))))</f>
        <v/>
      </c>
      <c r="Y49" s="324" t="str">
        <f>IF(OR(AND(S49="Muy Baja",W49="Leve"),AND(S49="Muy Baja",W49="Menor"),AND(S49="Baja",W49="Leve")),"Bajo",IF(OR(AND(S49="Muy baja",W49="Moderado"),AND(S49="Baja",W49="Menor"),AND(S49="Baja",W49="Moderado"),AND(S49="Media",W49="Leve"),AND(S49="Media",W49="Menor"),AND(S49="Media",W49="Moderado"),AND(S49="Alta",W49="Leve"),AND(S49="Alta",W49="Menor")),"Moderado",IF(OR(AND(S49="Muy Baja",W49="Mayor"),AND(S49="Baja",W49="Mayor"),AND(S49="Media",W49="Mayor"),AND(S49="Alta",W49="Moderado"),AND(S49="Alta",W49="Mayor"),AND(S49="Muy Alta",W49="Leve"),AND(S49="Muy Alta",W49="Menor"),AND(S49="Muy Alta",W49="Moderado"),AND(S49="Muy Alta",W49="Mayor")),"Alto",IF(OR(AND(S49="Muy Baja",W49="Catastrófico"),AND(S49="Baja",W49="Catastrófico"),AND(S49="Media",W49="Catastrófico"),AND(S49="Alta",W49="Catastrófico"),AND(S49="Muy Alta",W49="Catastrófico")),"Extremo",""))))</f>
        <v/>
      </c>
      <c r="Z49" s="200">
        <v>1</v>
      </c>
      <c r="AA49" s="185"/>
      <c r="AB49" s="175" t="str">
        <f>IF(OR(AC49="Preventivo",AC49="Detectivo"),"Probabilidad",IF(AC49="Correctivo","Impacto",""))</f>
        <v/>
      </c>
      <c r="AC49" s="176"/>
      <c r="AD49" s="176"/>
      <c r="AE49" s="177" t="str">
        <f>IF(AND(AC49="Preventivo",AD49="Automático"),"50%",IF(AND(AC49="Preventivo",AD49="Manual"),"40%",IF(AND(AC49="Detectivo",AD49="Automático"),"40%",IF(AND(AC49="Detectivo",AD49="Manual"),"30%",IF(AND(AC49="Correctivo",AD49="Automático"),"35%",IF(AND(AC49="Correctivo",AD49="Manual"),"25%",""))))))</f>
        <v/>
      </c>
      <c r="AF49" s="176"/>
      <c r="AG49" s="176"/>
      <c r="AH49" s="176"/>
      <c r="AI49" s="178" t="str">
        <f>IFERROR(IF(AB49="Probabilidad",(T49-(+T49*AE49)),IF(AB49="Impacto",T49,"")),"")</f>
        <v/>
      </c>
      <c r="AJ49" s="179" t="str">
        <f>IFERROR(IF(AI49="","",IF(AI49&lt;=0.2,"Muy Baja",IF(AI49&lt;=0.4,"Baja",IF(AI49&lt;=0.6,"Media",IF(AI49&lt;=0.8,"Alta","Muy Alta"))))),"")</f>
        <v/>
      </c>
      <c r="AK49" s="177" t="str">
        <f>+AI49</f>
        <v/>
      </c>
      <c r="AL49" s="179" t="str">
        <f>IFERROR(IF(AM49="","",IF(AM49&lt;=0.2,"Leve",IF(AM49&lt;=0.4,"Menor",IF(AM49&lt;=0.6,"Moderado",IF(AM49&lt;=0.8,"Mayor","Catastrófico"))))),"")</f>
        <v/>
      </c>
      <c r="AM49" s="177" t="str">
        <f t="shared" ref="AM49" si="53">IFERROR(IF(AB49="Impacto",(X49-(+X49*AE49)),IF(AB49="Probabilidad",X49,"")),"")</f>
        <v/>
      </c>
      <c r="AN49" s="180" t="str">
        <f>IFERROR(IF(OR(AND(AJ49="Muy Baja",AL49="Leve"),AND(AJ49="Muy Baja",AL49="Menor"),AND(AJ49="Baja",AL49="Leve")),"Bajo",IF(OR(AND(AJ49="Muy baja",AL49="Moderado"),AND(AJ49="Baja",AL49="Menor"),AND(AJ49="Baja",AL49="Moderado"),AND(AJ49="Media",AL49="Leve"),AND(AJ49="Media",AL49="Menor"),AND(AJ49="Media",AL49="Moderado"),AND(AJ49="Alta",AL49="Leve"),AND(AJ49="Alta",AL49="Menor")),"Moderado",IF(OR(AND(AJ49="Muy Baja",AL49="Mayor"),AND(AJ49="Baja",AL49="Mayor"),AND(AJ49="Media",AL49="Mayor"),AND(AJ49="Alta",AL49="Moderado"),AND(AJ49="Alta",AL49="Mayor"),AND(AJ49="Muy Alta",AL49="Leve"),AND(AJ49="Muy Alta",AL49="Menor"),AND(AJ49="Muy Alta",AL49="Moderado"),AND(AJ49="Muy Alta",AL49="Mayor")),"Alto",IF(OR(AND(AJ49="Muy Baja",AL49="Catastrófico"),AND(AJ49="Baja",AL49="Catastrófico"),AND(AJ49="Media",AL49="Catastrófico"),AND(AJ49="Alta",AL49="Catastrófico"),AND(AJ49="Muy Alta",AL49="Catastrófico")),"Extremo","")))),"")</f>
        <v/>
      </c>
      <c r="AO49" s="181"/>
      <c r="AP49" s="172"/>
      <c r="AQ49" s="182"/>
      <c r="AR49" s="182"/>
      <c r="AS49" s="183"/>
      <c r="AT49" s="313"/>
      <c r="AU49" s="313"/>
      <c r="AV49" s="313"/>
    </row>
    <row r="50" spans="1:48" ht="37.5" customHeight="1" x14ac:dyDescent="0.2">
      <c r="A50" s="329"/>
      <c r="B50" s="330"/>
      <c r="C50" s="330"/>
      <c r="D50" s="334"/>
      <c r="E50" s="330"/>
      <c r="F50" s="330"/>
      <c r="G50" s="320"/>
      <c r="H50" s="320"/>
      <c r="I50" s="320"/>
      <c r="J50" s="320"/>
      <c r="K50" s="320"/>
      <c r="L50" s="320"/>
      <c r="M50" s="320"/>
      <c r="N50" s="320"/>
      <c r="O50" s="320"/>
      <c r="P50" s="320"/>
      <c r="Q50" s="320"/>
      <c r="R50" s="313"/>
      <c r="S50" s="312"/>
      <c r="T50" s="311"/>
      <c r="U50" s="310"/>
      <c r="V50" s="311">
        <f>IF(NOT(ISERROR(MATCH(U50,_xlfn.ANCHORARRAY(E61),0))),T63&amp;"Por favor no seleccionar los criterios de impacto",U50)</f>
        <v>0</v>
      </c>
      <c r="W50" s="312"/>
      <c r="X50" s="311"/>
      <c r="Y50" s="324"/>
      <c r="Z50" s="200">
        <v>2</v>
      </c>
      <c r="AA50" s="173"/>
      <c r="AB50" s="175" t="str">
        <f>IF(OR(AC50="Preventivo",AC50="Detectivo"),"Probabilidad",IF(AC50="Correctivo","Impacto",""))</f>
        <v/>
      </c>
      <c r="AC50" s="176"/>
      <c r="AD50" s="176"/>
      <c r="AE50" s="177" t="str">
        <f t="shared" ref="AE50:AE54" si="54">IF(AND(AC50="Preventivo",AD50="Automático"),"50%",IF(AND(AC50="Preventivo",AD50="Manual"),"40%",IF(AND(AC50="Detectivo",AD50="Automático"),"40%",IF(AND(AC50="Detectivo",AD50="Manual"),"30%",IF(AND(AC50="Correctivo",AD50="Automático"),"35%",IF(AND(AC50="Correctivo",AD50="Manual"),"25%",""))))))</f>
        <v/>
      </c>
      <c r="AF50" s="176"/>
      <c r="AG50" s="176"/>
      <c r="AH50" s="176"/>
      <c r="AI50" s="178" t="str">
        <f>IFERROR(IF(AND(AB49="Probabilidad",AB50="Probabilidad"),(AK49-(+AK49*AE50)),IF(AB50="Probabilidad",(T49-(+T49*AE50)),IF(AB50="Impacto",AK49,""))),"")</f>
        <v/>
      </c>
      <c r="AJ50" s="179" t="str">
        <f t="shared" si="2"/>
        <v/>
      </c>
      <c r="AK50" s="177" t="str">
        <f t="shared" ref="AK50:AK54" si="55">+AI50</f>
        <v/>
      </c>
      <c r="AL50" s="179" t="str">
        <f t="shared" si="4"/>
        <v/>
      </c>
      <c r="AM50" s="177" t="str">
        <f t="shared" ref="AM50" si="56">IFERROR(IF(AND(AB49="Impacto",AB50="Impacto"),(AM49-(+AM49*AE50)),IF(AB50="Impacto",($X$13-(+$X$13*AE50)),IF(AB50="Probabilidad",AM49,""))),"")</f>
        <v/>
      </c>
      <c r="AN50" s="180" t="str">
        <f t="shared" ref="AN50:AN51" si="57">IFERROR(IF(OR(AND(AJ50="Muy Baja",AL50="Leve"),AND(AJ50="Muy Baja",AL50="Menor"),AND(AJ50="Baja",AL50="Leve")),"Bajo",IF(OR(AND(AJ50="Muy baja",AL50="Moderado"),AND(AJ50="Baja",AL50="Menor"),AND(AJ50="Baja",AL50="Moderado"),AND(AJ50="Media",AL50="Leve"),AND(AJ50="Media",AL50="Menor"),AND(AJ50="Media",AL50="Moderado"),AND(AJ50="Alta",AL50="Leve"),AND(AJ50="Alta",AL50="Menor")),"Moderado",IF(OR(AND(AJ50="Muy Baja",AL50="Mayor"),AND(AJ50="Baja",AL50="Mayor"),AND(AJ50="Media",AL50="Mayor"),AND(AJ50="Alta",AL50="Moderado"),AND(AJ50="Alta",AL50="Mayor"),AND(AJ50="Muy Alta",AL50="Leve"),AND(AJ50="Muy Alta",AL50="Menor"),AND(AJ50="Muy Alta",AL50="Moderado"),AND(AJ50="Muy Alta",AL50="Mayor")),"Alto",IF(OR(AND(AJ50="Muy Baja",AL50="Catastrófico"),AND(AJ50="Baja",AL50="Catastrófico"),AND(AJ50="Media",AL50="Catastrófico"),AND(AJ50="Alta",AL50="Catastrófico"),AND(AJ50="Muy Alta",AL50="Catastrófico")),"Extremo","")))),"")</f>
        <v/>
      </c>
      <c r="AO50" s="181"/>
      <c r="AP50" s="172"/>
      <c r="AQ50" s="182"/>
      <c r="AR50" s="182"/>
      <c r="AS50" s="183"/>
      <c r="AT50" s="313"/>
      <c r="AU50" s="313"/>
      <c r="AV50" s="313"/>
    </row>
    <row r="51" spans="1:48" ht="37.5" customHeight="1" x14ac:dyDescent="0.2">
      <c r="A51" s="329"/>
      <c r="B51" s="330"/>
      <c r="C51" s="330"/>
      <c r="D51" s="334"/>
      <c r="E51" s="330"/>
      <c r="F51" s="330"/>
      <c r="G51" s="320"/>
      <c r="H51" s="320"/>
      <c r="I51" s="320"/>
      <c r="J51" s="320"/>
      <c r="K51" s="320"/>
      <c r="L51" s="320"/>
      <c r="M51" s="320"/>
      <c r="N51" s="320"/>
      <c r="O51" s="320"/>
      <c r="P51" s="320"/>
      <c r="Q51" s="320"/>
      <c r="R51" s="313"/>
      <c r="S51" s="312"/>
      <c r="T51" s="311"/>
      <c r="U51" s="310"/>
      <c r="V51" s="311">
        <f>IF(NOT(ISERROR(MATCH(U51,_xlfn.ANCHORARRAY(E62),0))),T64&amp;"Por favor no seleccionar los criterios de impacto",U51)</f>
        <v>0</v>
      </c>
      <c r="W51" s="312"/>
      <c r="X51" s="311"/>
      <c r="Y51" s="324"/>
      <c r="Z51" s="200">
        <v>3</v>
      </c>
      <c r="AA51" s="174"/>
      <c r="AB51" s="175" t="str">
        <f>IF(OR(AC51="Preventivo",AC51="Detectivo"),"Probabilidad",IF(AC51="Correctivo","Impacto",""))</f>
        <v/>
      </c>
      <c r="AC51" s="176"/>
      <c r="AD51" s="176"/>
      <c r="AE51" s="177" t="str">
        <f t="shared" si="54"/>
        <v/>
      </c>
      <c r="AF51" s="176"/>
      <c r="AG51" s="176"/>
      <c r="AH51" s="176"/>
      <c r="AI51" s="178" t="str">
        <f>IFERROR(IF(AND(AB50="Probabilidad",AB51="Probabilidad"),(AK50-(+AK50*AE51)),IF(AND(AB50="Impacto",AB51="Probabilidad"),(AK49-(+AK49*AE51)),IF(AB51="Impacto",AK50,""))),"")</f>
        <v/>
      </c>
      <c r="AJ51" s="179" t="str">
        <f t="shared" si="2"/>
        <v/>
      </c>
      <c r="AK51" s="177" t="str">
        <f t="shared" si="55"/>
        <v/>
      </c>
      <c r="AL51" s="179" t="str">
        <f t="shared" si="4"/>
        <v/>
      </c>
      <c r="AM51" s="177" t="str">
        <f t="shared" ref="AM51" si="58">IFERROR(IF(AND(AB50="Impacto",AB51="Impacto"),(AM50-(+AM50*AE51)),IF(AND(AB50="Probabilidad",AB51="Impacto"),(AM49-(+AM49*AE51)),IF(AB51="Probabilidad",AM50,""))),"")</f>
        <v/>
      </c>
      <c r="AN51" s="180" t="str">
        <f t="shared" si="57"/>
        <v/>
      </c>
      <c r="AO51" s="181"/>
      <c r="AP51" s="172"/>
      <c r="AQ51" s="182"/>
      <c r="AR51" s="182"/>
      <c r="AS51" s="183"/>
      <c r="AT51" s="313"/>
      <c r="AU51" s="313"/>
      <c r="AV51" s="313"/>
    </row>
    <row r="52" spans="1:48" ht="37.5" customHeight="1" x14ac:dyDescent="0.2">
      <c r="A52" s="329"/>
      <c r="B52" s="330"/>
      <c r="C52" s="330"/>
      <c r="D52" s="334"/>
      <c r="E52" s="330"/>
      <c r="F52" s="330"/>
      <c r="G52" s="320"/>
      <c r="H52" s="320"/>
      <c r="I52" s="320"/>
      <c r="J52" s="320"/>
      <c r="K52" s="320"/>
      <c r="L52" s="320"/>
      <c r="M52" s="320"/>
      <c r="N52" s="320"/>
      <c r="O52" s="320"/>
      <c r="P52" s="320"/>
      <c r="Q52" s="320"/>
      <c r="R52" s="313"/>
      <c r="S52" s="312"/>
      <c r="T52" s="311"/>
      <c r="U52" s="310"/>
      <c r="V52" s="311">
        <f>IF(NOT(ISERROR(MATCH(U52,_xlfn.ANCHORARRAY(E63),0))),T65&amp;"Por favor no seleccionar los criterios de impacto",U52)</f>
        <v>0</v>
      </c>
      <c r="W52" s="312"/>
      <c r="X52" s="311"/>
      <c r="Y52" s="324"/>
      <c r="Z52" s="200">
        <v>4</v>
      </c>
      <c r="AA52" s="173"/>
      <c r="AB52" s="175" t="str">
        <f t="shared" ref="AB52:AB54" si="59">IF(OR(AC52="Preventivo",AC52="Detectivo"),"Probabilidad",IF(AC52="Correctivo","Impacto",""))</f>
        <v/>
      </c>
      <c r="AC52" s="176"/>
      <c r="AD52" s="176"/>
      <c r="AE52" s="177" t="str">
        <f t="shared" si="54"/>
        <v/>
      </c>
      <c r="AF52" s="176"/>
      <c r="AG52" s="176"/>
      <c r="AH52" s="176"/>
      <c r="AI52" s="178" t="str">
        <f t="shared" ref="AI52:AI54" si="60">IFERROR(IF(AND(AB51="Probabilidad",AB52="Probabilidad"),(AK51-(+AK51*AE52)),IF(AND(AB51="Impacto",AB52="Probabilidad"),(AK50-(+AK50*AE52)),IF(AB52="Impacto",AK51,""))),"")</f>
        <v/>
      </c>
      <c r="AJ52" s="179" t="str">
        <f t="shared" si="2"/>
        <v/>
      </c>
      <c r="AK52" s="177" t="str">
        <f t="shared" si="55"/>
        <v/>
      </c>
      <c r="AL52" s="179" t="str">
        <f t="shared" si="4"/>
        <v/>
      </c>
      <c r="AM52" s="177" t="str">
        <f t="shared" si="13"/>
        <v/>
      </c>
      <c r="AN52" s="180" t="str">
        <f>IFERROR(IF(OR(AND(AJ52="Muy Baja",AL52="Leve"),AND(AJ52="Muy Baja",AL52="Menor"),AND(AJ52="Baja",AL52="Leve")),"Bajo",IF(OR(AND(AJ52="Muy baja",AL52="Moderado"),AND(AJ52="Baja",AL52="Menor"),AND(AJ52="Baja",AL52="Moderado"),AND(AJ52="Media",AL52="Leve"),AND(AJ52="Media",AL52="Menor"),AND(AJ52="Media",AL52="Moderado"),AND(AJ52="Alta",AL52="Leve"),AND(AJ52="Alta",AL52="Menor")),"Moderado",IF(OR(AND(AJ52="Muy Baja",AL52="Mayor"),AND(AJ52="Baja",AL52="Mayor"),AND(AJ52="Media",AL52="Mayor"),AND(AJ52="Alta",AL52="Moderado"),AND(AJ52="Alta",AL52="Mayor"),AND(AJ52="Muy Alta",AL52="Leve"),AND(AJ52="Muy Alta",AL52="Menor"),AND(AJ52="Muy Alta",AL52="Moderado"),AND(AJ52="Muy Alta",AL52="Mayor")),"Alto",IF(OR(AND(AJ52="Muy Baja",AL52="Catastrófico"),AND(AJ52="Baja",AL52="Catastrófico"),AND(AJ52="Media",AL52="Catastrófico"),AND(AJ52="Alta",AL52="Catastrófico"),AND(AJ52="Muy Alta",AL52="Catastrófico")),"Extremo","")))),"")</f>
        <v/>
      </c>
      <c r="AO52" s="181"/>
      <c r="AP52" s="172"/>
      <c r="AQ52" s="182"/>
      <c r="AR52" s="182"/>
      <c r="AS52" s="183"/>
      <c r="AT52" s="313"/>
      <c r="AU52" s="313"/>
      <c r="AV52" s="313"/>
    </row>
    <row r="53" spans="1:48" ht="37.5" customHeight="1" x14ac:dyDescent="0.2">
      <c r="A53" s="329"/>
      <c r="B53" s="330"/>
      <c r="C53" s="330"/>
      <c r="D53" s="334"/>
      <c r="E53" s="330"/>
      <c r="F53" s="330"/>
      <c r="G53" s="320"/>
      <c r="H53" s="320"/>
      <c r="I53" s="320"/>
      <c r="J53" s="320"/>
      <c r="K53" s="320"/>
      <c r="L53" s="320"/>
      <c r="M53" s="320"/>
      <c r="N53" s="320"/>
      <c r="O53" s="320"/>
      <c r="P53" s="320"/>
      <c r="Q53" s="320"/>
      <c r="R53" s="313"/>
      <c r="S53" s="312"/>
      <c r="T53" s="311"/>
      <c r="U53" s="310"/>
      <c r="V53" s="311">
        <f>IF(NOT(ISERROR(MATCH(U53,_xlfn.ANCHORARRAY(E64),0))),T66&amp;"Por favor no seleccionar los criterios de impacto",U53)</f>
        <v>0</v>
      </c>
      <c r="W53" s="312"/>
      <c r="X53" s="311"/>
      <c r="Y53" s="324"/>
      <c r="Z53" s="200">
        <v>5</v>
      </c>
      <c r="AA53" s="173"/>
      <c r="AB53" s="175" t="str">
        <f t="shared" si="59"/>
        <v/>
      </c>
      <c r="AC53" s="176"/>
      <c r="AD53" s="176"/>
      <c r="AE53" s="177" t="str">
        <f t="shared" si="54"/>
        <v/>
      </c>
      <c r="AF53" s="176"/>
      <c r="AG53" s="176"/>
      <c r="AH53" s="176"/>
      <c r="AI53" s="178" t="str">
        <f t="shared" si="60"/>
        <v/>
      </c>
      <c r="AJ53" s="179" t="str">
        <f t="shared" si="2"/>
        <v/>
      </c>
      <c r="AK53" s="177" t="str">
        <f t="shared" si="55"/>
        <v/>
      </c>
      <c r="AL53" s="179" t="str">
        <f t="shared" si="4"/>
        <v/>
      </c>
      <c r="AM53" s="177" t="str">
        <f t="shared" si="13"/>
        <v/>
      </c>
      <c r="AN53" s="180" t="str">
        <f t="shared" ref="AN53:AN54" si="61">IFERROR(IF(OR(AND(AJ53="Muy Baja",AL53="Leve"),AND(AJ53="Muy Baja",AL53="Menor"),AND(AJ53="Baja",AL53="Leve")),"Bajo",IF(OR(AND(AJ53="Muy baja",AL53="Moderado"),AND(AJ53="Baja",AL53="Menor"),AND(AJ53="Baja",AL53="Moderado"),AND(AJ53="Media",AL53="Leve"),AND(AJ53="Media",AL53="Menor"),AND(AJ53="Media",AL53="Moderado"),AND(AJ53="Alta",AL53="Leve"),AND(AJ53="Alta",AL53="Menor")),"Moderado",IF(OR(AND(AJ53="Muy Baja",AL53="Mayor"),AND(AJ53="Baja",AL53="Mayor"),AND(AJ53="Media",AL53="Mayor"),AND(AJ53="Alta",AL53="Moderado"),AND(AJ53="Alta",AL53="Mayor"),AND(AJ53="Muy Alta",AL53="Leve"),AND(AJ53="Muy Alta",AL53="Menor"),AND(AJ53="Muy Alta",AL53="Moderado"),AND(AJ53="Muy Alta",AL53="Mayor")),"Alto",IF(OR(AND(AJ53="Muy Baja",AL53="Catastrófico"),AND(AJ53="Baja",AL53="Catastrófico"),AND(AJ53="Media",AL53="Catastrófico"),AND(AJ53="Alta",AL53="Catastrófico"),AND(AJ53="Muy Alta",AL53="Catastrófico")),"Extremo","")))),"")</f>
        <v/>
      </c>
      <c r="AO53" s="181"/>
      <c r="AP53" s="172"/>
      <c r="AQ53" s="182"/>
      <c r="AR53" s="182"/>
      <c r="AS53" s="183"/>
      <c r="AT53" s="313"/>
      <c r="AU53" s="313"/>
      <c r="AV53" s="313"/>
    </row>
    <row r="54" spans="1:48" ht="37.5" customHeight="1" x14ac:dyDescent="0.2">
      <c r="A54" s="329"/>
      <c r="B54" s="330"/>
      <c r="C54" s="330"/>
      <c r="D54" s="334"/>
      <c r="E54" s="330"/>
      <c r="F54" s="330"/>
      <c r="G54" s="321"/>
      <c r="H54" s="321"/>
      <c r="I54" s="321"/>
      <c r="J54" s="321"/>
      <c r="K54" s="321"/>
      <c r="L54" s="321"/>
      <c r="M54" s="321"/>
      <c r="N54" s="321"/>
      <c r="O54" s="321"/>
      <c r="P54" s="321"/>
      <c r="Q54" s="321"/>
      <c r="R54" s="313"/>
      <c r="S54" s="312"/>
      <c r="T54" s="311"/>
      <c r="U54" s="310"/>
      <c r="V54" s="311">
        <f>IF(NOT(ISERROR(MATCH(U54,_xlfn.ANCHORARRAY(E65),0))),T67&amp;"Por favor no seleccionar los criterios de impacto",U54)</f>
        <v>0</v>
      </c>
      <c r="W54" s="312"/>
      <c r="X54" s="311"/>
      <c r="Y54" s="324"/>
      <c r="Z54" s="200">
        <v>6</v>
      </c>
      <c r="AA54" s="173"/>
      <c r="AB54" s="175" t="str">
        <f t="shared" si="59"/>
        <v/>
      </c>
      <c r="AC54" s="176"/>
      <c r="AD54" s="176"/>
      <c r="AE54" s="177" t="str">
        <f t="shared" si="54"/>
        <v/>
      </c>
      <c r="AF54" s="176"/>
      <c r="AG54" s="176"/>
      <c r="AH54" s="176"/>
      <c r="AI54" s="178" t="str">
        <f t="shared" si="60"/>
        <v/>
      </c>
      <c r="AJ54" s="179" t="str">
        <f t="shared" si="2"/>
        <v/>
      </c>
      <c r="AK54" s="177" t="str">
        <f t="shared" si="55"/>
        <v/>
      </c>
      <c r="AL54" s="179" t="str">
        <f t="shared" si="4"/>
        <v/>
      </c>
      <c r="AM54" s="177" t="str">
        <f t="shared" si="13"/>
        <v/>
      </c>
      <c r="AN54" s="180" t="str">
        <f t="shared" si="61"/>
        <v/>
      </c>
      <c r="AO54" s="181"/>
      <c r="AP54" s="172"/>
      <c r="AQ54" s="182"/>
      <c r="AR54" s="182"/>
      <c r="AS54" s="183"/>
      <c r="AT54" s="313"/>
      <c r="AU54" s="313"/>
      <c r="AV54" s="313"/>
    </row>
    <row r="55" spans="1:48" ht="37.5" customHeight="1" x14ac:dyDescent="0.2">
      <c r="A55" s="329">
        <v>8</v>
      </c>
      <c r="B55" s="330"/>
      <c r="C55" s="330"/>
      <c r="D55" s="330"/>
      <c r="E55" s="330"/>
      <c r="F55" s="330"/>
      <c r="G55" s="319"/>
      <c r="H55" s="319"/>
      <c r="I55" s="319"/>
      <c r="J55" s="319"/>
      <c r="K55" s="319"/>
      <c r="L55" s="319"/>
      <c r="M55" s="319"/>
      <c r="N55" s="319"/>
      <c r="O55" s="319"/>
      <c r="P55" s="319"/>
      <c r="Q55" s="319"/>
      <c r="R55" s="313"/>
      <c r="S55" s="312" t="str">
        <f>IF(R55&lt;=0,"",IF(R55&lt;=2,"Muy Baja",IF(R55&lt;=24,"Baja",IF(R55&lt;=500,"Media",IF(R55&lt;=5000,"Alta","Muy Alta")))))</f>
        <v/>
      </c>
      <c r="T55" s="311" t="str">
        <f>IF(S55="","",IF(S55="Muy Baja",0.2,IF(S55="Baja",0.4,IF(S55="Media",0.6,IF(S55="Alta",0.8,IF(S55="Muy Alta",1,))))))</f>
        <v/>
      </c>
      <c r="U55" s="310"/>
      <c r="V55" s="311">
        <f>IF(NOT(ISERROR(MATCH(U55,'Tabla Impacto'!$B$222:$B$224,0))),'Tabla Impacto'!$F$224&amp;"Por favor no seleccionar los criterios de impacto(Afectación Económica o presupuestal y Pérdida Reputacional)",U55)</f>
        <v>0</v>
      </c>
      <c r="W55" s="312" t="str">
        <f>IF(OR(V55='Tabla Impacto'!$C$12,V55='Tabla Impacto'!$D$12),"Leve",IF(OR(V55='Tabla Impacto'!$C$13,V55='Tabla Impacto'!$D$13),"Menor",IF(OR(V55='Tabla Impacto'!$C$14,V55='Tabla Impacto'!$D$14),"Moderado",IF(OR(V55='Tabla Impacto'!$C$15,V55='Tabla Impacto'!$D$15),"Mayor",IF(OR(V55='Tabla Impacto'!$C$16,V55='Tabla Impacto'!$D$16),"Catastrófico","")))))</f>
        <v/>
      </c>
      <c r="X55" s="311" t="str">
        <f>IF(W55="","",IF(W55="Leve",0.2,IF(W55="Menor",0.4,IF(W55="Moderado",0.6,IF(W55="Mayor",0.8,IF(W55="Catastrófico",1,))))))</f>
        <v/>
      </c>
      <c r="Y55" s="324" t="str">
        <f>IF(OR(AND(S55="Muy Baja",W55="Leve"),AND(S55="Muy Baja",W55="Menor"),AND(S55="Baja",W55="Leve")),"Bajo",IF(OR(AND(S55="Muy baja",W55="Moderado"),AND(S55="Baja",W55="Menor"),AND(S55="Baja",W55="Moderado"),AND(S55="Media",W55="Leve"),AND(S55="Media",W55="Menor"),AND(S55="Media",W55="Moderado"),AND(S55="Alta",W55="Leve"),AND(S55="Alta",W55="Menor")),"Moderado",IF(OR(AND(S55="Muy Baja",W55="Mayor"),AND(S55="Baja",W55="Mayor"),AND(S55="Media",W55="Mayor"),AND(S55="Alta",W55="Moderado"),AND(S55="Alta",W55="Mayor"),AND(S55="Muy Alta",W55="Leve"),AND(S55="Muy Alta",W55="Menor"),AND(S55="Muy Alta",W55="Moderado"),AND(S55="Muy Alta",W55="Mayor")),"Alto",IF(OR(AND(S55="Muy Baja",W55="Catastrófico"),AND(S55="Baja",W55="Catastrófico"),AND(S55="Media",W55="Catastrófico"),AND(S55="Alta",W55="Catastrófico"),AND(S55="Muy Alta",W55="Catastrófico")),"Extremo",""))))</f>
        <v/>
      </c>
      <c r="Z55" s="200">
        <v>1</v>
      </c>
      <c r="AA55" s="173"/>
      <c r="AB55" s="175" t="str">
        <f>IF(OR(AC55="Preventivo",AC55="Detectivo"),"Probabilidad",IF(AC55="Correctivo","Impacto",""))</f>
        <v/>
      </c>
      <c r="AC55" s="176"/>
      <c r="AD55" s="176"/>
      <c r="AE55" s="177" t="str">
        <f>IF(AND(AC55="Preventivo",AD55="Automático"),"50%",IF(AND(AC55="Preventivo",AD55="Manual"),"40%",IF(AND(AC55="Detectivo",AD55="Automático"),"40%",IF(AND(AC55="Detectivo",AD55="Manual"),"30%",IF(AND(AC55="Correctivo",AD55="Automático"),"35%",IF(AND(AC55="Correctivo",AD55="Manual"),"25%",""))))))</f>
        <v/>
      </c>
      <c r="AF55" s="176"/>
      <c r="AG55" s="176"/>
      <c r="AH55" s="176"/>
      <c r="AI55" s="178" t="str">
        <f>IFERROR(IF(AB55="Probabilidad",(T55-(+T55*AE55)),IF(AB55="Impacto",T55,"")),"")</f>
        <v/>
      </c>
      <c r="AJ55" s="179" t="str">
        <f>IFERROR(IF(AI55="","",IF(AI55&lt;=0.2,"Muy Baja",IF(AI55&lt;=0.4,"Baja",IF(AI55&lt;=0.6,"Media",IF(AI55&lt;=0.8,"Alta","Muy Alta"))))),"")</f>
        <v/>
      </c>
      <c r="AK55" s="177" t="str">
        <f>+AI55</f>
        <v/>
      </c>
      <c r="AL55" s="179" t="str">
        <f>IFERROR(IF(AM55="","",IF(AM55&lt;=0.2,"Leve",IF(AM55&lt;=0.4,"Menor",IF(AM55&lt;=0.6,"Moderado",IF(AM55&lt;=0.8,"Mayor","Catastrófico"))))),"")</f>
        <v/>
      </c>
      <c r="AM55" s="177" t="str">
        <f t="shared" ref="AM55" si="62">IFERROR(IF(AB55="Impacto",(X55-(+X55*AE55)),IF(AB55="Probabilidad",X55,"")),"")</f>
        <v/>
      </c>
      <c r="AN55" s="180" t="str">
        <f>IFERROR(IF(OR(AND(AJ55="Muy Baja",AL55="Leve"),AND(AJ55="Muy Baja",AL55="Menor"),AND(AJ55="Baja",AL55="Leve")),"Bajo",IF(OR(AND(AJ55="Muy baja",AL55="Moderado"),AND(AJ55="Baja",AL55="Menor"),AND(AJ55="Baja",AL55="Moderado"),AND(AJ55="Media",AL55="Leve"),AND(AJ55="Media",AL55="Menor"),AND(AJ55="Media",AL55="Moderado"),AND(AJ55="Alta",AL55="Leve"),AND(AJ55="Alta",AL55="Menor")),"Moderado",IF(OR(AND(AJ55="Muy Baja",AL55="Mayor"),AND(AJ55="Baja",AL55="Mayor"),AND(AJ55="Media",AL55="Mayor"),AND(AJ55="Alta",AL55="Moderado"),AND(AJ55="Alta",AL55="Mayor"),AND(AJ55="Muy Alta",AL55="Leve"),AND(AJ55="Muy Alta",AL55="Menor"),AND(AJ55="Muy Alta",AL55="Moderado"),AND(AJ55="Muy Alta",AL55="Mayor")),"Alto",IF(OR(AND(AJ55="Muy Baja",AL55="Catastrófico"),AND(AJ55="Baja",AL55="Catastrófico"),AND(AJ55="Media",AL55="Catastrófico"),AND(AJ55="Alta",AL55="Catastrófico"),AND(AJ55="Muy Alta",AL55="Catastrófico")),"Extremo","")))),"")</f>
        <v/>
      </c>
      <c r="AO55" s="181"/>
      <c r="AP55" s="172"/>
      <c r="AQ55" s="182"/>
      <c r="AR55" s="182"/>
      <c r="AS55" s="183"/>
      <c r="AT55" s="313"/>
      <c r="AU55" s="313"/>
      <c r="AV55" s="313"/>
    </row>
    <row r="56" spans="1:48" ht="37.5" customHeight="1" x14ac:dyDescent="0.2">
      <c r="A56" s="329"/>
      <c r="B56" s="330"/>
      <c r="C56" s="330"/>
      <c r="D56" s="330"/>
      <c r="E56" s="330"/>
      <c r="F56" s="330"/>
      <c r="G56" s="320"/>
      <c r="H56" s="320"/>
      <c r="I56" s="320"/>
      <c r="J56" s="320"/>
      <c r="K56" s="320"/>
      <c r="L56" s="320"/>
      <c r="M56" s="320"/>
      <c r="N56" s="320"/>
      <c r="O56" s="320"/>
      <c r="P56" s="320"/>
      <c r="Q56" s="320"/>
      <c r="R56" s="313"/>
      <c r="S56" s="312"/>
      <c r="T56" s="311"/>
      <c r="U56" s="310"/>
      <c r="V56" s="311">
        <f>IF(NOT(ISERROR(MATCH(U56,_xlfn.ANCHORARRAY(E67),0))),T69&amp;"Por favor no seleccionar los criterios de impacto",U56)</f>
        <v>0</v>
      </c>
      <c r="W56" s="312"/>
      <c r="X56" s="311"/>
      <c r="Y56" s="324"/>
      <c r="Z56" s="200">
        <v>2</v>
      </c>
      <c r="AA56" s="173"/>
      <c r="AB56" s="175" t="str">
        <f>IF(OR(AC56="Preventivo",AC56="Detectivo"),"Probabilidad",IF(AC56="Correctivo","Impacto",""))</f>
        <v/>
      </c>
      <c r="AC56" s="176"/>
      <c r="AD56" s="176"/>
      <c r="AE56" s="177" t="str">
        <f t="shared" ref="AE56:AE60" si="63">IF(AND(AC56="Preventivo",AD56="Automático"),"50%",IF(AND(AC56="Preventivo",AD56="Manual"),"40%",IF(AND(AC56="Detectivo",AD56="Automático"),"40%",IF(AND(AC56="Detectivo",AD56="Manual"),"30%",IF(AND(AC56="Correctivo",AD56="Automático"),"35%",IF(AND(AC56="Correctivo",AD56="Manual"),"25%",""))))))</f>
        <v/>
      </c>
      <c r="AF56" s="176"/>
      <c r="AG56" s="176"/>
      <c r="AH56" s="176"/>
      <c r="AI56" s="178" t="str">
        <f>IFERROR(IF(AND(AB55="Probabilidad",AB56="Probabilidad"),(AK55-(+AK55*AE56)),IF(AB56="Probabilidad",(T55-(+T55*AE56)),IF(AB56="Impacto",AK55,""))),"")</f>
        <v/>
      </c>
      <c r="AJ56" s="179" t="str">
        <f t="shared" si="2"/>
        <v/>
      </c>
      <c r="AK56" s="177" t="str">
        <f t="shared" ref="AK56:AK60" si="64">+AI56</f>
        <v/>
      </c>
      <c r="AL56" s="179" t="str">
        <f t="shared" si="4"/>
        <v/>
      </c>
      <c r="AM56" s="177" t="str">
        <f t="shared" ref="AM56" si="65">IFERROR(IF(AND(AB55="Impacto",AB56="Impacto"),(AM55-(+AM55*AE56)),IF(AB56="Impacto",($X$13-(+$X$13*AE56)),IF(AB56="Probabilidad",AM55,""))),"")</f>
        <v/>
      </c>
      <c r="AN56" s="180" t="str">
        <f t="shared" ref="AN56:AN57" si="66">IFERROR(IF(OR(AND(AJ56="Muy Baja",AL56="Leve"),AND(AJ56="Muy Baja",AL56="Menor"),AND(AJ56="Baja",AL56="Leve")),"Bajo",IF(OR(AND(AJ56="Muy baja",AL56="Moderado"),AND(AJ56="Baja",AL56="Menor"),AND(AJ56="Baja",AL56="Moderado"),AND(AJ56="Media",AL56="Leve"),AND(AJ56="Media",AL56="Menor"),AND(AJ56="Media",AL56="Moderado"),AND(AJ56="Alta",AL56="Leve"),AND(AJ56="Alta",AL56="Menor")),"Moderado",IF(OR(AND(AJ56="Muy Baja",AL56="Mayor"),AND(AJ56="Baja",AL56="Mayor"),AND(AJ56="Media",AL56="Mayor"),AND(AJ56="Alta",AL56="Moderado"),AND(AJ56="Alta",AL56="Mayor"),AND(AJ56="Muy Alta",AL56="Leve"),AND(AJ56="Muy Alta",AL56="Menor"),AND(AJ56="Muy Alta",AL56="Moderado"),AND(AJ56="Muy Alta",AL56="Mayor")),"Alto",IF(OR(AND(AJ56="Muy Baja",AL56="Catastrófico"),AND(AJ56="Baja",AL56="Catastrófico"),AND(AJ56="Media",AL56="Catastrófico"),AND(AJ56="Alta",AL56="Catastrófico"),AND(AJ56="Muy Alta",AL56="Catastrófico")),"Extremo","")))),"")</f>
        <v/>
      </c>
      <c r="AO56" s="181"/>
      <c r="AP56" s="172"/>
      <c r="AQ56" s="182"/>
      <c r="AR56" s="182"/>
      <c r="AS56" s="183"/>
      <c r="AT56" s="313"/>
      <c r="AU56" s="313"/>
      <c r="AV56" s="313"/>
    </row>
    <row r="57" spans="1:48" ht="37.5" customHeight="1" x14ac:dyDescent="0.2">
      <c r="A57" s="329"/>
      <c r="B57" s="330"/>
      <c r="C57" s="330"/>
      <c r="D57" s="330"/>
      <c r="E57" s="330"/>
      <c r="F57" s="330"/>
      <c r="G57" s="320"/>
      <c r="H57" s="320"/>
      <c r="I57" s="320"/>
      <c r="J57" s="320"/>
      <c r="K57" s="320"/>
      <c r="L57" s="320"/>
      <c r="M57" s="320"/>
      <c r="N57" s="320"/>
      <c r="O57" s="320"/>
      <c r="P57" s="320"/>
      <c r="Q57" s="320"/>
      <c r="R57" s="313"/>
      <c r="S57" s="312"/>
      <c r="T57" s="311"/>
      <c r="U57" s="310"/>
      <c r="V57" s="311">
        <f>IF(NOT(ISERROR(MATCH(U57,_xlfn.ANCHORARRAY(E68),0))),T70&amp;"Por favor no seleccionar los criterios de impacto",U57)</f>
        <v>0</v>
      </c>
      <c r="W57" s="312"/>
      <c r="X57" s="311"/>
      <c r="Y57" s="324"/>
      <c r="Z57" s="200">
        <v>3</v>
      </c>
      <c r="AA57" s="174"/>
      <c r="AB57" s="175" t="str">
        <f>IF(OR(AC57="Preventivo",AC57="Detectivo"),"Probabilidad",IF(AC57="Correctivo","Impacto",""))</f>
        <v/>
      </c>
      <c r="AC57" s="176"/>
      <c r="AD57" s="176"/>
      <c r="AE57" s="177" t="str">
        <f t="shared" si="63"/>
        <v/>
      </c>
      <c r="AF57" s="176"/>
      <c r="AG57" s="176"/>
      <c r="AH57" s="176"/>
      <c r="AI57" s="178" t="str">
        <f>IFERROR(IF(AND(AB56="Probabilidad",AB57="Probabilidad"),(AK56-(+AK56*AE57)),IF(AND(AB56="Impacto",AB57="Probabilidad"),(AK55-(+AK55*AE57)),IF(AB57="Impacto",AK56,""))),"")</f>
        <v/>
      </c>
      <c r="AJ57" s="179" t="str">
        <f t="shared" si="2"/>
        <v/>
      </c>
      <c r="AK57" s="177" t="str">
        <f t="shared" si="64"/>
        <v/>
      </c>
      <c r="AL57" s="179" t="str">
        <f t="shared" si="4"/>
        <v/>
      </c>
      <c r="AM57" s="177" t="str">
        <f t="shared" ref="AM57" si="67">IFERROR(IF(AND(AB56="Impacto",AB57="Impacto"),(AM56-(+AM56*AE57)),IF(AND(AB56="Probabilidad",AB57="Impacto"),(AM55-(+AM55*AE57)),IF(AB57="Probabilidad",AM56,""))),"")</f>
        <v/>
      </c>
      <c r="AN57" s="180" t="str">
        <f t="shared" si="66"/>
        <v/>
      </c>
      <c r="AO57" s="181"/>
      <c r="AP57" s="172"/>
      <c r="AQ57" s="182"/>
      <c r="AR57" s="182"/>
      <c r="AS57" s="183"/>
      <c r="AT57" s="313"/>
      <c r="AU57" s="313"/>
      <c r="AV57" s="313"/>
    </row>
    <row r="58" spans="1:48" ht="37.5" customHeight="1" x14ac:dyDescent="0.2">
      <c r="A58" s="329"/>
      <c r="B58" s="330"/>
      <c r="C58" s="330"/>
      <c r="D58" s="330"/>
      <c r="E58" s="330"/>
      <c r="F58" s="330"/>
      <c r="G58" s="320"/>
      <c r="H58" s="320"/>
      <c r="I58" s="320"/>
      <c r="J58" s="320"/>
      <c r="K58" s="320"/>
      <c r="L58" s="320"/>
      <c r="M58" s="320"/>
      <c r="N58" s="320"/>
      <c r="O58" s="320"/>
      <c r="P58" s="320"/>
      <c r="Q58" s="320"/>
      <c r="R58" s="313"/>
      <c r="S58" s="312"/>
      <c r="T58" s="311"/>
      <c r="U58" s="310"/>
      <c r="V58" s="311">
        <f>IF(NOT(ISERROR(MATCH(U58,_xlfn.ANCHORARRAY(E69),0))),T71&amp;"Por favor no seleccionar los criterios de impacto",U58)</f>
        <v>0</v>
      </c>
      <c r="W58" s="312"/>
      <c r="X58" s="311"/>
      <c r="Y58" s="324"/>
      <c r="Z58" s="200">
        <v>4</v>
      </c>
      <c r="AA58" s="173"/>
      <c r="AB58" s="175" t="str">
        <f t="shared" ref="AB58:AB60" si="68">IF(OR(AC58="Preventivo",AC58="Detectivo"),"Probabilidad",IF(AC58="Correctivo","Impacto",""))</f>
        <v/>
      </c>
      <c r="AC58" s="176"/>
      <c r="AD58" s="176"/>
      <c r="AE58" s="177" t="str">
        <f t="shared" si="63"/>
        <v/>
      </c>
      <c r="AF58" s="176"/>
      <c r="AG58" s="176"/>
      <c r="AH58" s="176"/>
      <c r="AI58" s="178" t="str">
        <f t="shared" ref="AI58:AI60" si="69">IFERROR(IF(AND(AB57="Probabilidad",AB58="Probabilidad"),(AK57-(+AK57*AE58)),IF(AND(AB57="Impacto",AB58="Probabilidad"),(AK56-(+AK56*AE58)),IF(AB58="Impacto",AK57,""))),"")</f>
        <v/>
      </c>
      <c r="AJ58" s="179" t="str">
        <f t="shared" si="2"/>
        <v/>
      </c>
      <c r="AK58" s="177" t="str">
        <f t="shared" si="64"/>
        <v/>
      </c>
      <c r="AL58" s="179" t="str">
        <f t="shared" si="4"/>
        <v/>
      </c>
      <c r="AM58" s="177" t="str">
        <f t="shared" si="13"/>
        <v/>
      </c>
      <c r="AN58" s="180" t="str">
        <f>IFERROR(IF(OR(AND(AJ58="Muy Baja",AL58="Leve"),AND(AJ58="Muy Baja",AL58="Menor"),AND(AJ58="Baja",AL58="Leve")),"Bajo",IF(OR(AND(AJ58="Muy baja",AL58="Moderado"),AND(AJ58="Baja",AL58="Menor"),AND(AJ58="Baja",AL58="Moderado"),AND(AJ58="Media",AL58="Leve"),AND(AJ58="Media",AL58="Menor"),AND(AJ58="Media",AL58="Moderado"),AND(AJ58="Alta",AL58="Leve"),AND(AJ58="Alta",AL58="Menor")),"Moderado",IF(OR(AND(AJ58="Muy Baja",AL58="Mayor"),AND(AJ58="Baja",AL58="Mayor"),AND(AJ58="Media",AL58="Mayor"),AND(AJ58="Alta",AL58="Moderado"),AND(AJ58="Alta",AL58="Mayor"),AND(AJ58="Muy Alta",AL58="Leve"),AND(AJ58="Muy Alta",AL58="Menor"),AND(AJ58="Muy Alta",AL58="Moderado"),AND(AJ58="Muy Alta",AL58="Mayor")),"Alto",IF(OR(AND(AJ58="Muy Baja",AL58="Catastrófico"),AND(AJ58="Baja",AL58="Catastrófico"),AND(AJ58="Media",AL58="Catastrófico"),AND(AJ58="Alta",AL58="Catastrófico"),AND(AJ58="Muy Alta",AL58="Catastrófico")),"Extremo","")))),"")</f>
        <v/>
      </c>
      <c r="AO58" s="181"/>
      <c r="AP58" s="172"/>
      <c r="AQ58" s="182"/>
      <c r="AR58" s="182"/>
      <c r="AS58" s="183"/>
      <c r="AT58" s="313"/>
      <c r="AU58" s="313"/>
      <c r="AV58" s="313"/>
    </row>
    <row r="59" spans="1:48" ht="37.5" customHeight="1" x14ac:dyDescent="0.2">
      <c r="A59" s="329"/>
      <c r="B59" s="330"/>
      <c r="C59" s="330"/>
      <c r="D59" s="330"/>
      <c r="E59" s="330"/>
      <c r="F59" s="330"/>
      <c r="G59" s="320"/>
      <c r="H59" s="320"/>
      <c r="I59" s="320"/>
      <c r="J59" s="320"/>
      <c r="K59" s="320"/>
      <c r="L59" s="320"/>
      <c r="M59" s="320"/>
      <c r="N59" s="320"/>
      <c r="O59" s="320"/>
      <c r="P59" s="320"/>
      <c r="Q59" s="320"/>
      <c r="R59" s="313"/>
      <c r="S59" s="312"/>
      <c r="T59" s="311"/>
      <c r="U59" s="310"/>
      <c r="V59" s="311">
        <f>IF(NOT(ISERROR(MATCH(U59,_xlfn.ANCHORARRAY(E70),0))),T72&amp;"Por favor no seleccionar los criterios de impacto",U59)</f>
        <v>0</v>
      </c>
      <c r="W59" s="312"/>
      <c r="X59" s="311"/>
      <c r="Y59" s="324"/>
      <c r="Z59" s="200">
        <v>5</v>
      </c>
      <c r="AA59" s="173"/>
      <c r="AB59" s="175" t="str">
        <f t="shared" si="68"/>
        <v/>
      </c>
      <c r="AC59" s="176"/>
      <c r="AD59" s="176"/>
      <c r="AE59" s="177" t="str">
        <f t="shared" si="63"/>
        <v/>
      </c>
      <c r="AF59" s="176"/>
      <c r="AG59" s="176"/>
      <c r="AH59" s="176"/>
      <c r="AI59" s="178" t="str">
        <f t="shared" si="69"/>
        <v/>
      </c>
      <c r="AJ59" s="179" t="str">
        <f t="shared" si="2"/>
        <v/>
      </c>
      <c r="AK59" s="177" t="str">
        <f t="shared" si="64"/>
        <v/>
      </c>
      <c r="AL59" s="179" t="str">
        <f t="shared" si="4"/>
        <v/>
      </c>
      <c r="AM59" s="177" t="str">
        <f t="shared" si="13"/>
        <v/>
      </c>
      <c r="AN59" s="180" t="str">
        <f t="shared" ref="AN59:AN60" si="70">IFERROR(IF(OR(AND(AJ59="Muy Baja",AL59="Leve"),AND(AJ59="Muy Baja",AL59="Menor"),AND(AJ59="Baja",AL59="Leve")),"Bajo",IF(OR(AND(AJ59="Muy baja",AL59="Moderado"),AND(AJ59="Baja",AL59="Menor"),AND(AJ59="Baja",AL59="Moderado"),AND(AJ59="Media",AL59="Leve"),AND(AJ59="Media",AL59="Menor"),AND(AJ59="Media",AL59="Moderado"),AND(AJ59="Alta",AL59="Leve"),AND(AJ59="Alta",AL59="Menor")),"Moderado",IF(OR(AND(AJ59="Muy Baja",AL59="Mayor"),AND(AJ59="Baja",AL59="Mayor"),AND(AJ59="Media",AL59="Mayor"),AND(AJ59="Alta",AL59="Moderado"),AND(AJ59="Alta",AL59="Mayor"),AND(AJ59="Muy Alta",AL59="Leve"),AND(AJ59="Muy Alta",AL59="Menor"),AND(AJ59="Muy Alta",AL59="Moderado"),AND(AJ59="Muy Alta",AL59="Mayor")),"Alto",IF(OR(AND(AJ59="Muy Baja",AL59="Catastrófico"),AND(AJ59="Baja",AL59="Catastrófico"),AND(AJ59="Media",AL59="Catastrófico"),AND(AJ59="Alta",AL59="Catastrófico"),AND(AJ59="Muy Alta",AL59="Catastrófico")),"Extremo","")))),"")</f>
        <v/>
      </c>
      <c r="AO59" s="181"/>
      <c r="AP59" s="172"/>
      <c r="AQ59" s="182"/>
      <c r="AR59" s="182"/>
      <c r="AS59" s="183"/>
      <c r="AT59" s="313"/>
      <c r="AU59" s="313"/>
      <c r="AV59" s="313"/>
    </row>
    <row r="60" spans="1:48" ht="37.5" customHeight="1" x14ac:dyDescent="0.2">
      <c r="A60" s="329"/>
      <c r="B60" s="330"/>
      <c r="C60" s="330"/>
      <c r="D60" s="330"/>
      <c r="E60" s="330"/>
      <c r="F60" s="330"/>
      <c r="G60" s="321"/>
      <c r="H60" s="321"/>
      <c r="I60" s="321"/>
      <c r="J60" s="321"/>
      <c r="K60" s="321"/>
      <c r="L60" s="321"/>
      <c r="M60" s="321"/>
      <c r="N60" s="321"/>
      <c r="O60" s="321"/>
      <c r="P60" s="321"/>
      <c r="Q60" s="321"/>
      <c r="R60" s="313"/>
      <c r="S60" s="312"/>
      <c r="T60" s="311"/>
      <c r="U60" s="310"/>
      <c r="V60" s="311">
        <f>IF(NOT(ISERROR(MATCH(U60,_xlfn.ANCHORARRAY(E71),0))),U73&amp;"Por favor no seleccionar los criterios de impacto",U60)</f>
        <v>0</v>
      </c>
      <c r="W60" s="312"/>
      <c r="X60" s="311"/>
      <c r="Y60" s="324"/>
      <c r="Z60" s="200">
        <v>6</v>
      </c>
      <c r="AA60" s="173"/>
      <c r="AB60" s="175" t="str">
        <f t="shared" si="68"/>
        <v/>
      </c>
      <c r="AC60" s="176"/>
      <c r="AD60" s="176"/>
      <c r="AE60" s="177" t="str">
        <f t="shared" si="63"/>
        <v/>
      </c>
      <c r="AF60" s="176"/>
      <c r="AG60" s="176"/>
      <c r="AH60" s="176"/>
      <c r="AI60" s="178" t="str">
        <f t="shared" si="69"/>
        <v/>
      </c>
      <c r="AJ60" s="179" t="str">
        <f t="shared" si="2"/>
        <v/>
      </c>
      <c r="AK60" s="177" t="str">
        <f t="shared" si="64"/>
        <v/>
      </c>
      <c r="AL60" s="179" t="str">
        <f t="shared" si="4"/>
        <v/>
      </c>
      <c r="AM60" s="177" t="str">
        <f t="shared" si="13"/>
        <v/>
      </c>
      <c r="AN60" s="180" t="str">
        <f t="shared" si="70"/>
        <v/>
      </c>
      <c r="AO60" s="181"/>
      <c r="AP60" s="172"/>
      <c r="AQ60" s="182"/>
      <c r="AR60" s="182"/>
      <c r="AS60" s="183"/>
      <c r="AT60" s="313"/>
      <c r="AU60" s="313"/>
      <c r="AV60" s="313"/>
    </row>
    <row r="61" spans="1:48" ht="37.5" customHeight="1" x14ac:dyDescent="0.2">
      <c r="A61" s="329">
        <v>9</v>
      </c>
      <c r="B61" s="330"/>
      <c r="C61" s="330"/>
      <c r="D61" s="330"/>
      <c r="E61" s="330"/>
      <c r="F61" s="330"/>
      <c r="G61" s="319"/>
      <c r="H61" s="319"/>
      <c r="I61" s="319"/>
      <c r="J61" s="319"/>
      <c r="K61" s="319"/>
      <c r="L61" s="319"/>
      <c r="M61" s="207"/>
      <c r="N61" s="207"/>
      <c r="O61" s="207"/>
      <c r="P61" s="319"/>
      <c r="Q61" s="319"/>
      <c r="R61" s="313"/>
      <c r="S61" s="312" t="str">
        <f>IF(R61&lt;=0,"",IF(R61&lt;=2,"Muy Baja",IF(R61&lt;=24,"Baja",IF(R61&lt;=500,"Media",IF(R61&lt;=5000,"Alta","Muy Alta")))))</f>
        <v/>
      </c>
      <c r="T61" s="311" t="str">
        <f>IF(S61="","",IF(S61="Muy Baja",0.2,IF(S61="Baja",0.4,IF(S61="Media",0.6,IF(S61="Alta",0.8,IF(S61="Muy Alta",1,))))))</f>
        <v/>
      </c>
      <c r="U61" s="310"/>
      <c r="V61" s="311">
        <f>IF(NOT(ISERROR(MATCH(U61,'Tabla Impacto'!$B$222:$B$224,0))),'Tabla Impacto'!$F$224&amp;"Por favor no seleccionar los criterios de impacto(Afectación Económica o presupuestal y Pérdida Reputacional)",U61)</f>
        <v>0</v>
      </c>
      <c r="W61" s="312" t="str">
        <f>IF(OR(V61='Tabla Impacto'!$C$12,V61='Tabla Impacto'!$D$12),"Leve",IF(OR(V61='Tabla Impacto'!$C$13,V61='Tabla Impacto'!$D$13),"Menor",IF(OR(V61='Tabla Impacto'!$C$14,V61='Tabla Impacto'!$D$14),"Moderado",IF(OR(V61='Tabla Impacto'!$C$15,V61='Tabla Impacto'!$D$15),"Mayor",IF(OR(V61='Tabla Impacto'!$C$16,V61='Tabla Impacto'!$D$16),"Catastrófico","")))))</f>
        <v/>
      </c>
      <c r="X61" s="311" t="str">
        <f>IF(W61="","",IF(W61="Leve",0.2,IF(W61="Menor",0.4,IF(W61="Moderado",0.6,IF(W61="Mayor",0.8,IF(W61="Catastrófico",1,))))))</f>
        <v/>
      </c>
      <c r="Y61" s="324" t="str">
        <f>IF(OR(AND(S61="Muy Baja",W61="Leve"),AND(S61="Muy Baja",W61="Menor"),AND(S61="Baja",W61="Leve")),"Bajo",IF(OR(AND(S61="Muy baja",W61="Moderado"),AND(S61="Baja",W61="Menor"),AND(S61="Baja",W61="Moderado"),AND(S61="Media",W61="Leve"),AND(S61="Media",W61="Menor"),AND(S61="Media",W61="Moderado"),AND(S61="Alta",W61="Leve"),AND(S61="Alta",W61="Menor")),"Moderado",IF(OR(AND(S61="Muy Baja",W61="Mayor"),AND(S61="Baja",W61="Mayor"),AND(S61="Media",W61="Mayor"),AND(S61="Alta",W61="Moderado"),AND(S61="Alta",W61="Mayor"),AND(S61="Muy Alta",W61="Leve"),AND(S61="Muy Alta",W61="Menor"),AND(S61="Muy Alta",W61="Moderado"),AND(S61="Muy Alta",W61="Mayor")),"Alto",IF(OR(AND(S61="Muy Baja",W61="Catastrófico"),AND(S61="Baja",W61="Catastrófico"),AND(S61="Media",W61="Catastrófico"),AND(S61="Alta",W61="Catastrófico"),AND(S61="Muy Alta",W61="Catastrófico")),"Extremo",""))))</f>
        <v/>
      </c>
      <c r="Z61" s="200">
        <v>1</v>
      </c>
      <c r="AA61" s="173"/>
      <c r="AB61" s="175" t="str">
        <f>IF(OR(AC61="Preventivo",AC61="Detectivo"),"Probabilidad",IF(AC61="Correctivo","Impacto",""))</f>
        <v/>
      </c>
      <c r="AC61" s="176"/>
      <c r="AD61" s="176"/>
      <c r="AE61" s="177" t="str">
        <f>IF(AND(AC61="Preventivo",AD61="Automático"),"50%",IF(AND(AC61="Preventivo",AD61="Manual"),"40%",IF(AND(AC61="Detectivo",AD61="Automático"),"40%",IF(AND(AC61="Detectivo",AD61="Manual"),"30%",IF(AND(AC61="Correctivo",AD61="Automático"),"35%",IF(AND(AC61="Correctivo",AD61="Manual"),"25%",""))))))</f>
        <v/>
      </c>
      <c r="AF61" s="176"/>
      <c r="AG61" s="176"/>
      <c r="AH61" s="176"/>
      <c r="AI61" s="178" t="str">
        <f>IFERROR(IF(AB61="Probabilidad",(T61-(+T61*AE61)),IF(AB61="Impacto",T61,"")),"")</f>
        <v/>
      </c>
      <c r="AJ61" s="179" t="str">
        <f>IFERROR(IF(AI61="","",IF(AI61&lt;=0.2,"Muy Baja",IF(AI61&lt;=0.4,"Baja",IF(AI61&lt;=0.6,"Media",IF(AI61&lt;=0.8,"Alta","Muy Alta"))))),"")</f>
        <v/>
      </c>
      <c r="AK61" s="177" t="str">
        <f>+AI61</f>
        <v/>
      </c>
      <c r="AL61" s="179" t="str">
        <f>IFERROR(IF(AM61="","",IF(AM61&lt;=0.2,"Leve",IF(AM61&lt;=0.4,"Menor",IF(AM61&lt;=0.6,"Moderado",IF(AM61&lt;=0.8,"Mayor","Catastrófico"))))),"")</f>
        <v/>
      </c>
      <c r="AM61" s="177" t="str">
        <f t="shared" ref="AM61" si="71">IFERROR(IF(AB61="Impacto",(X61-(+X61*AE61)),IF(AB61="Probabilidad",X61,"")),"")</f>
        <v/>
      </c>
      <c r="AN61" s="180" t="str">
        <f>IFERROR(IF(OR(AND(AJ61="Muy Baja",AL61="Leve"),AND(AJ61="Muy Baja",AL61="Menor"),AND(AJ61="Baja",AL61="Leve")),"Bajo",IF(OR(AND(AJ61="Muy baja",AL61="Moderado"),AND(AJ61="Baja",AL61="Menor"),AND(AJ61="Baja",AL61="Moderado"),AND(AJ61="Media",AL61="Leve"),AND(AJ61="Media",AL61="Menor"),AND(AJ61="Media",AL61="Moderado"),AND(AJ61="Alta",AL61="Leve"),AND(AJ61="Alta",AL61="Menor")),"Moderado",IF(OR(AND(AJ61="Muy Baja",AL61="Mayor"),AND(AJ61="Baja",AL61="Mayor"),AND(AJ61="Media",AL61="Mayor"),AND(AJ61="Alta",AL61="Moderado"),AND(AJ61="Alta",AL61="Mayor"),AND(AJ61="Muy Alta",AL61="Leve"),AND(AJ61="Muy Alta",AL61="Menor"),AND(AJ61="Muy Alta",AL61="Moderado"),AND(AJ61="Muy Alta",AL61="Mayor")),"Alto",IF(OR(AND(AJ61="Muy Baja",AL61="Catastrófico"),AND(AJ61="Baja",AL61="Catastrófico"),AND(AJ61="Media",AL61="Catastrófico"),AND(AJ61="Alta",AL61="Catastrófico"),AND(AJ61="Muy Alta",AL61="Catastrófico")),"Extremo","")))),"")</f>
        <v/>
      </c>
      <c r="AO61" s="181"/>
      <c r="AP61" s="172"/>
      <c r="AQ61" s="182"/>
      <c r="AR61" s="182"/>
      <c r="AS61" s="183"/>
      <c r="AT61" s="313"/>
      <c r="AU61" s="313"/>
      <c r="AV61" s="313"/>
    </row>
    <row r="62" spans="1:48" ht="37.5" customHeight="1" x14ac:dyDescent="0.2">
      <c r="A62" s="329"/>
      <c r="B62" s="330"/>
      <c r="C62" s="330"/>
      <c r="D62" s="330"/>
      <c r="E62" s="330"/>
      <c r="F62" s="330"/>
      <c r="G62" s="320"/>
      <c r="H62" s="320"/>
      <c r="I62" s="320"/>
      <c r="J62" s="320"/>
      <c r="K62" s="320"/>
      <c r="L62" s="320"/>
      <c r="M62" s="208"/>
      <c r="N62" s="208"/>
      <c r="O62" s="208"/>
      <c r="P62" s="320"/>
      <c r="Q62" s="320"/>
      <c r="R62" s="313"/>
      <c r="S62" s="312"/>
      <c r="T62" s="311"/>
      <c r="U62" s="310"/>
      <c r="V62" s="311">
        <f>IF(NOT(ISERROR(MATCH(U62,_xlfn.ANCHORARRAY(F73),0))),U75&amp;"Por favor no seleccionar los criterios de impacto",U62)</f>
        <v>0</v>
      </c>
      <c r="W62" s="312"/>
      <c r="X62" s="311"/>
      <c r="Y62" s="324"/>
      <c r="Z62" s="200">
        <v>2</v>
      </c>
      <c r="AA62" s="173"/>
      <c r="AB62" s="175" t="str">
        <f>IF(OR(AC62="Preventivo",AC62="Detectivo"),"Probabilidad",IF(AC62="Correctivo","Impacto",""))</f>
        <v/>
      </c>
      <c r="AC62" s="176"/>
      <c r="AD62" s="176"/>
      <c r="AE62" s="177" t="str">
        <f t="shared" ref="AE62:AE66" si="72">IF(AND(AC62="Preventivo",AD62="Automático"),"50%",IF(AND(AC62="Preventivo",AD62="Manual"),"40%",IF(AND(AC62="Detectivo",AD62="Automático"),"40%",IF(AND(AC62="Detectivo",AD62="Manual"),"30%",IF(AND(AC62="Correctivo",AD62="Automático"),"35%",IF(AND(AC62="Correctivo",AD62="Manual"),"25%",""))))))</f>
        <v/>
      </c>
      <c r="AF62" s="176"/>
      <c r="AG62" s="176"/>
      <c r="AH62" s="176"/>
      <c r="AI62" s="178" t="str">
        <f>IFERROR(IF(AND(AB61="Probabilidad",AB62="Probabilidad"),(AK61-(+AK61*AE62)),IF(AB62="Probabilidad",(T61-(+T61*AE62)),IF(AB62="Impacto",AK61,""))),"")</f>
        <v/>
      </c>
      <c r="AJ62" s="179" t="str">
        <f t="shared" si="2"/>
        <v/>
      </c>
      <c r="AK62" s="177" t="str">
        <f t="shared" ref="AK62:AK66" si="73">+AI62</f>
        <v/>
      </c>
      <c r="AL62" s="179" t="str">
        <f t="shared" si="4"/>
        <v/>
      </c>
      <c r="AM62" s="177" t="str">
        <f t="shared" ref="AM62" si="74">IFERROR(IF(AND(AB61="Impacto",AB62="Impacto"),(AM61-(+AM61*AE62)),IF(AB62="Impacto",($X$13-(+$X$13*AE62)),IF(AB62="Probabilidad",AM61,""))),"")</f>
        <v/>
      </c>
      <c r="AN62" s="180" t="str">
        <f t="shared" ref="AN62:AN63" si="75">IFERROR(IF(OR(AND(AJ62="Muy Baja",AL62="Leve"),AND(AJ62="Muy Baja",AL62="Menor"),AND(AJ62="Baja",AL62="Leve")),"Bajo",IF(OR(AND(AJ62="Muy baja",AL62="Moderado"),AND(AJ62="Baja",AL62="Menor"),AND(AJ62="Baja",AL62="Moderado"),AND(AJ62="Media",AL62="Leve"),AND(AJ62="Media",AL62="Menor"),AND(AJ62="Media",AL62="Moderado"),AND(AJ62="Alta",AL62="Leve"),AND(AJ62="Alta",AL62="Menor")),"Moderado",IF(OR(AND(AJ62="Muy Baja",AL62="Mayor"),AND(AJ62="Baja",AL62="Mayor"),AND(AJ62="Media",AL62="Mayor"),AND(AJ62="Alta",AL62="Moderado"),AND(AJ62="Alta",AL62="Mayor"),AND(AJ62="Muy Alta",AL62="Leve"),AND(AJ62="Muy Alta",AL62="Menor"),AND(AJ62="Muy Alta",AL62="Moderado"),AND(AJ62="Muy Alta",AL62="Mayor")),"Alto",IF(OR(AND(AJ62="Muy Baja",AL62="Catastrófico"),AND(AJ62="Baja",AL62="Catastrófico"),AND(AJ62="Media",AL62="Catastrófico"),AND(AJ62="Alta",AL62="Catastrófico"),AND(AJ62="Muy Alta",AL62="Catastrófico")),"Extremo","")))),"")</f>
        <v/>
      </c>
      <c r="AO62" s="181"/>
      <c r="AP62" s="172"/>
      <c r="AQ62" s="182"/>
      <c r="AR62" s="182"/>
      <c r="AS62" s="183"/>
      <c r="AT62" s="313"/>
      <c r="AU62" s="313"/>
      <c r="AV62" s="313"/>
    </row>
    <row r="63" spans="1:48" ht="37.5" customHeight="1" x14ac:dyDescent="0.2">
      <c r="A63" s="329"/>
      <c r="B63" s="330"/>
      <c r="C63" s="330"/>
      <c r="D63" s="330"/>
      <c r="E63" s="330"/>
      <c r="F63" s="330"/>
      <c r="G63" s="320"/>
      <c r="H63" s="320"/>
      <c r="I63" s="320"/>
      <c r="J63" s="320"/>
      <c r="K63" s="320"/>
      <c r="L63" s="320"/>
      <c r="M63" s="208"/>
      <c r="N63" s="208"/>
      <c r="O63" s="208"/>
      <c r="P63" s="320"/>
      <c r="Q63" s="320"/>
      <c r="R63" s="313"/>
      <c r="S63" s="312"/>
      <c r="T63" s="311"/>
      <c r="U63" s="310"/>
      <c r="V63" s="311">
        <f>IF(NOT(ISERROR(MATCH(U63,_xlfn.ANCHORARRAY(F74),0))),U76&amp;"Por favor no seleccionar los criterios de impacto",U63)</f>
        <v>0</v>
      </c>
      <c r="W63" s="312"/>
      <c r="X63" s="311"/>
      <c r="Y63" s="324"/>
      <c r="Z63" s="200">
        <v>3</v>
      </c>
      <c r="AA63" s="173"/>
      <c r="AB63" s="175" t="str">
        <f>IF(OR(AC63="Preventivo",AC63="Detectivo"),"Probabilidad",IF(AC63="Correctivo","Impacto",""))</f>
        <v/>
      </c>
      <c r="AC63" s="176"/>
      <c r="AD63" s="176"/>
      <c r="AE63" s="177" t="str">
        <f t="shared" si="72"/>
        <v/>
      </c>
      <c r="AF63" s="176"/>
      <c r="AG63" s="176"/>
      <c r="AH63" s="176"/>
      <c r="AI63" s="178" t="str">
        <f>IFERROR(IF(AND(AB62="Probabilidad",AB63="Probabilidad"),(AK62-(+AK62*AE63)),IF(AND(AB62="Impacto",AB63="Probabilidad"),(AK61-(+AK61*AE63)),IF(AB63="Impacto",AK62,""))),"")</f>
        <v/>
      </c>
      <c r="AJ63" s="179" t="str">
        <f t="shared" si="2"/>
        <v/>
      </c>
      <c r="AK63" s="177" t="str">
        <f t="shared" si="73"/>
        <v/>
      </c>
      <c r="AL63" s="179" t="str">
        <f t="shared" si="4"/>
        <v/>
      </c>
      <c r="AM63" s="177" t="str">
        <f t="shared" ref="AM63" si="76">IFERROR(IF(AND(AB62="Impacto",AB63="Impacto"),(AM62-(+AM62*AE63)),IF(AND(AB62="Probabilidad",AB63="Impacto"),(AM61-(+AM61*AE63)),IF(AB63="Probabilidad",AM62,""))),"")</f>
        <v/>
      </c>
      <c r="AN63" s="180" t="str">
        <f t="shared" si="75"/>
        <v/>
      </c>
      <c r="AO63" s="181"/>
      <c r="AP63" s="172"/>
      <c r="AQ63" s="182"/>
      <c r="AR63" s="182"/>
      <c r="AS63" s="183"/>
      <c r="AT63" s="313"/>
      <c r="AU63" s="313"/>
      <c r="AV63" s="313"/>
    </row>
    <row r="64" spans="1:48" ht="37.5" customHeight="1" x14ac:dyDescent="0.2">
      <c r="A64" s="329"/>
      <c r="B64" s="330"/>
      <c r="C64" s="330"/>
      <c r="D64" s="330"/>
      <c r="E64" s="330"/>
      <c r="F64" s="330"/>
      <c r="G64" s="320"/>
      <c r="H64" s="320"/>
      <c r="I64" s="320"/>
      <c r="J64" s="320"/>
      <c r="K64" s="320"/>
      <c r="L64" s="320"/>
      <c r="M64" s="208"/>
      <c r="N64" s="208"/>
      <c r="O64" s="208"/>
      <c r="P64" s="320"/>
      <c r="Q64" s="320"/>
      <c r="R64" s="313"/>
      <c r="S64" s="312"/>
      <c r="T64" s="311"/>
      <c r="U64" s="310"/>
      <c r="V64" s="311">
        <f>IF(NOT(ISERROR(MATCH(U64,_xlfn.ANCHORARRAY(F75),0))),U77&amp;"Por favor no seleccionar los criterios de impacto",U64)</f>
        <v>0</v>
      </c>
      <c r="W64" s="312"/>
      <c r="X64" s="311"/>
      <c r="Y64" s="324"/>
      <c r="Z64" s="200">
        <v>4</v>
      </c>
      <c r="AA64" s="173"/>
      <c r="AB64" s="175" t="str">
        <f t="shared" ref="AB64:AB66" si="77">IF(OR(AC64="Preventivo",AC64="Detectivo"),"Probabilidad",IF(AC64="Correctivo","Impacto",""))</f>
        <v/>
      </c>
      <c r="AC64" s="176"/>
      <c r="AD64" s="176"/>
      <c r="AE64" s="177" t="str">
        <f t="shared" si="72"/>
        <v/>
      </c>
      <c r="AF64" s="176"/>
      <c r="AG64" s="176"/>
      <c r="AH64" s="176"/>
      <c r="AI64" s="178" t="str">
        <f t="shared" ref="AI64:AI66" si="78">IFERROR(IF(AND(AB63="Probabilidad",AB64="Probabilidad"),(AK63-(+AK63*AE64)),IF(AND(AB63="Impacto",AB64="Probabilidad"),(AK62-(+AK62*AE64)),IF(AB64="Impacto",AK63,""))),"")</f>
        <v/>
      </c>
      <c r="AJ64" s="179" t="str">
        <f t="shared" si="2"/>
        <v/>
      </c>
      <c r="AK64" s="177" t="str">
        <f t="shared" si="73"/>
        <v/>
      </c>
      <c r="AL64" s="179" t="str">
        <f t="shared" si="4"/>
        <v/>
      </c>
      <c r="AM64" s="177" t="str">
        <f t="shared" si="13"/>
        <v/>
      </c>
      <c r="AN64" s="180" t="str">
        <f>IFERROR(IF(OR(AND(AJ64="Muy Baja",AL64="Leve"),AND(AJ64="Muy Baja",AL64="Menor"),AND(AJ64="Baja",AL64="Leve")),"Bajo",IF(OR(AND(AJ64="Muy baja",AL64="Moderado"),AND(AJ64="Baja",AL64="Menor"),AND(AJ64="Baja",AL64="Moderado"),AND(AJ64="Media",AL64="Leve"),AND(AJ64="Media",AL64="Menor"),AND(AJ64="Media",AL64="Moderado"),AND(AJ64="Alta",AL64="Leve"),AND(AJ64="Alta",AL64="Menor")),"Moderado",IF(OR(AND(AJ64="Muy Baja",AL64="Mayor"),AND(AJ64="Baja",AL64="Mayor"),AND(AJ64="Media",AL64="Mayor"),AND(AJ64="Alta",AL64="Moderado"),AND(AJ64="Alta",AL64="Mayor"),AND(AJ64="Muy Alta",AL64="Leve"),AND(AJ64="Muy Alta",AL64="Menor"),AND(AJ64="Muy Alta",AL64="Moderado"),AND(AJ64="Muy Alta",AL64="Mayor")),"Alto",IF(OR(AND(AJ64="Muy Baja",AL64="Catastrófico"),AND(AJ64="Baja",AL64="Catastrófico"),AND(AJ64="Media",AL64="Catastrófico"),AND(AJ64="Alta",AL64="Catastrófico"),AND(AJ64="Muy Alta",AL64="Catastrófico")),"Extremo","")))),"")</f>
        <v/>
      </c>
      <c r="AO64" s="181"/>
      <c r="AP64" s="172"/>
      <c r="AQ64" s="182"/>
      <c r="AR64" s="182"/>
      <c r="AS64" s="183"/>
      <c r="AT64" s="313"/>
      <c r="AU64" s="313"/>
      <c r="AV64" s="313"/>
    </row>
    <row r="65" spans="1:48" ht="37.5" customHeight="1" x14ac:dyDescent="0.2">
      <c r="A65" s="329"/>
      <c r="B65" s="330"/>
      <c r="C65" s="330"/>
      <c r="D65" s="330"/>
      <c r="E65" s="330"/>
      <c r="F65" s="330"/>
      <c r="G65" s="320"/>
      <c r="H65" s="320"/>
      <c r="I65" s="320"/>
      <c r="J65" s="320"/>
      <c r="K65" s="320"/>
      <c r="L65" s="320"/>
      <c r="M65" s="208"/>
      <c r="N65" s="208"/>
      <c r="O65" s="208"/>
      <c r="P65" s="320"/>
      <c r="Q65" s="320"/>
      <c r="R65" s="313"/>
      <c r="S65" s="312"/>
      <c r="T65" s="311"/>
      <c r="U65" s="310"/>
      <c r="V65" s="311">
        <f>IF(NOT(ISERROR(MATCH(U65,_xlfn.ANCHORARRAY(F76),0))),U78&amp;"Por favor no seleccionar los criterios de impacto",U65)</f>
        <v>0</v>
      </c>
      <c r="W65" s="312"/>
      <c r="X65" s="311"/>
      <c r="Y65" s="324"/>
      <c r="Z65" s="200">
        <v>5</v>
      </c>
      <c r="AA65" s="173"/>
      <c r="AB65" s="175" t="str">
        <f t="shared" si="77"/>
        <v/>
      </c>
      <c r="AC65" s="176"/>
      <c r="AD65" s="176"/>
      <c r="AE65" s="177" t="str">
        <f t="shared" si="72"/>
        <v/>
      </c>
      <c r="AF65" s="176"/>
      <c r="AG65" s="176"/>
      <c r="AH65" s="176"/>
      <c r="AI65" s="178" t="str">
        <f t="shared" si="78"/>
        <v/>
      </c>
      <c r="AJ65" s="179" t="str">
        <f t="shared" si="2"/>
        <v/>
      </c>
      <c r="AK65" s="177" t="str">
        <f t="shared" si="73"/>
        <v/>
      </c>
      <c r="AL65" s="179" t="str">
        <f t="shared" si="4"/>
        <v/>
      </c>
      <c r="AM65" s="177" t="str">
        <f t="shared" si="13"/>
        <v/>
      </c>
      <c r="AN65" s="180" t="str">
        <f t="shared" ref="AN65:AN66" si="79">IFERROR(IF(OR(AND(AJ65="Muy Baja",AL65="Leve"),AND(AJ65="Muy Baja",AL65="Menor"),AND(AJ65="Baja",AL65="Leve")),"Bajo",IF(OR(AND(AJ65="Muy baja",AL65="Moderado"),AND(AJ65="Baja",AL65="Menor"),AND(AJ65="Baja",AL65="Moderado"),AND(AJ65="Media",AL65="Leve"),AND(AJ65="Media",AL65="Menor"),AND(AJ65="Media",AL65="Moderado"),AND(AJ65="Alta",AL65="Leve"),AND(AJ65="Alta",AL65="Menor")),"Moderado",IF(OR(AND(AJ65="Muy Baja",AL65="Mayor"),AND(AJ65="Baja",AL65="Mayor"),AND(AJ65="Media",AL65="Mayor"),AND(AJ65="Alta",AL65="Moderado"),AND(AJ65="Alta",AL65="Mayor"),AND(AJ65="Muy Alta",AL65="Leve"),AND(AJ65="Muy Alta",AL65="Menor"),AND(AJ65="Muy Alta",AL65="Moderado"),AND(AJ65="Muy Alta",AL65="Mayor")),"Alto",IF(OR(AND(AJ65="Muy Baja",AL65="Catastrófico"),AND(AJ65="Baja",AL65="Catastrófico"),AND(AJ65="Media",AL65="Catastrófico"),AND(AJ65="Alta",AL65="Catastrófico"),AND(AJ65="Muy Alta",AL65="Catastrófico")),"Extremo","")))),"")</f>
        <v/>
      </c>
      <c r="AO65" s="181"/>
      <c r="AP65" s="172"/>
      <c r="AQ65" s="182"/>
      <c r="AR65" s="182"/>
      <c r="AS65" s="183"/>
      <c r="AT65" s="313"/>
      <c r="AU65" s="313"/>
      <c r="AV65" s="313"/>
    </row>
    <row r="66" spans="1:48" ht="37.5" customHeight="1" x14ac:dyDescent="0.2">
      <c r="A66" s="329"/>
      <c r="B66" s="330"/>
      <c r="C66" s="330"/>
      <c r="D66" s="330"/>
      <c r="E66" s="330"/>
      <c r="F66" s="330"/>
      <c r="G66" s="321"/>
      <c r="H66" s="321"/>
      <c r="I66" s="321"/>
      <c r="J66" s="321"/>
      <c r="K66" s="321"/>
      <c r="L66" s="321"/>
      <c r="M66" s="209"/>
      <c r="N66" s="209"/>
      <c r="O66" s="209"/>
      <c r="P66" s="321"/>
      <c r="Q66" s="321"/>
      <c r="R66" s="313"/>
      <c r="S66" s="312"/>
      <c r="T66" s="311"/>
      <c r="U66" s="310"/>
      <c r="V66" s="311">
        <f>IF(NOT(ISERROR(MATCH(U66,_xlfn.ANCHORARRAY(F77),0))),U79&amp;"Por favor no seleccionar los criterios de impacto",U66)</f>
        <v>0</v>
      </c>
      <c r="W66" s="312"/>
      <c r="X66" s="311"/>
      <c r="Y66" s="324"/>
      <c r="Z66" s="200">
        <v>6</v>
      </c>
      <c r="AA66" s="173"/>
      <c r="AB66" s="175" t="str">
        <f t="shared" si="77"/>
        <v/>
      </c>
      <c r="AC66" s="176"/>
      <c r="AD66" s="176"/>
      <c r="AE66" s="177" t="str">
        <f t="shared" si="72"/>
        <v/>
      </c>
      <c r="AF66" s="176"/>
      <c r="AG66" s="176"/>
      <c r="AH66" s="176"/>
      <c r="AI66" s="178" t="str">
        <f t="shared" si="78"/>
        <v/>
      </c>
      <c r="AJ66" s="179" t="str">
        <f t="shared" si="2"/>
        <v/>
      </c>
      <c r="AK66" s="177" t="str">
        <f t="shared" si="73"/>
        <v/>
      </c>
      <c r="AL66" s="179" t="str">
        <f t="shared" si="4"/>
        <v/>
      </c>
      <c r="AM66" s="177" t="str">
        <f t="shared" si="13"/>
        <v/>
      </c>
      <c r="AN66" s="180" t="str">
        <f t="shared" si="79"/>
        <v/>
      </c>
      <c r="AO66" s="181"/>
      <c r="AP66" s="172"/>
      <c r="AQ66" s="182"/>
      <c r="AR66" s="182"/>
      <c r="AS66" s="183"/>
      <c r="AT66" s="313"/>
      <c r="AU66" s="313"/>
      <c r="AV66" s="313"/>
    </row>
    <row r="67" spans="1:48" ht="37.5" customHeight="1" x14ac:dyDescent="0.2">
      <c r="A67" s="329">
        <v>10</v>
      </c>
      <c r="B67" s="330"/>
      <c r="C67" s="330"/>
      <c r="D67" s="330"/>
      <c r="E67" s="330"/>
      <c r="F67" s="330"/>
      <c r="G67" s="319"/>
      <c r="H67" s="319"/>
      <c r="I67" s="319"/>
      <c r="J67" s="319"/>
      <c r="K67" s="319"/>
      <c r="L67" s="319"/>
      <c r="M67" s="207"/>
      <c r="N67" s="207"/>
      <c r="O67" s="207"/>
      <c r="P67" s="319"/>
      <c r="Q67" s="319"/>
      <c r="R67" s="313"/>
      <c r="S67" s="312" t="str">
        <f>IF(R67&lt;=0,"",IF(R67&lt;=2,"Muy Baja",IF(R67&lt;=24,"Baja",IF(R67&lt;=500,"Media",IF(R67&lt;=5000,"Alta","Muy Alta")))))</f>
        <v/>
      </c>
      <c r="T67" s="311" t="str">
        <f>IF(S67="","",IF(S67="Muy Baja",0.2,IF(S67="Baja",0.4,IF(S67="Media",0.6,IF(S67="Alta",0.8,IF(S67="Muy Alta",1,))))))</f>
        <v/>
      </c>
      <c r="U67" s="310"/>
      <c r="V67" s="311">
        <f>IF(NOT(ISERROR(MATCH(U67,'Tabla Impacto'!$B$222:$B$224,0))),'Tabla Impacto'!$F$224&amp;"Por favor no seleccionar los criterios de impacto(Afectación Económica o presupuestal y Pérdida Reputacional)",U67)</f>
        <v>0</v>
      </c>
      <c r="W67" s="312" t="str">
        <f>IF(OR(V67='Tabla Impacto'!$C$12,V67='Tabla Impacto'!$D$12),"Leve",IF(OR(V67='Tabla Impacto'!$C$13,V67='Tabla Impacto'!$D$13),"Menor",IF(OR(V67='Tabla Impacto'!$C$14,V67='Tabla Impacto'!$D$14),"Moderado",IF(OR(V67='Tabla Impacto'!$C$15,V67='Tabla Impacto'!$D$15),"Mayor",IF(OR(V67='Tabla Impacto'!$C$16,V67='Tabla Impacto'!$D$16),"Catastrófico","")))))</f>
        <v/>
      </c>
      <c r="X67" s="311" t="str">
        <f>IF(W67="","",IF(W67="Leve",0.2,IF(W67="Menor",0.4,IF(W67="Moderado",0.6,IF(W67="Mayor",0.8,IF(W67="Catastrófico",1,))))))</f>
        <v/>
      </c>
      <c r="Y67" s="324" t="str">
        <f>IF(OR(AND(S67="Muy Baja",W67="Leve"),AND(S67="Muy Baja",W67="Menor"),AND(S67="Baja",W67="Leve")),"Bajo",IF(OR(AND(S67="Muy baja",W67="Moderado"),AND(S67="Baja",W67="Menor"),AND(S67="Baja",W67="Moderado"),AND(S67="Media",W67="Leve"),AND(S67="Media",W67="Menor"),AND(S67="Media",W67="Moderado"),AND(S67="Alta",W67="Leve"),AND(S67="Alta",W67="Menor")),"Moderado",IF(OR(AND(S67="Muy Baja",W67="Mayor"),AND(S67="Baja",W67="Mayor"),AND(S67="Media",W67="Mayor"),AND(S67="Alta",W67="Moderado"),AND(S67="Alta",W67="Mayor"),AND(S67="Muy Alta",W67="Leve"),AND(S67="Muy Alta",W67="Menor"),AND(S67="Muy Alta",W67="Moderado"),AND(S67="Muy Alta",W67="Mayor")),"Alto",IF(OR(AND(S67="Muy Baja",W67="Catastrófico"),AND(S67="Baja",W67="Catastrófico"),AND(S67="Media",W67="Catastrófico"),AND(S67="Alta",W67="Catastrófico"),AND(S67="Muy Alta",W67="Catastrófico")),"Extremo",""))))</f>
        <v/>
      </c>
      <c r="Z67" s="200">
        <v>1</v>
      </c>
      <c r="AA67" s="173"/>
      <c r="AB67" s="175" t="str">
        <f>IF(OR(AC67="Preventivo",AC67="Detectivo"),"Probabilidad",IF(AC67="Correctivo","Impacto",""))</f>
        <v/>
      </c>
      <c r="AC67" s="176"/>
      <c r="AD67" s="176"/>
      <c r="AE67" s="177" t="str">
        <f>IF(AND(AC67="Preventivo",AD67="Automático"),"50%",IF(AND(AC67="Preventivo",AD67="Manual"),"40%",IF(AND(AC67="Detectivo",AD67="Automático"),"40%",IF(AND(AC67="Detectivo",AD67="Manual"),"30%",IF(AND(AC67="Correctivo",AD67="Automático"),"35%",IF(AND(AC67="Correctivo",AD67="Manual"),"25%",""))))))</f>
        <v/>
      </c>
      <c r="AF67" s="176"/>
      <c r="AG67" s="176"/>
      <c r="AH67" s="176"/>
      <c r="AI67" s="178" t="str">
        <f>IFERROR(IF(AB67="Probabilidad",(T67-(+T67*AE67)),IF(AB67="Impacto",T67,"")),"")</f>
        <v/>
      </c>
      <c r="AJ67" s="179" t="str">
        <f>IFERROR(IF(AI67="","",IF(AI67&lt;=0.2,"Muy Baja",IF(AI67&lt;=0.4,"Baja",IF(AI67&lt;=0.6,"Media",IF(AI67&lt;=0.8,"Alta","Muy Alta"))))),"")</f>
        <v/>
      </c>
      <c r="AK67" s="177" t="str">
        <f>+AI67</f>
        <v/>
      </c>
      <c r="AL67" s="179" t="str">
        <f>IFERROR(IF(AM67="","",IF(AM67&lt;=0.2,"Leve",IF(AM67&lt;=0.4,"Menor",IF(AM67&lt;=0.6,"Moderado",IF(AM67&lt;=0.8,"Mayor","Catastrófico"))))),"")</f>
        <v/>
      </c>
      <c r="AM67" s="177" t="str">
        <f t="shared" ref="AM67" si="80">IFERROR(IF(AB67="Impacto",(X67-(+X67*AE67)),IF(AB67="Probabilidad",X67,"")),"")</f>
        <v/>
      </c>
      <c r="AN67" s="180" t="str">
        <f>IFERROR(IF(OR(AND(AJ67="Muy Baja",AL67="Leve"),AND(AJ67="Muy Baja",AL67="Menor"),AND(AJ67="Baja",AL67="Leve")),"Bajo",IF(OR(AND(AJ67="Muy baja",AL67="Moderado"),AND(AJ67="Baja",AL67="Menor"),AND(AJ67="Baja",AL67="Moderado"),AND(AJ67="Media",AL67="Leve"),AND(AJ67="Media",AL67="Menor"),AND(AJ67="Media",AL67="Moderado"),AND(AJ67="Alta",AL67="Leve"),AND(AJ67="Alta",AL67="Menor")),"Moderado",IF(OR(AND(AJ67="Muy Baja",AL67="Mayor"),AND(AJ67="Baja",AL67="Mayor"),AND(AJ67="Media",AL67="Mayor"),AND(AJ67="Alta",AL67="Moderado"),AND(AJ67="Alta",AL67="Mayor"),AND(AJ67="Muy Alta",AL67="Leve"),AND(AJ67="Muy Alta",AL67="Menor"),AND(AJ67="Muy Alta",AL67="Moderado"),AND(AJ67="Muy Alta",AL67="Mayor")),"Alto",IF(OR(AND(AJ67="Muy Baja",AL67="Catastrófico"),AND(AJ67="Baja",AL67="Catastrófico"),AND(AJ67="Media",AL67="Catastrófico"),AND(AJ67="Alta",AL67="Catastrófico"),AND(AJ67="Muy Alta",AL67="Catastrófico")),"Extremo","")))),"")</f>
        <v/>
      </c>
      <c r="AO67" s="181"/>
      <c r="AP67" s="172"/>
      <c r="AQ67" s="182"/>
      <c r="AR67" s="182"/>
      <c r="AS67" s="183"/>
      <c r="AT67" s="313"/>
      <c r="AU67" s="313"/>
      <c r="AV67" s="313"/>
    </row>
    <row r="68" spans="1:48" ht="37.5" customHeight="1" x14ac:dyDescent="0.2">
      <c r="A68" s="329"/>
      <c r="B68" s="330"/>
      <c r="C68" s="330"/>
      <c r="D68" s="330"/>
      <c r="E68" s="330"/>
      <c r="F68" s="330"/>
      <c r="G68" s="320"/>
      <c r="H68" s="320"/>
      <c r="I68" s="320"/>
      <c r="J68" s="320"/>
      <c r="K68" s="320"/>
      <c r="L68" s="320"/>
      <c r="M68" s="208"/>
      <c r="N68" s="208"/>
      <c r="O68" s="208"/>
      <c r="P68" s="320"/>
      <c r="Q68" s="320"/>
      <c r="R68" s="313"/>
      <c r="S68" s="312"/>
      <c r="T68" s="311"/>
      <c r="U68" s="310"/>
      <c r="V68" s="311">
        <f>IF(NOT(ISERROR(MATCH(U68,_xlfn.ANCHORARRAY(F79),0))),U81&amp;"Por favor no seleccionar los criterios de impacto",U68)</f>
        <v>0</v>
      </c>
      <c r="W68" s="312"/>
      <c r="X68" s="311"/>
      <c r="Y68" s="324"/>
      <c r="Z68" s="200">
        <v>2</v>
      </c>
      <c r="AA68" s="173"/>
      <c r="AB68" s="175" t="str">
        <f>IF(OR(AC68="Preventivo",AC68="Detectivo"),"Probabilidad",IF(AC68="Correctivo","Impacto",""))</f>
        <v/>
      </c>
      <c r="AC68" s="176"/>
      <c r="AD68" s="176"/>
      <c r="AE68" s="177" t="str">
        <f t="shared" ref="AE68:AE72" si="81">IF(AND(AC68="Preventivo",AD68="Automático"),"50%",IF(AND(AC68="Preventivo",AD68="Manual"),"40%",IF(AND(AC68="Detectivo",AD68="Automático"),"40%",IF(AND(AC68="Detectivo",AD68="Manual"),"30%",IF(AND(AC68="Correctivo",AD68="Automático"),"35%",IF(AND(AC68="Correctivo",AD68="Manual"),"25%",""))))))</f>
        <v/>
      </c>
      <c r="AF68" s="176"/>
      <c r="AG68" s="176"/>
      <c r="AH68" s="176"/>
      <c r="AI68" s="178" t="str">
        <f>IFERROR(IF(AND(AB67="Probabilidad",AB68="Probabilidad"),(AK67-(+AK67*AE68)),IF(AB68="Probabilidad",(T67-(+T67*AE68)),IF(AB68="Impacto",AK67,""))),"")</f>
        <v/>
      </c>
      <c r="AJ68" s="179" t="str">
        <f t="shared" si="2"/>
        <v/>
      </c>
      <c r="AK68" s="177" t="str">
        <f t="shared" ref="AK68:AK72" si="82">+AI68</f>
        <v/>
      </c>
      <c r="AL68" s="179" t="str">
        <f t="shared" si="4"/>
        <v/>
      </c>
      <c r="AM68" s="177" t="str">
        <f t="shared" ref="AM68" si="83">IFERROR(IF(AND(AB67="Impacto",AB68="Impacto"),(AM67-(+AM67*AE68)),IF(AB68="Impacto",($X$13-(+$X$13*AE68)),IF(AB68="Probabilidad",AM67,""))),"")</f>
        <v/>
      </c>
      <c r="AN68" s="180" t="str">
        <f t="shared" ref="AN68:AN69" si="84">IFERROR(IF(OR(AND(AJ68="Muy Baja",AL68="Leve"),AND(AJ68="Muy Baja",AL68="Menor"),AND(AJ68="Baja",AL68="Leve")),"Bajo",IF(OR(AND(AJ68="Muy baja",AL68="Moderado"),AND(AJ68="Baja",AL68="Menor"),AND(AJ68="Baja",AL68="Moderado"),AND(AJ68="Media",AL68="Leve"),AND(AJ68="Media",AL68="Menor"),AND(AJ68="Media",AL68="Moderado"),AND(AJ68="Alta",AL68="Leve"),AND(AJ68="Alta",AL68="Menor")),"Moderado",IF(OR(AND(AJ68="Muy Baja",AL68="Mayor"),AND(AJ68="Baja",AL68="Mayor"),AND(AJ68="Media",AL68="Mayor"),AND(AJ68="Alta",AL68="Moderado"),AND(AJ68="Alta",AL68="Mayor"),AND(AJ68="Muy Alta",AL68="Leve"),AND(AJ68="Muy Alta",AL68="Menor"),AND(AJ68="Muy Alta",AL68="Moderado"),AND(AJ68="Muy Alta",AL68="Mayor")),"Alto",IF(OR(AND(AJ68="Muy Baja",AL68="Catastrófico"),AND(AJ68="Baja",AL68="Catastrófico"),AND(AJ68="Media",AL68="Catastrófico"),AND(AJ68="Alta",AL68="Catastrófico"),AND(AJ68="Muy Alta",AL68="Catastrófico")),"Extremo","")))),"")</f>
        <v/>
      </c>
      <c r="AO68" s="181"/>
      <c r="AP68" s="172"/>
      <c r="AQ68" s="182"/>
      <c r="AR68" s="182"/>
      <c r="AS68" s="183"/>
      <c r="AT68" s="313"/>
      <c r="AU68" s="313"/>
      <c r="AV68" s="313"/>
    </row>
    <row r="69" spans="1:48" ht="37.5" customHeight="1" x14ac:dyDescent="0.2">
      <c r="A69" s="329"/>
      <c r="B69" s="330"/>
      <c r="C69" s="330"/>
      <c r="D69" s="330"/>
      <c r="E69" s="330"/>
      <c r="F69" s="330"/>
      <c r="G69" s="320"/>
      <c r="H69" s="320"/>
      <c r="I69" s="320"/>
      <c r="J69" s="320"/>
      <c r="K69" s="320"/>
      <c r="L69" s="320"/>
      <c r="M69" s="208"/>
      <c r="N69" s="208"/>
      <c r="O69" s="208"/>
      <c r="P69" s="320"/>
      <c r="Q69" s="320"/>
      <c r="R69" s="313"/>
      <c r="S69" s="312"/>
      <c r="T69" s="311"/>
      <c r="U69" s="310"/>
      <c r="V69" s="311">
        <f>IF(NOT(ISERROR(MATCH(U69,_xlfn.ANCHORARRAY(F80),0))),U82&amp;"Por favor no seleccionar los criterios de impacto",U69)</f>
        <v>0</v>
      </c>
      <c r="W69" s="312"/>
      <c r="X69" s="311"/>
      <c r="Y69" s="324"/>
      <c r="Z69" s="200">
        <v>3</v>
      </c>
      <c r="AA69" s="173"/>
      <c r="AB69" s="175" t="str">
        <f>IF(OR(AC69="Preventivo",AC69="Detectivo"),"Probabilidad",IF(AC69="Correctivo","Impacto",""))</f>
        <v/>
      </c>
      <c r="AC69" s="176"/>
      <c r="AD69" s="176"/>
      <c r="AE69" s="177" t="str">
        <f t="shared" si="81"/>
        <v/>
      </c>
      <c r="AF69" s="176"/>
      <c r="AG69" s="176"/>
      <c r="AH69" s="176"/>
      <c r="AI69" s="178" t="str">
        <f>IFERROR(IF(AND(AB68="Probabilidad",AB69="Probabilidad"),(AK68-(+AK68*AE69)),IF(AND(AB68="Impacto",AB69="Probabilidad"),(AK67-(+AK67*AE69)),IF(AB69="Impacto",AK68,""))),"")</f>
        <v/>
      </c>
      <c r="AJ69" s="179" t="str">
        <f t="shared" si="2"/>
        <v/>
      </c>
      <c r="AK69" s="177" t="str">
        <f t="shared" si="82"/>
        <v/>
      </c>
      <c r="AL69" s="179" t="str">
        <f t="shared" si="4"/>
        <v/>
      </c>
      <c r="AM69" s="177" t="str">
        <f t="shared" ref="AM69" si="85">IFERROR(IF(AND(AB68="Impacto",AB69="Impacto"),(AM68-(+AM68*AE69)),IF(AND(AB68="Probabilidad",AB69="Impacto"),(AM67-(+AM67*AE69)),IF(AB69="Probabilidad",AM68,""))),"")</f>
        <v/>
      </c>
      <c r="AN69" s="180" t="str">
        <f t="shared" si="84"/>
        <v/>
      </c>
      <c r="AO69" s="181"/>
      <c r="AP69" s="172"/>
      <c r="AQ69" s="182"/>
      <c r="AR69" s="182"/>
      <c r="AS69" s="183"/>
      <c r="AT69" s="313"/>
      <c r="AU69" s="313"/>
      <c r="AV69" s="313"/>
    </row>
    <row r="70" spans="1:48" ht="37.5" customHeight="1" x14ac:dyDescent="0.2">
      <c r="A70" s="329"/>
      <c r="B70" s="330"/>
      <c r="C70" s="330"/>
      <c r="D70" s="330"/>
      <c r="E70" s="330"/>
      <c r="F70" s="330"/>
      <c r="G70" s="320"/>
      <c r="H70" s="320"/>
      <c r="I70" s="320"/>
      <c r="J70" s="320"/>
      <c r="K70" s="320"/>
      <c r="L70" s="320"/>
      <c r="M70" s="208"/>
      <c r="N70" s="208"/>
      <c r="O70" s="208"/>
      <c r="P70" s="320"/>
      <c r="Q70" s="320"/>
      <c r="R70" s="313"/>
      <c r="S70" s="312"/>
      <c r="T70" s="311"/>
      <c r="U70" s="310"/>
      <c r="V70" s="311">
        <f>IF(NOT(ISERROR(MATCH(U70,_xlfn.ANCHORARRAY(F81),0))),U83&amp;"Por favor no seleccionar los criterios de impacto",U70)</f>
        <v>0</v>
      </c>
      <c r="W70" s="312"/>
      <c r="X70" s="311"/>
      <c r="Y70" s="324"/>
      <c r="Z70" s="200">
        <v>4</v>
      </c>
      <c r="AA70" s="173"/>
      <c r="AB70" s="175" t="str">
        <f t="shared" ref="AB70:AB72" si="86">IF(OR(AC70="Preventivo",AC70="Detectivo"),"Probabilidad",IF(AC70="Correctivo","Impacto",""))</f>
        <v/>
      </c>
      <c r="AC70" s="176"/>
      <c r="AD70" s="176"/>
      <c r="AE70" s="177" t="str">
        <f t="shared" si="81"/>
        <v/>
      </c>
      <c r="AF70" s="176"/>
      <c r="AG70" s="176"/>
      <c r="AH70" s="176"/>
      <c r="AI70" s="178" t="str">
        <f t="shared" ref="AI70:AI72" si="87">IFERROR(IF(AND(AB69="Probabilidad",AB70="Probabilidad"),(AK69-(+AK69*AE70)),IF(AND(AB69="Impacto",AB70="Probabilidad"),(AK68-(+AK68*AE70)),IF(AB70="Impacto",AK69,""))),"")</f>
        <v/>
      </c>
      <c r="AJ70" s="179" t="str">
        <f t="shared" si="2"/>
        <v/>
      </c>
      <c r="AK70" s="177" t="str">
        <f t="shared" si="82"/>
        <v/>
      </c>
      <c r="AL70" s="179" t="str">
        <f t="shared" si="4"/>
        <v/>
      </c>
      <c r="AM70" s="177" t="str">
        <f t="shared" si="13"/>
        <v/>
      </c>
      <c r="AN70" s="180" t="str">
        <f>IFERROR(IF(OR(AND(AJ70="Muy Baja",AL70="Leve"),AND(AJ70="Muy Baja",AL70="Menor"),AND(AJ70="Baja",AL70="Leve")),"Bajo",IF(OR(AND(AJ70="Muy baja",AL70="Moderado"),AND(AJ70="Baja",AL70="Menor"),AND(AJ70="Baja",AL70="Moderado"),AND(AJ70="Media",AL70="Leve"),AND(AJ70="Media",AL70="Menor"),AND(AJ70="Media",AL70="Moderado"),AND(AJ70="Alta",AL70="Leve"),AND(AJ70="Alta",AL70="Menor")),"Moderado",IF(OR(AND(AJ70="Muy Baja",AL70="Mayor"),AND(AJ70="Baja",AL70="Mayor"),AND(AJ70="Media",AL70="Mayor"),AND(AJ70="Alta",AL70="Moderado"),AND(AJ70="Alta",AL70="Mayor"),AND(AJ70="Muy Alta",AL70="Leve"),AND(AJ70="Muy Alta",AL70="Menor"),AND(AJ70="Muy Alta",AL70="Moderado"),AND(AJ70="Muy Alta",AL70="Mayor")),"Alto",IF(OR(AND(AJ70="Muy Baja",AL70="Catastrófico"),AND(AJ70="Baja",AL70="Catastrófico"),AND(AJ70="Media",AL70="Catastrófico"),AND(AJ70="Alta",AL70="Catastrófico"),AND(AJ70="Muy Alta",AL70="Catastrófico")),"Extremo","")))),"")</f>
        <v/>
      </c>
      <c r="AO70" s="181"/>
      <c r="AP70" s="172"/>
      <c r="AQ70" s="182"/>
      <c r="AR70" s="182"/>
      <c r="AS70" s="183"/>
      <c r="AT70" s="313"/>
      <c r="AU70" s="313"/>
      <c r="AV70" s="313"/>
    </row>
    <row r="71" spans="1:48" ht="37.5" customHeight="1" x14ac:dyDescent="0.2">
      <c r="A71" s="329"/>
      <c r="B71" s="330"/>
      <c r="C71" s="330"/>
      <c r="D71" s="330"/>
      <c r="E71" s="330"/>
      <c r="F71" s="330"/>
      <c r="G71" s="320"/>
      <c r="H71" s="320"/>
      <c r="I71" s="320"/>
      <c r="J71" s="320"/>
      <c r="K71" s="320"/>
      <c r="L71" s="320"/>
      <c r="M71" s="208"/>
      <c r="N71" s="208"/>
      <c r="O71" s="208"/>
      <c r="P71" s="320"/>
      <c r="Q71" s="320"/>
      <c r="R71" s="313"/>
      <c r="S71" s="312"/>
      <c r="T71" s="311"/>
      <c r="U71" s="310"/>
      <c r="V71" s="311">
        <f>IF(NOT(ISERROR(MATCH(U71,_xlfn.ANCHORARRAY(F82),0))),U84&amp;"Por favor no seleccionar los criterios de impacto",U71)</f>
        <v>0</v>
      </c>
      <c r="W71" s="312"/>
      <c r="X71" s="311"/>
      <c r="Y71" s="324"/>
      <c r="Z71" s="200">
        <v>5</v>
      </c>
      <c r="AA71" s="173"/>
      <c r="AB71" s="175" t="str">
        <f t="shared" si="86"/>
        <v/>
      </c>
      <c r="AC71" s="176"/>
      <c r="AD71" s="176"/>
      <c r="AE71" s="177" t="str">
        <f t="shared" si="81"/>
        <v/>
      </c>
      <c r="AF71" s="176"/>
      <c r="AG71" s="176"/>
      <c r="AH71" s="176"/>
      <c r="AI71" s="178" t="str">
        <f t="shared" si="87"/>
        <v/>
      </c>
      <c r="AJ71" s="179" t="str">
        <f t="shared" si="2"/>
        <v/>
      </c>
      <c r="AK71" s="177" t="str">
        <f t="shared" si="82"/>
        <v/>
      </c>
      <c r="AL71" s="179" t="str">
        <f t="shared" si="4"/>
        <v/>
      </c>
      <c r="AM71" s="177" t="str">
        <f t="shared" si="13"/>
        <v/>
      </c>
      <c r="AN71" s="180" t="str">
        <f t="shared" ref="AN71:AN72" si="88">IFERROR(IF(OR(AND(AJ71="Muy Baja",AL71="Leve"),AND(AJ71="Muy Baja",AL71="Menor"),AND(AJ71="Baja",AL71="Leve")),"Bajo",IF(OR(AND(AJ71="Muy baja",AL71="Moderado"),AND(AJ71="Baja",AL71="Menor"),AND(AJ71="Baja",AL71="Moderado"),AND(AJ71="Media",AL71="Leve"),AND(AJ71="Media",AL71="Menor"),AND(AJ71="Media",AL71="Moderado"),AND(AJ71="Alta",AL71="Leve"),AND(AJ71="Alta",AL71="Menor")),"Moderado",IF(OR(AND(AJ71="Muy Baja",AL71="Mayor"),AND(AJ71="Baja",AL71="Mayor"),AND(AJ71="Media",AL71="Mayor"),AND(AJ71="Alta",AL71="Moderado"),AND(AJ71="Alta",AL71="Mayor"),AND(AJ71="Muy Alta",AL71="Leve"),AND(AJ71="Muy Alta",AL71="Menor"),AND(AJ71="Muy Alta",AL71="Moderado"),AND(AJ71="Muy Alta",AL71="Mayor")),"Alto",IF(OR(AND(AJ71="Muy Baja",AL71="Catastrófico"),AND(AJ71="Baja",AL71="Catastrófico"),AND(AJ71="Media",AL71="Catastrófico"),AND(AJ71="Alta",AL71="Catastrófico"),AND(AJ71="Muy Alta",AL71="Catastrófico")),"Extremo","")))),"")</f>
        <v/>
      </c>
      <c r="AO71" s="181"/>
      <c r="AP71" s="172"/>
      <c r="AQ71" s="182"/>
      <c r="AR71" s="182"/>
      <c r="AS71" s="183"/>
      <c r="AT71" s="313"/>
      <c r="AU71" s="313"/>
      <c r="AV71" s="313"/>
    </row>
    <row r="72" spans="1:48" ht="37.5" customHeight="1" x14ac:dyDescent="0.2">
      <c r="A72" s="329"/>
      <c r="B72" s="330"/>
      <c r="C72" s="330"/>
      <c r="D72" s="330"/>
      <c r="E72" s="330"/>
      <c r="F72" s="330"/>
      <c r="G72" s="321"/>
      <c r="H72" s="321"/>
      <c r="I72" s="321"/>
      <c r="J72" s="321"/>
      <c r="K72" s="321"/>
      <c r="L72" s="321"/>
      <c r="M72" s="209"/>
      <c r="N72" s="209"/>
      <c r="O72" s="209"/>
      <c r="P72" s="321"/>
      <c r="Q72" s="321"/>
      <c r="R72" s="313"/>
      <c r="S72" s="312"/>
      <c r="T72" s="311"/>
      <c r="U72" s="310"/>
      <c r="V72" s="311">
        <f>IF(NOT(ISERROR(MATCH(U72,_xlfn.ANCHORARRAY(F83),0))),U85&amp;"Por favor no seleccionar los criterios de impacto",U72)</f>
        <v>0</v>
      </c>
      <c r="W72" s="312"/>
      <c r="X72" s="311"/>
      <c r="Y72" s="324"/>
      <c r="Z72" s="200">
        <v>6</v>
      </c>
      <c r="AA72" s="173"/>
      <c r="AB72" s="175" t="str">
        <f t="shared" si="86"/>
        <v/>
      </c>
      <c r="AC72" s="176"/>
      <c r="AD72" s="176"/>
      <c r="AE72" s="177" t="str">
        <f t="shared" si="81"/>
        <v/>
      </c>
      <c r="AF72" s="176"/>
      <c r="AG72" s="176"/>
      <c r="AH72" s="176"/>
      <c r="AI72" s="178" t="str">
        <f t="shared" si="87"/>
        <v/>
      </c>
      <c r="AJ72" s="179" t="str">
        <f t="shared" si="2"/>
        <v/>
      </c>
      <c r="AK72" s="177" t="str">
        <f t="shared" si="82"/>
        <v/>
      </c>
      <c r="AL72" s="179" t="str">
        <f t="shared" si="4"/>
        <v/>
      </c>
      <c r="AM72" s="177" t="str">
        <f t="shared" si="13"/>
        <v/>
      </c>
      <c r="AN72" s="180" t="str">
        <f t="shared" si="88"/>
        <v/>
      </c>
      <c r="AO72" s="181"/>
      <c r="AP72" s="172"/>
      <c r="AQ72" s="182"/>
      <c r="AR72" s="182"/>
      <c r="AS72" s="183"/>
      <c r="AT72" s="313"/>
      <c r="AU72" s="313"/>
      <c r="AV72" s="313"/>
    </row>
    <row r="73" spans="1:48" ht="49.5" customHeight="1" x14ac:dyDescent="0.2">
      <c r="A73" s="202"/>
      <c r="B73" s="335" t="s">
        <v>246</v>
      </c>
      <c r="C73" s="336"/>
      <c r="D73" s="336"/>
      <c r="E73" s="336"/>
      <c r="F73" s="336"/>
      <c r="G73" s="336"/>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c r="AQ73" s="336"/>
      <c r="AR73" s="336"/>
      <c r="AS73" s="336"/>
      <c r="AT73" s="336"/>
    </row>
    <row r="75" spans="1:48" ht="15.75" x14ac:dyDescent="0.2">
      <c r="A75" s="184"/>
      <c r="B75" s="192" t="s">
        <v>247</v>
      </c>
      <c r="C75" s="184"/>
      <c r="D75" s="184"/>
      <c r="E75" s="184"/>
      <c r="R75" s="184"/>
    </row>
  </sheetData>
  <dataConsolidate/>
  <mergeCells count="343">
    <mergeCell ref="C6:T6"/>
    <mergeCell ref="W6:Y6"/>
    <mergeCell ref="Z6:AR6"/>
    <mergeCell ref="C7:T7"/>
    <mergeCell ref="Z7:AR7"/>
    <mergeCell ref="C8:T8"/>
    <mergeCell ref="Z8:AR8"/>
    <mergeCell ref="A6:B6"/>
    <mergeCell ref="A7:B7"/>
    <mergeCell ref="A8:B8"/>
    <mergeCell ref="A1:C4"/>
    <mergeCell ref="D1:T2"/>
    <mergeCell ref="X1:AR2"/>
    <mergeCell ref="D3:I3"/>
    <mergeCell ref="J3:T3"/>
    <mergeCell ref="X3:AL3"/>
    <mergeCell ref="AM3:AR3"/>
    <mergeCell ref="D4:T4"/>
    <mergeCell ref="X4:AR4"/>
    <mergeCell ref="K10:O10"/>
    <mergeCell ref="P10:Q10"/>
    <mergeCell ref="T10:Z10"/>
    <mergeCell ref="AA10:AI10"/>
    <mergeCell ref="AJ10:AN10"/>
    <mergeCell ref="AO10:AS10"/>
    <mergeCell ref="AT10:AV10"/>
    <mergeCell ref="A11:A12"/>
    <mergeCell ref="B11:B12"/>
    <mergeCell ref="C11:C12"/>
    <mergeCell ref="D11:D12"/>
    <mergeCell ref="E11:E12"/>
    <mergeCell ref="F11:F12"/>
    <mergeCell ref="K11:K12"/>
    <mergeCell ref="L11:L12"/>
    <mergeCell ref="M11:M12"/>
    <mergeCell ref="I11:I12"/>
    <mergeCell ref="J11:J12"/>
    <mergeCell ref="AS11:AS12"/>
    <mergeCell ref="AT11:AT12"/>
    <mergeCell ref="AU11:AU12"/>
    <mergeCell ref="AA11:AA12"/>
    <mergeCell ref="N11:N12"/>
    <mergeCell ref="O11:O12"/>
    <mergeCell ref="V11:V12"/>
    <mergeCell ref="W11:W12"/>
    <mergeCell ref="R11:R12"/>
    <mergeCell ref="S11:S12"/>
    <mergeCell ref="T11:T12"/>
    <mergeCell ref="U11:U12"/>
    <mergeCell ref="X11:X12"/>
    <mergeCell ref="Y11:Y12"/>
    <mergeCell ref="Z11:Z12"/>
    <mergeCell ref="AM11:AM12"/>
    <mergeCell ref="AN11:AN12"/>
    <mergeCell ref="AO11:AO12"/>
    <mergeCell ref="AB11:AB12"/>
    <mergeCell ref="AC11:AH11"/>
    <mergeCell ref="AI11:AI12"/>
    <mergeCell ref="AJ11:AJ12"/>
    <mergeCell ref="AK11:AK12"/>
    <mergeCell ref="AL11:AL12"/>
    <mergeCell ref="R13:R18"/>
    <mergeCell ref="S13:S18"/>
    <mergeCell ref="T13:T18"/>
    <mergeCell ref="U13:U18"/>
    <mergeCell ref="V13:V18"/>
    <mergeCell ref="Y13:Y18"/>
    <mergeCell ref="AT13:AT18"/>
    <mergeCell ref="AU13:AU18"/>
    <mergeCell ref="A13:A18"/>
    <mergeCell ref="B13:B18"/>
    <mergeCell ref="C13:C18"/>
    <mergeCell ref="D13:D18"/>
    <mergeCell ref="E13:E18"/>
    <mergeCell ref="F13:F18"/>
    <mergeCell ref="G13:G18"/>
    <mergeCell ref="H13:H18"/>
    <mergeCell ref="I13:I18"/>
    <mergeCell ref="J13:J18"/>
    <mergeCell ref="AV11:AV12"/>
    <mergeCell ref="AP11:AP12"/>
    <mergeCell ref="AQ11:AQ12"/>
    <mergeCell ref="AR11:AR12"/>
    <mergeCell ref="K19:K24"/>
    <mergeCell ref="L19:L24"/>
    <mergeCell ref="M19:M24"/>
    <mergeCell ref="N19:N24"/>
    <mergeCell ref="O19:O24"/>
    <mergeCell ref="P19:P24"/>
    <mergeCell ref="AT19:AT24"/>
    <mergeCell ref="AU19:AU24"/>
    <mergeCell ref="AV19:AV24"/>
    <mergeCell ref="Y19:Y24"/>
    <mergeCell ref="K13:K18"/>
    <mergeCell ref="L13:L18"/>
    <mergeCell ref="M13:M18"/>
    <mergeCell ref="N13:N18"/>
    <mergeCell ref="O13:O18"/>
    <mergeCell ref="P13:P18"/>
    <mergeCell ref="W13:W18"/>
    <mergeCell ref="X13:X18"/>
    <mergeCell ref="AV13:AV18"/>
    <mergeCell ref="Q13:Q18"/>
    <mergeCell ref="A19:A24"/>
    <mergeCell ref="B19:B24"/>
    <mergeCell ref="C19:C24"/>
    <mergeCell ref="D19:D24"/>
    <mergeCell ref="E19:E24"/>
    <mergeCell ref="F19:F24"/>
    <mergeCell ref="W19:W24"/>
    <mergeCell ref="X19:X24"/>
    <mergeCell ref="Q19:Q24"/>
    <mergeCell ref="R19:R24"/>
    <mergeCell ref="S19:S24"/>
    <mergeCell ref="T19:T24"/>
    <mergeCell ref="U19:U24"/>
    <mergeCell ref="V19:V24"/>
    <mergeCell ref="G19:G24"/>
    <mergeCell ref="H19:H24"/>
    <mergeCell ref="I19:I24"/>
    <mergeCell ref="J19:J24"/>
    <mergeCell ref="K25:K30"/>
    <mergeCell ref="L25:L30"/>
    <mergeCell ref="M25:M30"/>
    <mergeCell ref="N25:N30"/>
    <mergeCell ref="O25:O30"/>
    <mergeCell ref="P25:P30"/>
    <mergeCell ref="A25:A30"/>
    <mergeCell ref="B25:B30"/>
    <mergeCell ref="C25:C30"/>
    <mergeCell ref="D25:D30"/>
    <mergeCell ref="E25:E30"/>
    <mergeCell ref="F25:F30"/>
    <mergeCell ref="G25:G30"/>
    <mergeCell ref="H25:H30"/>
    <mergeCell ref="I25:I30"/>
    <mergeCell ref="J25:J30"/>
    <mergeCell ref="W25:W30"/>
    <mergeCell ref="X25:X30"/>
    <mergeCell ref="Y25:Y30"/>
    <mergeCell ref="AT25:AT30"/>
    <mergeCell ref="AU25:AU30"/>
    <mergeCell ref="AV25:AV30"/>
    <mergeCell ref="Q25:Q30"/>
    <mergeCell ref="R25:R30"/>
    <mergeCell ref="S25:S30"/>
    <mergeCell ref="T25:T30"/>
    <mergeCell ref="U25:U30"/>
    <mergeCell ref="V25:V30"/>
    <mergeCell ref="K31:K36"/>
    <mergeCell ref="L31:L36"/>
    <mergeCell ref="M31:M36"/>
    <mergeCell ref="N31:N36"/>
    <mergeCell ref="O31:O36"/>
    <mergeCell ref="P31:P36"/>
    <mergeCell ref="A31:A36"/>
    <mergeCell ref="B31:B36"/>
    <mergeCell ref="C31:C36"/>
    <mergeCell ref="D31:D36"/>
    <mergeCell ref="E31:E36"/>
    <mergeCell ref="F31:F36"/>
    <mergeCell ref="G31:G36"/>
    <mergeCell ref="H31:H36"/>
    <mergeCell ref="I31:I36"/>
    <mergeCell ref="J31:J36"/>
    <mergeCell ref="W31:W36"/>
    <mergeCell ref="X31:X36"/>
    <mergeCell ref="Y31:Y36"/>
    <mergeCell ref="AT31:AT36"/>
    <mergeCell ref="AU31:AU36"/>
    <mergeCell ref="AV31:AV36"/>
    <mergeCell ref="Q31:Q36"/>
    <mergeCell ref="R31:R36"/>
    <mergeCell ref="S31:S36"/>
    <mergeCell ref="T31:T36"/>
    <mergeCell ref="U31:U36"/>
    <mergeCell ref="V31:V36"/>
    <mergeCell ref="K37:K42"/>
    <mergeCell ref="L37:L42"/>
    <mergeCell ref="M37:M42"/>
    <mergeCell ref="N37:N42"/>
    <mergeCell ref="O37:O42"/>
    <mergeCell ref="P37:P42"/>
    <mergeCell ref="A37:A42"/>
    <mergeCell ref="B37:B42"/>
    <mergeCell ref="C37:C42"/>
    <mergeCell ref="D37:D42"/>
    <mergeCell ref="E37:E42"/>
    <mergeCell ref="F37:F42"/>
    <mergeCell ref="G37:G42"/>
    <mergeCell ref="H37:H42"/>
    <mergeCell ref="I37:I42"/>
    <mergeCell ref="J37:J42"/>
    <mergeCell ref="W37:W42"/>
    <mergeCell ref="X37:X42"/>
    <mergeCell ref="Y37:Y42"/>
    <mergeCell ref="AT37:AT42"/>
    <mergeCell ref="AU37:AU42"/>
    <mergeCell ref="AV37:AV42"/>
    <mergeCell ref="Q37:Q42"/>
    <mergeCell ref="R37:R42"/>
    <mergeCell ref="S37:S42"/>
    <mergeCell ref="T37:T42"/>
    <mergeCell ref="U37:U42"/>
    <mergeCell ref="V37:V42"/>
    <mergeCell ref="K43:K48"/>
    <mergeCell ref="L43:L48"/>
    <mergeCell ref="M43:M48"/>
    <mergeCell ref="N43:N48"/>
    <mergeCell ref="O43:O48"/>
    <mergeCell ref="P43:P48"/>
    <mergeCell ref="A43:A48"/>
    <mergeCell ref="B43:B48"/>
    <mergeCell ref="C43:C48"/>
    <mergeCell ref="D43:D48"/>
    <mergeCell ref="E43:E48"/>
    <mergeCell ref="F43:F48"/>
    <mergeCell ref="G43:G48"/>
    <mergeCell ref="H43:H48"/>
    <mergeCell ref="I43:I48"/>
    <mergeCell ref="J43:J48"/>
    <mergeCell ref="W43:W48"/>
    <mergeCell ref="X43:X48"/>
    <mergeCell ref="Y43:Y48"/>
    <mergeCell ref="AT43:AT48"/>
    <mergeCell ref="AU43:AU48"/>
    <mergeCell ref="AV43:AV48"/>
    <mergeCell ref="Q43:Q48"/>
    <mergeCell ref="R43:R48"/>
    <mergeCell ref="S43:S48"/>
    <mergeCell ref="T43:T48"/>
    <mergeCell ref="U43:U48"/>
    <mergeCell ref="V43:V48"/>
    <mergeCell ref="K49:K54"/>
    <mergeCell ref="L49:L54"/>
    <mergeCell ref="M49:M54"/>
    <mergeCell ref="N49:N54"/>
    <mergeCell ref="O49:O54"/>
    <mergeCell ref="P49:P54"/>
    <mergeCell ref="A49:A54"/>
    <mergeCell ref="B49:B54"/>
    <mergeCell ref="C49:C54"/>
    <mergeCell ref="D49:D54"/>
    <mergeCell ref="E49:E54"/>
    <mergeCell ref="F49:F54"/>
    <mergeCell ref="G49:G54"/>
    <mergeCell ref="H49:H54"/>
    <mergeCell ref="I49:I54"/>
    <mergeCell ref="J49:J54"/>
    <mergeCell ref="W49:W54"/>
    <mergeCell ref="X49:X54"/>
    <mergeCell ref="Y49:Y54"/>
    <mergeCell ref="AT49:AT54"/>
    <mergeCell ref="AU49:AU54"/>
    <mergeCell ref="AV49:AV54"/>
    <mergeCell ref="Q49:Q54"/>
    <mergeCell ref="R49:R54"/>
    <mergeCell ref="S49:S54"/>
    <mergeCell ref="T49:T54"/>
    <mergeCell ref="U49:U54"/>
    <mergeCell ref="V49:V54"/>
    <mergeCell ref="K55:K60"/>
    <mergeCell ref="L55:L60"/>
    <mergeCell ref="M55:M60"/>
    <mergeCell ref="N55:N60"/>
    <mergeCell ref="O55:O60"/>
    <mergeCell ref="P55:P60"/>
    <mergeCell ref="A55:A60"/>
    <mergeCell ref="B55:B60"/>
    <mergeCell ref="C55:C60"/>
    <mergeCell ref="D55:D60"/>
    <mergeCell ref="E55:E60"/>
    <mergeCell ref="F55:F60"/>
    <mergeCell ref="G55:G60"/>
    <mergeCell ref="H55:H60"/>
    <mergeCell ref="I55:I60"/>
    <mergeCell ref="J55:J60"/>
    <mergeCell ref="W55:W60"/>
    <mergeCell ref="X55:X60"/>
    <mergeCell ref="Y55:Y60"/>
    <mergeCell ref="AT55:AT60"/>
    <mergeCell ref="AU55:AU60"/>
    <mergeCell ref="AV55:AV60"/>
    <mergeCell ref="Q55:Q60"/>
    <mergeCell ref="R55:R60"/>
    <mergeCell ref="S55:S60"/>
    <mergeCell ref="T55:T60"/>
    <mergeCell ref="U55:U60"/>
    <mergeCell ref="V55:V60"/>
    <mergeCell ref="Y61:Y66"/>
    <mergeCell ref="K61:K66"/>
    <mergeCell ref="L61:L66"/>
    <mergeCell ref="P61:P66"/>
    <mergeCell ref="Q61:Q66"/>
    <mergeCell ref="R61:R66"/>
    <mergeCell ref="S61:S66"/>
    <mergeCell ref="A61:A66"/>
    <mergeCell ref="B61:B66"/>
    <mergeCell ref="C61:C66"/>
    <mergeCell ref="D61:D66"/>
    <mergeCell ref="E61:E66"/>
    <mergeCell ref="F61:F66"/>
    <mergeCell ref="D67:D72"/>
    <mergeCell ref="E67:E72"/>
    <mergeCell ref="F67:F72"/>
    <mergeCell ref="K67:K72"/>
    <mergeCell ref="T61:T66"/>
    <mergeCell ref="U61:U66"/>
    <mergeCell ref="V61:V66"/>
    <mergeCell ref="W61:W66"/>
    <mergeCell ref="X61:X66"/>
    <mergeCell ref="G67:G72"/>
    <mergeCell ref="H67:H72"/>
    <mergeCell ref="I67:I72"/>
    <mergeCell ref="J67:J72"/>
    <mergeCell ref="G61:G66"/>
    <mergeCell ref="H61:H66"/>
    <mergeCell ref="I61:I66"/>
    <mergeCell ref="J61:J66"/>
    <mergeCell ref="AU67:AU72"/>
    <mergeCell ref="AV67:AV72"/>
    <mergeCell ref="B73:AT73"/>
    <mergeCell ref="A10:J10"/>
    <mergeCell ref="G11:G12"/>
    <mergeCell ref="H11:H12"/>
    <mergeCell ref="U67:U72"/>
    <mergeCell ref="V67:V72"/>
    <mergeCell ref="W67:W72"/>
    <mergeCell ref="X67:X72"/>
    <mergeCell ref="Y67:Y72"/>
    <mergeCell ref="AT67:AT72"/>
    <mergeCell ref="L67:L72"/>
    <mergeCell ref="P67:P72"/>
    <mergeCell ref="Q67:Q72"/>
    <mergeCell ref="R67:R72"/>
    <mergeCell ref="S67:S72"/>
    <mergeCell ref="T67:T72"/>
    <mergeCell ref="AT61:AT66"/>
    <mergeCell ref="AU61:AU66"/>
    <mergeCell ref="AV61:AV66"/>
    <mergeCell ref="A67:A72"/>
    <mergeCell ref="B67:B72"/>
    <mergeCell ref="C67:C72"/>
  </mergeCells>
  <conditionalFormatting sqref="S13 S19">
    <cfRule type="cellIs" dxfId="238" priority="227" operator="equal">
      <formula>"Muy Alta"</formula>
    </cfRule>
    <cfRule type="cellIs" dxfId="237" priority="228" operator="equal">
      <formula>"Alta"</formula>
    </cfRule>
    <cfRule type="cellIs" dxfId="236" priority="229" operator="equal">
      <formula>"Media"</formula>
    </cfRule>
    <cfRule type="cellIs" dxfId="235" priority="230" operator="equal">
      <formula>"Baja"</formula>
    </cfRule>
    <cfRule type="cellIs" dxfId="234" priority="231" operator="equal">
      <formula>"Muy Baja"</formula>
    </cfRule>
  </conditionalFormatting>
  <conditionalFormatting sqref="W13 W19 W25 W31 W37 W43 W49 W55 W61 W67">
    <cfRule type="cellIs" dxfId="233" priority="222" operator="equal">
      <formula>"Catastrófico"</formula>
    </cfRule>
    <cfRule type="cellIs" dxfId="232" priority="223" operator="equal">
      <formula>"Mayor"</formula>
    </cfRule>
    <cfRule type="cellIs" dxfId="231" priority="224" operator="equal">
      <formula>"Moderado"</formula>
    </cfRule>
    <cfRule type="cellIs" dxfId="230" priority="225" operator="equal">
      <formula>"Menor"</formula>
    </cfRule>
    <cfRule type="cellIs" dxfId="229" priority="226" operator="equal">
      <formula>"Leve"</formula>
    </cfRule>
  </conditionalFormatting>
  <conditionalFormatting sqref="Y13">
    <cfRule type="cellIs" dxfId="228" priority="218" operator="equal">
      <formula>"Extremo"</formula>
    </cfRule>
    <cfRule type="cellIs" dxfId="227" priority="219" operator="equal">
      <formula>"Alto"</formula>
    </cfRule>
    <cfRule type="cellIs" dxfId="226" priority="220" operator="equal">
      <formula>"Moderado"</formula>
    </cfRule>
    <cfRule type="cellIs" dxfId="225" priority="221" operator="equal">
      <formula>"Bajo"</formula>
    </cfRule>
  </conditionalFormatting>
  <conditionalFormatting sqref="AJ13:AJ18">
    <cfRule type="cellIs" dxfId="224" priority="213" operator="equal">
      <formula>"Muy Alta"</formula>
    </cfRule>
    <cfRule type="cellIs" dxfId="223" priority="214" operator="equal">
      <formula>"Alta"</formula>
    </cfRule>
    <cfRule type="cellIs" dxfId="222" priority="215" operator="equal">
      <formula>"Media"</formula>
    </cfRule>
    <cfRule type="cellIs" dxfId="221" priority="216" operator="equal">
      <formula>"Baja"</formula>
    </cfRule>
    <cfRule type="cellIs" dxfId="220" priority="217" operator="equal">
      <formula>"Muy Baja"</formula>
    </cfRule>
  </conditionalFormatting>
  <conditionalFormatting sqref="AL13:AL18">
    <cfRule type="cellIs" dxfId="219" priority="208" operator="equal">
      <formula>"Catastrófico"</formula>
    </cfRule>
    <cfRule type="cellIs" dxfId="218" priority="209" operator="equal">
      <formula>"Mayor"</formula>
    </cfRule>
    <cfRule type="cellIs" dxfId="217" priority="210" operator="equal">
      <formula>"Moderado"</formula>
    </cfRule>
    <cfRule type="cellIs" dxfId="216" priority="211" operator="equal">
      <formula>"Menor"</formula>
    </cfRule>
    <cfRule type="cellIs" dxfId="215" priority="212" operator="equal">
      <formula>"Leve"</formula>
    </cfRule>
  </conditionalFormatting>
  <conditionalFormatting sqref="AN13:AN18">
    <cfRule type="cellIs" dxfId="214" priority="204" operator="equal">
      <formula>"Extremo"</formula>
    </cfRule>
    <cfRule type="cellIs" dxfId="213" priority="205" operator="equal">
      <formula>"Alto"</formula>
    </cfRule>
    <cfRule type="cellIs" dxfId="212" priority="206" operator="equal">
      <formula>"Moderado"</formula>
    </cfRule>
    <cfRule type="cellIs" dxfId="211" priority="207" operator="equal">
      <formula>"Bajo"</formula>
    </cfRule>
  </conditionalFormatting>
  <conditionalFormatting sqref="S61">
    <cfRule type="cellIs" dxfId="210" priority="48" operator="equal">
      <formula>"Muy Alta"</formula>
    </cfRule>
    <cfRule type="cellIs" dxfId="209" priority="49" operator="equal">
      <formula>"Alta"</formula>
    </cfRule>
    <cfRule type="cellIs" dxfId="208" priority="50" operator="equal">
      <formula>"Media"</formula>
    </cfRule>
    <cfRule type="cellIs" dxfId="207" priority="51" operator="equal">
      <formula>"Baja"</formula>
    </cfRule>
    <cfRule type="cellIs" dxfId="206" priority="52" operator="equal">
      <formula>"Muy Baja"</formula>
    </cfRule>
  </conditionalFormatting>
  <conditionalFormatting sqref="Y19">
    <cfRule type="cellIs" dxfId="205" priority="200" operator="equal">
      <formula>"Extremo"</formula>
    </cfRule>
    <cfRule type="cellIs" dxfId="204" priority="201" operator="equal">
      <formula>"Alto"</formula>
    </cfRule>
    <cfRule type="cellIs" dxfId="203" priority="202" operator="equal">
      <formula>"Moderado"</formula>
    </cfRule>
    <cfRule type="cellIs" dxfId="202" priority="203" operator="equal">
      <formula>"Bajo"</formula>
    </cfRule>
  </conditionalFormatting>
  <conditionalFormatting sqref="AJ19:AJ24">
    <cfRule type="cellIs" dxfId="201" priority="195" operator="equal">
      <formula>"Muy Alta"</formula>
    </cfRule>
    <cfRule type="cellIs" dxfId="200" priority="196" operator="equal">
      <formula>"Alta"</formula>
    </cfRule>
    <cfRule type="cellIs" dxfId="199" priority="197" operator="equal">
      <formula>"Media"</formula>
    </cfRule>
    <cfRule type="cellIs" dxfId="198" priority="198" operator="equal">
      <formula>"Baja"</formula>
    </cfRule>
    <cfRule type="cellIs" dxfId="197" priority="199" operator="equal">
      <formula>"Muy Baja"</formula>
    </cfRule>
  </conditionalFormatting>
  <conditionalFormatting sqref="AL19:AL24">
    <cfRule type="cellIs" dxfId="196" priority="190" operator="equal">
      <formula>"Catastrófico"</formula>
    </cfRule>
    <cfRule type="cellIs" dxfId="195" priority="191" operator="equal">
      <formula>"Mayor"</formula>
    </cfRule>
    <cfRule type="cellIs" dxfId="194" priority="192" operator="equal">
      <formula>"Moderado"</formula>
    </cfRule>
    <cfRule type="cellIs" dxfId="193" priority="193" operator="equal">
      <formula>"Menor"</formula>
    </cfRule>
    <cfRule type="cellIs" dxfId="192" priority="194" operator="equal">
      <formula>"Leve"</formula>
    </cfRule>
  </conditionalFormatting>
  <conditionalFormatting sqref="AN19:AN24">
    <cfRule type="cellIs" dxfId="191" priority="186" operator="equal">
      <formula>"Extremo"</formula>
    </cfRule>
    <cfRule type="cellIs" dxfId="190" priority="187" operator="equal">
      <formula>"Alto"</formula>
    </cfRule>
    <cfRule type="cellIs" dxfId="189" priority="188" operator="equal">
      <formula>"Moderado"</formula>
    </cfRule>
    <cfRule type="cellIs" dxfId="188" priority="189" operator="equal">
      <formula>"Bajo"</formula>
    </cfRule>
  </conditionalFormatting>
  <conditionalFormatting sqref="S25">
    <cfRule type="cellIs" dxfId="187" priority="181" operator="equal">
      <formula>"Muy Alta"</formula>
    </cfRule>
    <cfRule type="cellIs" dxfId="186" priority="182" operator="equal">
      <formula>"Alta"</formula>
    </cfRule>
    <cfRule type="cellIs" dxfId="185" priority="183" operator="equal">
      <formula>"Media"</formula>
    </cfRule>
    <cfRule type="cellIs" dxfId="184" priority="184" operator="equal">
      <formula>"Baja"</formula>
    </cfRule>
    <cfRule type="cellIs" dxfId="183" priority="185" operator="equal">
      <formula>"Muy Baja"</formula>
    </cfRule>
  </conditionalFormatting>
  <conditionalFormatting sqref="Y25">
    <cfRule type="cellIs" dxfId="182" priority="177" operator="equal">
      <formula>"Extremo"</formula>
    </cfRule>
    <cfRule type="cellIs" dxfId="181" priority="178" operator="equal">
      <formula>"Alto"</formula>
    </cfRule>
    <cfRule type="cellIs" dxfId="180" priority="179" operator="equal">
      <formula>"Moderado"</formula>
    </cfRule>
    <cfRule type="cellIs" dxfId="179" priority="180" operator="equal">
      <formula>"Bajo"</formula>
    </cfRule>
  </conditionalFormatting>
  <conditionalFormatting sqref="AJ25:AJ30">
    <cfRule type="cellIs" dxfId="178" priority="172" operator="equal">
      <formula>"Muy Alta"</formula>
    </cfRule>
    <cfRule type="cellIs" dxfId="177" priority="173" operator="equal">
      <formula>"Alta"</formula>
    </cfRule>
    <cfRule type="cellIs" dxfId="176" priority="174" operator="equal">
      <formula>"Media"</formula>
    </cfRule>
    <cfRule type="cellIs" dxfId="175" priority="175" operator="equal">
      <formula>"Baja"</formula>
    </cfRule>
    <cfRule type="cellIs" dxfId="174" priority="176" operator="equal">
      <formula>"Muy Baja"</formula>
    </cfRule>
  </conditionalFormatting>
  <conditionalFormatting sqref="AL25:AL30">
    <cfRule type="cellIs" dxfId="173" priority="167" operator="equal">
      <formula>"Catastrófico"</formula>
    </cfRule>
    <cfRule type="cellIs" dxfId="172" priority="168" operator="equal">
      <formula>"Mayor"</formula>
    </cfRule>
    <cfRule type="cellIs" dxfId="171" priority="169" operator="equal">
      <formula>"Moderado"</formula>
    </cfRule>
    <cfRule type="cellIs" dxfId="170" priority="170" operator="equal">
      <formula>"Menor"</formula>
    </cfRule>
    <cfRule type="cellIs" dxfId="169" priority="171" operator="equal">
      <formula>"Leve"</formula>
    </cfRule>
  </conditionalFormatting>
  <conditionalFormatting sqref="AN25:AN30">
    <cfRule type="cellIs" dxfId="168" priority="163" operator="equal">
      <formula>"Extremo"</formula>
    </cfRule>
    <cfRule type="cellIs" dxfId="167" priority="164" operator="equal">
      <formula>"Alto"</formula>
    </cfRule>
    <cfRule type="cellIs" dxfId="166" priority="165" operator="equal">
      <formula>"Moderado"</formula>
    </cfRule>
    <cfRule type="cellIs" dxfId="165" priority="166" operator="equal">
      <formula>"Bajo"</formula>
    </cfRule>
  </conditionalFormatting>
  <conditionalFormatting sqref="S31">
    <cfRule type="cellIs" dxfId="164" priority="158" operator="equal">
      <formula>"Muy Alta"</formula>
    </cfRule>
    <cfRule type="cellIs" dxfId="163" priority="159" operator="equal">
      <formula>"Alta"</formula>
    </cfRule>
    <cfRule type="cellIs" dxfId="162" priority="160" operator="equal">
      <formula>"Media"</formula>
    </cfRule>
    <cfRule type="cellIs" dxfId="161" priority="161" operator="equal">
      <formula>"Baja"</formula>
    </cfRule>
    <cfRule type="cellIs" dxfId="160" priority="162" operator="equal">
      <formula>"Muy Baja"</formula>
    </cfRule>
  </conditionalFormatting>
  <conditionalFormatting sqref="Y31">
    <cfRule type="cellIs" dxfId="159" priority="154" operator="equal">
      <formula>"Extremo"</formula>
    </cfRule>
    <cfRule type="cellIs" dxfId="158" priority="155" operator="equal">
      <formula>"Alto"</formula>
    </cfRule>
    <cfRule type="cellIs" dxfId="157" priority="156" operator="equal">
      <formula>"Moderado"</formula>
    </cfRule>
    <cfRule type="cellIs" dxfId="156" priority="157" operator="equal">
      <formula>"Bajo"</formula>
    </cfRule>
  </conditionalFormatting>
  <conditionalFormatting sqref="AJ31:AJ36">
    <cfRule type="cellIs" dxfId="155" priority="149" operator="equal">
      <formula>"Muy Alta"</formula>
    </cfRule>
    <cfRule type="cellIs" dxfId="154" priority="150" operator="equal">
      <formula>"Alta"</formula>
    </cfRule>
    <cfRule type="cellIs" dxfId="153" priority="151" operator="equal">
      <formula>"Media"</formula>
    </cfRule>
    <cfRule type="cellIs" dxfId="152" priority="152" operator="equal">
      <formula>"Baja"</formula>
    </cfRule>
    <cfRule type="cellIs" dxfId="151" priority="153" operator="equal">
      <formula>"Muy Baja"</formula>
    </cfRule>
  </conditionalFormatting>
  <conditionalFormatting sqref="AL31:AL36">
    <cfRule type="cellIs" dxfId="150" priority="144" operator="equal">
      <formula>"Catastrófico"</formula>
    </cfRule>
    <cfRule type="cellIs" dxfId="149" priority="145" operator="equal">
      <formula>"Mayor"</formula>
    </cfRule>
    <cfRule type="cellIs" dxfId="148" priority="146" operator="equal">
      <formula>"Moderado"</formula>
    </cfRule>
    <cfRule type="cellIs" dxfId="147" priority="147" operator="equal">
      <formula>"Menor"</formula>
    </cfRule>
    <cfRule type="cellIs" dxfId="146" priority="148" operator="equal">
      <formula>"Leve"</formula>
    </cfRule>
  </conditionalFormatting>
  <conditionalFormatting sqref="AN31:AN36">
    <cfRule type="cellIs" dxfId="145" priority="140" operator="equal">
      <formula>"Extremo"</formula>
    </cfRule>
    <cfRule type="cellIs" dxfId="144" priority="141" operator="equal">
      <formula>"Alto"</formula>
    </cfRule>
    <cfRule type="cellIs" dxfId="143" priority="142" operator="equal">
      <formula>"Moderado"</formula>
    </cfRule>
    <cfRule type="cellIs" dxfId="142" priority="143" operator="equal">
      <formula>"Bajo"</formula>
    </cfRule>
  </conditionalFormatting>
  <conditionalFormatting sqref="S37">
    <cfRule type="cellIs" dxfId="141" priority="135" operator="equal">
      <formula>"Muy Alta"</formula>
    </cfRule>
    <cfRule type="cellIs" dxfId="140" priority="136" operator="equal">
      <formula>"Alta"</formula>
    </cfRule>
    <cfRule type="cellIs" dxfId="139" priority="137" operator="equal">
      <formula>"Media"</formula>
    </cfRule>
    <cfRule type="cellIs" dxfId="138" priority="138" operator="equal">
      <formula>"Baja"</formula>
    </cfRule>
    <cfRule type="cellIs" dxfId="137" priority="139" operator="equal">
      <formula>"Muy Baja"</formula>
    </cfRule>
  </conditionalFormatting>
  <conditionalFormatting sqref="Y37">
    <cfRule type="cellIs" dxfId="136" priority="131" operator="equal">
      <formula>"Extremo"</formula>
    </cfRule>
    <cfRule type="cellIs" dxfId="135" priority="132" operator="equal">
      <formula>"Alto"</formula>
    </cfRule>
    <cfRule type="cellIs" dxfId="134" priority="133" operator="equal">
      <formula>"Moderado"</formula>
    </cfRule>
    <cfRule type="cellIs" dxfId="133" priority="134" operator="equal">
      <formula>"Bajo"</formula>
    </cfRule>
  </conditionalFormatting>
  <conditionalFormatting sqref="AJ37:AJ42">
    <cfRule type="cellIs" dxfId="132" priority="126" operator="equal">
      <formula>"Muy Alta"</formula>
    </cfRule>
    <cfRule type="cellIs" dxfId="131" priority="127" operator="equal">
      <formula>"Alta"</formula>
    </cfRule>
    <cfRule type="cellIs" dxfId="130" priority="128" operator="equal">
      <formula>"Media"</formula>
    </cfRule>
    <cfRule type="cellIs" dxfId="129" priority="129" operator="equal">
      <formula>"Baja"</formula>
    </cfRule>
    <cfRule type="cellIs" dxfId="128" priority="130" operator="equal">
      <formula>"Muy Baja"</formula>
    </cfRule>
  </conditionalFormatting>
  <conditionalFormatting sqref="AL37:AL42">
    <cfRule type="cellIs" dxfId="127" priority="121" operator="equal">
      <formula>"Catastrófico"</formula>
    </cfRule>
    <cfRule type="cellIs" dxfId="126" priority="122" operator="equal">
      <formula>"Mayor"</formula>
    </cfRule>
    <cfRule type="cellIs" dxfId="125" priority="123" operator="equal">
      <formula>"Moderado"</formula>
    </cfRule>
    <cfRule type="cellIs" dxfId="124" priority="124" operator="equal">
      <formula>"Menor"</formula>
    </cfRule>
    <cfRule type="cellIs" dxfId="123" priority="125" operator="equal">
      <formula>"Leve"</formula>
    </cfRule>
  </conditionalFormatting>
  <conditionalFormatting sqref="AN37:AN42">
    <cfRule type="cellIs" dxfId="122" priority="117" operator="equal">
      <formula>"Extremo"</formula>
    </cfRule>
    <cfRule type="cellIs" dxfId="121" priority="118" operator="equal">
      <formula>"Alto"</formula>
    </cfRule>
    <cfRule type="cellIs" dxfId="120" priority="119" operator="equal">
      <formula>"Moderado"</formula>
    </cfRule>
    <cfRule type="cellIs" dxfId="119" priority="120" operator="equal">
      <formula>"Bajo"</formula>
    </cfRule>
  </conditionalFormatting>
  <conditionalFormatting sqref="S43">
    <cfRule type="cellIs" dxfId="118" priority="112" operator="equal">
      <formula>"Muy Alta"</formula>
    </cfRule>
    <cfRule type="cellIs" dxfId="117" priority="113" operator="equal">
      <formula>"Alta"</formula>
    </cfRule>
    <cfRule type="cellIs" dxfId="116" priority="114" operator="equal">
      <formula>"Media"</formula>
    </cfRule>
    <cfRule type="cellIs" dxfId="115" priority="115" operator="equal">
      <formula>"Baja"</formula>
    </cfRule>
    <cfRule type="cellIs" dxfId="114" priority="116" operator="equal">
      <formula>"Muy Baja"</formula>
    </cfRule>
  </conditionalFormatting>
  <conditionalFormatting sqref="Y43">
    <cfRule type="cellIs" dxfId="113" priority="108" operator="equal">
      <formula>"Extremo"</formula>
    </cfRule>
    <cfRule type="cellIs" dxfId="112" priority="109" operator="equal">
      <formula>"Alto"</formula>
    </cfRule>
    <cfRule type="cellIs" dxfId="111" priority="110" operator="equal">
      <formula>"Moderado"</formula>
    </cfRule>
    <cfRule type="cellIs" dxfId="110" priority="111" operator="equal">
      <formula>"Bajo"</formula>
    </cfRule>
  </conditionalFormatting>
  <conditionalFormatting sqref="AJ43:AJ48">
    <cfRule type="cellIs" dxfId="109" priority="103" operator="equal">
      <formula>"Muy Alta"</formula>
    </cfRule>
    <cfRule type="cellIs" dxfId="108" priority="104" operator="equal">
      <formula>"Alta"</formula>
    </cfRule>
    <cfRule type="cellIs" dxfId="107" priority="105" operator="equal">
      <formula>"Media"</formula>
    </cfRule>
    <cfRule type="cellIs" dxfId="106" priority="106" operator="equal">
      <formula>"Baja"</formula>
    </cfRule>
    <cfRule type="cellIs" dxfId="105" priority="107" operator="equal">
      <formula>"Muy Baja"</formula>
    </cfRule>
  </conditionalFormatting>
  <conditionalFormatting sqref="AL43:AL48">
    <cfRule type="cellIs" dxfId="104" priority="98" operator="equal">
      <formula>"Catastrófico"</formula>
    </cfRule>
    <cfRule type="cellIs" dxfId="103" priority="99" operator="equal">
      <formula>"Mayor"</formula>
    </cfRule>
    <cfRule type="cellIs" dxfId="102" priority="100" operator="equal">
      <formula>"Moderado"</formula>
    </cfRule>
    <cfRule type="cellIs" dxfId="101" priority="101" operator="equal">
      <formula>"Menor"</formula>
    </cfRule>
    <cfRule type="cellIs" dxfId="100" priority="102" operator="equal">
      <formula>"Leve"</formula>
    </cfRule>
  </conditionalFormatting>
  <conditionalFormatting sqref="AN43:AN48">
    <cfRule type="cellIs" dxfId="99" priority="94" operator="equal">
      <formula>"Extremo"</formula>
    </cfRule>
    <cfRule type="cellIs" dxfId="98" priority="95" operator="equal">
      <formula>"Alto"</formula>
    </cfRule>
    <cfRule type="cellIs" dxfId="97" priority="96" operator="equal">
      <formula>"Moderado"</formula>
    </cfRule>
    <cfRule type="cellIs" dxfId="96" priority="97" operator="equal">
      <formula>"Bajo"</formula>
    </cfRule>
  </conditionalFormatting>
  <conditionalFormatting sqref="S49">
    <cfRule type="cellIs" dxfId="95" priority="89" operator="equal">
      <formula>"Muy Alta"</formula>
    </cfRule>
    <cfRule type="cellIs" dxfId="94" priority="90" operator="equal">
      <formula>"Alta"</formula>
    </cfRule>
    <cfRule type="cellIs" dxfId="93" priority="91" operator="equal">
      <formula>"Media"</formula>
    </cfRule>
    <cfRule type="cellIs" dxfId="92" priority="92" operator="equal">
      <formula>"Baja"</formula>
    </cfRule>
    <cfRule type="cellIs" dxfId="91" priority="93" operator="equal">
      <formula>"Muy Baja"</formula>
    </cfRule>
  </conditionalFormatting>
  <conditionalFormatting sqref="Y49">
    <cfRule type="cellIs" dxfId="90" priority="85" operator="equal">
      <formula>"Extremo"</formula>
    </cfRule>
    <cfRule type="cellIs" dxfId="89" priority="86" operator="equal">
      <formula>"Alto"</formula>
    </cfRule>
    <cfRule type="cellIs" dxfId="88" priority="87" operator="equal">
      <formula>"Moderado"</formula>
    </cfRule>
    <cfRule type="cellIs" dxfId="87" priority="88" operator="equal">
      <formula>"Bajo"</formula>
    </cfRule>
  </conditionalFormatting>
  <conditionalFormatting sqref="AJ49:AJ54">
    <cfRule type="cellIs" dxfId="86" priority="80" operator="equal">
      <formula>"Muy Alta"</formula>
    </cfRule>
    <cfRule type="cellIs" dxfId="85" priority="81" operator="equal">
      <formula>"Alta"</formula>
    </cfRule>
    <cfRule type="cellIs" dxfId="84" priority="82" operator="equal">
      <formula>"Media"</formula>
    </cfRule>
    <cfRule type="cellIs" dxfId="83" priority="83" operator="equal">
      <formula>"Baja"</formula>
    </cfRule>
    <cfRule type="cellIs" dxfId="82" priority="84" operator="equal">
      <formula>"Muy Baja"</formula>
    </cfRule>
  </conditionalFormatting>
  <conditionalFormatting sqref="AL49:AL54">
    <cfRule type="cellIs" dxfId="81" priority="75" operator="equal">
      <formula>"Catastrófico"</formula>
    </cfRule>
    <cfRule type="cellIs" dxfId="80" priority="76" operator="equal">
      <formula>"Mayor"</formula>
    </cfRule>
    <cfRule type="cellIs" dxfId="79" priority="77" operator="equal">
      <formula>"Moderado"</formula>
    </cfRule>
    <cfRule type="cellIs" dxfId="78" priority="78" operator="equal">
      <formula>"Menor"</formula>
    </cfRule>
    <cfRule type="cellIs" dxfId="77" priority="79" operator="equal">
      <formula>"Leve"</formula>
    </cfRule>
  </conditionalFormatting>
  <conditionalFormatting sqref="AN49:AN54">
    <cfRule type="cellIs" dxfId="76" priority="71" operator="equal">
      <formula>"Extremo"</formula>
    </cfRule>
    <cfRule type="cellIs" dxfId="75" priority="72" operator="equal">
      <formula>"Alto"</formula>
    </cfRule>
    <cfRule type="cellIs" dxfId="74" priority="73" operator="equal">
      <formula>"Moderado"</formula>
    </cfRule>
    <cfRule type="cellIs" dxfId="73" priority="74" operator="equal">
      <formula>"Bajo"</formula>
    </cfRule>
  </conditionalFormatting>
  <conditionalFormatting sqref="Y55">
    <cfRule type="cellIs" dxfId="72" priority="67" operator="equal">
      <formula>"Extremo"</formula>
    </cfRule>
    <cfRule type="cellIs" dxfId="71" priority="68" operator="equal">
      <formula>"Alto"</formula>
    </cfRule>
    <cfRule type="cellIs" dxfId="70" priority="69" operator="equal">
      <formula>"Moderado"</formula>
    </cfRule>
    <cfRule type="cellIs" dxfId="69" priority="70" operator="equal">
      <formula>"Bajo"</formula>
    </cfRule>
  </conditionalFormatting>
  <conditionalFormatting sqref="AJ55:AJ60">
    <cfRule type="cellIs" dxfId="68" priority="62" operator="equal">
      <formula>"Muy Alta"</formula>
    </cfRule>
    <cfRule type="cellIs" dxfId="67" priority="63" operator="equal">
      <formula>"Alta"</formula>
    </cfRule>
    <cfRule type="cellIs" dxfId="66" priority="64" operator="equal">
      <formula>"Media"</formula>
    </cfRule>
    <cfRule type="cellIs" dxfId="65" priority="65" operator="equal">
      <formula>"Baja"</formula>
    </cfRule>
    <cfRule type="cellIs" dxfId="64" priority="66" operator="equal">
      <formula>"Muy Baja"</formula>
    </cfRule>
  </conditionalFormatting>
  <conditionalFormatting sqref="AL55:AL60">
    <cfRule type="cellIs" dxfId="63" priority="57" operator="equal">
      <formula>"Catastrófico"</formula>
    </cfRule>
    <cfRule type="cellIs" dxfId="62" priority="58" operator="equal">
      <formula>"Mayor"</formula>
    </cfRule>
    <cfRule type="cellIs" dxfId="61" priority="59" operator="equal">
      <formula>"Moderado"</formula>
    </cfRule>
    <cfRule type="cellIs" dxfId="60" priority="60" operator="equal">
      <formula>"Menor"</formula>
    </cfRule>
    <cfRule type="cellIs" dxfId="59" priority="61" operator="equal">
      <formula>"Leve"</formula>
    </cfRule>
  </conditionalFormatting>
  <conditionalFormatting sqref="AN55:AN60">
    <cfRule type="cellIs" dxfId="58" priority="53" operator="equal">
      <formula>"Extremo"</formula>
    </cfRule>
    <cfRule type="cellIs" dxfId="57" priority="54" operator="equal">
      <formula>"Alto"</formula>
    </cfRule>
    <cfRule type="cellIs" dxfId="56" priority="55" operator="equal">
      <formula>"Moderado"</formula>
    </cfRule>
    <cfRule type="cellIs" dxfId="55" priority="56" operator="equal">
      <formula>"Bajo"</formula>
    </cfRule>
  </conditionalFormatting>
  <conditionalFormatting sqref="Y61">
    <cfRule type="cellIs" dxfId="54" priority="44" operator="equal">
      <formula>"Extremo"</formula>
    </cfRule>
    <cfRule type="cellIs" dxfId="53" priority="45" operator="equal">
      <formula>"Alto"</formula>
    </cfRule>
    <cfRule type="cellIs" dxfId="52" priority="46" operator="equal">
      <formula>"Moderado"</formula>
    </cfRule>
    <cfRule type="cellIs" dxfId="51" priority="47" operator="equal">
      <formula>"Bajo"</formula>
    </cfRule>
  </conditionalFormatting>
  <conditionalFormatting sqref="AJ61:AJ66">
    <cfRule type="cellIs" dxfId="50" priority="39" operator="equal">
      <formula>"Muy Alta"</formula>
    </cfRule>
    <cfRule type="cellIs" dxfId="49" priority="40" operator="equal">
      <formula>"Alta"</formula>
    </cfRule>
    <cfRule type="cellIs" dxfId="48" priority="41" operator="equal">
      <formula>"Media"</formula>
    </cfRule>
    <cfRule type="cellIs" dxfId="47" priority="42" operator="equal">
      <formula>"Baja"</formula>
    </cfRule>
    <cfRule type="cellIs" dxfId="46" priority="43" operator="equal">
      <formula>"Muy Baja"</formula>
    </cfRule>
  </conditionalFormatting>
  <conditionalFormatting sqref="AL61:AL66">
    <cfRule type="cellIs" dxfId="45" priority="34" operator="equal">
      <formula>"Catastrófico"</formula>
    </cfRule>
    <cfRule type="cellIs" dxfId="44" priority="35" operator="equal">
      <formula>"Mayor"</formula>
    </cfRule>
    <cfRule type="cellIs" dxfId="43" priority="36" operator="equal">
      <formula>"Moderado"</formula>
    </cfRule>
    <cfRule type="cellIs" dxfId="42" priority="37" operator="equal">
      <formula>"Menor"</formula>
    </cfRule>
    <cfRule type="cellIs" dxfId="41" priority="38" operator="equal">
      <formula>"Leve"</formula>
    </cfRule>
  </conditionalFormatting>
  <conditionalFormatting sqref="AN61:AN66">
    <cfRule type="cellIs" dxfId="40" priority="30" operator="equal">
      <formula>"Extremo"</formula>
    </cfRule>
    <cfRule type="cellIs" dxfId="39" priority="31" operator="equal">
      <formula>"Alto"</formula>
    </cfRule>
    <cfRule type="cellIs" dxfId="38" priority="32" operator="equal">
      <formula>"Moderado"</formula>
    </cfRule>
    <cfRule type="cellIs" dxfId="37" priority="33" operator="equal">
      <formula>"Bajo"</formula>
    </cfRule>
  </conditionalFormatting>
  <conditionalFormatting sqref="S67">
    <cfRule type="cellIs" dxfId="36" priority="25" operator="equal">
      <formula>"Muy Alta"</formula>
    </cfRule>
    <cfRule type="cellIs" dxfId="35" priority="26" operator="equal">
      <formula>"Alta"</formula>
    </cfRule>
    <cfRule type="cellIs" dxfId="34" priority="27" operator="equal">
      <formula>"Media"</formula>
    </cfRule>
    <cfRule type="cellIs" dxfId="33" priority="28" operator="equal">
      <formula>"Baja"</formula>
    </cfRule>
    <cfRule type="cellIs" dxfId="32" priority="29" operator="equal">
      <formula>"Muy Baja"</formula>
    </cfRule>
  </conditionalFormatting>
  <conditionalFormatting sqref="Y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J67:AJ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L67:AL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N67:AN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V13:V72">
    <cfRule type="containsText" dxfId="13" priority="6" operator="containsText" text="❌">
      <formula>NOT(ISERROR(SEARCH("❌",V13)))</formula>
    </cfRule>
  </conditionalFormatting>
  <conditionalFormatting sqref="S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pageMargins left="0.70866141732283472" right="0.70866141732283472" top="0.74803149606299213" bottom="0.74803149606299213" header="0.31496062992125984" footer="0.31496062992125984"/>
  <pageSetup scale="31" orientation="landscape" r:id="rId1"/>
  <headerFooter>
    <oddFooter>&amp;LAvenida Calle 26 No. 69-76,Edificio Elemento ,   Torre Aire , Piso 3, CP-111071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26" max="23"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A8C1405-7A09-4E95-B055-8CDE2DC9E401}">
          <x14:formula1>
            <xm:f>Listas!$H$14:$H$18</xm:f>
          </x14:formula1>
          <xm:sqref>Q13:Q72</xm:sqref>
        </x14:dataValidation>
        <x14:dataValidation type="list" allowBlank="1" showInputMessage="1" showErrorMessage="1" xr:uid="{A2FDF36D-6C37-45BE-83A0-B7225481AF67}">
          <x14:formula1>
            <xm:f>Listas!$H$8:$H$12</xm:f>
          </x14:formula1>
          <xm:sqref>P13:P72</xm:sqref>
        </x14:dataValidation>
        <x14:dataValidation type="list" allowBlank="1" showInputMessage="1" showErrorMessage="1" xr:uid="{2CB3A2A8-EFAF-421A-B7A4-C63DE8EF6EB2}">
          <x14:formula1>
            <xm:f>Intructivo!$C$300:$C$316</xm:f>
          </x14:formula1>
          <xm:sqref>C6:Z6</xm:sqref>
        </x14:dataValidation>
        <x14:dataValidation type="list" allowBlank="1" showInputMessage="1" showErrorMessage="1" xr:uid="{13FF270E-C7F7-4F7E-9518-4F497A987C65}">
          <x14:formula1>
            <xm:f>Listas!$F$8:$F$9</xm:f>
          </x14:formula1>
          <xm:sqref>K13:K72</xm:sqref>
        </x14:dataValidation>
        <x14:dataValidation type="list" allowBlank="1" showInputMessage="1" showErrorMessage="1" xr:uid="{9B15C757-3D2A-4B22-824D-25C10D181F59}">
          <x14:formula1>
            <xm:f>Listas!$B$20:$B$22</xm:f>
          </x14:formula1>
          <xm:sqref>F13:F72</xm:sqref>
        </x14:dataValidation>
        <x14:dataValidation type="custom" allowBlank="1" showInputMessage="1" showErrorMessage="1" error="Recuerde que las acciones se generan bajo la medida de mitigar el riesgo" xr:uid="{BB3D4E88-133A-4E35-8D1A-33FFE9FDCB31}">
          <x14:formula1>
            <xm:f>IF(OR(#REF!=Listas!$B$2,#REF!=Listas!$B$3,#REF!=Listas!$B$4),ISBLANK(#REF!),ISTEXT(#REF!))</xm:f>
          </x14:formula1>
          <xm:sqref>AT25:AV25 AT67:AV67 AT61:AV61 AT55:AV55 AT49:AV49 AT43:AV43 AT37:AV37 AT31:AV31</xm:sqref>
        </x14:dataValidation>
        <x14:dataValidation type="list" allowBlank="1" showInputMessage="1" showErrorMessage="1" xr:uid="{F2647F4E-04E6-41FE-90AA-2EED596C4F76}">
          <x14:formula1>
            <xm:f>'Tabla Impacto'!$F$211:$F$222</xm:f>
          </x14:formula1>
          <xm:sqref>U13:U72</xm:sqref>
        </x14:dataValidation>
        <x14:dataValidation type="list" allowBlank="1" showInputMessage="1" showErrorMessage="1" xr:uid="{55C15CBA-6E2A-438E-B6B8-F794E4D490A7}">
          <x14:formula1>
            <xm:f>Listas!$B$2:$B$5</xm:f>
          </x14:formula1>
          <xm:sqref>AO13:AO72</xm:sqref>
        </x14:dataValidation>
        <x14:dataValidation type="list" allowBlank="1" showInputMessage="1" showErrorMessage="1" xr:uid="{B29B9D66-43FC-493F-B3ED-95F3A1304E8F}">
          <x14:formula1>
            <xm:f>Listas!$E$2:$E$4</xm:f>
          </x14:formula1>
          <xm:sqref>B13:B72</xm:sqref>
        </x14:dataValidation>
        <x14:dataValidation type="list" allowBlank="1" showInputMessage="1" showErrorMessage="1" xr:uid="{A3FB8F04-DDCC-4481-97E4-19F48A575A7C}">
          <x14:formula1>
            <xm:f>'Tabla Valoración controles'!$D$13:$D$14</xm:f>
          </x14:formula1>
          <xm:sqref>AH13:AH72</xm:sqref>
        </x14:dataValidation>
        <x14:dataValidation type="list" allowBlank="1" showInputMessage="1" showErrorMessage="1" xr:uid="{34872B50-787A-47FC-91B3-16FC8B40AB89}">
          <x14:formula1>
            <xm:f>'Tabla Valoración controles'!$D$11:$D$12</xm:f>
          </x14:formula1>
          <xm:sqref>AG13:AG72</xm:sqref>
        </x14:dataValidation>
        <x14:dataValidation type="list" allowBlank="1" showInputMessage="1" showErrorMessage="1" xr:uid="{7FA6F7E8-A9D6-4F9C-94B9-833D212B5297}">
          <x14:formula1>
            <xm:f>'Tabla Valoración controles'!$D$9:$D$10</xm:f>
          </x14:formula1>
          <xm:sqref>AF13:AF72</xm:sqref>
        </x14:dataValidation>
        <x14:dataValidation type="list" allowBlank="1" showInputMessage="1" showErrorMessage="1" xr:uid="{138124BA-2EFB-4669-87F3-437B2E90E3A3}">
          <x14:formula1>
            <xm:f>'Tabla Valoración controles'!$D$7:$D$8</xm:f>
          </x14:formula1>
          <xm:sqref>AD13:AD72</xm:sqref>
        </x14:dataValidation>
        <x14:dataValidation type="list" allowBlank="1" showInputMessage="1" showErrorMessage="1" xr:uid="{508DADB2-0567-4760-816A-833D7897F9EB}">
          <x14:formula1>
            <xm:f>'Tabla Valoración controles'!$D$4:$D$6</xm:f>
          </x14:formula1>
          <xm:sqref>AC13:AC72</xm:sqref>
        </x14:dataValidation>
        <x14:dataValidation type="list" allowBlank="1" showInputMessage="1" showErrorMessage="1" xr:uid="{FC7889FE-5138-41C0-B06B-0A5BA7D2AE67}">
          <x14:formula1>
            <xm:f>Amenazas!$C$2:$C$11</xm:f>
          </x14:formula1>
          <xm:sqref>G13:G72</xm:sqref>
        </x14:dataValidation>
        <x14:dataValidation type="list" allowBlank="1" showInputMessage="1" showErrorMessage="1" xr:uid="{4378DCD1-5E9B-41D2-A652-3B8AF0B89E1A}">
          <x14:formula1>
            <xm:f>Listas!$B$25:$B$32</xm:f>
          </x14:formula1>
          <xm:sqref>I13:I72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7" ma:contentTypeDescription="Crear nuevo documento." ma:contentTypeScope="" ma:versionID="2b779474dba64742438205b145c5f80a">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e5db9b9e1e349003db2943b60b4da755"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f7a02df7-de8f-4c48-b238-a1ac80ef7990">
      <UserInfo>
        <DisplayName>Stefany Ospino Cuellar</DisplayName>
        <AccountId>1659</AccountId>
        <AccountType/>
      </UserInfo>
      <UserInfo>
        <DisplayName>German Andres Hernandez Matiz</DisplayName>
        <AccountId>571</AccountId>
        <AccountType/>
      </UserInfo>
    </SharedWithUsers>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629CCAF3-FCE4-4FBB-B3BC-7FC14308F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b5e4fe-998f-4424-a00c-127c505be1d6"/>
    <ds:schemaRef ds:uri="f7a02df7-de8f-4c48-b238-a1ac80ef79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schemas.microsoft.com/office/2006/metadata/properties"/>
    <ds:schemaRef ds:uri="http://schemas.microsoft.com/office/infopath/2007/PartnerControls"/>
    <ds:schemaRef ds:uri="http://schemas.microsoft.com/sharepoint/v3"/>
    <ds:schemaRef ds:uri="70eaac67-e064-433b-ba54-6f78c0f1ecb1"/>
    <ds:schemaRef ds:uri="64d77176-54eb-4753-be67-9b2e2fa23e0f"/>
    <ds:schemaRef ds:uri="f7a02df7-de8f-4c48-b238-a1ac80ef7990"/>
    <ds:schemaRef ds:uri="4ab5e4fe-998f-4424-a00c-127c505be1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7</vt:i4>
      </vt:variant>
    </vt:vector>
  </HeadingPairs>
  <TitlesOfParts>
    <vt:vector size="23" baseType="lpstr">
      <vt:lpstr>Intructivo</vt:lpstr>
      <vt:lpstr>Revisión DOFA</vt:lpstr>
      <vt:lpstr>Listas</vt:lpstr>
      <vt:lpstr>Riesgos de Gestión</vt:lpstr>
      <vt:lpstr>Matriz Calor Inherente</vt:lpstr>
      <vt:lpstr>Matriz Calor Residual</vt:lpstr>
      <vt:lpstr>Riesgos de Corrupción</vt:lpstr>
      <vt:lpstr>Impacto Corrupción </vt:lpstr>
      <vt:lpstr>Riesgos de Seguridad</vt:lpstr>
      <vt:lpstr>Tabla probabilidad</vt:lpstr>
      <vt:lpstr>Tabla Impacto</vt:lpstr>
      <vt:lpstr>Tipo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Seguridad'!Área_de_impresión</vt:lpstr>
      <vt:lpstr>'Riesgos de Corrupción'!Títulos_a_imprimir</vt:lpstr>
      <vt:lpstr>'Riesgos de Gestión'!Títulos_a_imprimir</vt:lpstr>
      <vt:lpstr>'Riesgos de Seguridad'!Títulos_a_imprimir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Usuario</cp:lastModifiedBy>
  <cp:revision/>
  <cp:lastPrinted>2022-11-28T21:48:11Z</cp:lastPrinted>
  <dcterms:created xsi:type="dcterms:W3CDTF">2020-03-24T23:12:47Z</dcterms:created>
  <dcterms:modified xsi:type="dcterms:W3CDTF">2023-01-27T16:36:58Z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y fmtid="{D5CDD505-2E9C-101B-9397-08002B2CF9AE}" pid="3" name="MediaServiceImageTags">
    <vt:lpwstr/>
  </property>
</Properties>
</file>