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documenttasks/documenttask1.xml" ContentType="application/vnd.ms-excel.documenttask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hidePivotFieldList="1" defaultThemeVersion="124226"/>
  <mc:AlternateContent xmlns:mc="http://schemas.openxmlformats.org/markup-compatibility/2006">
    <mc:Choice Requires="x15">
      <x15ac:absPath xmlns:x15ac="http://schemas.microsoft.com/office/spreadsheetml/2010/11/ac" url="/Users/juliocesar/Desktop/"/>
    </mc:Choice>
  </mc:AlternateContent>
  <xr:revisionPtr revIDLastSave="0" documentId="8_{DF62210A-D428-074F-BF25-90BF97C868FF}" xr6:coauthVersionLast="47" xr6:coauthVersionMax="47" xr10:uidLastSave="{00000000-0000-0000-0000-000000000000}"/>
  <bookViews>
    <workbookView xWindow="20" yWindow="460" windowWidth="20740" windowHeight="11040" tabRatio="933" activeTab="3" xr2:uid="{00000000-000D-0000-FFFF-FFFF00000000}"/>
  </bookViews>
  <sheets>
    <sheet name="Intructivo" sheetId="20" r:id="rId1"/>
    <sheet name="Revisión DOFA" sheetId="21" state="hidden" r:id="rId2"/>
    <sheet name="Listas" sheetId="16" state="hidden" r:id="rId3"/>
    <sheet name="Riesgos de Gestión" sheetId="1" r:id="rId4"/>
    <sheet name="Matriz Calor Inherente" sheetId="18" r:id="rId5"/>
    <sheet name="Matriz Calor Residual" sheetId="19" r:id="rId6"/>
    <sheet name="Riesgos de Corrupción" sheetId="31" r:id="rId7"/>
    <sheet name="Impacto Corrupción " sheetId="22" r:id="rId8"/>
    <sheet name="Riesgos de Seguridad" sheetId="32" r:id="rId9"/>
    <sheet name="Tabla probabilidad" sheetId="12" r:id="rId10"/>
    <sheet name="Tabla Impacto" sheetId="13" r:id="rId11"/>
    <sheet name="Tipo de riesgos" sheetId="23" r:id="rId12"/>
    <sheet name="Amenazas" sheetId="28" r:id="rId13"/>
    <sheet name="Ejemplos de riesgos" sheetId="26" r:id="rId14"/>
    <sheet name="Tabla Valoración controles" sheetId="15" r:id="rId15"/>
    <sheet name="Hoja1" sheetId="11" state="hidden" r:id="rId16"/>
  </sheets>
  <externalReferences>
    <externalReference r:id="rId17"/>
    <externalReference r:id="rId18"/>
  </externalReferences>
  <definedNames>
    <definedName name="_xlnm.Print_Area" localSheetId="7">'Impacto Corrupción '!$A$1:$G$26</definedName>
    <definedName name="_xlnm.Print_Area" localSheetId="6">'Riesgos de Corrupción'!$A$1:$AR$24</definedName>
    <definedName name="_xlnm.Print_Area" localSheetId="3">'Riesgos de Gestión'!$A$1:$AR$24</definedName>
    <definedName name="_xlnm.Print_Area" localSheetId="8">'Riesgos de Seguridad'!$A$1:$AV$24</definedName>
    <definedName name="clasificaciónriesgos">#REF!</definedName>
    <definedName name="códigos">#REF!</definedName>
    <definedName name="Direccionamiento_Estratégico">#REF!</definedName>
    <definedName name="económicos">#REF!</definedName>
    <definedName name="externo">#REF!</definedName>
    <definedName name="externos2">#REF!</definedName>
    <definedName name="factores">#REF!</definedName>
    <definedName name="impacto" localSheetId="7">#REF!</definedName>
    <definedName name="impactoco">#REF!</definedName>
    <definedName name="infraestructura">#REF!</definedName>
    <definedName name="interno">#REF!</definedName>
    <definedName name="macroprocesos">#REF!</definedName>
    <definedName name="medio_ambientales">#REF!</definedName>
    <definedName name="opciondelriesgo" localSheetId="7">[1]FORMULAS!$K$4:$K$7</definedName>
    <definedName name="opciondelriesgo">[2]FORMULAS!$K$4:$K$7</definedName>
    <definedName name="personal">#REF!</definedName>
    <definedName name="políticos">#REF!</definedName>
    <definedName name="probabilidad" localSheetId="7">#REF!</definedName>
    <definedName name="probabilidad">[2]FORMULAS!$G$4:$G$8</definedName>
    <definedName name="proceso">#REF!</definedName>
    <definedName name="procesos" localSheetId="7">#REF!</definedName>
    <definedName name="procesos">[2]FORMULAS!$B$4:$B$21</definedName>
    <definedName name="sociales">#REF!</definedName>
    <definedName name="tecnología">#REF!</definedName>
    <definedName name="tecnológicos">#REF!</definedName>
    <definedName name="tipo_de_amenaza" localSheetId="7">[1]FORMULAS!$E$4:$E$11</definedName>
    <definedName name="tipo_de_amenaza">[2]FORMULAS!$E$4:$E$11</definedName>
    <definedName name="tipo_de_riesgos" localSheetId="7">[1]FORMULAS!$C$4:$C$6</definedName>
    <definedName name="tipo_de_riesgos">[2]FORMULAS!$C$4:$C$6</definedName>
    <definedName name="_xlnm.Print_Titles" localSheetId="6">'Riesgos de Corrupción'!$1:$8</definedName>
    <definedName name="_xlnm.Print_Titles" localSheetId="3">'Riesgos de Gestión'!$1:$8</definedName>
    <definedName name="_xlnm.Print_Titles" localSheetId="8">'Riesgos de Seguridad'!$1:$8</definedName>
  </definedNames>
  <calcPr calcId="191028"/>
  <pivotCaches>
    <pivotCache cacheId="4"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40" i="18" l="1"/>
  <c r="AE72" i="32" l="1"/>
  <c r="AB72" i="32"/>
  <c r="AI72" i="32" s="1"/>
  <c r="V72" i="32"/>
  <c r="AE71" i="32"/>
  <c r="AB71" i="32"/>
  <c r="AM72" i="32" s="1"/>
  <c r="AL72" i="32" s="1"/>
  <c r="V71" i="32"/>
  <c r="AE70" i="32"/>
  <c r="AB70" i="32"/>
  <c r="AM71" i="32" s="1"/>
  <c r="AL71" i="32" s="1"/>
  <c r="V70" i="32"/>
  <c r="AE69" i="32"/>
  <c r="AB69" i="32"/>
  <c r="V69" i="32"/>
  <c r="AM68" i="32"/>
  <c r="AL68" i="32" s="1"/>
  <c r="AE68" i="32"/>
  <c r="AB68" i="32"/>
  <c r="AM69" i="32" s="1"/>
  <c r="AL69" i="32" s="1"/>
  <c r="V68" i="32"/>
  <c r="AE67" i="32"/>
  <c r="AB67" i="32"/>
  <c r="AI68" i="32" s="1"/>
  <c r="V67" i="32"/>
  <c r="W67" i="32" s="1"/>
  <c r="Y67" i="32" s="1"/>
  <c r="T67" i="32"/>
  <c r="S67" i="32"/>
  <c r="AE66" i="32"/>
  <c r="AB66" i="32"/>
  <c r="V66" i="32"/>
  <c r="AE65" i="32"/>
  <c r="AB65" i="32"/>
  <c r="AM66" i="32" s="1"/>
  <c r="AL66" i="32" s="1"/>
  <c r="V65" i="32"/>
  <c r="AE64" i="32"/>
  <c r="AB64" i="32"/>
  <c r="AI65" i="32" s="1"/>
  <c r="V64" i="32"/>
  <c r="AM63" i="32"/>
  <c r="AL63" i="32" s="1"/>
  <c r="AE63" i="32"/>
  <c r="AB63" i="32"/>
  <c r="V63" i="32"/>
  <c r="AE62" i="32"/>
  <c r="AB62" i="32"/>
  <c r="AI63" i="32" s="1"/>
  <c r="V62" i="32"/>
  <c r="AE61" i="32"/>
  <c r="AB61" i="32"/>
  <c r="AM62" i="32" s="1"/>
  <c r="AL62" i="32" s="1"/>
  <c r="V61" i="32"/>
  <c r="W61" i="32" s="1"/>
  <c r="X61" i="32" s="1"/>
  <c r="S61" i="32"/>
  <c r="AE60" i="32"/>
  <c r="AB60" i="32"/>
  <c r="V60" i="32"/>
  <c r="AE59" i="32"/>
  <c r="AB59" i="32"/>
  <c r="AI60" i="32" s="1"/>
  <c r="V59" i="32"/>
  <c r="AE58" i="32"/>
  <c r="AB58" i="32"/>
  <c r="V58" i="32"/>
  <c r="AE57" i="32"/>
  <c r="AB57" i="32"/>
  <c r="AM58" i="32" s="1"/>
  <c r="AL58" i="32" s="1"/>
  <c r="V57" i="32"/>
  <c r="AE56" i="32"/>
  <c r="AB56" i="32"/>
  <c r="V56" i="32"/>
  <c r="AI55" i="32"/>
  <c r="AK55" i="32" s="1"/>
  <c r="AE55" i="32"/>
  <c r="AB55" i="32"/>
  <c r="AM55" i="32" s="1"/>
  <c r="AL55" i="32" s="1"/>
  <c r="W55" i="32"/>
  <c r="X55" i="32" s="1"/>
  <c r="V55" i="32"/>
  <c r="S55" i="32"/>
  <c r="Y55" i="32" s="1"/>
  <c r="AI54" i="32"/>
  <c r="AK54" i="32" s="1"/>
  <c r="AE54" i="32"/>
  <c r="AB54" i="32"/>
  <c r="V54" i="32"/>
  <c r="AE53" i="32"/>
  <c r="AB53" i="32"/>
  <c r="AM54" i="32" s="1"/>
  <c r="AL54" i="32" s="1"/>
  <c r="V53" i="32"/>
  <c r="AE52" i="32"/>
  <c r="AB52" i="32"/>
  <c r="AI53" i="32" s="1"/>
  <c r="AK53" i="32" s="1"/>
  <c r="V52" i="32"/>
  <c r="AE51" i="32"/>
  <c r="AB51" i="32"/>
  <c r="AM52" i="32" s="1"/>
  <c r="AL52" i="32" s="1"/>
  <c r="V51" i="32"/>
  <c r="AE50" i="32"/>
  <c r="AB50" i="32"/>
  <c r="AI51" i="32" s="1"/>
  <c r="V50" i="32"/>
  <c r="AM49" i="32"/>
  <c r="AL49" i="32" s="1"/>
  <c r="AE49" i="32"/>
  <c r="AB49" i="32"/>
  <c r="V49" i="32"/>
  <c r="W49" i="32" s="1"/>
  <c r="S49" i="32"/>
  <c r="T49" i="32" s="1"/>
  <c r="AM48" i="32"/>
  <c r="AL48" i="32" s="1"/>
  <c r="AE48" i="32"/>
  <c r="AB48" i="32"/>
  <c r="V48" i="32"/>
  <c r="AM47" i="32"/>
  <c r="AL47" i="32" s="1"/>
  <c r="AE47" i="32"/>
  <c r="AB47" i="32"/>
  <c r="AI48" i="32" s="1"/>
  <c r="V47" i="32"/>
  <c r="AM46" i="32"/>
  <c r="AL46" i="32" s="1"/>
  <c r="AE46" i="32"/>
  <c r="AB46" i="32"/>
  <c r="V46" i="32"/>
  <c r="AE45" i="32"/>
  <c r="AB45" i="32"/>
  <c r="AI46" i="32" s="1"/>
  <c r="V45" i="32"/>
  <c r="AE44" i="32"/>
  <c r="AB44" i="32"/>
  <c r="AM45" i="32" s="1"/>
  <c r="AL45" i="32" s="1"/>
  <c r="V44" i="32"/>
  <c r="AE43" i="32"/>
  <c r="AB43" i="32"/>
  <c r="AI43" i="32" s="1"/>
  <c r="AJ43" i="32" s="1"/>
  <c r="V43" i="32"/>
  <c r="W43" i="32" s="1"/>
  <c r="X43" i="32" s="1"/>
  <c r="S43" i="32"/>
  <c r="AE42" i="32"/>
  <c r="AB42" i="32"/>
  <c r="V42" i="32"/>
  <c r="AE41" i="32"/>
  <c r="AB41" i="32"/>
  <c r="V41" i="32"/>
  <c r="AE40" i="32"/>
  <c r="AB40" i="32"/>
  <c r="AM41" i="32" s="1"/>
  <c r="AL41" i="32" s="1"/>
  <c r="V40" i="32"/>
  <c r="AI39" i="32"/>
  <c r="AK39" i="32" s="1"/>
  <c r="AE39" i="32"/>
  <c r="AB39" i="32"/>
  <c r="V39" i="32"/>
  <c r="AE38" i="32"/>
  <c r="AB38" i="32"/>
  <c r="AI38" i="32" s="1"/>
  <c r="V38" i="32"/>
  <c r="AE37" i="32"/>
  <c r="AB37" i="32"/>
  <c r="AI37" i="32" s="1"/>
  <c r="V37" i="32"/>
  <c r="W37" i="32" s="1"/>
  <c r="X37" i="32" s="1"/>
  <c r="S37" i="32"/>
  <c r="T37" i="32" s="1"/>
  <c r="AM36" i="32"/>
  <c r="AL36" i="32" s="1"/>
  <c r="AE36" i="32"/>
  <c r="AB36" i="32"/>
  <c r="V36" i="32"/>
  <c r="AI35" i="32"/>
  <c r="AK35" i="32" s="1"/>
  <c r="AE35" i="32"/>
  <c r="AB35" i="32"/>
  <c r="AI36" i="32" s="1"/>
  <c r="AK36" i="32" s="1"/>
  <c r="V35" i="32"/>
  <c r="AE34" i="32"/>
  <c r="AB34" i="32"/>
  <c r="V34" i="32"/>
  <c r="AE33" i="32"/>
  <c r="AB33" i="32"/>
  <c r="AM34" i="32" s="1"/>
  <c r="AL34" i="32" s="1"/>
  <c r="V33" i="32"/>
  <c r="AE32" i="32"/>
  <c r="AB32" i="32"/>
  <c r="AI33" i="32" s="1"/>
  <c r="V32" i="32"/>
  <c r="AE31" i="32"/>
  <c r="AB31" i="32"/>
  <c r="AM31" i="32" s="1"/>
  <c r="AL31" i="32" s="1"/>
  <c r="W31" i="32"/>
  <c r="X31" i="32" s="1"/>
  <c r="V31" i="32"/>
  <c r="T31" i="32"/>
  <c r="S31" i="32"/>
  <c r="Y31" i="32" s="1"/>
  <c r="AE30" i="32"/>
  <c r="AB30" i="32"/>
  <c r="V30" i="32"/>
  <c r="AE29" i="32"/>
  <c r="AB29" i="32"/>
  <c r="AM30" i="32" s="1"/>
  <c r="AL30" i="32" s="1"/>
  <c r="V29" i="32"/>
  <c r="AE28" i="32"/>
  <c r="AB28" i="32"/>
  <c r="AM29" i="32" s="1"/>
  <c r="AL29" i="32" s="1"/>
  <c r="V28" i="32"/>
  <c r="AE27" i="32"/>
  <c r="AB27" i="32"/>
  <c r="AM28" i="32" s="1"/>
  <c r="AL28" i="32" s="1"/>
  <c r="V27" i="32"/>
  <c r="AE26" i="32"/>
  <c r="AB26" i="32"/>
  <c r="AM27" i="32" s="1"/>
  <c r="AL27" i="32" s="1"/>
  <c r="V26" i="32"/>
  <c r="AE25" i="32"/>
  <c r="AB25" i="32"/>
  <c r="AM26" i="32" s="1"/>
  <c r="AL26" i="32" s="1"/>
  <c r="V25" i="32"/>
  <c r="W25" i="32" s="1"/>
  <c r="X25" i="32" s="1"/>
  <c r="S25" i="32"/>
  <c r="AE24" i="32"/>
  <c r="AB24" i="32"/>
  <c r="V24" i="32"/>
  <c r="AE23" i="32"/>
  <c r="AB23" i="32"/>
  <c r="AM24" i="32" s="1"/>
  <c r="AL24" i="32" s="1"/>
  <c r="V23" i="32"/>
  <c r="AE22" i="32"/>
  <c r="AB22" i="32"/>
  <c r="V22" i="32"/>
  <c r="AE21" i="32"/>
  <c r="AB21" i="32"/>
  <c r="AM22" i="32" s="1"/>
  <c r="AL22" i="32" s="1"/>
  <c r="V21" i="32"/>
  <c r="AE20" i="32"/>
  <c r="AB20" i="32"/>
  <c r="V20" i="32"/>
  <c r="AE19" i="32"/>
  <c r="AB19" i="32"/>
  <c r="AM19" i="32" s="1"/>
  <c r="AL19" i="32" s="1"/>
  <c r="V19" i="32"/>
  <c r="W19" i="32" s="1"/>
  <c r="Y19" i="32" s="1"/>
  <c r="T19" i="32"/>
  <c r="S19" i="32"/>
  <c r="AE18" i="32"/>
  <c r="AB18" i="32"/>
  <c r="V18" i="32"/>
  <c r="AE17" i="32"/>
  <c r="AB17" i="32"/>
  <c r="AM18" i="32" s="1"/>
  <c r="AL18" i="32" s="1"/>
  <c r="V17" i="32"/>
  <c r="AE16" i="32"/>
  <c r="AB16" i="32"/>
  <c r="AM17" i="32" s="1"/>
  <c r="AL17" i="32" s="1"/>
  <c r="V16" i="32"/>
  <c r="AM15" i="32"/>
  <c r="AL15" i="32" s="1"/>
  <c r="AE15" i="32"/>
  <c r="AB15" i="32"/>
  <c r="V15" i="32"/>
  <c r="AE14" i="32"/>
  <c r="AB14" i="32"/>
  <c r="AI15" i="32" s="1"/>
  <c r="V14" i="32"/>
  <c r="AE13" i="32"/>
  <c r="AB13" i="32"/>
  <c r="V13" i="32"/>
  <c r="W13" i="32" s="1"/>
  <c r="X13" i="32" s="1"/>
  <c r="S13" i="32"/>
  <c r="AD8" i="32"/>
  <c r="AD7" i="32"/>
  <c r="AD6" i="32"/>
  <c r="AI72" i="31"/>
  <c r="AH72" i="31" s="1"/>
  <c r="AA72" i="31"/>
  <c r="X72" i="31"/>
  <c r="R72" i="31"/>
  <c r="AA71" i="31"/>
  <c r="X71" i="31"/>
  <c r="AE72" i="31" s="1"/>
  <c r="R71" i="31"/>
  <c r="AA70" i="31"/>
  <c r="X70" i="31"/>
  <c r="AI71" i="31" s="1"/>
  <c r="AH71" i="31" s="1"/>
  <c r="R70" i="31"/>
  <c r="AE69" i="31"/>
  <c r="AG69" i="31" s="1"/>
  <c r="AA69" i="31"/>
  <c r="X69" i="31"/>
  <c r="AI70" i="31" s="1"/>
  <c r="AH70" i="31" s="1"/>
  <c r="R69" i="31"/>
  <c r="AE68" i="31"/>
  <c r="AF68" i="31" s="1"/>
  <c r="AA68" i="31"/>
  <c r="X68" i="31"/>
  <c r="AI69" i="31" s="1"/>
  <c r="AH69" i="31" s="1"/>
  <c r="R68" i="31"/>
  <c r="AI67" i="31"/>
  <c r="AH67" i="31" s="1"/>
  <c r="AG67" i="31"/>
  <c r="AF67" i="31"/>
  <c r="AE67" i="31"/>
  <c r="AA67" i="31"/>
  <c r="X67" i="31"/>
  <c r="R67" i="31"/>
  <c r="S67" i="31" s="1"/>
  <c r="T67" i="31" s="1"/>
  <c r="P67" i="31"/>
  <c r="O67" i="31"/>
  <c r="AE66" i="31"/>
  <c r="AG66" i="31" s="1"/>
  <c r="AA66" i="31"/>
  <c r="X66" i="31"/>
  <c r="R66" i="31"/>
  <c r="AE65" i="31"/>
  <c r="AF65" i="31" s="1"/>
  <c r="AA65" i="31"/>
  <c r="X65" i="31"/>
  <c r="AI66" i="31" s="1"/>
  <c r="AH66" i="31" s="1"/>
  <c r="R65" i="31"/>
  <c r="AI64" i="31"/>
  <c r="AH64" i="31" s="1"/>
  <c r="AG64" i="31"/>
  <c r="AF64" i="31"/>
  <c r="AE64" i="31"/>
  <c r="AA64" i="31"/>
  <c r="X64" i="31"/>
  <c r="R64" i="31"/>
  <c r="AG63" i="31"/>
  <c r="AF63" i="31"/>
  <c r="AE63" i="31"/>
  <c r="AA63" i="31"/>
  <c r="X63" i="31"/>
  <c r="R63" i="31"/>
  <c r="AI62" i="31"/>
  <c r="AH62" i="31" s="1"/>
  <c r="AA62" i="31"/>
  <c r="X62" i="31"/>
  <c r="AI63" i="31" s="1"/>
  <c r="AH63" i="31" s="1"/>
  <c r="R62" i="31"/>
  <c r="AI61" i="31"/>
  <c r="AH61" i="31" s="1"/>
  <c r="AG61" i="31"/>
  <c r="AE61" i="31"/>
  <c r="AF61" i="31" s="1"/>
  <c r="AA61" i="31"/>
  <c r="X61" i="31"/>
  <c r="AE62" i="31" s="1"/>
  <c r="R61" i="31"/>
  <c r="S61" i="31" s="1"/>
  <c r="O61" i="31"/>
  <c r="P61" i="31" s="1"/>
  <c r="AG60" i="31"/>
  <c r="AF60" i="31"/>
  <c r="AE60" i="31"/>
  <c r="AA60" i="31"/>
  <c r="X60" i="31"/>
  <c r="R60" i="31"/>
  <c r="AI59" i="31"/>
  <c r="AH59" i="31" s="1"/>
  <c r="AA59" i="31"/>
  <c r="X59" i="31"/>
  <c r="AI60" i="31" s="1"/>
  <c r="AH60" i="31" s="1"/>
  <c r="R59" i="31"/>
  <c r="AI58" i="31"/>
  <c r="AH58" i="31" s="1"/>
  <c r="AA58" i="31"/>
  <c r="X58" i="31"/>
  <c r="AE59" i="31" s="1"/>
  <c r="R58" i="31"/>
  <c r="AA57" i="31"/>
  <c r="X57" i="31"/>
  <c r="AE58" i="31" s="1"/>
  <c r="R57" i="31"/>
  <c r="AA56" i="31"/>
  <c r="X56" i="31"/>
  <c r="AI57" i="31" s="1"/>
  <c r="AH57" i="31" s="1"/>
  <c r="R56" i="31"/>
  <c r="AE55" i="31"/>
  <c r="AG55" i="31" s="1"/>
  <c r="AA55" i="31"/>
  <c r="X55" i="31"/>
  <c r="AI56" i="31" s="1"/>
  <c r="AH56" i="31" s="1"/>
  <c r="R55" i="31"/>
  <c r="S55" i="31" s="1"/>
  <c r="T55" i="31" s="1"/>
  <c r="O55" i="31"/>
  <c r="AA54" i="31"/>
  <c r="X54" i="31"/>
  <c r="R54" i="31"/>
  <c r="AA53" i="31"/>
  <c r="X53" i="31"/>
  <c r="AI54" i="31" s="1"/>
  <c r="AH54" i="31" s="1"/>
  <c r="R53" i="31"/>
  <c r="AE52" i="31"/>
  <c r="AG52" i="31" s="1"/>
  <c r="AA52" i="31"/>
  <c r="X52" i="31"/>
  <c r="AI53" i="31" s="1"/>
  <c r="AH53" i="31" s="1"/>
  <c r="R52" i="31"/>
  <c r="AE51" i="31"/>
  <c r="AF51" i="31" s="1"/>
  <c r="AA51" i="31"/>
  <c r="X51" i="31"/>
  <c r="AI52" i="31" s="1"/>
  <c r="AH52" i="31" s="1"/>
  <c r="R51" i="31"/>
  <c r="AI50" i="31"/>
  <c r="AH50" i="31" s="1"/>
  <c r="AG50" i="31"/>
  <c r="AF50" i="31"/>
  <c r="AE50" i="31"/>
  <c r="AA50" i="31"/>
  <c r="X50" i="31"/>
  <c r="R50" i="31"/>
  <c r="AG49" i="31"/>
  <c r="AF49" i="31"/>
  <c r="AE49" i="31"/>
  <c r="AA49" i="31"/>
  <c r="X49" i="31"/>
  <c r="AI49" i="31" s="1"/>
  <c r="AH49" i="31" s="1"/>
  <c r="R49" i="31"/>
  <c r="S49" i="31" s="1"/>
  <c r="T49" i="31" s="1"/>
  <c r="P49" i="31"/>
  <c r="O49" i="31"/>
  <c r="AE48" i="31"/>
  <c r="AF48" i="31" s="1"/>
  <c r="AA48" i="31"/>
  <c r="X48" i="31"/>
  <c r="AI48" i="31" s="1"/>
  <c r="AH48" i="31" s="1"/>
  <c r="R48" i="31"/>
  <c r="AI47" i="31"/>
  <c r="AH47" i="31" s="1"/>
  <c r="AG47" i="31"/>
  <c r="AF47" i="31"/>
  <c r="AE47" i="31"/>
  <c r="AA47" i="31"/>
  <c r="X47" i="31"/>
  <c r="R47" i="31"/>
  <c r="AG46" i="31"/>
  <c r="AF46" i="31"/>
  <c r="AE46" i="31"/>
  <c r="AA46" i="31"/>
  <c r="X46" i="31"/>
  <c r="R46" i="31"/>
  <c r="AI45" i="31"/>
  <c r="AH45" i="31" s="1"/>
  <c r="AA45" i="31"/>
  <c r="X45" i="31"/>
  <c r="AE45" i="31" s="1"/>
  <c r="R45" i="31"/>
  <c r="AI44" i="31"/>
  <c r="AH44" i="31" s="1"/>
  <c r="AA44" i="31"/>
  <c r="X44" i="31"/>
  <c r="R44" i="31"/>
  <c r="AA43" i="31"/>
  <c r="X43" i="31"/>
  <c r="AI43" i="31" s="1"/>
  <c r="AH43" i="31" s="1"/>
  <c r="R43" i="31"/>
  <c r="S43" i="31" s="1"/>
  <c r="O43" i="31"/>
  <c r="P43" i="31" s="1"/>
  <c r="AI42" i="31"/>
  <c r="AH42" i="31" s="1"/>
  <c r="AA42" i="31"/>
  <c r="X42" i="31"/>
  <c r="R42" i="31"/>
  <c r="AI41" i="31"/>
  <c r="AH41" i="31" s="1"/>
  <c r="AA41" i="31"/>
  <c r="X41" i="31"/>
  <c r="AE42" i="31" s="1"/>
  <c r="R41" i="31"/>
  <c r="AA40" i="31"/>
  <c r="X40" i="31"/>
  <c r="AE41" i="31" s="1"/>
  <c r="R40" i="31"/>
  <c r="AA39" i="31"/>
  <c r="X39" i="31"/>
  <c r="AI40" i="31" s="1"/>
  <c r="AH40" i="31" s="1"/>
  <c r="R39" i="31"/>
  <c r="AE38" i="31"/>
  <c r="AG38" i="31" s="1"/>
  <c r="AA38" i="31"/>
  <c r="X38" i="31"/>
  <c r="AI39" i="31" s="1"/>
  <c r="AH39" i="31" s="1"/>
  <c r="R38" i="31"/>
  <c r="AE37" i="31"/>
  <c r="AF37" i="31" s="1"/>
  <c r="AA37" i="31"/>
  <c r="X37" i="31"/>
  <c r="AI38" i="31" s="1"/>
  <c r="AH38" i="31" s="1"/>
  <c r="R37" i="31"/>
  <c r="S37" i="31" s="1"/>
  <c r="T37" i="31" s="1"/>
  <c r="O37" i="31"/>
  <c r="AA36" i="31"/>
  <c r="X36" i="31"/>
  <c r="R36" i="31"/>
  <c r="AE35" i="31"/>
  <c r="AG35" i="31" s="1"/>
  <c r="AA35" i="31"/>
  <c r="X35" i="31"/>
  <c r="AI36" i="31" s="1"/>
  <c r="AH36" i="31" s="1"/>
  <c r="R35" i="31"/>
  <c r="AE34" i="31"/>
  <c r="AF34" i="31" s="1"/>
  <c r="AA34" i="31"/>
  <c r="X34" i="31"/>
  <c r="AI35" i="31" s="1"/>
  <c r="AH35" i="31" s="1"/>
  <c r="R34" i="31"/>
  <c r="AI33" i="31"/>
  <c r="AH33" i="31" s="1"/>
  <c r="AG33" i="31"/>
  <c r="AF33" i="31"/>
  <c r="AE33" i="31"/>
  <c r="AA33" i="31"/>
  <c r="X33" i="31"/>
  <c r="AI34" i="31" s="1"/>
  <c r="AH34" i="31" s="1"/>
  <c r="R33" i="31"/>
  <c r="AG32" i="31"/>
  <c r="AF32" i="31"/>
  <c r="AE32" i="31"/>
  <c r="AA32" i="31"/>
  <c r="X32" i="31"/>
  <c r="R32" i="31"/>
  <c r="AI31" i="31"/>
  <c r="AH31" i="31"/>
  <c r="AA31" i="31"/>
  <c r="X31" i="31"/>
  <c r="AE31" i="31" s="1"/>
  <c r="R31" i="31"/>
  <c r="S31" i="31" s="1"/>
  <c r="T31" i="31" s="1"/>
  <c r="P31" i="31"/>
  <c r="O31" i="31"/>
  <c r="AI30" i="31"/>
  <c r="AH30" i="31" s="1"/>
  <c r="AE30" i="31"/>
  <c r="AG30" i="31" s="1"/>
  <c r="AA30" i="31"/>
  <c r="X30" i="31"/>
  <c r="R30" i="31"/>
  <c r="AE29" i="31"/>
  <c r="AG29" i="31" s="1"/>
  <c r="AA29" i="31"/>
  <c r="X29" i="31"/>
  <c r="R29" i="31"/>
  <c r="AI28" i="31"/>
  <c r="AH28" i="31" s="1"/>
  <c r="AA28" i="31"/>
  <c r="X28" i="31"/>
  <c r="AE28" i="31" s="1"/>
  <c r="R28" i="31"/>
  <c r="AI27" i="31"/>
  <c r="AH27" i="31" s="1"/>
  <c r="AA27" i="31"/>
  <c r="X27" i="31"/>
  <c r="R27" i="31"/>
  <c r="AA26" i="31"/>
  <c r="X26" i="31"/>
  <c r="AE27" i="31" s="1"/>
  <c r="R26" i="31"/>
  <c r="AA25" i="31"/>
  <c r="X25" i="31"/>
  <c r="AI26" i="31" s="1"/>
  <c r="AH26" i="31" s="1"/>
  <c r="R25" i="31"/>
  <c r="S25" i="31" s="1"/>
  <c r="O25" i="31"/>
  <c r="P25" i="31" s="1"/>
  <c r="AI24" i="31"/>
  <c r="AH24" i="31" s="1"/>
  <c r="AA24" i="31"/>
  <c r="X24" i="31"/>
  <c r="R24" i="31"/>
  <c r="AA23" i="31"/>
  <c r="X23" i="31"/>
  <c r="AE24" i="31" s="1"/>
  <c r="R23" i="31"/>
  <c r="AA22" i="31"/>
  <c r="X22" i="31"/>
  <c r="AI23" i="31" s="1"/>
  <c r="AH23" i="31" s="1"/>
  <c r="R22" i="31"/>
  <c r="AE21" i="31"/>
  <c r="AG21" i="31" s="1"/>
  <c r="AA21" i="31"/>
  <c r="X21" i="31"/>
  <c r="AI22" i="31" s="1"/>
  <c r="AH22" i="31" s="1"/>
  <c r="R21" i="31"/>
  <c r="AE20" i="31"/>
  <c r="AF20" i="31" s="1"/>
  <c r="AA20" i="31"/>
  <c r="X20" i="31"/>
  <c r="AI21" i="31" s="1"/>
  <c r="AH21" i="31" s="1"/>
  <c r="R20" i="31"/>
  <c r="AI19" i="31"/>
  <c r="AH19" i="31" s="1"/>
  <c r="AE19" i="31"/>
  <c r="AF19" i="31" s="1"/>
  <c r="AA19" i="31"/>
  <c r="X19" i="31"/>
  <c r="R19" i="31"/>
  <c r="S19" i="31" s="1"/>
  <c r="T19" i="31" s="1"/>
  <c r="O19" i="31"/>
  <c r="P19" i="31" s="1"/>
  <c r="AA18" i="31"/>
  <c r="X18" i="31"/>
  <c r="AE18" i="31" s="1"/>
  <c r="R18" i="31"/>
  <c r="AE17" i="31"/>
  <c r="AF17" i="31" s="1"/>
  <c r="AA17" i="31"/>
  <c r="X17" i="31"/>
  <c r="AI18" i="31" s="1"/>
  <c r="AH18" i="31" s="1"/>
  <c r="R17" i="31"/>
  <c r="AA16" i="31"/>
  <c r="X16" i="31"/>
  <c r="R16" i="31"/>
  <c r="AA15" i="31"/>
  <c r="X15" i="31"/>
  <c r="AI16" i="31" s="1"/>
  <c r="AH16" i="31" s="1"/>
  <c r="R15" i="31"/>
  <c r="AA14" i="31"/>
  <c r="X14" i="31"/>
  <c r="R14" i="31"/>
  <c r="AA13" i="31"/>
  <c r="X13" i="31"/>
  <c r="R13" i="31"/>
  <c r="S13" i="31" s="1"/>
  <c r="O13" i="31"/>
  <c r="P13" i="31" s="1"/>
  <c r="Z8" i="31"/>
  <c r="Z7" i="31"/>
  <c r="Z6" i="31"/>
  <c r="AF29" i="31" l="1"/>
  <c r="AF30" i="31"/>
  <c r="AG19" i="31"/>
  <c r="U13" i="31"/>
  <c r="Y49" i="32"/>
  <c r="X49" i="32"/>
  <c r="AK68" i="32"/>
  <c r="AJ68" i="32"/>
  <c r="AN68" i="32" s="1"/>
  <c r="AK51" i="32"/>
  <c r="AJ51" i="32"/>
  <c r="AK48" i="32"/>
  <c r="AJ48" i="32"/>
  <c r="AN48" i="32" s="1"/>
  <c r="AK65" i="32"/>
  <c r="AJ65" i="32"/>
  <c r="AK38" i="32"/>
  <c r="AJ38" i="32"/>
  <c r="AI71" i="32"/>
  <c r="AI17" i="32"/>
  <c r="AI18" i="32"/>
  <c r="AI34" i="32"/>
  <c r="AJ35" i="32"/>
  <c r="AM39" i="32"/>
  <c r="AL39" i="32" s="1"/>
  <c r="AI47" i="32"/>
  <c r="AJ47" i="32" s="1"/>
  <c r="AN47" i="32" s="1"/>
  <c r="AJ54" i="32"/>
  <c r="AN54" i="32" s="1"/>
  <c r="AJ55" i="32"/>
  <c r="AN55" i="32" s="1"/>
  <c r="AI20" i="32"/>
  <c r="AK20" i="32" s="1"/>
  <c r="AI19" i="32"/>
  <c r="AI23" i="32"/>
  <c r="AJ23" i="32" s="1"/>
  <c r="AI25" i="32"/>
  <c r="AJ25" i="32" s="1"/>
  <c r="AM32" i="32"/>
  <c r="AL32" i="32" s="1"/>
  <c r="AM20" i="32"/>
  <c r="AL20" i="32" s="1"/>
  <c r="AM23" i="32"/>
  <c r="AL23" i="32" s="1"/>
  <c r="AM25" i="32"/>
  <c r="AL25" i="32" s="1"/>
  <c r="T55" i="32"/>
  <c r="AM67" i="32"/>
  <c r="AL67" i="32" s="1"/>
  <c r="AI24" i="32"/>
  <c r="AJ24" i="32" s="1"/>
  <c r="AN24" i="32" s="1"/>
  <c r="AI29" i="32"/>
  <c r="AK29" i="32" s="1"/>
  <c r="Y43" i="32"/>
  <c r="AM57" i="32"/>
  <c r="AL57" i="32" s="1"/>
  <c r="AM70" i="32"/>
  <c r="AL70" i="32" s="1"/>
  <c r="AI70" i="32"/>
  <c r="AK70" i="32" s="1"/>
  <c r="AM51" i="32"/>
  <c r="AL51" i="32" s="1"/>
  <c r="AN51" i="32" s="1"/>
  <c r="AI57" i="32"/>
  <c r="AI22" i="32"/>
  <c r="AJ22" i="32" s="1"/>
  <c r="AN22" i="32" s="1"/>
  <c r="AI40" i="32"/>
  <c r="AK40" i="32" s="1"/>
  <c r="AM59" i="32"/>
  <c r="AL59" i="32" s="1"/>
  <c r="AM60" i="32"/>
  <c r="AL60" i="32" s="1"/>
  <c r="AM65" i="32"/>
  <c r="AL65" i="32" s="1"/>
  <c r="AN65" i="32" s="1"/>
  <c r="AM16" i="32"/>
  <c r="AL16" i="32" s="1"/>
  <c r="AI16" i="32"/>
  <c r="AK16" i="32" s="1"/>
  <c r="AM37" i="32"/>
  <c r="AL37" i="32" s="1"/>
  <c r="AM40" i="32"/>
  <c r="AL40" i="32" s="1"/>
  <c r="AI50" i="32"/>
  <c r="AI52" i="32"/>
  <c r="AI56" i="32"/>
  <c r="AK56" i="32" s="1"/>
  <c r="AI64" i="32"/>
  <c r="AK64" i="32" s="1"/>
  <c r="AI66" i="32"/>
  <c r="AI69" i="32"/>
  <c r="AI21" i="32"/>
  <c r="AI26" i="32"/>
  <c r="AJ26" i="32" s="1"/>
  <c r="AN26" i="32" s="1"/>
  <c r="AI30" i="32"/>
  <c r="AK30" i="32" s="1"/>
  <c r="AM33" i="32"/>
  <c r="AL33" i="32" s="1"/>
  <c r="AM42" i="32"/>
  <c r="AL42" i="32" s="1"/>
  <c r="AM44" i="32"/>
  <c r="AL44" i="32" s="1"/>
  <c r="AI67" i="32"/>
  <c r="AE16" i="31"/>
  <c r="AG16" i="31" s="1"/>
  <c r="Y13" i="32"/>
  <c r="Y25" i="32"/>
  <c r="AK46" i="32"/>
  <c r="AJ46" i="32"/>
  <c r="AN46" i="32" s="1"/>
  <c r="AK50" i="32"/>
  <c r="AJ50" i="32"/>
  <c r="Y61" i="32"/>
  <c r="AK33" i="32"/>
  <c r="AJ33" i="32"/>
  <c r="Y37" i="32"/>
  <c r="AK60" i="32"/>
  <c r="AJ60" i="32"/>
  <c r="AJ34" i="32"/>
  <c r="AN34" i="32" s="1"/>
  <c r="AK34" i="32"/>
  <c r="AK47" i="32"/>
  <c r="AK15" i="32"/>
  <c r="AJ15" i="32"/>
  <c r="AN15" i="32" s="1"/>
  <c r="AJ37" i="32"/>
  <c r="AK37" i="32"/>
  <c r="AK63" i="32"/>
  <c r="AJ63" i="32"/>
  <c r="AN63" i="32" s="1"/>
  <c r="AK72" i="32"/>
  <c r="AJ72" i="32"/>
  <c r="AN72" i="32" s="1"/>
  <c r="AJ29" i="32"/>
  <c r="AN29" i="32" s="1"/>
  <c r="AM50" i="32"/>
  <c r="AL50" i="32" s="1"/>
  <c r="AJ53" i="32"/>
  <c r="AJ56" i="32"/>
  <c r="AM64" i="32"/>
  <c r="AL64" i="32" s="1"/>
  <c r="X67" i="32"/>
  <c r="AJ70" i="32"/>
  <c r="T25" i="32"/>
  <c r="AJ40" i="32"/>
  <c r="T13" i="32"/>
  <c r="AI13" i="32" s="1"/>
  <c r="AM21" i="32"/>
  <c r="AL21" i="32" s="1"/>
  <c r="AK23" i="32"/>
  <c r="AI28" i="32"/>
  <c r="AI31" i="32"/>
  <c r="AM35" i="32"/>
  <c r="AL35" i="32" s="1"/>
  <c r="AN35" i="32" s="1"/>
  <c r="AM38" i="32"/>
  <c r="AL38" i="32" s="1"/>
  <c r="AN38" i="32" s="1"/>
  <c r="AI42" i="32"/>
  <c r="AK43" i="32"/>
  <c r="AI45" i="32"/>
  <c r="AI59" i="32"/>
  <c r="T61" i="32"/>
  <c r="AI62" i="32"/>
  <c r="AI27" i="32"/>
  <c r="AI32" i="32"/>
  <c r="AI49" i="32"/>
  <c r="AM53" i="32"/>
  <c r="AL53" i="32" s="1"/>
  <c r="AM56" i="32"/>
  <c r="AL56" i="32" s="1"/>
  <c r="AJ36" i="32"/>
  <c r="AN36" i="32" s="1"/>
  <c r="AJ39" i="32"/>
  <c r="AN39" i="32" s="1"/>
  <c r="AK25" i="32"/>
  <c r="T43" i="32"/>
  <c r="AI61" i="32"/>
  <c r="AM43" i="32"/>
  <c r="AL43" i="32" s="1"/>
  <c r="AN43" i="32" s="1"/>
  <c r="AI41" i="32"/>
  <c r="AI44" i="32"/>
  <c r="AM13" i="32"/>
  <c r="AL13" i="32" s="1"/>
  <c r="AM61" i="32"/>
  <c r="AL61" i="32" s="1"/>
  <c r="X19" i="32"/>
  <c r="AI58" i="32"/>
  <c r="AJ33" i="31"/>
  <c r="U61" i="31"/>
  <c r="T61" i="31"/>
  <c r="T43" i="31"/>
  <c r="U43" i="31"/>
  <c r="AJ61" i="31"/>
  <c r="AJ49" i="31"/>
  <c r="AJ67" i="31"/>
  <c r="U49" i="31"/>
  <c r="U31" i="31"/>
  <c r="AJ34" i="31"/>
  <c r="U37" i="31"/>
  <c r="AJ48" i="31"/>
  <c r="AJ64" i="31"/>
  <c r="T13" i="31"/>
  <c r="AI13" i="31" s="1"/>
  <c r="AJ47" i="31"/>
  <c r="AF16" i="31"/>
  <c r="AJ16" i="31" s="1"/>
  <c r="AG42" i="31"/>
  <c r="AF42" i="31"/>
  <c r="AJ42" i="31" s="1"/>
  <c r="AG72" i="31"/>
  <c r="AF72" i="31"/>
  <c r="AJ72" i="31" s="1"/>
  <c r="AG59" i="31"/>
  <c r="AF59" i="31"/>
  <c r="AJ59" i="31" s="1"/>
  <c r="AG27" i="31"/>
  <c r="AF27" i="31"/>
  <c r="AJ27" i="31" s="1"/>
  <c r="U25" i="31"/>
  <c r="T25" i="31"/>
  <c r="AG31" i="31"/>
  <c r="AF31" i="31"/>
  <c r="AJ31" i="31" s="1"/>
  <c r="AJ63" i="31"/>
  <c r="AG18" i="31"/>
  <c r="AF18" i="31"/>
  <c r="AJ18" i="31" s="1"/>
  <c r="AJ19" i="31"/>
  <c r="AJ30" i="31"/>
  <c r="AG45" i="31"/>
  <c r="AF45" i="31"/>
  <c r="AJ45" i="31" s="1"/>
  <c r="U67" i="31"/>
  <c r="AG58" i="31"/>
  <c r="AF58" i="31"/>
  <c r="AJ58" i="31" s="1"/>
  <c r="AG24" i="31"/>
  <c r="AF24" i="31"/>
  <c r="AJ24" i="31" s="1"/>
  <c r="AG41" i="31"/>
  <c r="AF41" i="31"/>
  <c r="AJ41" i="31" s="1"/>
  <c r="AJ50" i="31"/>
  <c r="AG62" i="31"/>
  <c r="AF62" i="31"/>
  <c r="AJ62" i="31" s="1"/>
  <c r="U19" i="31"/>
  <c r="AG28" i="31"/>
  <c r="AF28" i="31"/>
  <c r="AJ28" i="31" s="1"/>
  <c r="U55" i="31"/>
  <c r="AJ60" i="31"/>
  <c r="P37" i="31"/>
  <c r="AG17" i="31"/>
  <c r="AG20" i="31"/>
  <c r="AF21" i="31"/>
  <c r="AJ21" i="31" s="1"/>
  <c r="AE22" i="31"/>
  <c r="AE25" i="31"/>
  <c r="AI29" i="31"/>
  <c r="AH29" i="31" s="1"/>
  <c r="AJ29" i="31" s="1"/>
  <c r="AI32" i="31"/>
  <c r="AH32" i="31" s="1"/>
  <c r="AJ32" i="31" s="1"/>
  <c r="AG34" i="31"/>
  <c r="AF35" i="31"/>
  <c r="AJ35" i="31" s="1"/>
  <c r="AE36" i="31"/>
  <c r="AG37" i="31"/>
  <c r="AF38" i="31"/>
  <c r="AJ38" i="31" s="1"/>
  <c r="AE39" i="31"/>
  <c r="AI46" i="31"/>
  <c r="AH46" i="31" s="1"/>
  <c r="AJ46" i="31" s="1"/>
  <c r="AG48" i="31"/>
  <c r="AG51" i="31"/>
  <c r="AF52" i="31"/>
  <c r="AJ52" i="31" s="1"/>
  <c r="AE53" i="31"/>
  <c r="P55" i="31"/>
  <c r="AF55" i="31"/>
  <c r="AE56" i="31"/>
  <c r="AG65" i="31"/>
  <c r="AF66" i="31"/>
  <c r="AJ66" i="31" s="1"/>
  <c r="AG68" i="31"/>
  <c r="AF69" i="31"/>
  <c r="AJ69" i="31" s="1"/>
  <c r="AE70" i="31"/>
  <c r="AE23" i="31"/>
  <c r="AE26" i="31"/>
  <c r="AE40" i="31"/>
  <c r="AE43" i="31"/>
  <c r="AE54" i="31"/>
  <c r="AE57" i="31"/>
  <c r="AE71" i="31"/>
  <c r="AE13" i="31"/>
  <c r="AI17" i="31"/>
  <c r="AH17" i="31" s="1"/>
  <c r="AJ17" i="31" s="1"/>
  <c r="AI20" i="31"/>
  <c r="AH20" i="31" s="1"/>
  <c r="AJ20" i="31" s="1"/>
  <c r="AI37" i="31"/>
  <c r="AH37" i="31" s="1"/>
  <c r="AJ37" i="31" s="1"/>
  <c r="AE44" i="31"/>
  <c r="AI51" i="31"/>
  <c r="AH51" i="31" s="1"/>
  <c r="AJ51" i="31" s="1"/>
  <c r="AI65" i="31"/>
  <c r="AH65" i="31" s="1"/>
  <c r="AJ65" i="31" s="1"/>
  <c r="AI68" i="31"/>
  <c r="AH68" i="31" s="1"/>
  <c r="AJ68" i="31" s="1"/>
  <c r="AI55" i="31"/>
  <c r="AH55" i="31" s="1"/>
  <c r="AI25" i="31"/>
  <c r="AH25" i="31" s="1"/>
  <c r="O13" i="1"/>
  <c r="P13" i="1" s="1"/>
  <c r="X13" i="1"/>
  <c r="AA13" i="1"/>
  <c r="X14" i="1"/>
  <c r="AA14" i="1"/>
  <c r="X15" i="1"/>
  <c r="AA15" i="1"/>
  <c r="X16" i="1"/>
  <c r="AA16" i="1"/>
  <c r="X17" i="1"/>
  <c r="AA17" i="1"/>
  <c r="X18" i="1"/>
  <c r="AA18" i="1"/>
  <c r="R17" i="1"/>
  <c r="R15" i="1"/>
  <c r="R16" i="1"/>
  <c r="R14" i="1"/>
  <c r="R18" i="1"/>
  <c r="AN40" i="32" l="1"/>
  <c r="AN60" i="32"/>
  <c r="AN70" i="32"/>
  <c r="AK26" i="32"/>
  <c r="AJ30" i="32"/>
  <c r="AN30" i="32" s="1"/>
  <c r="AK24" i="32"/>
  <c r="AJ20" i="32"/>
  <c r="AN20" i="32" s="1"/>
  <c r="AK22" i="32"/>
  <c r="AJ16" i="32"/>
  <c r="AN16" i="32" s="1"/>
  <c r="AH13" i="31"/>
  <c r="AI14" i="31"/>
  <c r="AH14" i="31" s="1"/>
  <c r="AI15" i="31"/>
  <c r="AH15" i="31" s="1"/>
  <c r="AJ21" i="32"/>
  <c r="AN21" i="32" s="1"/>
  <c r="AK21" i="32"/>
  <c r="AK57" i="32"/>
  <c r="AJ57" i="32"/>
  <c r="AN57" i="32" s="1"/>
  <c r="AK19" i="32"/>
  <c r="AJ19" i="32"/>
  <c r="AN19" i="32" s="1"/>
  <c r="AJ18" i="32"/>
  <c r="AN18" i="32" s="1"/>
  <c r="AK18" i="32"/>
  <c r="AN33" i="32"/>
  <c r="AJ69" i="32"/>
  <c r="AN69" i="32" s="1"/>
  <c r="AK69" i="32"/>
  <c r="AK17" i="32"/>
  <c r="AJ17" i="32"/>
  <c r="AN17" i="32" s="1"/>
  <c r="AK71" i="32"/>
  <c r="AJ71" i="32"/>
  <c r="AN71" i="32" s="1"/>
  <c r="AJ66" i="32"/>
  <c r="AN66" i="32" s="1"/>
  <c r="AK66" i="32"/>
  <c r="AN37" i="32"/>
  <c r="AK67" i="32"/>
  <c r="AJ67" i="32"/>
  <c r="AN67" i="32" s="1"/>
  <c r="AJ64" i="32"/>
  <c r="AJ52" i="32"/>
  <c r="AN52" i="32" s="1"/>
  <c r="AK52" i="32"/>
  <c r="AN25" i="32"/>
  <c r="AN23" i="32"/>
  <c r="AK13" i="32"/>
  <c r="AI14" i="32" s="1"/>
  <c r="AJ13" i="32"/>
  <c r="AN13" i="32" s="1"/>
  <c r="AK45" i="32"/>
  <c r="AJ45" i="32"/>
  <c r="AN45" i="32" s="1"/>
  <c r="AK61" i="32"/>
  <c r="AJ61" i="32"/>
  <c r="AN61" i="32" s="1"/>
  <c r="AN56" i="32"/>
  <c r="AN50" i="32"/>
  <c r="AK58" i="32"/>
  <c r="AJ58" i="32"/>
  <c r="AN58" i="32" s="1"/>
  <c r="AK49" i="32"/>
  <c r="AJ49" i="32"/>
  <c r="AN49" i="32" s="1"/>
  <c r="AK42" i="32"/>
  <c r="AJ42" i="32"/>
  <c r="AN42" i="32" s="1"/>
  <c r="AN53" i="32"/>
  <c r="AK32" i="32"/>
  <c r="AJ32" i="32"/>
  <c r="AN32" i="32" s="1"/>
  <c r="AK62" i="32"/>
  <c r="AJ62" i="32"/>
  <c r="AN62" i="32" s="1"/>
  <c r="AK31" i="32"/>
  <c r="AJ31" i="32"/>
  <c r="AN31" i="32" s="1"/>
  <c r="AM14" i="32"/>
  <c r="AL14" i="32" s="1"/>
  <c r="AK44" i="32"/>
  <c r="AJ44" i="32"/>
  <c r="AN44" i="32" s="1"/>
  <c r="AN64" i="32"/>
  <c r="AK27" i="32"/>
  <c r="AJ27" i="32"/>
  <c r="AN27" i="32" s="1"/>
  <c r="AK28" i="32"/>
  <c r="AJ28" i="32"/>
  <c r="AN28" i="32" s="1"/>
  <c r="AK41" i="32"/>
  <c r="AJ41" i="32"/>
  <c r="AN41" i="32" s="1"/>
  <c r="AK59" i="32"/>
  <c r="AJ59" i="32"/>
  <c r="AN59" i="32" s="1"/>
  <c r="AG40" i="31"/>
  <c r="AF40" i="31"/>
  <c r="AJ40" i="31" s="1"/>
  <c r="AG56" i="31"/>
  <c r="AF56" i="31"/>
  <c r="AJ56" i="31" s="1"/>
  <c r="AG39" i="31"/>
  <c r="AF39" i="31"/>
  <c r="AJ39" i="31" s="1"/>
  <c r="AG25" i="31"/>
  <c r="AF25" i="31"/>
  <c r="AJ25" i="31" s="1"/>
  <c r="AG44" i="31"/>
  <c r="AF44" i="31"/>
  <c r="AJ44" i="31" s="1"/>
  <c r="AG22" i="31"/>
  <c r="AF22" i="31"/>
  <c r="AJ22" i="31" s="1"/>
  <c r="AG26" i="31"/>
  <c r="AF26" i="31"/>
  <c r="AJ26" i="31" s="1"/>
  <c r="AJ55" i="31"/>
  <c r="AG23" i="31"/>
  <c r="AF23" i="31"/>
  <c r="AJ23" i="31" s="1"/>
  <c r="AG57" i="31"/>
  <c r="AF57" i="31"/>
  <c r="AJ57" i="31" s="1"/>
  <c r="AG13" i="31"/>
  <c r="AE14" i="31" s="1"/>
  <c r="AF13" i="31"/>
  <c r="AG70" i="31"/>
  <c r="AF70" i="31"/>
  <c r="AJ70" i="31" s="1"/>
  <c r="AG53" i="31"/>
  <c r="AF53" i="31"/>
  <c r="AJ53" i="31" s="1"/>
  <c r="AG36" i="31"/>
  <c r="AF36" i="31"/>
  <c r="AJ36" i="31" s="1"/>
  <c r="AG54" i="31"/>
  <c r="AF54" i="31"/>
  <c r="AJ54" i="31" s="1"/>
  <c r="AG43" i="31"/>
  <c r="AF43" i="31"/>
  <c r="AJ43" i="31" s="1"/>
  <c r="AG71" i="31"/>
  <c r="AF71" i="31"/>
  <c r="AJ71" i="31" s="1"/>
  <c r="AE17" i="1"/>
  <c r="AF17" i="1" s="1"/>
  <c r="AI18" i="1"/>
  <c r="AH18" i="1" s="1"/>
  <c r="AE18" i="1"/>
  <c r="AG18" i="1" s="1"/>
  <c r="AE13" i="1"/>
  <c r="AG13" i="1" s="1"/>
  <c r="AE14" i="1" s="1"/>
  <c r="AI17" i="1"/>
  <c r="AH17" i="1" s="1"/>
  <c r="AJ13" i="31" l="1"/>
  <c r="AK14" i="32"/>
  <c r="AJ14" i="32"/>
  <c r="AN14" i="32" s="1"/>
  <c r="AG14" i="31"/>
  <c r="AE15" i="31" s="1"/>
  <c r="AF14" i="31"/>
  <c r="AJ14" i="31" s="1"/>
  <c r="AG17" i="1"/>
  <c r="AF18" i="1"/>
  <c r="AJ18" i="1" s="1"/>
  <c r="AF13" i="1"/>
  <c r="AF14" i="1"/>
  <c r="AG14" i="1"/>
  <c r="AE15" i="1" s="1"/>
  <c r="AF15" i="1" s="1"/>
  <c r="AJ17" i="1"/>
  <c r="AI16" i="1" l="1"/>
  <c r="AH16" i="1" s="1"/>
  <c r="AG15" i="31"/>
  <c r="AF15" i="31"/>
  <c r="AJ15" i="31" s="1"/>
  <c r="AG15" i="1"/>
  <c r="AE16" i="1" s="1"/>
  <c r="AF16" i="1" l="1"/>
  <c r="AJ16" i="1" s="1"/>
  <c r="AG16" i="1"/>
  <c r="O55" i="1"/>
  <c r="Z8" i="1" l="1"/>
  <c r="Z7" i="1"/>
  <c r="Z6" i="1"/>
  <c r="X19" i="1" l="1"/>
  <c r="X20" i="1"/>
  <c r="AI20" i="1" l="1"/>
  <c r="AI19" i="1"/>
  <c r="E24" i="22"/>
  <c r="E8" i="13"/>
  <c r="E7" i="13"/>
  <c r="E6" i="13"/>
  <c r="E5" i="13"/>
  <c r="R22" i="1"/>
  <c r="R71" i="1"/>
  <c r="R38" i="1"/>
  <c r="R54" i="1"/>
  <c r="R20" i="1"/>
  <c r="R35" i="1"/>
  <c r="R32" i="1"/>
  <c r="R42" i="1"/>
  <c r="R47" i="1"/>
  <c r="R59" i="1"/>
  <c r="R64" i="1"/>
  <c r="R40" i="1"/>
  <c r="R70" i="1"/>
  <c r="R45" i="1"/>
  <c r="R30" i="1"/>
  <c r="R63" i="1"/>
  <c r="R28" i="1"/>
  <c r="R29" i="1"/>
  <c r="R57" i="1"/>
  <c r="R24" i="1"/>
  <c r="R58" i="1"/>
  <c r="R62" i="1"/>
  <c r="R69" i="1"/>
  <c r="R68" i="1"/>
  <c r="R21" i="1"/>
  <c r="R46" i="1"/>
  <c r="R44" i="1"/>
  <c r="R53" i="1"/>
  <c r="R50" i="1"/>
  <c r="R36" i="1"/>
  <c r="R39" i="1"/>
  <c r="R23" i="1"/>
  <c r="R51" i="1"/>
  <c r="R41" i="1"/>
  <c r="R72" i="1"/>
  <c r="R27" i="1"/>
  <c r="R26" i="1"/>
  <c r="R65" i="1"/>
  <c r="R48" i="1"/>
  <c r="R56" i="1"/>
  <c r="R33" i="1"/>
  <c r="R60" i="1"/>
  <c r="R34" i="1"/>
  <c r="R52" i="1"/>
  <c r="R66" i="1"/>
  <c r="F222" i="13" l="1"/>
  <c r="F212" i="13"/>
  <c r="F213" i="13"/>
  <c r="F214" i="13"/>
  <c r="F215" i="13"/>
  <c r="F216" i="13"/>
  <c r="F217" i="13"/>
  <c r="F218" i="13"/>
  <c r="F219" i="13"/>
  <c r="F220" i="13"/>
  <c r="F221" i="13"/>
  <c r="F211" i="13"/>
  <c r="B222" i="13" a="1"/>
  <c r="B222" i="13" l="1"/>
  <c r="R13" i="1" s="1"/>
  <c r="S13" i="1" s="1"/>
  <c r="X55" i="1"/>
  <c r="X50" i="1"/>
  <c r="X44" i="1"/>
  <c r="AI55" i="1" l="1"/>
  <c r="T13" i="1"/>
  <c r="AI13" i="1" s="1"/>
  <c r="U13"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1" i="13"/>
  <c r="AH13" i="1" l="1"/>
  <c r="AJ13" i="1" s="1"/>
  <c r="AI14" i="1"/>
  <c r="AA72" i="1"/>
  <c r="X72" i="1"/>
  <c r="AA71" i="1"/>
  <c r="X71" i="1"/>
  <c r="AA70" i="1"/>
  <c r="X70" i="1"/>
  <c r="AA69" i="1"/>
  <c r="X69" i="1"/>
  <c r="AA68" i="1"/>
  <c r="X68" i="1"/>
  <c r="AA67" i="1"/>
  <c r="X67" i="1"/>
  <c r="O67" i="1"/>
  <c r="P67" i="1" s="1"/>
  <c r="AA66" i="1"/>
  <c r="X66" i="1"/>
  <c r="AA65" i="1"/>
  <c r="X65" i="1"/>
  <c r="AA64" i="1"/>
  <c r="X64" i="1"/>
  <c r="AA63" i="1"/>
  <c r="X63" i="1"/>
  <c r="AA62" i="1"/>
  <c r="X62" i="1"/>
  <c r="AA61" i="1"/>
  <c r="X61" i="1"/>
  <c r="O61" i="1"/>
  <c r="P61" i="1" s="1"/>
  <c r="AA60" i="1"/>
  <c r="X60" i="1"/>
  <c r="AA59" i="1"/>
  <c r="X59" i="1"/>
  <c r="AA58" i="1"/>
  <c r="X58" i="1"/>
  <c r="AA57" i="1"/>
  <c r="X57" i="1"/>
  <c r="AA56" i="1"/>
  <c r="X56" i="1"/>
  <c r="AA55" i="1"/>
  <c r="P55" i="1"/>
  <c r="AA54" i="1"/>
  <c r="X54" i="1"/>
  <c r="AA53" i="1"/>
  <c r="X53" i="1"/>
  <c r="AA52" i="1"/>
  <c r="X52" i="1"/>
  <c r="AA51" i="1"/>
  <c r="X51" i="1"/>
  <c r="AA50" i="1"/>
  <c r="AA49" i="1"/>
  <c r="X49" i="1"/>
  <c r="O49" i="1"/>
  <c r="P49" i="1" s="1"/>
  <c r="AA48" i="1"/>
  <c r="X48" i="1"/>
  <c r="AA47" i="1"/>
  <c r="X47" i="1"/>
  <c r="AA46" i="1"/>
  <c r="X46" i="1"/>
  <c r="AA45" i="1"/>
  <c r="X45" i="1"/>
  <c r="AA44" i="1"/>
  <c r="AA43" i="1"/>
  <c r="X43" i="1"/>
  <c r="O43" i="1"/>
  <c r="P43" i="1" s="1"/>
  <c r="AA42" i="1"/>
  <c r="X42" i="1"/>
  <c r="AA41" i="1"/>
  <c r="X41" i="1"/>
  <c r="AA40" i="1"/>
  <c r="X40" i="1"/>
  <c r="AA39" i="1"/>
  <c r="X39" i="1"/>
  <c r="AA38" i="1"/>
  <c r="X38" i="1"/>
  <c r="AA37" i="1"/>
  <c r="X37" i="1"/>
  <c r="O37" i="1"/>
  <c r="P37" i="1" s="1"/>
  <c r="AA36" i="1"/>
  <c r="X36" i="1"/>
  <c r="AA35" i="1"/>
  <c r="X35" i="1"/>
  <c r="AA34" i="1"/>
  <c r="X34" i="1"/>
  <c r="AA33" i="1"/>
  <c r="X33" i="1"/>
  <c r="AA32" i="1"/>
  <c r="X32" i="1"/>
  <c r="AA31" i="1"/>
  <c r="X31" i="1"/>
  <c r="O31" i="1"/>
  <c r="P31" i="1" s="1"/>
  <c r="AA30" i="1"/>
  <c r="X30" i="1"/>
  <c r="AA29" i="1"/>
  <c r="X29" i="1"/>
  <c r="AA28" i="1"/>
  <c r="X28" i="1"/>
  <c r="AA27" i="1"/>
  <c r="X27" i="1"/>
  <c r="AA26" i="1"/>
  <c r="X26" i="1"/>
  <c r="AA25" i="1"/>
  <c r="X25" i="1"/>
  <c r="O25" i="1"/>
  <c r="P25" i="1" s="1"/>
  <c r="O19" i="1"/>
  <c r="AA24" i="1"/>
  <c r="X24" i="1"/>
  <c r="AA23" i="1"/>
  <c r="X23" i="1"/>
  <c r="AA22" i="1"/>
  <c r="X22" i="1"/>
  <c r="AA21" i="1"/>
  <c r="X21" i="1"/>
  <c r="AA20" i="1"/>
  <c r="AA19" i="1"/>
  <c r="AH14" i="1" l="1"/>
  <c r="AJ14" i="1" s="1"/>
  <c r="AI15" i="1"/>
  <c r="AH15" i="1" s="1"/>
  <c r="AJ15" i="1" s="1"/>
  <c r="AI29" i="1"/>
  <c r="AI40" i="1"/>
  <c r="AI48" i="1"/>
  <c r="AI60" i="1"/>
  <c r="AI71" i="1"/>
  <c r="AI23" i="1"/>
  <c r="AI30" i="1"/>
  <c r="AI41" i="1"/>
  <c r="AI36" i="1"/>
  <c r="AI63" i="1"/>
  <c r="AI64" i="1"/>
  <c r="AI34" i="1"/>
  <c r="AI65" i="1"/>
  <c r="AI28" i="1"/>
  <c r="AI39" i="1"/>
  <c r="AI47" i="1"/>
  <c r="AI59" i="1"/>
  <c r="AI70" i="1"/>
  <c r="AI33" i="1"/>
  <c r="AI53" i="1"/>
  <c r="AH53" i="1" s="1"/>
  <c r="AI72" i="1"/>
  <c r="AI31" i="1"/>
  <c r="AI32" i="1"/>
  <c r="AI22" i="1"/>
  <c r="AI21" i="1"/>
  <c r="AI44" i="1"/>
  <c r="AI43" i="1"/>
  <c r="AI57" i="1"/>
  <c r="AI56" i="1"/>
  <c r="AI68" i="1"/>
  <c r="AI67" i="1"/>
  <c r="AI52" i="1"/>
  <c r="AI51" i="1"/>
  <c r="AI24" i="1"/>
  <c r="AI38" i="1"/>
  <c r="AI37" i="1"/>
  <c r="AI42" i="1"/>
  <c r="AI46" i="1"/>
  <c r="AI45" i="1"/>
  <c r="AI54" i="1"/>
  <c r="AH54" i="1" s="1"/>
  <c r="AI58" i="1"/>
  <c r="AI69" i="1"/>
  <c r="AI35" i="1"/>
  <c r="AI50" i="1"/>
  <c r="AI49" i="1"/>
  <c r="AI62" i="1"/>
  <c r="AI61" i="1"/>
  <c r="AI66" i="1"/>
  <c r="P19" i="1"/>
  <c r="AE19" i="1" s="1"/>
  <c r="AE67" i="1"/>
  <c r="AE61" i="1"/>
  <c r="AE55" i="1"/>
  <c r="AE49" i="1"/>
  <c r="AE53" i="1"/>
  <c r="AE54" i="1"/>
  <c r="AE43" i="1"/>
  <c r="AE37" i="1"/>
  <c r="AE31" i="1"/>
  <c r="AE25" i="1"/>
  <c r="AF67" i="1" l="1"/>
  <c r="AG67" i="1"/>
  <c r="AE68" i="1" s="1"/>
  <c r="AF68" i="1" s="1"/>
  <c r="AF61" i="1"/>
  <c r="AG61" i="1"/>
  <c r="AE62" i="1" s="1"/>
  <c r="AG62" i="1" s="1"/>
  <c r="AE63" i="1" s="1"/>
  <c r="AF55" i="1"/>
  <c r="AG55" i="1"/>
  <c r="AE56" i="1" s="1"/>
  <c r="AG56" i="1" s="1"/>
  <c r="AE57" i="1" s="1"/>
  <c r="AF54" i="1"/>
  <c r="AG54" i="1"/>
  <c r="AF53" i="1"/>
  <c r="AG53" i="1"/>
  <c r="AF49" i="1"/>
  <c r="AG49" i="1"/>
  <c r="AF43" i="1"/>
  <c r="AG43" i="1"/>
  <c r="AE44" i="1" s="1"/>
  <c r="AG44" i="1" s="1"/>
  <c r="AE45" i="1" s="1"/>
  <c r="AF37" i="1"/>
  <c r="AG37" i="1"/>
  <c r="AF31" i="1"/>
  <c r="AG31" i="1"/>
  <c r="AE32" i="1" s="1"/>
  <c r="AG32" i="1" s="1"/>
  <c r="AE33" i="1" s="1"/>
  <c r="AF33" i="1" s="1"/>
  <c r="AF25" i="1"/>
  <c r="AG25" i="1"/>
  <c r="AE26" i="1" s="1"/>
  <c r="AF26" i="1" s="1"/>
  <c r="AF19" i="1"/>
  <c r="AG19" i="1"/>
  <c r="AE20" i="1" s="1"/>
  <c r="AF62" i="1" l="1"/>
  <c r="AF56" i="1"/>
  <c r="AG26" i="1"/>
  <c r="AE27" i="1" s="1"/>
  <c r="AF27" i="1" s="1"/>
  <c r="AF44" i="1"/>
  <c r="AF32" i="1"/>
  <c r="AF45" i="1"/>
  <c r="AG45" i="1"/>
  <c r="AG63" i="1"/>
  <c r="AE64" i="1" s="1"/>
  <c r="AF63" i="1"/>
  <c r="AG57" i="1"/>
  <c r="AE58" i="1" s="1"/>
  <c r="AF57" i="1"/>
  <c r="AG68" i="1"/>
  <c r="AE69" i="1" s="1"/>
  <c r="AE38" i="1"/>
  <c r="AE50" i="1"/>
  <c r="AG3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J53" i="1"/>
  <c r="AJ54" i="1"/>
  <c r="AF64" i="1" l="1"/>
  <c r="AG64" i="1"/>
  <c r="AF58" i="1"/>
  <c r="AG58" i="1"/>
  <c r="AE59" i="1" s="1"/>
  <c r="AG27" i="1"/>
  <c r="AE28" i="1" s="1"/>
  <c r="AG28" i="1" s="1"/>
  <c r="AF69" i="1"/>
  <c r="AG69" i="1"/>
  <c r="AE70" i="1" s="1"/>
  <c r="AF50" i="1"/>
  <c r="AG50" i="1"/>
  <c r="AE51" i="1" s="1"/>
  <c r="AF51" i="1" s="1"/>
  <c r="AE46" i="1"/>
  <c r="AF38" i="1"/>
  <c r="AG38" i="1"/>
  <c r="AE39" i="1" s="1"/>
  <c r="AF39" i="1" s="1"/>
  <c r="AE35" i="1"/>
  <c r="AF35" i="1" s="1"/>
  <c r="AE34" i="1"/>
  <c r="AF20" i="1"/>
  <c r="AG20" i="1"/>
  <c r="AE21" i="1" s="1"/>
  <c r="AF21" i="1" s="1"/>
  <c r="AG51" i="1" l="1"/>
  <c r="AE52" i="1" s="1"/>
  <c r="AF52" i="1" s="1"/>
  <c r="AG39" i="1"/>
  <c r="AE40" i="1" s="1"/>
  <c r="AG40" i="1" s="1"/>
  <c r="AE41" i="1" s="1"/>
  <c r="AF59" i="1"/>
  <c r="AG59" i="1"/>
  <c r="AE60" i="1" s="1"/>
  <c r="AE65" i="1"/>
  <c r="AE66" i="1"/>
  <c r="AF28" i="1"/>
  <c r="AF46" i="1"/>
  <c r="AG46" i="1"/>
  <c r="AE47" i="1" s="1"/>
  <c r="AF47" i="1" s="1"/>
  <c r="AE29" i="1"/>
  <c r="AG70" i="1"/>
  <c r="AF70" i="1"/>
  <c r="AF34" i="1"/>
  <c r="AG34" i="1"/>
  <c r="AG35" i="1"/>
  <c r="AE36" i="1" s="1"/>
  <c r="AG21" i="1"/>
  <c r="AE22" i="1" s="1"/>
  <c r="AF22" i="1" s="1"/>
  <c r="AG52" i="1" l="1"/>
  <c r="AF40" i="1"/>
  <c r="AF66" i="1"/>
  <c r="AG66" i="1"/>
  <c r="AF65" i="1"/>
  <c r="AG65" i="1"/>
  <c r="AF60" i="1"/>
  <c r="AG60" i="1"/>
  <c r="AE71" i="1"/>
  <c r="AE72" i="1"/>
  <c r="AG47" i="1"/>
  <c r="AE48" i="1" s="1"/>
  <c r="AF48" i="1" s="1"/>
  <c r="AG41" i="1"/>
  <c r="AE42" i="1" s="1"/>
  <c r="AF41" i="1"/>
  <c r="AF29" i="1"/>
  <c r="AG29" i="1"/>
  <c r="AE30" i="1" s="1"/>
  <c r="AF30" i="1" s="1"/>
  <c r="AF36" i="1"/>
  <c r="AG36" i="1"/>
  <c r="AG22" i="1"/>
  <c r="AE23" i="1" s="1"/>
  <c r="AG23" i="1" s="1"/>
  <c r="AE24" i="1" s="1"/>
  <c r="AF72" i="1" l="1"/>
  <c r="AG72" i="1"/>
  <c r="AF71" i="1"/>
  <c r="AG71" i="1"/>
  <c r="AF42" i="1"/>
  <c r="AG42" i="1"/>
  <c r="AG48" i="1"/>
  <c r="AG30" i="1"/>
  <c r="AF23" i="1"/>
  <c r="AF24" i="1"/>
  <c r="AG24" i="1"/>
  <c r="R43" i="1" l="1"/>
  <c r="S43" i="1" s="1"/>
  <c r="R31" i="1"/>
  <c r="S31" i="1" s="1"/>
  <c r="R25" i="1"/>
  <c r="S25" i="1" s="1"/>
  <c r="R55" i="1"/>
  <c r="S55" i="1" s="1"/>
  <c r="R49" i="1"/>
  <c r="S49" i="1" s="1"/>
  <c r="R37" i="1"/>
  <c r="S37" i="1" s="1"/>
  <c r="R67" i="1"/>
  <c r="S67" i="1" s="1"/>
  <c r="R61" i="1"/>
  <c r="S61" i="1" s="1"/>
  <c r="R19" i="1"/>
  <c r="S19" i="1" s="1"/>
  <c r="Z42" i="18" l="1"/>
  <c r="N42" i="18"/>
  <c r="AF26" i="18"/>
  <c r="N26" i="18"/>
  <c r="AF18" i="18"/>
  <c r="T10" i="18"/>
  <c r="N34" i="18"/>
  <c r="T34" i="18"/>
  <c r="T18" i="18"/>
  <c r="Z18" i="18"/>
  <c r="Z10" i="18"/>
  <c r="AL18" i="18"/>
  <c r="Z26" i="18"/>
  <c r="U61" i="1"/>
  <c r="T61" i="1"/>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T55" i="1"/>
  <c r="AJ42" i="18"/>
  <c r="AJ18" i="18"/>
  <c r="AD26" i="18"/>
  <c r="L10" i="18"/>
  <c r="AD10" i="18"/>
  <c r="X18" i="18"/>
  <c r="AD42" i="18"/>
  <c r="L18" i="18"/>
  <c r="R10" i="18"/>
  <c r="U55" i="1"/>
  <c r="T67" i="1"/>
  <c r="AB36" i="18"/>
  <c r="AH12" i="18"/>
  <c r="P28" i="18"/>
  <c r="AH20" i="18"/>
  <c r="P36" i="18"/>
  <c r="V12" i="18"/>
  <c r="AH28" i="18"/>
  <c r="AB20" i="18"/>
  <c r="J12" i="18"/>
  <c r="J20" i="18"/>
  <c r="U67" i="1"/>
  <c r="P44" i="18"/>
  <c r="AB44" i="18"/>
  <c r="V28" i="18"/>
  <c r="V36" i="18"/>
  <c r="J28" i="18"/>
  <c r="AH36" i="18"/>
  <c r="J44" i="18"/>
  <c r="P12" i="18"/>
  <c r="AB12" i="18"/>
  <c r="V44" i="18"/>
  <c r="AH44" i="18"/>
  <c r="V20" i="18"/>
  <c r="P20" i="18"/>
  <c r="J36" i="18"/>
  <c r="AB28" i="18"/>
  <c r="T38" i="18"/>
  <c r="AF22" i="18"/>
  <c r="N38" i="18"/>
  <c r="AF30" i="18"/>
  <c r="AL6" i="18"/>
  <c r="Z6" i="18"/>
  <c r="U25" i="1"/>
  <c r="T14" i="18"/>
  <c r="T22" i="18"/>
  <c r="N6" i="18"/>
  <c r="AL30" i="18"/>
  <c r="Z22" i="18"/>
  <c r="Z14" i="18"/>
  <c r="T25" i="1"/>
  <c r="AI25" i="1" s="1"/>
  <c r="AI26" i="1" s="1"/>
  <c r="AI27" i="1" s="1"/>
  <c r="Z30" i="18"/>
  <c r="AL38" i="18"/>
  <c r="AL14" i="18"/>
  <c r="AF6" i="18"/>
  <c r="AL22" i="18"/>
  <c r="T30" i="18"/>
  <c r="Z38" i="18"/>
  <c r="AF14" i="18"/>
  <c r="N30" i="18"/>
  <c r="N14" i="18"/>
  <c r="N22" i="18"/>
  <c r="AF38" i="18"/>
  <c r="T6" i="18"/>
  <c r="T37" i="1"/>
  <c r="X32" i="18"/>
  <c r="AD32" i="18"/>
  <c r="AJ8" i="18"/>
  <c r="L16" i="18"/>
  <c r="R32" i="18"/>
  <c r="AJ32" i="18"/>
  <c r="U37" i="1"/>
  <c r="R40" i="18"/>
  <c r="AJ40" i="18"/>
  <c r="AD24" i="18"/>
  <c r="AJ24" i="18"/>
  <c r="R24" i="18"/>
  <c r="AJ16" i="18"/>
  <c r="AD8" i="18"/>
  <c r="L32" i="18"/>
  <c r="L40" i="18"/>
  <c r="R16" i="18"/>
  <c r="L24" i="18"/>
  <c r="AD16" i="18"/>
  <c r="L8" i="18"/>
  <c r="R8" i="18"/>
  <c r="X40" i="18"/>
  <c r="X8" i="18"/>
  <c r="X16" i="18"/>
  <c r="X24" i="18"/>
  <c r="T31" i="1"/>
  <c r="J40" i="18"/>
  <c r="J16" i="18"/>
  <c r="P16" i="18"/>
  <c r="V8" i="18"/>
  <c r="J8" i="18"/>
  <c r="J24" i="18"/>
  <c r="AH16" i="18"/>
  <c r="AB16" i="18"/>
  <c r="AB40" i="18"/>
  <c r="P32" i="18"/>
  <c r="P40" i="18"/>
  <c r="AH24" i="18"/>
  <c r="AB32" i="18"/>
  <c r="J32" i="18"/>
  <c r="V16" i="18"/>
  <c r="V40" i="18"/>
  <c r="AH32" i="18"/>
  <c r="V24" i="18"/>
  <c r="V32" i="18"/>
  <c r="AH8" i="18"/>
  <c r="AB8" i="18"/>
  <c r="P8" i="18"/>
  <c r="U31" i="1"/>
  <c r="AH40" i="18"/>
  <c r="AB24" i="18"/>
  <c r="P24" i="18"/>
  <c r="AD38" i="18"/>
  <c r="L30" i="18"/>
  <c r="AD30" i="18"/>
  <c r="AJ6" i="18"/>
  <c r="L14" i="18"/>
  <c r="L22" i="18"/>
  <c r="X6" i="18"/>
  <c r="L6" i="18"/>
  <c r="U19" i="1"/>
  <c r="R38" i="18"/>
  <c r="AJ38" i="18"/>
  <c r="L38" i="18"/>
  <c r="AD6" i="18"/>
  <c r="R6" i="18"/>
  <c r="AJ30" i="18"/>
  <c r="R30" i="18"/>
  <c r="AD22" i="18"/>
  <c r="AJ14" i="18"/>
  <c r="AJ22" i="18"/>
  <c r="AD14" i="18"/>
  <c r="X38" i="18"/>
  <c r="X14" i="18"/>
  <c r="R22" i="18"/>
  <c r="X22" i="18"/>
  <c r="T19"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T49" i="1"/>
  <c r="AH34" i="18"/>
  <c r="AH42" i="18"/>
  <c r="AH18" i="18"/>
  <c r="AB10" i="18"/>
  <c r="J26" i="18"/>
  <c r="V18" i="18"/>
  <c r="V42" i="18"/>
  <c r="J42" i="18"/>
  <c r="P10" i="18"/>
  <c r="AB26" i="18"/>
  <c r="J34" i="18"/>
  <c r="J18" i="18"/>
  <c r="AH10" i="18"/>
  <c r="AB34" i="18"/>
  <c r="P26" i="18"/>
  <c r="P34" i="18"/>
  <c r="V34" i="18"/>
  <c r="AH26" i="18"/>
  <c r="J10" i="18"/>
  <c r="U49" i="1"/>
  <c r="P18" i="18"/>
  <c r="AB42" i="18"/>
  <c r="V10" i="18"/>
  <c r="AB18" i="18"/>
  <c r="P42" i="18"/>
  <c r="V26" i="18"/>
  <c r="Z32" i="18"/>
  <c r="N24" i="18"/>
  <c r="AL32" i="18"/>
  <c r="AL40" i="18"/>
  <c r="N8" i="18"/>
  <c r="AF24" i="18"/>
  <c r="Z40" i="18"/>
  <c r="Z16" i="18"/>
  <c r="N32" i="18"/>
  <c r="T32" i="18"/>
  <c r="N40" i="18"/>
  <c r="T8" i="18"/>
  <c r="T43" i="1"/>
  <c r="AF32" i="18"/>
  <c r="AL8" i="18"/>
  <c r="T24" i="18"/>
  <c r="N16" i="18"/>
  <c r="T16" i="18"/>
  <c r="Z24" i="18"/>
  <c r="AF16" i="18"/>
  <c r="U43" i="1"/>
  <c r="T40" i="18"/>
  <c r="AF8" i="18"/>
  <c r="AL24" i="18"/>
  <c r="Z8" i="18"/>
  <c r="AF40" i="18"/>
  <c r="AL16" i="18"/>
  <c r="AH31" i="1" l="1"/>
  <c r="AH67" i="1"/>
  <c r="AH43" i="1"/>
  <c r="AH55" i="1"/>
  <c r="AH19" i="1"/>
  <c r="AH25" i="1"/>
  <c r="AH49" i="1"/>
  <c r="AH37" i="1"/>
  <c r="AH50" i="1" l="1"/>
  <c r="AH56" i="1"/>
  <c r="AH62" i="1"/>
  <c r="AH38" i="1"/>
  <c r="AH44" i="1"/>
  <c r="AH32" i="1"/>
  <c r="AH26" i="1"/>
  <c r="J40" i="19"/>
  <c r="V30" i="19"/>
  <c r="AH20" i="19"/>
  <c r="J30" i="19"/>
  <c r="V20" i="19"/>
  <c r="AH10" i="19"/>
  <c r="P10" i="19"/>
  <c r="AB50" i="19"/>
  <c r="J50" i="19"/>
  <c r="AB40" i="19"/>
  <c r="P30" i="19"/>
  <c r="V50" i="19"/>
  <c r="P50" i="19"/>
  <c r="AB10" i="19"/>
  <c r="AH30" i="19"/>
  <c r="AH40" i="19"/>
  <c r="J10" i="19"/>
  <c r="AB20" i="19"/>
  <c r="AH50" i="19"/>
  <c r="AJ37" i="1"/>
  <c r="V10" i="19"/>
  <c r="P20" i="19"/>
  <c r="J20" i="19"/>
  <c r="P40" i="19"/>
  <c r="V40" i="19"/>
  <c r="AB30" i="19"/>
  <c r="J11" i="19"/>
  <c r="V11" i="19"/>
  <c r="AB21" i="19"/>
  <c r="P31" i="19"/>
  <c r="J31" i="19"/>
  <c r="AB41" i="19"/>
  <c r="AJ43" i="1"/>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AJ67" i="1"/>
  <c r="P25" i="19"/>
  <c r="V55" i="19"/>
  <c r="J15" i="19"/>
  <c r="AB15" i="19"/>
  <c r="J35" i="19"/>
  <c r="AB35" i="19"/>
  <c r="J55" i="19"/>
  <c r="AB25" i="19"/>
  <c r="P35" i="19"/>
  <c r="P55" i="19"/>
  <c r="AB45" i="19"/>
  <c r="P15" i="19"/>
  <c r="J47" i="19"/>
  <c r="V27" i="19"/>
  <c r="AH7" i="19"/>
  <c r="P47" i="19"/>
  <c r="AB27" i="19"/>
  <c r="J17" i="19"/>
  <c r="V47" i="19"/>
  <c r="J37" i="19"/>
  <c r="AJ19" i="1"/>
  <c r="AB37" i="19"/>
  <c r="J27" i="19"/>
  <c r="V7" i="19"/>
  <c r="AH37" i="19"/>
  <c r="P27" i="19"/>
  <c r="AB7" i="19"/>
  <c r="P17" i="19"/>
  <c r="V17" i="19"/>
  <c r="AH47" i="19"/>
  <c r="P37" i="19"/>
  <c r="AB17" i="19"/>
  <c r="J7" i="19"/>
  <c r="V37" i="19"/>
  <c r="AH17" i="19"/>
  <c r="P7" i="19"/>
  <c r="AH27" i="19"/>
  <c r="AB47" i="19"/>
  <c r="AJ55"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H61" i="1"/>
  <c r="AJ31"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J25"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H45" i="1"/>
  <c r="V32" i="19"/>
  <c r="P42" i="19"/>
  <c r="J12" i="19"/>
  <c r="J32" i="19"/>
  <c r="AB52" i="19"/>
  <c r="AJ49" i="1"/>
  <c r="J22" i="19"/>
  <c r="V22" i="19"/>
  <c r="J52" i="19"/>
  <c r="AH12" i="19"/>
  <c r="J42" i="19"/>
  <c r="AH42" i="19"/>
  <c r="P32" i="19"/>
  <c r="AB12" i="19"/>
  <c r="AH32" i="19"/>
  <c r="AB32" i="19"/>
  <c r="AB42" i="19"/>
  <c r="V42" i="19"/>
  <c r="V12" i="19"/>
  <c r="V52" i="19"/>
  <c r="AB22" i="19"/>
  <c r="AH52" i="19"/>
  <c r="AH22" i="19"/>
  <c r="P22" i="19"/>
  <c r="P12" i="19"/>
  <c r="P52" i="19"/>
  <c r="AH51" i="1"/>
  <c r="AH20" i="1"/>
  <c r="AH68" i="1" l="1"/>
  <c r="K45" i="19" s="1"/>
  <c r="AH52" i="1"/>
  <c r="S12" i="19" s="1"/>
  <c r="W37" i="19"/>
  <c r="AI7" i="19"/>
  <c r="W17" i="19"/>
  <c r="W27" i="19"/>
  <c r="Q47" i="19"/>
  <c r="W7" i="19"/>
  <c r="AI17" i="19"/>
  <c r="K47" i="19"/>
  <c r="AI47" i="19"/>
  <c r="Q27" i="19"/>
  <c r="AC27" i="19"/>
  <c r="AC47" i="19"/>
  <c r="AC37" i="19"/>
  <c r="AI37" i="19"/>
  <c r="AJ20" i="1"/>
  <c r="AC17" i="19"/>
  <c r="K37" i="19"/>
  <c r="AC7" i="19"/>
  <c r="W47" i="19"/>
  <c r="Q37" i="19"/>
  <c r="AI27" i="19"/>
  <c r="Q7" i="19"/>
  <c r="K27" i="19"/>
  <c r="K17" i="19"/>
  <c r="K7" i="19"/>
  <c r="Q17" i="19"/>
  <c r="AC14" i="19"/>
  <c r="Q14" i="19"/>
  <c r="AI54" i="19"/>
  <c r="Q54" i="19"/>
  <c r="Q24" i="19"/>
  <c r="AI14" i="19"/>
  <c r="W24" i="19"/>
  <c r="AC44" i="19"/>
  <c r="K54" i="19"/>
  <c r="AI34" i="19"/>
  <c r="W14" i="19"/>
  <c r="K24" i="19"/>
  <c r="AC24" i="19"/>
  <c r="AI44" i="19"/>
  <c r="AI24" i="19"/>
  <c r="W44" i="19"/>
  <c r="Q44" i="19"/>
  <c r="AC54" i="19"/>
  <c r="AJ62"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J44" i="1"/>
  <c r="P54" i="19"/>
  <c r="AH14" i="19"/>
  <c r="AB14" i="19"/>
  <c r="AH34" i="19"/>
  <c r="AB54" i="19"/>
  <c r="AH54" i="19"/>
  <c r="AJ61"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J51" i="1"/>
  <c r="AD12" i="19"/>
  <c r="AD32" i="19"/>
  <c r="AD22" i="19"/>
  <c r="X52" i="19"/>
  <c r="AD52" i="19"/>
  <c r="L42" i="19"/>
  <c r="R42" i="19"/>
  <c r="AJ21" i="19"/>
  <c r="AD31" i="19"/>
  <c r="R21" i="19"/>
  <c r="AD41" i="19"/>
  <c r="AJ11" i="19"/>
  <c r="AJ51" i="19"/>
  <c r="AJ45" i="1"/>
  <c r="L41" i="19"/>
  <c r="AD11" i="19"/>
  <c r="L21" i="19"/>
  <c r="L11" i="19"/>
  <c r="X51" i="19"/>
  <c r="X21" i="19"/>
  <c r="R11" i="19"/>
  <c r="R31" i="19"/>
  <c r="AJ41" i="19"/>
  <c r="L31" i="19"/>
  <c r="R51" i="19"/>
  <c r="X31" i="19"/>
  <c r="X11" i="19"/>
  <c r="X41" i="19"/>
  <c r="AJ31" i="19"/>
  <c r="AD51" i="19"/>
  <c r="R41" i="19"/>
  <c r="AD21" i="19"/>
  <c r="L51" i="19"/>
  <c r="AH21" i="1"/>
  <c r="AH33" i="1"/>
  <c r="AH57" i="1"/>
  <c r="K42" i="19"/>
  <c r="AC32" i="19"/>
  <c r="W42" i="19"/>
  <c r="AI52" i="19"/>
  <c r="K22" i="19"/>
  <c r="Q32" i="19"/>
  <c r="AI12" i="19"/>
  <c r="AC52" i="19"/>
  <c r="Q42" i="19"/>
  <c r="AC42" i="19"/>
  <c r="K12" i="19"/>
  <c r="Q22" i="19"/>
  <c r="W52" i="19"/>
  <c r="AI42" i="19"/>
  <c r="W32" i="19"/>
  <c r="AI22" i="19"/>
  <c r="W12" i="19"/>
  <c r="AI32" i="19"/>
  <c r="AC12" i="19"/>
  <c r="Q12" i="19"/>
  <c r="Q52" i="19"/>
  <c r="AJ50" i="1"/>
  <c r="K32" i="19"/>
  <c r="W22" i="19"/>
  <c r="K52" i="19"/>
  <c r="AC22" i="19"/>
  <c r="AC40" i="19"/>
  <c r="W10" i="19"/>
  <c r="AC50" i="19"/>
  <c r="Q10" i="19"/>
  <c r="Q30" i="19"/>
  <c r="W50" i="19"/>
  <c r="K40" i="19"/>
  <c r="Q50" i="19"/>
  <c r="W20" i="19"/>
  <c r="AJ38" i="1"/>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H63" i="1"/>
  <c r="K39" i="19"/>
  <c r="AC39" i="19"/>
  <c r="W29" i="19"/>
  <c r="AI49" i="19"/>
  <c r="W9" i="19"/>
  <c r="AC19" i="19"/>
  <c r="Q49" i="19"/>
  <c r="W49" i="19"/>
  <c r="AC9" i="19"/>
  <c r="AI9" i="19"/>
  <c r="Q29" i="19"/>
  <c r="W39" i="19"/>
  <c r="Q39" i="19"/>
  <c r="AJ32"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J56" i="1"/>
  <c r="Q33" i="19"/>
  <c r="AI23" i="19"/>
  <c r="K53" i="19"/>
  <c r="AC23" i="19"/>
  <c r="AC13" i="19"/>
  <c r="W23" i="19"/>
  <c r="W33" i="19"/>
  <c r="Q13" i="19"/>
  <c r="W13" i="19"/>
  <c r="AI13" i="19"/>
  <c r="Q43" i="19"/>
  <c r="Q23" i="19"/>
  <c r="W53" i="19"/>
  <c r="AK42" i="19"/>
  <c r="AE32" i="19"/>
  <c r="AJ52" i="1"/>
  <c r="Y52" i="19"/>
  <c r="S22" i="19"/>
  <c r="AK52" i="19"/>
  <c r="M22" i="19"/>
  <c r="AK32" i="19"/>
  <c r="AE22" i="19"/>
  <c r="AE42" i="19"/>
  <c r="S42" i="19"/>
  <c r="AH46" i="1"/>
  <c r="AH48" i="1"/>
  <c r="AH47" i="1"/>
  <c r="AH39"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J26" i="1"/>
  <c r="M12" i="19" l="1"/>
  <c r="S52" i="19"/>
  <c r="AK22" i="19"/>
  <c r="AK12" i="19"/>
  <c r="AE52" i="19"/>
  <c r="Y42" i="19"/>
  <c r="Q55" i="19"/>
  <c r="Y22" i="19"/>
  <c r="Y32" i="19"/>
  <c r="AE12" i="19"/>
  <c r="M52" i="19"/>
  <c r="Y12" i="19"/>
  <c r="S32" i="19"/>
  <c r="M32" i="19"/>
  <c r="M42" i="19"/>
  <c r="W45" i="19"/>
  <c r="K25" i="19"/>
  <c r="W55" i="19"/>
  <c r="AI25" i="19"/>
  <c r="AI45" i="19"/>
  <c r="Q25" i="19"/>
  <c r="AJ68" i="1"/>
  <c r="AC35" i="19"/>
  <c r="AI15" i="19"/>
  <c r="Q35" i="19"/>
  <c r="W25" i="19"/>
  <c r="AC25" i="19"/>
  <c r="AI55" i="19"/>
  <c r="K15" i="19"/>
  <c r="Q15" i="19"/>
  <c r="K35" i="19"/>
  <c r="W35" i="19"/>
  <c r="W15" i="19"/>
  <c r="AC15" i="19"/>
  <c r="Q45" i="19"/>
  <c r="AC55" i="19"/>
  <c r="K55" i="19"/>
  <c r="AC45" i="19"/>
  <c r="AI35" i="19"/>
  <c r="AH69" i="1"/>
  <c r="AH27" i="1"/>
  <c r="R18" i="19" s="1"/>
  <c r="R40" i="19"/>
  <c r="AD10" i="19"/>
  <c r="X40" i="19"/>
  <c r="AJ10" i="19"/>
  <c r="R50" i="19"/>
  <c r="X10" i="19"/>
  <c r="R30" i="19"/>
  <c r="AJ39" i="1"/>
  <c r="L10" i="19"/>
  <c r="L50" i="19"/>
  <c r="AJ20" i="19"/>
  <c r="AJ40" i="19"/>
  <c r="AD30" i="19"/>
  <c r="R20" i="19"/>
  <c r="AD50" i="19"/>
  <c r="AJ30" i="19"/>
  <c r="AJ50" i="19"/>
  <c r="X30" i="19"/>
  <c r="AD20" i="19"/>
  <c r="L40" i="19"/>
  <c r="X50" i="19"/>
  <c r="X20" i="19"/>
  <c r="AD40" i="19"/>
  <c r="R10" i="19"/>
  <c r="L30" i="19"/>
  <c r="L20" i="19"/>
  <c r="AH58" i="1"/>
  <c r="AH72" i="1"/>
  <c r="AD47" i="19"/>
  <c r="AJ27" i="19"/>
  <c r="AD27" i="19"/>
  <c r="AJ7" i="19"/>
  <c r="AJ37" i="19"/>
  <c r="L27" i="19"/>
  <c r="AD17" i="19"/>
  <c r="L37" i="19"/>
  <c r="R17" i="19"/>
  <c r="AJ17" i="19"/>
  <c r="X7" i="19"/>
  <c r="X47" i="19"/>
  <c r="L7" i="19"/>
  <c r="L17" i="19"/>
  <c r="R27" i="19"/>
  <c r="X27" i="19"/>
  <c r="R7" i="19"/>
  <c r="X17" i="19"/>
  <c r="AJ47" i="19"/>
  <c r="L47" i="19"/>
  <c r="R37" i="19"/>
  <c r="AD7" i="19"/>
  <c r="X37" i="19"/>
  <c r="AJ21" i="1"/>
  <c r="R47" i="19"/>
  <c r="AD37" i="19"/>
  <c r="AH29" i="1"/>
  <c r="AH28" i="1"/>
  <c r="AH30" i="1"/>
  <c r="AJ43" i="19"/>
  <c r="AD33" i="19"/>
  <c r="X33" i="19"/>
  <c r="X13" i="19"/>
  <c r="AD43" i="19"/>
  <c r="L43" i="19"/>
  <c r="AJ57" i="1"/>
  <c r="X23" i="19"/>
  <c r="R33" i="19"/>
  <c r="R43" i="19"/>
  <c r="AD53" i="19"/>
  <c r="AJ13" i="19"/>
  <c r="R23" i="19"/>
  <c r="R13" i="19"/>
  <c r="AJ53" i="19"/>
  <c r="L33" i="19"/>
  <c r="L23" i="19"/>
  <c r="X43" i="19"/>
  <c r="X53" i="19"/>
  <c r="AD13" i="19"/>
  <c r="L53" i="19"/>
  <c r="L13" i="19"/>
  <c r="AD23" i="19"/>
  <c r="AJ33" i="19"/>
  <c r="AJ23" i="19"/>
  <c r="R53" i="19"/>
  <c r="AH22" i="1"/>
  <c r="Z11" i="19"/>
  <c r="AF31" i="19"/>
  <c r="T51" i="19"/>
  <c r="N51" i="19"/>
  <c r="Z41" i="19"/>
  <c r="AF21" i="19"/>
  <c r="AL31" i="19"/>
  <c r="T31" i="19"/>
  <c r="Z31" i="19"/>
  <c r="N21" i="19"/>
  <c r="N31" i="19"/>
  <c r="AL11" i="19"/>
  <c r="T11" i="19"/>
  <c r="AF11" i="19"/>
  <c r="AL41" i="19"/>
  <c r="T21" i="19"/>
  <c r="Z21" i="19"/>
  <c r="AL51" i="19"/>
  <c r="N11" i="19"/>
  <c r="AF51" i="19"/>
  <c r="N41" i="19"/>
  <c r="Z51" i="19"/>
  <c r="AJ47"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J48" i="1"/>
  <c r="AG11" i="19"/>
  <c r="AM41" i="19"/>
  <c r="AA21" i="19"/>
  <c r="AA51" i="19"/>
  <c r="U51" i="19"/>
  <c r="U31" i="19"/>
  <c r="AA11" i="19"/>
  <c r="AG21" i="19"/>
  <c r="O31" i="19"/>
  <c r="AH64" i="1"/>
  <c r="AH34" i="1"/>
  <c r="AH35" i="1"/>
  <c r="AH36"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H40" i="1"/>
  <c r="AE11" i="19"/>
  <c r="Y41" i="19"/>
  <c r="M41" i="19"/>
  <c r="Y21" i="19"/>
  <c r="AK41" i="19"/>
  <c r="S31" i="19"/>
  <c r="M31" i="19"/>
  <c r="M51" i="19"/>
  <c r="Y51" i="19"/>
  <c r="AK21" i="19"/>
  <c r="AK31" i="19"/>
  <c r="Y11" i="19"/>
  <c r="AE41" i="19"/>
  <c r="AE21" i="19"/>
  <c r="S51" i="19"/>
  <c r="AE51" i="19"/>
  <c r="AK51" i="19"/>
  <c r="M21" i="19"/>
  <c r="AE31" i="19"/>
  <c r="AJ46" i="1"/>
  <c r="S41" i="19"/>
  <c r="AK11" i="19"/>
  <c r="S11" i="19"/>
  <c r="Y31" i="19"/>
  <c r="S21" i="19"/>
  <c r="M11" i="19"/>
  <c r="L54" i="19"/>
  <c r="AJ14" i="19"/>
  <c r="AD44" i="19"/>
  <c r="X54" i="19"/>
  <c r="R14" i="19"/>
  <c r="AD24" i="19"/>
  <c r="AD34" i="19"/>
  <c r="R54" i="19"/>
  <c r="L34" i="19"/>
  <c r="AJ34" i="19"/>
  <c r="X24" i="19"/>
  <c r="AJ24" i="19"/>
  <c r="X44" i="19"/>
  <c r="R24" i="19"/>
  <c r="AJ63" i="1"/>
  <c r="X34" i="19"/>
  <c r="L14" i="19"/>
  <c r="AD14" i="19"/>
  <c r="L44" i="19"/>
  <c r="R44" i="19"/>
  <c r="AD54" i="19"/>
  <c r="X14" i="19"/>
  <c r="AJ44" i="19"/>
  <c r="R34" i="19"/>
  <c r="AJ54" i="19"/>
  <c r="L24" i="19"/>
  <c r="AD29" i="19"/>
  <c r="AD19" i="19"/>
  <c r="R39" i="19"/>
  <c r="R9" i="19"/>
  <c r="X49" i="19"/>
  <c r="X9" i="19"/>
  <c r="AD39" i="19"/>
  <c r="R29" i="19"/>
  <c r="L49" i="19"/>
  <c r="X19" i="19"/>
  <c r="X29" i="19"/>
  <c r="X39" i="19"/>
  <c r="L9" i="19"/>
  <c r="AJ33" i="1"/>
  <c r="AD9" i="19"/>
  <c r="AJ49" i="19"/>
  <c r="L39" i="19"/>
  <c r="R19" i="19"/>
  <c r="AJ39" i="19"/>
  <c r="AJ29" i="19"/>
  <c r="AJ19" i="19"/>
  <c r="AJ9" i="19"/>
  <c r="AD49" i="19"/>
  <c r="L19" i="19"/>
  <c r="L29" i="19"/>
  <c r="R49" i="19"/>
  <c r="R15" i="19" l="1"/>
  <c r="R55" i="19"/>
  <c r="AD25" i="19"/>
  <c r="L55" i="19"/>
  <c r="AJ35" i="19"/>
  <c r="X55" i="19"/>
  <c r="X35" i="19"/>
  <c r="AJ69" i="1"/>
  <c r="AD15" i="19"/>
  <c r="X25" i="19"/>
  <c r="X45" i="19"/>
  <c r="L35" i="19"/>
  <c r="R35" i="19"/>
  <c r="AJ15" i="19"/>
  <c r="L15" i="19"/>
  <c r="AJ25" i="19"/>
  <c r="AJ55" i="19"/>
  <c r="L45" i="19"/>
  <c r="AD35" i="19"/>
  <c r="R25" i="19"/>
  <c r="AD45" i="19"/>
  <c r="R45" i="19"/>
  <c r="AD55" i="19"/>
  <c r="X15" i="19"/>
  <c r="L25" i="19"/>
  <c r="AJ45" i="19"/>
  <c r="AH71" i="1"/>
  <c r="Z35" i="19" s="1"/>
  <c r="AH70" i="1"/>
  <c r="AJ48" i="19"/>
  <c r="L18" i="19"/>
  <c r="AD8" i="19"/>
  <c r="AJ8" i="19"/>
  <c r="AJ28" i="19"/>
  <c r="R48" i="19"/>
  <c r="X48" i="19"/>
  <c r="L8" i="19"/>
  <c r="AD28" i="19"/>
  <c r="X38" i="19"/>
  <c r="AJ27" i="1"/>
  <c r="X8" i="19"/>
  <c r="L48" i="19"/>
  <c r="AD48" i="19"/>
  <c r="AD38" i="19"/>
  <c r="X18" i="19"/>
  <c r="R38" i="19"/>
  <c r="R8" i="19"/>
  <c r="L38" i="19"/>
  <c r="R28" i="19"/>
  <c r="AJ38" i="19"/>
  <c r="AD18" i="19"/>
  <c r="L28" i="19"/>
  <c r="AJ18" i="19"/>
  <c r="X28" i="19"/>
  <c r="AH41" i="1"/>
  <c r="AH42" i="1"/>
  <c r="AG39" i="19"/>
  <c r="AG29" i="19"/>
  <c r="AM19" i="19"/>
  <c r="O39" i="19"/>
  <c r="AJ36"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J64" i="1"/>
  <c r="AE24" i="19"/>
  <c r="S14" i="19"/>
  <c r="AK17" i="19"/>
  <c r="S27" i="19"/>
  <c r="S37" i="19"/>
  <c r="AE27" i="19"/>
  <c r="Y47" i="19"/>
  <c r="S7" i="19"/>
  <c r="M17" i="19"/>
  <c r="AE17" i="19"/>
  <c r="AK27" i="19"/>
  <c r="Y7" i="19"/>
  <c r="Y37" i="19"/>
  <c r="AE37" i="19"/>
  <c r="Y27" i="19"/>
  <c r="M47" i="19"/>
  <c r="AJ22"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J28" i="1"/>
  <c r="AE28" i="19"/>
  <c r="AA55" i="19"/>
  <c r="O45" i="19"/>
  <c r="AA15" i="19"/>
  <c r="AM55" i="19"/>
  <c r="O55" i="19"/>
  <c r="AG35" i="19"/>
  <c r="AM25" i="19"/>
  <c r="AM35" i="19"/>
  <c r="AA25" i="19"/>
  <c r="AM45" i="19"/>
  <c r="AG25" i="19"/>
  <c r="AA35" i="19"/>
  <c r="O25" i="19"/>
  <c r="U25" i="19"/>
  <c r="AG45" i="19"/>
  <c r="U35" i="19"/>
  <c r="AA45" i="19"/>
  <c r="AM15" i="19"/>
  <c r="U45" i="19"/>
  <c r="O35" i="19"/>
  <c r="O15" i="19"/>
  <c r="AJ72" i="1"/>
  <c r="AG15" i="19"/>
  <c r="U15" i="19"/>
  <c r="AG55" i="19"/>
  <c r="U55" i="19"/>
  <c r="AE40" i="19"/>
  <c r="Y30" i="19"/>
  <c r="M20" i="19"/>
  <c r="AJ40"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J35" i="1"/>
  <c r="T19" i="19"/>
  <c r="AL49" i="19"/>
  <c r="T29" i="19"/>
  <c r="AF29" i="19"/>
  <c r="T18" i="19"/>
  <c r="N48" i="19"/>
  <c r="N8" i="19"/>
  <c r="T28" i="19"/>
  <c r="AF38" i="19"/>
  <c r="Z28" i="19"/>
  <c r="Z18" i="19"/>
  <c r="AF8" i="19"/>
  <c r="AJ29" i="1"/>
  <c r="AL8" i="19"/>
  <c r="Z48" i="19"/>
  <c r="AL48" i="19"/>
  <c r="AL28" i="19"/>
  <c r="N38" i="19"/>
  <c r="AL38" i="19"/>
  <c r="AF28" i="19"/>
  <c r="AF18" i="19"/>
  <c r="AL18" i="19"/>
  <c r="Z8" i="19"/>
  <c r="T48" i="19"/>
  <c r="T8" i="19"/>
  <c r="T38" i="19"/>
  <c r="Z38" i="19"/>
  <c r="AF48" i="19"/>
  <c r="N28" i="19"/>
  <c r="N18" i="19"/>
  <c r="S39" i="19"/>
  <c r="M49" i="19"/>
  <c r="AE19" i="19"/>
  <c r="S49" i="19"/>
  <c r="AK19" i="19"/>
  <c r="Y9" i="19"/>
  <c r="M29" i="19"/>
  <c r="AE49" i="19"/>
  <c r="Y39" i="19"/>
  <c r="AK49" i="19"/>
  <c r="AK29" i="19"/>
  <c r="AK39" i="19"/>
  <c r="S19" i="19"/>
  <c r="M19" i="19"/>
  <c r="AE9" i="19"/>
  <c r="AE39" i="19"/>
  <c r="M39" i="19"/>
  <c r="AK9" i="19"/>
  <c r="Y19" i="19"/>
  <c r="S29" i="19"/>
  <c r="S9" i="19"/>
  <c r="AE29" i="19"/>
  <c r="Y49" i="19"/>
  <c r="AJ34" i="1"/>
  <c r="M9" i="19"/>
  <c r="Y29" i="19"/>
  <c r="AH59" i="1"/>
  <c r="AH60"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H65" i="1"/>
  <c r="AH66" i="1"/>
  <c r="AH24" i="1"/>
  <c r="AH23" i="1"/>
  <c r="O8" i="19"/>
  <c r="AA48" i="19"/>
  <c r="AM38" i="19"/>
  <c r="U48" i="19"/>
  <c r="AA18" i="19"/>
  <c r="AG18" i="19"/>
  <c r="AG48" i="19"/>
  <c r="AM18" i="19"/>
  <c r="AA28" i="19"/>
  <c r="AG28" i="19"/>
  <c r="AA8" i="19"/>
  <c r="U18" i="19"/>
  <c r="AG38" i="19"/>
  <c r="U38" i="19"/>
  <c r="AM8" i="19"/>
  <c r="AA38" i="19"/>
  <c r="AM48" i="19"/>
  <c r="U28" i="19"/>
  <c r="O38" i="19"/>
  <c r="U8" i="19"/>
  <c r="AG8" i="19"/>
  <c r="AJ30"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J58"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L35" i="19" l="1"/>
  <c r="AJ71" i="1"/>
  <c r="N25" i="19"/>
  <c r="AF15" i="19"/>
  <c r="AF25" i="19"/>
  <c r="N15" i="19"/>
  <c r="Z25" i="19"/>
  <c r="N45" i="19"/>
  <c r="Z55" i="19"/>
  <c r="N35" i="19"/>
  <c r="AF35" i="19"/>
  <c r="Z45" i="19"/>
  <c r="Z15" i="19"/>
  <c r="AL45" i="19"/>
  <c r="AL25" i="19"/>
  <c r="AL55" i="19"/>
  <c r="AF45" i="19"/>
  <c r="AL15" i="19"/>
  <c r="N55" i="19"/>
  <c r="T55" i="19"/>
  <c r="T45" i="19"/>
  <c r="T25" i="19"/>
  <c r="AF55" i="19"/>
  <c r="T15" i="19"/>
  <c r="T35" i="19"/>
  <c r="Y35" i="19"/>
  <c r="Y45" i="19"/>
  <c r="M25" i="19"/>
  <c r="AE55" i="19"/>
  <c r="AE35" i="19"/>
  <c r="S55" i="19"/>
  <c r="M35" i="19"/>
  <c r="AK25" i="19"/>
  <c r="AE25" i="19"/>
  <c r="S45" i="19"/>
  <c r="M45" i="19"/>
  <c r="Y55" i="19"/>
  <c r="M55" i="19"/>
  <c r="S15" i="19"/>
  <c r="AE45" i="19"/>
  <c r="S35" i="19"/>
  <c r="S25" i="19"/>
  <c r="AK15" i="19"/>
  <c r="M15" i="19"/>
  <c r="AK35" i="19"/>
  <c r="AK55" i="19"/>
  <c r="Y25" i="19"/>
  <c r="AJ70" i="1"/>
  <c r="Y15" i="19"/>
  <c r="AE15" i="19"/>
  <c r="AK45" i="19"/>
  <c r="AG24" i="19"/>
  <c r="O44" i="19"/>
  <c r="O24" i="19"/>
  <c r="AM14" i="19"/>
  <c r="AG34" i="19"/>
  <c r="O34" i="19"/>
  <c r="AA44" i="19"/>
  <c r="O14" i="19"/>
  <c r="AA54" i="19"/>
  <c r="U14" i="19"/>
  <c r="AM44" i="19"/>
  <c r="AA34" i="19"/>
  <c r="AM24" i="19"/>
  <c r="AM54" i="19"/>
  <c r="AG14" i="19"/>
  <c r="AM34" i="19"/>
  <c r="U54" i="19"/>
  <c r="AG44" i="19"/>
  <c r="AA24" i="19"/>
  <c r="AG54" i="19"/>
  <c r="U34" i="19"/>
  <c r="U24" i="19"/>
  <c r="AJ66" i="1"/>
  <c r="AA14" i="19"/>
  <c r="O54" i="19"/>
  <c r="U44" i="19"/>
  <c r="U43" i="19"/>
  <c r="U13" i="19"/>
  <c r="AM53" i="19"/>
  <c r="AA53" i="19"/>
  <c r="AA43" i="19"/>
  <c r="O53" i="19"/>
  <c r="O23" i="19"/>
  <c r="O13" i="19"/>
  <c r="AG43" i="19"/>
  <c r="U33" i="19"/>
  <c r="U23" i="19"/>
  <c r="AM13" i="19"/>
  <c r="AM23" i="19"/>
  <c r="AG13" i="19"/>
  <c r="AA23" i="19"/>
  <c r="AG33" i="19"/>
  <c r="AA33" i="19"/>
  <c r="AM33" i="19"/>
  <c r="AA13" i="19"/>
  <c r="AJ60"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J65" i="1"/>
  <c r="AF53" i="19"/>
  <c r="T43" i="19"/>
  <c r="Z53" i="19"/>
  <c r="N43" i="19"/>
  <c r="T23" i="19"/>
  <c r="AF43" i="19"/>
  <c r="Z13" i="19"/>
  <c r="Z43" i="19"/>
  <c r="AF23" i="19"/>
  <c r="AL13" i="19"/>
  <c r="Z23" i="19"/>
  <c r="AL43" i="19"/>
  <c r="AF13" i="19"/>
  <c r="AL23" i="19"/>
  <c r="N13" i="19"/>
  <c r="T33" i="19"/>
  <c r="AL53" i="19"/>
  <c r="N23" i="19"/>
  <c r="N53" i="19"/>
  <c r="AF33" i="19"/>
  <c r="N33" i="19"/>
  <c r="AJ59" i="1"/>
  <c r="T53" i="19"/>
  <c r="AL33" i="19"/>
  <c r="T13" i="19"/>
  <c r="Z33" i="19"/>
  <c r="Z47" i="19"/>
  <c r="T7" i="19"/>
  <c r="AL37" i="19"/>
  <c r="T17" i="19"/>
  <c r="Z17" i="19"/>
  <c r="AF7" i="19"/>
  <c r="AF37" i="19"/>
  <c r="N17" i="19"/>
  <c r="AF27" i="19"/>
  <c r="AJ23"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J42"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J24" i="1"/>
  <c r="AA17" i="19"/>
  <c r="O7" i="19"/>
  <c r="AA37" i="19"/>
  <c r="AA27" i="19"/>
  <c r="AM27" i="19"/>
  <c r="U17" i="19"/>
  <c r="U47" i="19"/>
  <c r="AG17" i="19"/>
  <c r="O47" i="19"/>
  <c r="Z40" i="19"/>
  <c r="AJ41"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4" i="13"/>
  <c r="B22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tc={96F9A291-2D69-4EC2-9DBE-C4F18A5B6D90}</author>
  </authors>
  <commentList>
    <comment ref="W19" authorId="0" shapeId="0" xr:uid="{96F9A291-2D69-4EC2-9DBE-C4F18A5B6D9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@Johanna Alejandra Merchán Garzón @Maria Cristina Herrera Calderon @Jenny Andrea Ausique Pedroza por favor revisar y validar los dos controles para que esten alineados con las causas que las marcamos en azul, verificar si se deja las misma evidencias, frecuencia o ajustar segun necesidad ya que la descripción del riesgos se cambio con el enfoque a anteproyecto</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<sst xmlns="http://schemas.openxmlformats.org/spreadsheetml/2006/main" count="855" uniqueCount="472">
  <si>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</si>
  <si>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</si>
  <si>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</si>
  <si>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t>
    </r>
    <r>
      <rPr>
        <b/>
        <sz val="11"/>
        <rFont val="Arial Narrow"/>
        <family val="2"/>
      </rPr>
      <t xml:space="preserve">DOFA </t>
    </r>
    <r>
      <rPr>
        <sz val="11"/>
        <rFont val="Arial Narrow"/>
        <family val="2"/>
      </rPr>
      <t xml:space="preserve">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</si>
  <si>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</si>
  <si>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</si>
  <si>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</si>
  <si>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</si>
  <si>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</si>
  <si>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</si>
  <si>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</si>
  <si>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</si>
  <si>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</si>
  <si>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</si>
  <si>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</si>
  <si>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</si>
  <si>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</si>
  <si>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</si>
  <si>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</si>
  <si>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</si>
  <si>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</si>
  <si>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</si>
  <si>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</si>
  <si>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</si>
  <si>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</si>
  <si>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</si>
  <si>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</si>
  <si>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</si>
  <si>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</si>
  <si>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</si>
  <si>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</si>
  <si>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</si>
  <si>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</si>
  <si>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</si>
  <si>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</si>
  <si>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</si>
  <si>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</si>
  <si>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</si>
  <si>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</si>
  <si>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</si>
  <si>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</si>
  <si>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</si>
  <si>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</si>
  <si>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</si>
  <si>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</si>
  <si>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</si>
  <si>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</si>
  <si>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</si>
  <si>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</si>
  <si>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</si>
  <si>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</si>
  <si>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</si>
  <si>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</si>
  <si>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</si>
  <si>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</si>
  <si>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</si>
  <si>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</si>
  <si>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</si>
  <si>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</si>
  <si>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</si>
  <si>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 xml:space="preserve">Control de cambios </t>
  </si>
  <si>
    <t>el registra la actualización de los riesgos a partir de 2023</t>
  </si>
  <si>
    <t>Versión inicial</t>
  </si>
  <si>
    <t>tipo de riesgos</t>
  </si>
  <si>
    <t>Fecha de cambio</t>
  </si>
  <si>
    <t>Aspecto(s) que cambiaron</t>
  </si>
  <si>
    <t>Descripción de los cambios efectuados</t>
  </si>
  <si>
    <t>2023 -v1</t>
  </si>
  <si>
    <t>na</t>
  </si>
  <si>
    <t>2023 -v2</t>
  </si>
  <si>
    <t>gestión</t>
  </si>
  <si>
    <t>interno</t>
  </si>
  <si>
    <t>se incorporo una nueva por el covid 2+</t>
  </si>
  <si>
    <t>1. Direccionamiento estratégico e innovación</t>
  </si>
  <si>
    <t>2. Atención a partes interesadas y comunicaciones</t>
  </si>
  <si>
    <t>3. Estrategia y gobierno de TI</t>
  </si>
  <si>
    <t>4. Planificación de la intervención vial</t>
  </si>
  <si>
    <t>5. Producción de mezcla y provisión de maquinaria y equipos</t>
  </si>
  <si>
    <t>6. Intervención de la malla vial</t>
  </si>
  <si>
    <t>7. Gestión de servicios e infraestructura tecnológica</t>
  </si>
  <si>
    <t>8. Gestión de recursos físicos</t>
  </si>
  <si>
    <t>9. Gestión contractual</t>
  </si>
  <si>
    <t>10. Gestión financiera</t>
  </si>
  <si>
    <t>11. Gestión de laboratorio</t>
  </si>
  <si>
    <t>12. Gestión de talento humano</t>
  </si>
  <si>
    <t>13. Gestión ambiental</t>
  </si>
  <si>
    <t>14. Gestión documental</t>
  </si>
  <si>
    <t>15. Gestión jurídica</t>
  </si>
  <si>
    <t xml:space="preserve">16. Control, evaluación y mejora de la gestión  </t>
  </si>
  <si>
    <t>17. Control disciplinario interno</t>
  </si>
  <si>
    <t>CONTEXTO  DE PROCESO</t>
  </si>
  <si>
    <t>Riesgo asociado</t>
  </si>
  <si>
    <t>FACTORES INTERNOS</t>
  </si>
  <si>
    <t>ORIGEN</t>
  </si>
  <si>
    <t>FORTALEZAS Y/O OPORTUNIDADES</t>
  </si>
  <si>
    <t>DEBILIDADES Y/O AMENAZAS</t>
  </si>
  <si>
    <t>DISEÑO DEL PROCESO:</t>
  </si>
  <si>
    <t>El proceso tiene un alcance con un objetivo claro que abarca el direccionamiento estratégico y el apoyo en la gestión para todos los procesos de la entidad.</t>
  </si>
  <si>
    <r>
      <rPr>
        <sz val="21"/>
        <color rgb="FF7030A0"/>
        <rFont val="Arial"/>
        <family val="2"/>
      </rPr>
      <t>El componente de</t>
    </r>
    <r>
      <rPr>
        <b/>
        <sz val="21"/>
        <color rgb="FF7030A0"/>
        <rFont val="Arial"/>
        <family val="2"/>
      </rPr>
      <t xml:space="preserve"> innovación y gestión del conocimiento</t>
    </r>
    <r>
      <rPr>
        <sz val="21"/>
        <color rgb="FF7030A0"/>
        <rFont val="Arial"/>
        <family val="2"/>
      </rPr>
      <t xml:space="preserve"> está por desarrollar dentro del proceso. La operatividad del banco de proyectos depende de la aplicación y la comprensión de la metodología de iniciativas de proyectos por parte de los procesos de la entidad.</t>
    </r>
    <r>
      <rPr>
        <sz val="21"/>
        <rFont val="Arial"/>
        <family val="2"/>
      </rPr>
      <t xml:space="preserve">
El proceso DESI al ser el que coordina la implementación del Sistema de Gestión de Calidad depende del compromiso y trabajo de los demás procesos para generar resultados y subsanar las no conformidades producto de las actividades internas.</t>
    </r>
  </si>
  <si>
    <t>R4</t>
  </si>
  <si>
    <t>INTERACCIONES CON OTROS PROCESOS:</t>
  </si>
  <si>
    <r>
      <t>El proceso DESI  interactúa de manera eficaz con el resto de procesos de la entidad a través de los colaboradores designados por los directivos de la entidad como enlaces</t>
    </r>
    <r>
      <rPr>
        <sz val="21"/>
        <color rgb="FFFF0000"/>
        <rFont val="Arial"/>
        <family val="2"/>
      </rPr>
      <t>,</t>
    </r>
    <r>
      <rPr>
        <sz val="21"/>
        <rFont val="Arial"/>
        <family val="2"/>
      </rPr>
      <t xml:space="preserve"> pues da lineamientos y asesora la formulación programación actualización y seguimiento integral a proyectos de inversión,  la implementación del Modelo Integrado de Planeación y Gestión en todos los procesos y procedimientos de la entidad.
El proceso DESI se apoya en el proceso de Atención a Partes Interesadas y Comunicaciones para mantener una comunicación permanente con el resto de procesos, y con la línea estratégica de la entidad (el consejo directivo de la entidad).</t>
    </r>
  </si>
  <si>
    <r>
      <t>El proceso DESI, al ser el que consolida y analiza la información de gestión, seguimiento e indicadores de todos los procesos de la entidad puede llegar a fallar en la oportunidad de entrega de la información al C</t>
    </r>
    <r>
      <rPr>
        <b/>
        <sz val="21"/>
        <rFont val="Arial"/>
        <family val="2"/>
      </rPr>
      <t>omité Institucional de Gestión y Desempeño,</t>
    </r>
    <r>
      <rPr>
        <sz val="21"/>
        <rFont val="Arial"/>
        <family val="2"/>
      </rPr>
      <t xml:space="preserve"> pues depende de los colaboradores que sirven de enlaces con los procesos (en particular depende de sus compromisos de: efectividad, constancia y rigurosidad en la información).</t>
    </r>
  </si>
  <si>
    <t>R1</t>
  </si>
  <si>
    <t>TRANSVERSALIDAD</t>
  </si>
  <si>
    <t xml:space="preserve">El proceso DESI es transversal a todos los procesos de la entidad, la línea estratégica desplegada a través del comité directivo y la Oficina Asesora de Planeación  genera políticas, lineamientos y directrices que abarcan a todos los procesos y se articulan dentro del sistema integrado de gestión de la entidad.
El proceso DESI también se encarga de la administración del sistema de gestión de la calidad en la entidad, que involucra a todos los procesos y que bajo su liderazgo permite el aseguramiento de estándares de calidad en todos los procedimientos. </t>
  </si>
  <si>
    <t>Con el fin de cumplir  oportunamente en la entrega de los productos para la toma de decisiones de los directivos de la entidad se puede incurrir en la extralimitación de labores de la Oficina Asesora de Planeación y sus colaboradores. 
Pues por cumplir con los plazos se pueden empezar a adelantar labores que están incluidas en las herramientas de gestión de los procesos que deben ser realizadas y planificadas por ellos mismos.</t>
  </si>
  <si>
    <t>PROCEDIMIENTOS ASOCIADOS:</t>
  </si>
  <si>
    <t xml:space="preserve">RESPONSABLES DEL PROCESO: </t>
  </si>
  <si>
    <t>Los responsables del proceso DESI son: el director general,  el jefe de la oficina asesora de planeación y los subdirectores. Este sistema de responsabilidades permite un alto grado de  autoridad y autonomía para la toma de decisiones y desagregación de actividades.</t>
  </si>
  <si>
    <t xml:space="preserve">No se cuenta con los suficientes servidores públicos para realizar la gestión necesaria en el marco del cumplimiento de los objetivos institucionales relacionados con su campo de acción. 
En consecuencia, el proceso debe recurrir a la vinculación de contratistas </t>
  </si>
  <si>
    <t>COMUNICACIÓN ENTRE LOS PROCESOS:</t>
  </si>
  <si>
    <t xml:space="preserve">Cuando el Comité directivo y el proceso DESI generan directrices, recomendaciones y solicitudes al resto de procesos de la entidad sus observaciones son tenidas en cuenta y se integran al accionar de los procesos. </t>
  </si>
  <si>
    <t xml:space="preserve">La comunicación puede ser dispendiosa si no se cuenta con la disposición y el compromiso de los responsables directivos.
</t>
  </si>
  <si>
    <t>ACTIVOS DE SEGURIDAD DIGITAL DEL PROCESO:</t>
  </si>
  <si>
    <t xml:space="preserve">El proceso cuenta con un repositorio de información documentada vigente en la intranet de la entidad llamado: SISGESTIÓN en la que se cuelgan los formatos y documentos del sistema integrado de gestión de la entidad. En este repositorio los colaboradores tienen facilidad para consultar la información actualizada.
Se cuenta con el aplicativo SAFIRO que sirve para hacer el seguimiento a las metas y proyectos de inversión de la entidad. </t>
  </si>
  <si>
    <t>El proceso está diseñado para funcionar apoyándose en sistemas de información, bases de datos y aplicativos, por lo que fallas en estos sistemas pueden afectar el normal flujo del proceso.
Los aplicativos informáticos del proceso están expuestos a una manipulación indebida de la información por parte de los administradores de las bases de datos.
Hace falta el desarrollo de una PMO (Project Management Office) una oficina o un software que permita el seguimiento a iniciativas de proyectos de innovación y de gestión del conocimiento.</t>
  </si>
  <si>
    <t>Aceptar</t>
  </si>
  <si>
    <t>Económico</t>
  </si>
  <si>
    <t>Evitar</t>
  </si>
  <si>
    <t>Reputacional</t>
  </si>
  <si>
    <t>Reducir (compartir)</t>
  </si>
  <si>
    <t>Económico y Reputacional</t>
  </si>
  <si>
    <t>Reducir (mitigar)</t>
  </si>
  <si>
    <t xml:space="preserve">Riesgo estrategico </t>
  </si>
  <si>
    <t>Objetivo Intitucional asociado</t>
  </si>
  <si>
    <t>Plan de accion (solo para la opción reducir)</t>
  </si>
  <si>
    <t>Si</t>
  </si>
  <si>
    <t>1. Lograr mecanismos de financiación que permitan incrementar los recursos propios de la entidad.</t>
  </si>
  <si>
    <t>Finalizado</t>
  </si>
  <si>
    <t>No</t>
  </si>
  <si>
    <t>2. Diseñar e implementar una estrategia de innovación que permita hacer más eficiente la gestión de la Unidad.</t>
  </si>
  <si>
    <t>En curso</t>
  </si>
  <si>
    <t xml:space="preserve">3.Mejorar el estado de la malla vial local, intermedia, rural, y de la ciclo-infraestructura de Bogotá D.C., </t>
  </si>
  <si>
    <t>4.Mejorar las condiciones de Infraestructura que permitan el uso y disfrute del espacio público en Bogotá D.C.</t>
  </si>
  <si>
    <t xml:space="preserve">Gestión </t>
  </si>
  <si>
    <t>Relaciones Laborales</t>
  </si>
  <si>
    <t>NA</t>
  </si>
  <si>
    <t>Daños Activos Fisicos</t>
  </si>
  <si>
    <t>Proyecto de inversión</t>
  </si>
  <si>
    <t>Ejecucion y Administracion de procesos</t>
  </si>
  <si>
    <t>7858 Conservación de la Malla Vial Distrital y Cicloinfraestructura de Bogotá</t>
  </si>
  <si>
    <t>Fallas Tecnologicas</t>
  </si>
  <si>
    <t xml:space="preserve">7859 Fortalecimiento Institucional </t>
  </si>
  <si>
    <t>Usuarios, productos y practicas , organizacionales</t>
  </si>
  <si>
    <t>7860 Fortalecimiento de los componentes de TI para la transformación digital</t>
  </si>
  <si>
    <t>Corrupción</t>
  </si>
  <si>
    <t>Fraude Externo</t>
  </si>
  <si>
    <t>7903 Apoyo a la adecuación y conservación del espacio público de Bogotá</t>
  </si>
  <si>
    <t>Fraude Interno</t>
  </si>
  <si>
    <t>Soborno</t>
  </si>
  <si>
    <t>seguridad</t>
  </si>
  <si>
    <t xml:space="preserve">Pérdida de la integridad </t>
  </si>
  <si>
    <t xml:space="preserve">Pérdida de la confidencialidad </t>
  </si>
  <si>
    <t xml:space="preserve">Pérdida de la disponibilidad </t>
  </si>
  <si>
    <t>Acciones no autorizadas </t>
  </si>
  <si>
    <t>Compromiso de la información </t>
  </si>
  <si>
    <t>Compromiso de las funciones </t>
  </si>
  <si>
    <t>Daño físico </t>
  </si>
  <si>
    <t>TIPO</t>
  </si>
  <si>
    <t>AMENAZA</t>
  </si>
  <si>
    <t>Fallas técnicas </t>
  </si>
  <si>
    <t>Fuego</t>
  </si>
  <si>
    <t>Perdida de los servicios esenciales </t>
  </si>
  <si>
    <t>Agua</t>
  </si>
  <si>
    <t>Perturbación debida a la radiación </t>
  </si>
  <si>
    <t>Contaminación</t>
  </si>
  <si>
    <t>Eventos naturales </t>
  </si>
  <si>
    <t>Accidente Importante</t>
  </si>
  <si>
    <t>Destrucción del equipo o medios </t>
  </si>
  <si>
    <t>Polvo, corrosión, congelamiento </t>
  </si>
  <si>
    <t>Fenómenos climáticos </t>
  </si>
  <si>
    <t>Fenómenos sísmicos </t>
  </si>
  <si>
    <t>Fenómenos volcánicos </t>
  </si>
  <si>
    <t>Fenómenos meteorológicos </t>
  </si>
  <si>
    <t>Inundación </t>
  </si>
  <si>
    <t>Fallas en el sistema de suministro de agua o aire acondicionado </t>
  </si>
  <si>
    <t>Perdida de suministro de energía </t>
  </si>
  <si>
    <t>Falla en equipo de telecomunicaciones </t>
  </si>
  <si>
    <t>Radiación electromagnética </t>
  </si>
  <si>
    <t>Radiación térmica </t>
  </si>
  <si>
    <t>Impulsos electromagnéticos </t>
  </si>
  <si>
    <t>Interceptación de señales de interferencia comprometida </t>
  </si>
  <si>
    <t>Espionaje remoto </t>
  </si>
  <si>
    <t>Escucha encubierta </t>
  </si>
  <si>
    <t>Hurto de medios o documentos </t>
  </si>
  <si>
    <t>Hurto de equipo </t>
  </si>
  <si>
    <t>Recuperación de medios reciclados o desechados </t>
  </si>
  <si>
    <t>Divulgación </t>
  </si>
  <si>
    <t>Datos provenientes de fuentes no confiables </t>
  </si>
  <si>
    <t>Manipulación con hardware </t>
  </si>
  <si>
    <t>Manipulación con software </t>
  </si>
  <si>
    <t>Detección de la posición </t>
  </si>
  <si>
    <t>Fallas del equipo </t>
  </si>
  <si>
    <t>Mal funcionamiento del equipo </t>
  </si>
  <si>
    <t>Saturación del sistema de información </t>
  </si>
  <si>
    <t>Mal funcionamiento del software </t>
  </si>
  <si>
    <t>Incumplimiento en el mantenimiento del sistema de información. </t>
  </si>
  <si>
    <t>Uso no autorizado del equipo </t>
  </si>
  <si>
    <t>Copia fraudulenta del software </t>
  </si>
  <si>
    <t>Uso de software falso o copiado </t>
  </si>
  <si>
    <t>Corrupción de los datos </t>
  </si>
  <si>
    <t>Procesamiento ilegal de datos </t>
  </si>
  <si>
    <t>Error en el uso </t>
  </si>
  <si>
    <t>Abuso de derechos </t>
  </si>
  <si>
    <t>Falsificación de derechos </t>
  </si>
  <si>
    <t>Negación de acciones </t>
  </si>
  <si>
    <t>Incumplimiento en la disponibilidad del personal </t>
  </si>
  <si>
    <t>FORMATO MAPA RIESGOS DE PROCESO</t>
  </si>
  <si>
    <t>CÓDIGO: DESI-FM-018</t>
  </si>
  <si>
    <t>VERSIÓN: 11</t>
  </si>
  <si>
    <t xml:space="preserve">                CÓDIGO: DESI-FM-018</t>
  </si>
  <si>
    <t>VERSIÓN: 10</t>
  </si>
  <si>
    <r>
      <t xml:space="preserve">FECHA DE APLICACIÓN: </t>
    </r>
    <r>
      <rPr>
        <b/>
        <sz val="16"/>
        <color theme="5" tint="-0.249977111117893"/>
        <rFont val="Arial"/>
        <family val="2"/>
      </rPr>
      <t>NOVIEMBRE 2022</t>
    </r>
  </si>
  <si>
    <t xml:space="preserve">                FECHA DE APLICACIÓN: DICIEMBRE 2021</t>
  </si>
  <si>
    <t>Proceso:</t>
  </si>
  <si>
    <t>Objetivo:</t>
  </si>
  <si>
    <t>Brindar las herramientas necesarias para definir la ruta estratégica que guiará la gestión institucional y la toma de decisiones de la alta dirección para mejorar los procesos y el uso de los recursos a partir de los resultados del seguimiento, en pro de satisfacer las necesidades de los grupos de valor y en el marco de la implementación del modelo de gestión pública</t>
  </si>
  <si>
    <t>Alcance:</t>
  </si>
  <si>
    <t xml:space="preserve">El proceso inicia con la formulación de la plataforma estratégica institucional, alineada al Plan de Desarrollo Distrital, con el fin de definir los lineamientos para la formulación de politicas, planes, programas, proyectos, estrategias de mejora e innovación, manuales e indicadores que permitan medir la gestión institucional y cumplir con las políticas y lineamientos del gobierno nacional y distrital. Finaliza con el seguimiento, consolidación, análisis y presentación de resultados como insumo para la toma de decisiones de la Alta Dirección. </t>
  </si>
  <si>
    <t>Identificación del riesgo</t>
  </si>
  <si>
    <t>Contexto</t>
  </si>
  <si>
    <t>Instrumentos posiblemente afectados</t>
  </si>
  <si>
    <t>Análisis del riesgo inherente</t>
  </si>
  <si>
    <t>Evaluación del riesgo - Valoración de los controles</t>
  </si>
  <si>
    <t>Evaluación del riesgo - Nivel del riesgo residual</t>
  </si>
  <si>
    <t xml:space="preserve">Tratamiento del riesgo -plan de acción </t>
  </si>
  <si>
    <t>ACCION DE CONTINGENCIA</t>
  </si>
  <si>
    <t xml:space="preserve">Referencia </t>
  </si>
  <si>
    <t xml:space="preserve">Actividad clave o fase del proyecto </t>
  </si>
  <si>
    <t>Internas</t>
  </si>
  <si>
    <t>Externas</t>
  </si>
  <si>
    <t>Efectos (Consecuencias)</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</si>
  <si>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</si>
  <si>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</si>
  <si>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</si>
  <si>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</si>
  <si>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</si>
  <si>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</si>
  <si>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</si>
  <si>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</si>
  <si>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</si>
  <si>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</si>
  <si>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</si>
  <si>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</si>
  <si>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Acción</t>
  </si>
  <si>
    <t>Responsable</t>
  </si>
  <si>
    <t>Producto</t>
  </si>
  <si>
    <t>Fecha Implementación</t>
  </si>
  <si>
    <t>ACCIÓN</t>
  </si>
  <si>
    <t>SOPORTE / PRODUCTO</t>
  </si>
  <si>
    <t>RESPONSABLE</t>
  </si>
  <si>
    <t xml:space="preserve">Proyecto de Inversión asociado </t>
  </si>
  <si>
    <t>Tipo</t>
  </si>
  <si>
    <t>Implementación</t>
  </si>
  <si>
    <t>Calificación</t>
  </si>
  <si>
    <t>Documentación</t>
  </si>
  <si>
    <t>Frecuencia</t>
  </si>
  <si>
    <t>Evidencia</t>
  </si>
  <si>
    <t>Perdida credibilidad de los grupos de valor y pares interesada</t>
  </si>
  <si>
    <t xml:space="preserve">Deficiencias en la revisión de la infomación que entregan los procesos como insumo para la formulación y actualización de los instrumentos de planeciaón que administra la OAP y deficiencias en los reportes de seguimiento </t>
  </si>
  <si>
    <t>Posibilidad de afectación reputacional por pérdida de credibilidad de los grupos de valor y partes interesadas debido a  deficiencias en la revisión de la infomación que entregan los procesos como insumo para la formulación y actualización de los instrumentos de planeciaón que administra la OAP y deficiencias en los reportes de seguimiento de estos.</t>
  </si>
  <si>
    <t xml:space="preserve">
Revisar y actualizar si es pertinente la plataforma estrategica institucional.
Direccionar la gestión en la formulación y programación de politicas, planes, programas, proyectos, estrategias de mejora e innovación, manuales e indicadores...
Realizar el seguimiento, análisis de los instrumentos de planeación y gestión  y presentarlos al Comité</t>
  </si>
  <si>
    <t>El insumo para formular y actualizar los instrumentos de planeación o los informes del seguimiento no son: sufucientes,oportunos, claros, completos o de calidad 
Deficiencias en la revisión de la información reportada ante el comité de gestión y desempeño por multiplicidad de temas a tratar de las 19 políticas del MIPG</t>
  </si>
  <si>
    <t>Actualización permanete de los linemianetos distratales o nacionales.
Cambios en la priorización de la entidad de acuerdo al POT y PDD</t>
  </si>
  <si>
    <t>Sanciones por entes de control
Perdida de confianza por información no confiable
Demoras en la divulgación de los instrumentos de planeación</t>
  </si>
  <si>
    <t xml:space="preserve">     El riesgo afecta la imagen de la entidad con algunos usuarios de relevancia frente al logro de los objetivos</t>
  </si>
  <si>
    <t>El profesional designado por el (la) jefe de la Oficina Asesora de Planeación valida trimestral que la información de insumo para la formulación o actualización o reporte cumpla para el plan de acción e indicadores.
Como evidencia del control queda el correo institucional o la observación en ORFEO o en la herramienta correspondiente.
Si se identifica que la información tiene inconsistencias se genera la observación pertinente para ajuste del proceso.</t>
  </si>
  <si>
    <t>Preventivo</t>
  </si>
  <si>
    <t>Manual</t>
  </si>
  <si>
    <t>Documentado</t>
  </si>
  <si>
    <t>Continua</t>
  </si>
  <si>
    <t>Con Registro</t>
  </si>
  <si>
    <t xml:space="preserve">Realizar tres mesas con los enlaces de proceso para recordar los lineamientos de los intrumesntos de planeación </t>
  </si>
  <si>
    <t xml:space="preserve">Jefe de la Oficina Asesora de Planeación </t>
  </si>
  <si>
    <t>Presentación y grabación del a reunión o acta de la reunión segun sea virtual o presencial</t>
  </si>
  <si>
    <t>Cuatrimestral</t>
  </si>
  <si>
    <t xml:space="preserve">Se cita al CIGD para rectificar la información </t>
  </si>
  <si>
    <t>Grabación y acta de CIGD</t>
  </si>
  <si>
    <r>
      <rPr>
        <b/>
        <sz val="12"/>
        <rFont val="Arial"/>
        <family val="2"/>
      </rPr>
      <t xml:space="preserve">El profesional  </t>
    </r>
    <r>
      <rPr>
        <sz val="12"/>
        <rFont val="Arial"/>
        <family val="2"/>
      </rPr>
      <t xml:space="preserve">designado por el (la) jefe de la Oficina Asesora de Planeación </t>
    </r>
    <r>
      <rPr>
        <b/>
        <sz val="12"/>
        <rFont val="Arial"/>
        <family val="2"/>
      </rPr>
      <t xml:space="preserve">valida cuatrimestral </t>
    </r>
    <r>
      <rPr>
        <sz val="12"/>
        <rFont val="Arial"/>
        <family val="2"/>
      </rPr>
      <t xml:space="preserve">que la información de insumo para la formulación o actualización o reporte cumpla con los requisitos  para el </t>
    </r>
    <r>
      <rPr>
        <b/>
        <sz val="12"/>
        <rFont val="Arial"/>
        <family val="2"/>
      </rPr>
      <t>plan anticorrupción y atención al ciudadano
Como evidencia</t>
    </r>
    <r>
      <rPr>
        <sz val="12"/>
        <rFont val="Arial"/>
        <family val="2"/>
      </rPr>
      <t xml:space="preserve"> del control queda el correo institucional o la observación en ORFEO o en la herramienta correspondiente.
Si se identifica que la información tiene inconsistencias se genera la observación pertinente para ajuste del proceso.</t>
    </r>
  </si>
  <si>
    <t xml:space="preserve">Realizar encuesta cuatrimestral a los enlaces sobre conocimiento de instrumentos de planeación. </t>
  </si>
  <si>
    <t xml:space="preserve">Resumen de la encuesta </t>
  </si>
  <si>
    <r>
      <rPr>
        <b/>
        <sz val="12"/>
        <rFont val="Arial"/>
        <family val="2"/>
      </rPr>
      <t xml:space="preserve">El profesional </t>
    </r>
    <r>
      <rPr>
        <sz val="12"/>
        <rFont val="Arial"/>
        <family val="2"/>
      </rPr>
      <t>designado por el (la) jefe de la Oficina Asesora de Planeación valida trimestral que la información de insumo para la formulación o actualización del  plan de adecuación y sostenibilidad MIPG cumpla con los requisitos  tales como alineación de las recomendaciones del FURAG y autodiagnósticos y que el reporte cumpla con la alineación entre los programado y lo ejecutado y se pueda evidenciar. 
Como evidencia del control queda el correo institucional o la observación en ORFEO o en la herramienta correspondiente.
Si se identifica que la información tiene inconsistencias se genera la observación pertinente para ajuste del proceso o dependencia</t>
    </r>
  </si>
  <si>
    <t xml:space="preserve">  por posibles investigaciones de entes de control </t>
  </si>
  <si>
    <t>debido a la asignación, programación (anteproyecto de presupuesto) y seguimiento a la ejecución presupuestal, fuera de los requerimientos definidos en normatividad vigente, al igual que de los procedimientos internos</t>
  </si>
  <si>
    <t>Posibilidad de afectación, reputacional y económica  por posibles investigaciones de entes de control debido a la asignación, programación (anteproyecto de presupuesto) y seguimiento a la ejecución presupuestal, fuera de los requerimientos definidos en normatividad vigente, al igual que de los procedimientos internos.</t>
  </si>
  <si>
    <t>Realiza la planeación de presupuesto para la vigenia 
DESI-PR-008 Procedimiento Anteproyecto de Presupuesto</t>
  </si>
  <si>
    <t>Inoportunidad en la entrega de la información por parte de las gerencia del proyecto
Distrubución de presupuesto por fuentes de financiación diferente al asignado</t>
  </si>
  <si>
    <t>modificaciones en la cuota global de presupuesto</t>
  </si>
  <si>
    <t>Incumplimiento de metas
investigación disciplinaria</t>
  </si>
  <si>
    <r>
      <rPr>
        <b/>
        <sz val="12"/>
        <color rgb="FF000000"/>
        <rFont val="Arial"/>
        <family val="2"/>
      </rPr>
      <t>El Jefe de</t>
    </r>
    <r>
      <rPr>
        <sz val="12"/>
        <color rgb="FF000000"/>
        <rFont val="Arial"/>
        <family val="2"/>
      </rPr>
      <t xml:space="preserve"> la Oficina Asesora de Planeación envía, a las gerencias de proyecto, el reporte de avance </t>
    </r>
    <r>
      <rPr>
        <b/>
        <sz val="12"/>
        <color rgb="FF000000"/>
        <rFont val="Arial"/>
        <family val="2"/>
      </rPr>
      <t xml:space="preserve">mensual </t>
    </r>
    <r>
      <rPr>
        <sz val="12"/>
        <color rgb="FF000000"/>
        <rFont val="Arial"/>
        <family val="2"/>
      </rPr>
      <t xml:space="preserve">sobre los proyectos de inversión. Dicho informe se remite mes vencido; previo a su elaboración, cada analista de proyecto </t>
    </r>
    <r>
      <rPr>
        <b/>
        <sz val="12"/>
        <color rgb="FF000000"/>
        <rFont val="Arial"/>
        <family val="2"/>
      </rPr>
      <t xml:space="preserve">verifica </t>
    </r>
    <r>
      <rPr>
        <sz val="12"/>
        <color rgb="FF000000"/>
        <rFont val="Arial"/>
        <family val="2"/>
      </rPr>
      <t xml:space="preserve">la ejecución física y presupuestal del mismo y en el informe se describe el comportamiento de cada proyecto, con relación a la programación inicial, </t>
    </r>
    <r>
      <rPr>
        <b/>
        <sz val="12"/>
        <color rgb="FF000000"/>
        <rFont val="Arial"/>
        <family val="2"/>
      </rPr>
      <t>en caso se</t>
    </r>
    <r>
      <rPr>
        <sz val="12"/>
        <color rgb="FF000000"/>
        <rFont val="Arial"/>
        <family val="2"/>
      </rPr>
      <t xml:space="preserve"> presentarse desviaciones, se emiten las correspondientes alertas y recomendaciones.
</t>
    </r>
    <r>
      <rPr>
        <b/>
        <sz val="12"/>
        <color rgb="FF000000"/>
        <rFont val="Arial"/>
        <family val="2"/>
      </rPr>
      <t>Como evidenci</t>
    </r>
    <r>
      <rPr>
        <sz val="12"/>
        <color rgb="FF000000"/>
        <rFont val="Arial"/>
        <family val="2"/>
      </rPr>
      <t>a queda el Informe mensual de proyectos inversión.</t>
    </r>
  </si>
  <si>
    <t>Presentar los resultados del seguimineto a la ejecución presupuestal en el marco del Comité Institucional de Gestión y Desempeño</t>
  </si>
  <si>
    <t xml:space="preserve">Actas de Comité </t>
  </si>
  <si>
    <t xml:space="preserve">Formular Plan de mejoramiento para subsanar </t>
  </si>
  <si>
    <t>Plan de mejoramiento</t>
  </si>
  <si>
    <t>Control: El profesional designado por  el jefe de el (la) Oficina Asesora de Planeación; cada vez que recibe una solicitud de CDP y/o estudios previos, verifica que la necesidad esté incluida dentro del Plan de Adquisiciones y cumplan con los componentes mínimos de los proyectos de inversión (Que el proceso este asociado a las metas PDD, proyecto de inversión, componente de inversión,  que la necesidad este orientada al proyecto de inversión que lo va a financiar). 
Como evidencia del control quedará la trazabilidad de la aprobación del CDP  en el ORFEO. 
En caso de encontrar inconsistencias, se devuelve al solicitante para sus ajustes respectivos, a través del sistema de correspondencia de la entidad - ORFEO.</t>
  </si>
  <si>
    <r>
      <rPr>
        <b/>
        <sz val="12"/>
        <rFont val="Arial"/>
        <family val="2"/>
      </rPr>
      <t xml:space="preserve">El profesional  presupuesto </t>
    </r>
    <r>
      <rPr>
        <sz val="12"/>
        <rFont val="Arial"/>
        <family val="2"/>
      </rPr>
      <t xml:space="preserve">designado por el (la) jefe de la Oficina Asesora de Planeación </t>
    </r>
    <r>
      <rPr>
        <b/>
        <sz val="12"/>
        <rFont val="Arial"/>
        <family val="2"/>
      </rPr>
      <t>valida trimestral</t>
    </r>
    <r>
      <rPr>
        <sz val="12"/>
        <rFont val="Arial"/>
        <family val="2"/>
      </rPr>
      <t xml:space="preserve">que la información de insumo para la formulación o actualización o reporte cumpla con los requisitos para el </t>
    </r>
    <r>
      <rPr>
        <b/>
        <sz val="12"/>
        <rFont val="Arial"/>
        <family val="2"/>
      </rPr>
      <t xml:space="preserve">plan de acción de proyectos de inversión
</t>
    </r>
    <r>
      <rPr>
        <sz val="12"/>
        <rFont val="Arial"/>
        <family val="2"/>
      </rPr>
      <t xml:space="preserve"> </t>
    </r>
    <r>
      <rPr>
        <b/>
        <sz val="12"/>
        <rFont val="Arial"/>
        <family val="2"/>
      </rPr>
      <t>Como evidencia</t>
    </r>
    <r>
      <rPr>
        <sz val="12"/>
        <rFont val="Arial"/>
        <family val="2"/>
      </rPr>
      <t xml:space="preserve"> del control queda el correo institucional o la observación en ORFEO o en la herramienta correspondiente.
Si se identifica que la información tiene inconsistencias se genera la observación pertinente para ajuste del proceso.</t>
    </r>
  </si>
  <si>
    <t xml:space="preserve"> Por posibles requerimientos de entes de control y de los procesos internos de la entidad </t>
  </si>
  <si>
    <t>Debido a la gestión del control documental del sistema de gestión fuera de los requisitos establecidos en el instructivo Control de Información Documentada</t>
  </si>
  <si>
    <t>Posibilidad de afectación reputacional por posibles requerimientos de entes de control y de los procesos internos de la entidad debido a la gestión del control documental del sistema de gestión fuera de los requisitos establecidos en el instructivo Control de Información Documentada</t>
  </si>
  <si>
    <t>DESI-IN-001-V16 Instructivo Control de Información Documentada
•	Verificar que la plantilla y codificación utilizadas, estén alineadas con lo descrito en el presente documento.
•	Verificar que la información descrita de alcance al cumplimiento de las normas vigentes.
•	Recibir los archivos digitales legibles y editables.
•	Verificar que el documento esté elaborado en la plantilla y/o formato vigente.</t>
  </si>
  <si>
    <t>Alta demanda de revisión de documentos en la UMV Recursos económicos de inversión para la contratación de una herramienta que apoye la gestión documental de la UMV</t>
  </si>
  <si>
    <t>Múltiples ofertas en el mercado de herramientas tecnológicas para apoyar la gestión documental de la UMV</t>
  </si>
  <si>
    <t xml:space="preserve">Investigación disciplinaria. Información en SISGESTION desactualizada </t>
  </si>
  <si>
    <t xml:space="preserve">     El riesgo afecta la imagen de la entidad internamente, de conocimiento general, nivel interno, de junta dircetiva y accionistas y/o de provedores</t>
  </si>
  <si>
    <t xml:space="preserve">El designado por el jefe de la OAP para cada proceso revisa, analiza la pertinencia y viabilidad de la necesidad de la novedad documental presentada por el proceso, cada vez que llega una solicitud de aprobación documental dejando como evidencia la revisión por ORFEO. En caso que la novedad documental no sea pertinencia y viabilidad se deja observaciones en el documento o en ORFEO para su ajuste </t>
  </si>
  <si>
    <t xml:space="preserve">Se prioriza la actualización de los documentos que no cumplen los criterios establecidos </t>
  </si>
  <si>
    <t>Correo de socialización de la actualización de los documentos</t>
  </si>
  <si>
    <t>El (la) auxiliar administrativo verifica semanalmente que el listado de los documentos actualizados la semana anterior se remita por correo para conocimiento de los colaboradores, como evidencia correos con la información en caso que no se hayan remitido se envía un correo de alcance con los documentos actualizados que no se solicitaron</t>
  </si>
  <si>
    <t>Detectivo</t>
  </si>
  <si>
    <t xml:space="preserve">El (la) auxiliar administrativo verifica mensualmente que se consolide las actualizaciones documentales (Creaciones, actualizaciones y eliminaciones) en el Listado Maestro de Documentos y lo publica en la SIGESTION  de la entidad.En caso de no actualizarse oportunamente, se debe actualizar bimestralmente. </t>
  </si>
  <si>
    <r>
      <rPr>
        <b/>
        <sz val="12"/>
        <rFont val="Arial"/>
        <family val="2"/>
      </rPr>
      <t xml:space="preserve">*Nota: </t>
    </r>
    <r>
      <rPr>
        <sz val="12"/>
        <rFont val="Arial"/>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</si>
  <si>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</si>
  <si>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 RIESGOS GESTIÓN</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</si>
  <si>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</si>
  <si>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</si>
  <si>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</si>
  <si>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</si>
  <si>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</si>
  <si>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</si>
  <si>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</si>
  <si>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</si>
  <si>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</si>
  <si>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</si>
  <si>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</si>
  <si>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</si>
  <si>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</si>
  <si>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</si>
  <si>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</si>
  <si>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 RIESGOS GESTIÓN</t>
  </si>
  <si>
    <t>Actividad clave o fase del proyecto</t>
  </si>
  <si>
    <t>Correctivo</t>
  </si>
  <si>
    <t>IMPACTO CORRUPCIÓN</t>
  </si>
  <si>
    <t>No.</t>
  </si>
  <si>
    <t>SI EL RIESGO DE CORRUPCIÓN SE MATERIALIZA PODRÍA...</t>
  </si>
  <si>
    <t>RESPUESTA</t>
  </si>
  <si>
    <t>SI</t>
  </si>
  <si>
    <t>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</si>
  <si>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</si>
  <si>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</si>
  <si>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</si>
  <si>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</si>
  <si>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</si>
  <si>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</si>
  <si>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</si>
  <si>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</si>
  <si>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</si>
  <si>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</si>
  <si>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</si>
  <si>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</si>
  <si>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</si>
  <si>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</si>
  <si>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</si>
  <si>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</si>
  <si>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</si>
  <si>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</si>
  <si>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</si>
  <si>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 xml:space="preserve">TOTAL RESPUESTAS AFIRMATIVAS </t>
  </si>
  <si>
    <r>
      <t>Responder afirmativamente de 1 a 5 pregunta(s) genera un impacto</t>
    </r>
    <r>
      <rPr>
        <b/>
        <sz val="10"/>
        <rFont val="Arial"/>
        <family val="2"/>
      </rPr>
      <t xml:space="preserve"> Moderado</t>
    </r>
    <r>
      <rPr>
        <sz val="11"/>
        <color theme="1"/>
        <rFont val="Arial"/>
        <family val="2"/>
      </rPr>
      <t xml:space="preserve">
Responder afirmativamente de 6 a 11 preguntas genera un impacto </t>
    </r>
    <r>
      <rPr>
        <b/>
        <sz val="10"/>
        <rFont val="Arial"/>
        <family val="2"/>
      </rPr>
      <t xml:space="preserve">Mayor </t>
    </r>
    <r>
      <rPr>
        <sz val="11"/>
        <color theme="1"/>
        <rFont val="Arial"/>
        <family val="2"/>
      </rPr>
      <t xml:space="preserve">
Responder afirmativamente de 12 a 19 preguntas genera un impacto </t>
    </r>
    <r>
      <rPr>
        <b/>
        <sz val="10"/>
        <rFont val="Arial"/>
        <family val="2"/>
      </rPr>
      <t>Catastrófico</t>
    </r>
    <r>
      <rPr>
        <sz val="11"/>
        <color theme="1"/>
        <rFont val="Arial"/>
        <family val="2"/>
      </rPr>
      <t>.</t>
    </r>
  </si>
  <si>
    <t>Tipo de activo</t>
  </si>
  <si>
    <t>Activo de información</t>
  </si>
  <si>
    <t>Tipo de amenaza</t>
  </si>
  <si>
    <t>Amenaza</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</si>
  <si>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</si>
  <si>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</si>
  <si>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</si>
  <si>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</si>
  <si>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</si>
  <si>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</si>
  <si>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</si>
  <si>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</si>
  <si>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</si>
  <si>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</si>
  <si>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</si>
  <si>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</si>
  <si>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</si>
  <si>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</si>
  <si>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</si>
  <si>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 xml:space="preserve">Equivalente </t>
  </si>
  <si>
    <t>Insignificante</t>
  </si>
  <si>
    <t>Leve 20%</t>
  </si>
  <si>
    <t xml:space="preserve">Afectación menor a 130 SMLMV </t>
  </si>
  <si>
    <t>El riesgo afecta la imagen de alguna área de la organización</t>
  </si>
  <si>
    <t>Menor</t>
  </si>
  <si>
    <t xml:space="preserve">Menor 40% </t>
  </si>
  <si>
    <t xml:space="preserve">Entre 130 y 650 SMLMV </t>
  </si>
  <si>
    <t>El riesgo afecta la imagen de la entidad internamente, de conocimiento general, nivel interno, de junta dircetiva y accionistas y/o de provedores</t>
  </si>
  <si>
    <t>Moderado 60%</t>
  </si>
  <si>
    <t xml:space="preserve">Entre 650 y 1300 SMLMV </t>
  </si>
  <si>
    <t>El riesgo afecta la imagen de la entidad con algunos usuarios de relevancia frente al logro de los objetivos</t>
  </si>
  <si>
    <t>Mayor</t>
  </si>
  <si>
    <t>Mayor 80%</t>
  </si>
  <si>
    <t xml:space="preserve">Entre 1300 y 6500 SMLMV </t>
  </si>
  <si>
    <r>
      <t>El riesgo afecta la imagen de</t>
    </r>
    <r>
      <rPr>
        <sz val="26"/>
        <color theme="9" tint="-0.249977111117893"/>
        <rFont val="Arial Narrow"/>
        <family val="2"/>
      </rPr>
      <t xml:space="preserve">  la entidad </t>
    </r>
    <r>
      <rPr>
        <sz val="26"/>
        <color rgb="FF000000"/>
        <rFont val="Arial Narrow"/>
        <family val="2"/>
      </rPr>
      <t>con efecto publicitario sostenido a nivel de sector administrativo, nivel departamental o municipal</t>
    </r>
  </si>
  <si>
    <t>Catastrófico</t>
  </si>
  <si>
    <t>Catastrófico 100%</t>
  </si>
  <si>
    <t xml:space="preserve">Mayor a 6500 SMLMV </t>
  </si>
  <si>
    <t>El riesgo afecta la imagen de la entidad a nivel nacional, con efecto publicitarios sostenible a nivel país</t>
  </si>
  <si>
    <t>Afectación_Económica_o_presupuestal</t>
  </si>
  <si>
    <t xml:space="preserve">     Afectación menor a 130 SMLMV .</t>
  </si>
  <si>
    <t xml:space="preserve">     El riesgo afecta la imagen de alguna área de la organización</t>
  </si>
  <si>
    <t>Pérdida_Reputacional</t>
  </si>
  <si>
    <t xml:space="preserve">     Entre 130 y 650 SMLMV </t>
  </si>
  <si>
    <t xml:space="preserve">     Entre 650 y 1300 SMLMV </t>
  </si>
  <si>
    <t xml:space="preserve">     Entre 1300 y 6500 SMLMV </t>
  </si>
  <si>
    <t xml:space="preserve">     El riesgo afecta la imagen de de la entidad con efecto publicitario sostenido a nivel de sector administrativo, nivel departamental o municipal</t>
  </si>
  <si>
    <t xml:space="preserve">     Mayor a 6500 SMLMV </t>
  </si>
  <si>
    <t xml:space="preserve">     El riesgo afecta la imagen de la entidad a nivel nacional, con efecto publicitarios sostenible a nivel país</t>
  </si>
  <si>
    <t>Criterios</t>
  </si>
  <si>
    <t>Subcriterios</t>
  </si>
  <si>
    <t>Catastrofico</t>
  </si>
  <si>
    <t>Afectación Económica o presupuestal</t>
  </si>
  <si>
    <t>Afectación menor a 130 SMLMV .</t>
  </si>
  <si>
    <t>El riesgo afecta la imagen de de la entidad con efecto publicitario sostenido a nivel de sector administrativo, nivel departamental o municipal</t>
  </si>
  <si>
    <t>❌</t>
  </si>
  <si>
    <t>✔</t>
  </si>
  <si>
    <t>Gestión</t>
  </si>
  <si>
    <t>Ejecución y administración de procesos</t>
  </si>
  <si>
    <t>Pérdidas derivadas de errores en la ejecución y administración de procesos.</t>
  </si>
  <si>
    <t>Relaciones laborales</t>
  </si>
  <si>
    <t>Pérdidas que surgen de acciones contrarias a las leyes o acuerdos de empleo, salud o seguridad, del pago de demandas por  daños personales o de discriminación.</t>
  </si>
  <si>
    <t>Daños a activos fijos/ eventos externos</t>
  </si>
  <si>
    <t>Pérdida por daños o extravíos de los activos fijos por desastres naturales u otros riesgos/eventos externos como atentados, vandalismo, orden público.</t>
  </si>
  <si>
    <t>Seguridad Digital</t>
  </si>
  <si>
    <t>Fallas tecnológicas</t>
  </si>
  <si>
    <t>Errores en hardware, software, telecomunicaciones, interrupción de servicios básicos.</t>
  </si>
  <si>
    <t>Fraude externo</t>
  </si>
  <si>
    <t>Pérdida derivada de actos de fraude por personas ajenas a la organización (no participa personal de la entidad).</t>
  </si>
  <si>
    <t>Fraude interno</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</si>
  <si>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</si>
  <si>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Cuando una persona da u ofrece “dinero u otra utilidad para que se realice u omita un acto propio del cargo de un funcionario público, o para que se ejecute uno contrario a sus deberes oficiales”</t>
  </si>
  <si>
    <t>Determina que la información no esté disponible ni sea revelada a individuos, entidades o procesos no autorizados.</t>
  </si>
  <si>
    <t>Determina la exactitud y completitud de la información, permitiendo que la información sea precisa, coherente y completa desde su creación hasta su destrucción.</t>
  </si>
  <si>
    <t>Determina la accesibilidad y utilización de la información por solicitud de una persona entidad o proceso autorizada cuando así lo requiera esta, en el momento y en la forma que se requiere ahora y en el futuro, al igual que los recursos necesarios para su uso.</t>
  </si>
  <si>
    <t>TIPO DE ACTIVO</t>
  </si>
  <si>
    <t>INFORMACIÓN</t>
  </si>
  <si>
    <t>SOFTWARE</t>
  </si>
  <si>
    <t>HARDWARE</t>
  </si>
  <si>
    <t>INSTALACIONES</t>
  </si>
  <si>
    <t>PROCESOS</t>
  </si>
  <si>
    <t>RECURSOS HUMANOS</t>
  </si>
  <si>
    <t>RED</t>
  </si>
  <si>
    <t>SERVICIOS</t>
  </si>
  <si>
    <t>EQUIPAMIENTO AUXILIAR</t>
  </si>
  <si>
    <t>COMPONENTES DE RED</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</si>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</sst>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quot;$&quot;\ * #,##0.00_-;_-&quot;$&quot;\ * &quot;-&quot;??_-;_-@_-"/>
    <numFmt numFmtId="165" formatCode="0.0%"/>
    <numFmt numFmtId="166" formatCode="_-&quot;$&quot;\ * #,##0_-;\-&quot;$&quot;\ * #,##0_-;_-&quot;$&quot;\ * &quot;-&quot;??_-;_-@_-"/>
    <numFmt numFmtId="167" formatCode="&quot;$&quot;\ #,##0.00"/>
  </numFmts>
  <fonts count="97" x14ac:knownFonts="1">
    <font>
      <sz val="11"/>
      <color theme="1"/>
      <name val="Calibri"/>
      <family val="2"/>
      <scheme val="minor"/>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8"/>
      <color theme="1"/>
      <name val="Calibri"/>
      <family val="2"/>
      <scheme val="minor"/>
    </font>
    <font>
      <sz val="11"/>
      <color rgb="FF002060"/>
      <name val="Calibri"/>
      <family val="2"/>
      <scheme val="minor"/>
    </font>
    <font>
      <sz val="16"/>
      <color rgb="FF002060"/>
      <name val="Arial Narrow"/>
      <family val="2"/>
    </font>
    <font>
      <b/>
      <sz val="11"/>
      <color rgb="FF002060"/>
      <name val="Arial Narrow"/>
      <family val="2"/>
    </font>
    <font>
      <sz val="14"/>
      <color theme="1"/>
      <name val="Arial"/>
      <family val="2"/>
    </font>
    <font>
      <sz val="20"/>
      <name val="Arial"/>
      <family val="2"/>
    </font>
    <font>
      <sz val="21"/>
      <color theme="1"/>
      <name val="Arial"/>
      <family val="2"/>
    </font>
    <font>
      <sz val="21"/>
      <name val="Arial"/>
      <family val="2"/>
    </font>
    <font>
      <b/>
      <sz val="20"/>
      <name val="Arial"/>
      <family val="2"/>
    </font>
    <font>
      <sz val="18"/>
      <color theme="1"/>
      <name val="Arial"/>
      <family val="2"/>
    </font>
    <font>
      <b/>
      <sz val="21"/>
      <color theme="1"/>
      <name val="Arial"/>
      <family val="2"/>
    </font>
    <font>
      <b/>
      <sz val="21"/>
      <name val="Arial"/>
      <family val="2"/>
    </font>
    <font>
      <sz val="21"/>
      <color rgb="FF7030A0"/>
      <name val="Arial"/>
      <family val="2"/>
    </font>
    <font>
      <b/>
      <sz val="21"/>
      <color rgb="FF7030A0"/>
      <name val="Arial"/>
      <family val="2"/>
    </font>
    <font>
      <sz val="21"/>
      <color rgb="FFFF0000"/>
      <name val="Arial"/>
      <family val="2"/>
    </font>
    <font>
      <sz val="22"/>
      <color theme="1"/>
      <name val="Arial"/>
      <family val="2"/>
    </font>
    <font>
      <b/>
      <sz val="22"/>
      <color theme="1"/>
      <name val="Arial"/>
      <family val="2"/>
    </font>
    <font>
      <b/>
      <sz val="22"/>
      <name val="Arial"/>
      <family val="2"/>
    </font>
    <font>
      <sz val="11"/>
      <color theme="1"/>
      <name val="Arial"/>
      <family val="2"/>
    </font>
    <font>
      <b/>
      <sz val="14"/>
      <name val="Arial"/>
      <family val="2"/>
    </font>
    <font>
      <b/>
      <sz val="10"/>
      <name val="Arial"/>
      <family val="2"/>
    </font>
    <font>
      <b/>
      <sz val="11"/>
      <color theme="1"/>
      <name val="Arial"/>
      <family val="2"/>
    </font>
    <font>
      <b/>
      <sz val="9"/>
      <color theme="1"/>
      <name val="Arial"/>
      <family val="2"/>
    </font>
    <font>
      <sz val="9"/>
      <color theme="1"/>
      <name val="Arial"/>
      <family val="2"/>
    </font>
    <font>
      <b/>
      <sz val="18"/>
      <color theme="1"/>
      <name val="Arial"/>
      <family val="2"/>
    </font>
    <font>
      <sz val="12"/>
      <color rgb="FF203764"/>
      <name val="Calibri"/>
      <family val="2"/>
      <scheme val="minor"/>
    </font>
    <font>
      <b/>
      <sz val="16"/>
      <name val="Arial"/>
      <family val="2"/>
    </font>
    <font>
      <sz val="12"/>
      <name val="Arial"/>
      <family val="2"/>
    </font>
    <font>
      <b/>
      <sz val="12"/>
      <name val="Arial"/>
      <family val="2"/>
    </font>
    <font>
      <sz val="26"/>
      <color theme="9" tint="-0.249977111117893"/>
      <name val="Arial Narrow"/>
      <family val="2"/>
    </font>
    <font>
      <b/>
      <sz val="11"/>
      <color theme="1"/>
      <name val="Calibri"/>
      <family val="2"/>
      <scheme val="minor"/>
    </font>
    <font>
      <b/>
      <sz val="11"/>
      <color rgb="FF000000"/>
      <name val="Calibri"/>
      <family val="2"/>
      <scheme val="minor"/>
    </font>
    <font>
      <sz val="16"/>
      <name val="Arial"/>
      <family val="2"/>
    </font>
    <font>
      <sz val="12"/>
      <color theme="1"/>
      <name val="Arial"/>
      <family val="2"/>
    </font>
    <font>
      <b/>
      <sz val="10"/>
      <color theme="0"/>
      <name val="Arial Narrow"/>
      <family val="2"/>
    </font>
    <font>
      <sz val="8"/>
      <name val="Calibri"/>
      <family val="2"/>
      <scheme val="minor"/>
    </font>
    <font>
      <b/>
      <sz val="16"/>
      <color theme="5" tint="-0.249977111117893"/>
      <name val="Arial"/>
      <family val="2"/>
    </font>
    <font>
      <b/>
      <sz val="24"/>
      <color theme="1"/>
      <name val="Arial Narrow"/>
      <family val="2"/>
    </font>
    <font>
      <sz val="13"/>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name val="Arial"/>
      <family val="2"/>
    </font>
  </fonts>
  <fills count="3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rgb="FFBDD7EE"/>
        <bgColor rgb="FF000000"/>
      </patternFill>
    </fill>
    <fill>
      <patternFill patternType="solid">
        <fgColor rgb="FFFFF2CC"/>
        <bgColor rgb="FF000000"/>
      </patternFill>
    </fill>
    <fill>
      <patternFill patternType="solid">
        <fgColor theme="7"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FF"/>
        <bgColor rgb="FF000000"/>
      </patternFill>
    </fill>
  </fills>
  <borders count="136">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dotted">
        <color rgb="FFF79646"/>
      </left>
      <right/>
      <top/>
      <bottom style="dotted">
        <color rgb="FFF79646"/>
      </bottom>
      <diagonal/>
    </border>
    <border>
      <left style="dotted">
        <color rgb="FFF79646"/>
      </left>
      <right/>
      <top style="dotted">
        <color rgb="FFF79646"/>
      </top>
      <bottom style="dotted">
        <color rgb="FFF79646"/>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hair">
        <color theme="6" tint="-0.499984740745262"/>
      </left>
      <right style="hair">
        <color theme="6" tint="-0.499984740745262"/>
      </right>
      <top style="hair">
        <color theme="6" tint="-0.499984740745262"/>
      </top>
      <bottom style="hair">
        <color theme="6" tint="-0.499984740745262"/>
      </bottom>
      <diagonal/>
    </border>
    <border>
      <left style="hair">
        <color theme="6" tint="-0.499984740745262"/>
      </left>
      <right style="hair">
        <color theme="6" tint="-0.499984740745262"/>
      </right>
      <top style="hair">
        <color theme="6" tint="-0.499984740745262"/>
      </top>
      <bottom/>
      <diagonal/>
    </border>
    <border>
      <left style="hair">
        <color theme="6" tint="-0.499984740745262"/>
      </left>
      <right style="hair">
        <color theme="6" tint="-0.499984740745262"/>
      </right>
      <top/>
      <bottom style="hair">
        <color theme="6" tint="-0.499984740745262"/>
      </bottom>
      <diagonal/>
    </border>
    <border>
      <left/>
      <right style="hair">
        <color theme="6" tint="-0.499984740745262"/>
      </right>
      <top style="hair">
        <color theme="6" tint="-0.499984740745262"/>
      </top>
      <bottom/>
      <diagonal/>
    </border>
    <border>
      <left/>
      <right style="hair">
        <color theme="6" tint="-0.499984740745262"/>
      </right>
      <top style="hair">
        <color theme="6" tint="-0.499984740745262"/>
      </top>
      <bottom style="hair">
        <color theme="6" tint="-0.499984740745262"/>
      </bottom>
      <diagonal/>
    </border>
    <border>
      <left/>
      <right style="hair">
        <color theme="6" tint="-0.499984740745262"/>
      </right>
      <top/>
      <bottom/>
      <diagonal/>
    </border>
    <border>
      <left style="medium">
        <color theme="6" tint="-0.499984740745262"/>
      </left>
      <right style="hair">
        <color theme="6" tint="-0.499984740745262"/>
      </right>
      <top style="medium">
        <color theme="6" tint="-0.499984740745262"/>
      </top>
      <bottom style="hair">
        <color theme="6" tint="-0.499984740745262"/>
      </bottom>
      <diagonal/>
    </border>
    <border>
      <left style="hair">
        <color theme="6" tint="-0.499984740745262"/>
      </left>
      <right style="hair">
        <color theme="6" tint="-0.499984740745262"/>
      </right>
      <top style="medium">
        <color theme="6" tint="-0.499984740745262"/>
      </top>
      <bottom style="hair">
        <color theme="6" tint="-0.499984740745262"/>
      </bottom>
      <diagonal/>
    </border>
    <border>
      <left style="hair">
        <color theme="6" tint="-0.499984740745262"/>
      </left>
      <right style="medium">
        <color theme="6" tint="-0.499984740745262"/>
      </right>
      <top style="medium">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hair">
        <color theme="6" tint="-0.499984740745262"/>
      </bottom>
      <diagonal/>
    </border>
    <border>
      <left style="hair">
        <color theme="6" tint="-0.499984740745262"/>
      </left>
      <right style="medium">
        <color theme="6" tint="-0.499984740745262"/>
      </right>
      <top style="hair">
        <color theme="6" tint="-0.499984740745262"/>
      </top>
      <bottom style="hair">
        <color theme="6" tint="-0.499984740745262"/>
      </bottom>
      <diagonal/>
    </border>
    <border>
      <left style="hair">
        <color theme="6" tint="-0.499984740745262"/>
      </left>
      <right style="medium">
        <color theme="6" tint="-0.499984740745262"/>
      </right>
      <top style="hair">
        <color theme="6" tint="-0.499984740745262"/>
      </top>
      <bottom/>
      <diagonal/>
    </border>
    <border>
      <left style="medium">
        <color theme="6" tint="-0.499984740745262"/>
      </left>
      <right style="hair">
        <color theme="6" tint="-0.499984740745262"/>
      </right>
      <top style="hair">
        <color theme="6" tint="-0.499984740745262"/>
      </top>
      <bottom style="medium">
        <color theme="6" tint="-0.499984740745262"/>
      </bottom>
      <diagonal/>
    </border>
    <border>
      <left style="hair">
        <color theme="6" tint="-0.499984740745262"/>
      </left>
      <right style="hair">
        <color theme="6" tint="-0.499984740745262"/>
      </right>
      <top style="hair">
        <color theme="6" tint="-0.499984740745262"/>
      </top>
      <bottom style="medium">
        <color theme="6" tint="-0.499984740745262"/>
      </bottom>
      <diagonal/>
    </border>
    <border>
      <left style="hair">
        <color theme="6" tint="-0.499984740745262"/>
      </left>
      <right style="medium">
        <color theme="6" tint="-0.499984740745262"/>
      </right>
      <top style="hair">
        <color theme="6" tint="-0.499984740745262"/>
      </top>
      <bottom style="medium">
        <color theme="6" tint="-0.499984740745262"/>
      </bottom>
      <diagonal/>
    </border>
    <border>
      <left style="hair">
        <color theme="6" tint="-0.499984740745262"/>
      </left>
      <right style="hair">
        <color theme="6" tint="-0.499984740745262"/>
      </right>
      <top/>
      <bottom/>
      <diagonal/>
    </border>
    <border>
      <left style="hair">
        <color theme="6" tint="-0.499984740745262"/>
      </left>
      <right style="medium">
        <color theme="6" tint="-0.499984740745262"/>
      </right>
      <top/>
      <bottom/>
      <diagonal/>
    </border>
    <border>
      <left style="medium">
        <color theme="6" tint="-0.499984740745262"/>
      </left>
      <right style="hair">
        <color theme="6" tint="-0.499984740745262"/>
      </right>
      <top/>
      <bottom style="hair">
        <color theme="6" tint="-0.499984740745262"/>
      </bottom>
      <diagonal/>
    </border>
    <border>
      <left/>
      <right style="hair">
        <color theme="6" tint="-0.499984740745262"/>
      </right>
      <top style="medium">
        <color theme="6" tint="-0.499984740745262"/>
      </top>
      <bottom style="hair">
        <color theme="6" tint="-0.499984740745262"/>
      </bottom>
      <diagonal/>
    </border>
    <border>
      <left/>
      <right style="hair">
        <color theme="6" tint="-0.499984740745262"/>
      </right>
      <top style="hair">
        <color theme="6" tint="-0.499984740745262"/>
      </top>
      <bottom style="medium">
        <color theme="6" tint="-0.499984740745262"/>
      </bottom>
      <diagonal/>
    </border>
    <border>
      <left style="medium">
        <color theme="6" tint="-0.499984740745262"/>
      </left>
      <right style="hair">
        <color theme="6" tint="-0.499984740745262"/>
      </right>
      <top style="hair">
        <color theme="6" tint="-0.499984740745262"/>
      </top>
      <bottom/>
      <diagonal/>
    </border>
    <border>
      <left style="medium">
        <color indexed="64"/>
      </left>
      <right style="hair">
        <color theme="6" tint="-0.499984740745262"/>
      </right>
      <top style="medium">
        <color indexed="64"/>
      </top>
      <bottom style="hair">
        <color theme="6" tint="-0.499984740745262"/>
      </bottom>
      <diagonal/>
    </border>
    <border>
      <left style="hair">
        <color theme="6" tint="-0.499984740745262"/>
      </left>
      <right style="medium">
        <color indexed="64"/>
      </right>
      <top style="medium">
        <color indexed="64"/>
      </top>
      <bottom style="hair">
        <color theme="6" tint="-0.499984740745262"/>
      </bottom>
      <diagonal/>
    </border>
    <border>
      <left style="medium">
        <color indexed="64"/>
      </left>
      <right style="hair">
        <color theme="6" tint="-0.499984740745262"/>
      </right>
      <top style="hair">
        <color theme="6" tint="-0.499984740745262"/>
      </top>
      <bottom style="hair">
        <color theme="6" tint="-0.499984740745262"/>
      </bottom>
      <diagonal/>
    </border>
    <border>
      <left style="hair">
        <color theme="6" tint="-0.499984740745262"/>
      </left>
      <right style="medium">
        <color indexed="64"/>
      </right>
      <top style="hair">
        <color theme="6" tint="-0.499984740745262"/>
      </top>
      <bottom style="hair">
        <color theme="6" tint="-0.499984740745262"/>
      </bottom>
      <diagonal/>
    </border>
    <border>
      <left style="medium">
        <color indexed="64"/>
      </left>
      <right style="hair">
        <color theme="6" tint="-0.499984740745262"/>
      </right>
      <top style="hair">
        <color theme="6" tint="-0.499984740745262"/>
      </top>
      <bottom style="medium">
        <color indexed="64"/>
      </bottom>
      <diagonal/>
    </border>
    <border>
      <left style="hair">
        <color theme="6" tint="-0.499984740745262"/>
      </left>
      <right style="medium">
        <color indexed="64"/>
      </right>
      <top style="hair">
        <color theme="6" tint="-0.499984740745262"/>
      </top>
      <bottom style="medium">
        <color indexed="64"/>
      </bottom>
      <diagonal/>
    </border>
    <border>
      <left style="hair">
        <color theme="6" tint="-0.499984740745262"/>
      </left>
      <right/>
      <top/>
      <bottom style="hair">
        <color theme="6" tint="-0.499984740745262"/>
      </bottom>
      <diagonal/>
    </border>
    <border>
      <left/>
      <right/>
      <top/>
      <bottom style="hair">
        <color theme="6" tint="-0.499984740745262"/>
      </bottom>
      <diagonal/>
    </border>
    <border>
      <left/>
      <right style="hair">
        <color theme="6" tint="-0.499984740745262"/>
      </right>
      <top/>
      <bottom style="hair">
        <color theme="6" tint="-0.4999847407452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theme="6" tint="-0.499984740745262"/>
      </left>
      <right/>
      <top/>
      <bottom/>
      <diagonal/>
    </border>
    <border>
      <left style="hair">
        <color rgb="FF4F6228"/>
      </left>
      <right style="hair">
        <color rgb="FF4F6228"/>
      </right>
      <top style="hair">
        <color rgb="FF4F6228"/>
      </top>
      <bottom style="hair">
        <color rgb="FF4F6228"/>
      </bottom>
      <diagonal/>
    </border>
    <border>
      <left style="hair">
        <color rgb="FF4F6228"/>
      </left>
      <right style="hair">
        <color rgb="FF4F6228"/>
      </right>
      <top style="hair">
        <color rgb="FF4F6228"/>
      </top>
      <bottom/>
      <diagonal/>
    </border>
    <border>
      <left style="hair">
        <color rgb="FF4F6228"/>
      </left>
      <right style="hair">
        <color rgb="FF4F6228"/>
      </right>
      <top/>
      <bottom style="hair">
        <color rgb="FF4F6228"/>
      </bottom>
      <diagonal/>
    </border>
    <border>
      <left style="hair">
        <color rgb="FF4F6228"/>
      </left>
      <right style="hair">
        <color rgb="FF4F6228"/>
      </right>
      <top/>
      <bottom/>
      <diagonal/>
    </border>
    <border>
      <left style="hair">
        <color rgb="FF4F6228"/>
      </left>
      <right style="hair">
        <color rgb="FF4F6228"/>
      </right>
      <top style="hair">
        <color theme="6" tint="-0.499984740745262"/>
      </top>
      <bottom/>
      <diagonal/>
    </border>
    <border>
      <left style="hair">
        <color rgb="FF4F6228"/>
      </left>
      <right style="hair">
        <color rgb="FF4F6228"/>
      </right>
      <top/>
      <bottom style="hair">
        <color theme="6" tint="-0.499984740745262"/>
      </bottom>
      <diagonal/>
    </border>
    <border>
      <left style="hair">
        <color theme="6" tint="-0.499984740745262"/>
      </left>
      <right style="hair">
        <color rgb="FF4F6228"/>
      </right>
      <top style="hair">
        <color theme="6" tint="-0.499984740745262"/>
      </top>
      <bottom/>
      <diagonal/>
    </border>
    <border>
      <left style="hair">
        <color theme="6" tint="-0.499984740745262"/>
      </left>
      <right style="hair">
        <color rgb="FF4F6228"/>
      </right>
      <top/>
      <bottom/>
      <diagonal/>
    </border>
    <border>
      <left style="hair">
        <color theme="6" tint="-0.499984740745262"/>
      </left>
      <right style="hair">
        <color rgb="FF4F6228"/>
      </right>
      <top/>
      <bottom style="hair">
        <color theme="6" tint="-0.499984740745262"/>
      </bottom>
      <diagonal/>
    </border>
    <border>
      <left style="hair">
        <color rgb="FF4F6228"/>
      </left>
      <right style="hair">
        <color theme="6" tint="-0.499984740745262"/>
      </right>
      <top style="hair">
        <color theme="6" tint="-0.499984740745262"/>
      </top>
      <bottom/>
      <diagonal/>
    </border>
    <border>
      <left style="hair">
        <color rgb="FF4F6228"/>
      </left>
      <right style="hair">
        <color theme="6" tint="-0.499984740745262"/>
      </right>
      <top/>
      <bottom/>
      <diagonal/>
    </border>
    <border>
      <left style="hair">
        <color rgb="FF4F6228"/>
      </left>
      <right style="hair">
        <color theme="6" tint="-0.499984740745262"/>
      </right>
      <top/>
      <bottom style="hair">
        <color theme="6" tint="-0.499984740745262"/>
      </bottom>
      <diagonal/>
    </border>
  </borders>
  <cellStyleXfs count="7">
    <xf numFmtId="0" fontId="0" fillId="0" borderId="0"/>
    <xf numFmtId="9" fontId="12" fillId="0" borderId="0" applyFont="0" applyFill="0" applyBorder="0" applyAlignment="0" applyProtection="0"/>
    <xf numFmtId="0" fontId="42" fillId="0" borderId="0"/>
    <xf numFmtId="0" fontId="43" fillId="0" borderId="0"/>
    <xf numFmtId="0" fontId="4" fillId="0" borderId="0"/>
    <xf numFmtId="164" fontId="12" fillId="0" borderId="0" applyFont="0" applyFill="0" applyBorder="0" applyAlignment="0" applyProtection="0"/>
    <xf numFmtId="164" fontId="12" fillId="0" borderId="0" applyFont="0" applyFill="0" applyBorder="0" applyAlignment="0" applyProtection="0"/>
  </cellStyleXfs>
  <cellXfs count="619">
    <xf numFmtId="0" fontId="0" fillId="0" borderId="0" xfId="0"/>
    <xf numFmtId="0" fontId="4" fillId="0" borderId="0" xfId="0" applyFont="1"/>
    <xf numFmtId="0" fontId="2" fillId="0" borderId="1" xfId="0" applyFont="1" applyBorder="1" applyAlignment="1">
      <alignment horizontal="left" vertical="center" wrapText="1" indent="1" readingOrder="1"/>
    </xf>
    <xf numFmtId="0" fontId="6" fillId="0" borderId="0" xfId="0" applyFont="1" applyAlignment="1">
      <alignment horizontal="center" vertical="center" wrapText="1"/>
    </xf>
    <xf numFmtId="0" fontId="7" fillId="6" borderId="0" xfId="0" applyFont="1" applyFill="1" applyAlignment="1">
      <alignment horizontal="center" vertical="center" wrapText="1" readingOrder="1"/>
    </xf>
    <xf numFmtId="0" fontId="8" fillId="5" borderId="4" xfId="0" applyFont="1" applyFill="1" applyBorder="1" applyAlignment="1">
      <alignment horizontal="center" vertical="center" wrapText="1" readingOrder="1"/>
    </xf>
    <xf numFmtId="0" fontId="8" fillId="0" borderId="4" xfId="0" applyFont="1" applyBorder="1" applyAlignment="1">
      <alignment horizontal="justify" vertical="center" wrapText="1" readingOrder="1"/>
    </xf>
    <xf numFmtId="9" fontId="8" fillId="0" borderId="4" xfId="0" applyNumberFormat="1" applyFont="1" applyBorder="1" applyAlignment="1">
      <alignment horizontal="center" vertical="center" wrapText="1" readingOrder="1"/>
    </xf>
    <xf numFmtId="0" fontId="8" fillId="7" borderId="1" xfId="0" applyFont="1" applyFill="1" applyBorder="1" applyAlignment="1">
      <alignment horizontal="center" vertical="center" wrapText="1" readingOrder="1"/>
    </xf>
    <xf numFmtId="0" fontId="8" fillId="0" borderId="1" xfId="0" applyFont="1" applyBorder="1" applyAlignment="1">
      <alignment horizontal="justify" vertical="center" wrapText="1" readingOrder="1"/>
    </xf>
    <xf numFmtId="9" fontId="8" fillId="0" borderId="1" xfId="0" applyNumberFormat="1" applyFont="1" applyBorder="1" applyAlignment="1">
      <alignment horizontal="center" vertical="center" wrapText="1" readingOrder="1"/>
    </xf>
    <xf numFmtId="0" fontId="8" fillId="4" borderId="1" xfId="0" applyFont="1" applyFill="1" applyBorder="1" applyAlignment="1">
      <alignment horizontal="center" vertical="center" wrapText="1" readingOrder="1"/>
    </xf>
    <xf numFmtId="0" fontId="8" fillId="8" borderId="1" xfId="0" applyFont="1" applyFill="1" applyBorder="1" applyAlignment="1">
      <alignment horizontal="center" vertical="center" wrapText="1" readingOrder="1"/>
    </xf>
    <xf numFmtId="0" fontId="9" fillId="9" borderId="1" xfId="0" applyFont="1" applyFill="1" applyBorder="1" applyAlignment="1">
      <alignment horizontal="center" vertical="center" wrapText="1" readingOrder="1"/>
    </xf>
    <xf numFmtId="0" fontId="13" fillId="0" borderId="0" xfId="0" applyFont="1"/>
    <xf numFmtId="0" fontId="11" fillId="0" borderId="0" xfId="0" applyFont="1"/>
    <xf numFmtId="0" fontId="24" fillId="0" borderId="0" xfId="0" applyFont="1" applyAlignment="1">
      <alignment vertical="center"/>
    </xf>
    <xf numFmtId="0" fontId="25" fillId="0" borderId="0" xfId="0" applyFont="1"/>
    <xf numFmtId="0" fontId="23" fillId="0" borderId="0" xfId="0" applyFont="1"/>
    <xf numFmtId="0" fontId="0" fillId="0" borderId="0" xfId="0" pivotButton="1"/>
    <xf numFmtId="0" fontId="10" fillId="0" borderId="0" xfId="0" applyFont="1" applyAlignment="1">
      <alignment horizontal="justify" vertical="center" wrapText="1" readingOrder="1"/>
    </xf>
    <xf numFmtId="0" fontId="28" fillId="6" borderId="0" xfId="0" applyFont="1" applyFill="1" applyAlignment="1">
      <alignment horizontal="center" vertical="center" wrapText="1" readingOrder="1"/>
    </xf>
    <xf numFmtId="0" fontId="29" fillId="5" borderId="4" xfId="0" applyFont="1" applyFill="1" applyBorder="1" applyAlignment="1">
      <alignment horizontal="center" vertical="center" wrapText="1" readingOrder="1"/>
    </xf>
    <xf numFmtId="0" fontId="29" fillId="7" borderId="1" xfId="0" applyFont="1" applyFill="1" applyBorder="1" applyAlignment="1">
      <alignment horizontal="center" vertical="center" wrapText="1" readingOrder="1"/>
    </xf>
    <xf numFmtId="0" fontId="29" fillId="4" borderId="1" xfId="0" applyFont="1" applyFill="1" applyBorder="1" applyAlignment="1">
      <alignment horizontal="center" vertical="center" wrapText="1" readingOrder="1"/>
    </xf>
    <xf numFmtId="0" fontId="29" fillId="8" borderId="1" xfId="0" applyFont="1" applyFill="1" applyBorder="1" applyAlignment="1">
      <alignment horizontal="center" vertical="center" wrapText="1" readingOrder="1"/>
    </xf>
    <xf numFmtId="0" fontId="30" fillId="9" borderId="1" xfId="0" applyFont="1" applyFill="1" applyBorder="1" applyAlignment="1">
      <alignment horizontal="center" vertical="center" wrapText="1" readingOrder="1"/>
    </xf>
    <xf numFmtId="0" fontId="29" fillId="0" borderId="4" xfId="0" applyFont="1" applyBorder="1" applyAlignment="1">
      <alignment horizontal="center" vertical="center" wrapText="1" readingOrder="1"/>
    </xf>
    <xf numFmtId="0" fontId="29" fillId="0" borderId="1" xfId="0" applyFont="1" applyBorder="1" applyAlignment="1">
      <alignment horizontal="center" vertical="center" wrapText="1" readingOrder="1"/>
    </xf>
    <xf numFmtId="0" fontId="17" fillId="11" borderId="5" xfId="0" applyFont="1" applyFill="1" applyBorder="1" applyAlignment="1" applyProtection="1">
      <alignment horizontal="center" vertical="center" wrapText="1" readingOrder="1"/>
      <protection hidden="1"/>
    </xf>
    <xf numFmtId="0" fontId="17" fillId="11" borderId="12" xfId="0" applyFont="1" applyFill="1" applyBorder="1" applyAlignment="1" applyProtection="1">
      <alignment horizontal="center" vertical="center" wrapText="1" readingOrder="1"/>
      <protection hidden="1"/>
    </xf>
    <xf numFmtId="0" fontId="17" fillId="11" borderId="6" xfId="0" applyFont="1" applyFill="1" applyBorder="1" applyAlignment="1" applyProtection="1">
      <alignment horizontal="center" vertical="center" wrapText="1" readingOrder="1"/>
      <protection hidden="1"/>
    </xf>
    <xf numFmtId="0" fontId="17" fillId="12" borderId="5" xfId="0" applyFont="1" applyFill="1" applyBorder="1" applyAlignment="1" applyProtection="1">
      <alignment horizontal="center" wrapText="1" readingOrder="1"/>
      <protection hidden="1"/>
    </xf>
    <xf numFmtId="0" fontId="17" fillId="12" borderId="12" xfId="0" applyFont="1" applyFill="1" applyBorder="1" applyAlignment="1" applyProtection="1">
      <alignment horizontal="center" wrapText="1" readingOrder="1"/>
      <protection hidden="1"/>
    </xf>
    <xf numFmtId="0" fontId="17" fillId="12" borderId="6" xfId="0" applyFont="1" applyFill="1" applyBorder="1" applyAlignment="1" applyProtection="1">
      <alignment horizontal="center" wrapText="1" readingOrder="1"/>
      <protection hidden="1"/>
    </xf>
    <xf numFmtId="0" fontId="17" fillId="11" borderId="7" xfId="0" applyFont="1" applyFill="1" applyBorder="1" applyAlignment="1" applyProtection="1">
      <alignment horizontal="center" vertical="center" wrapText="1" readingOrder="1"/>
      <protection hidden="1"/>
    </xf>
    <xf numFmtId="0" fontId="17" fillId="11" borderId="0" xfId="0" applyFont="1" applyFill="1" applyAlignment="1" applyProtection="1">
      <alignment horizontal="center" vertical="center" wrapText="1" readingOrder="1"/>
      <protection hidden="1"/>
    </xf>
    <xf numFmtId="0" fontId="17" fillId="11" borderId="8" xfId="0" applyFont="1" applyFill="1" applyBorder="1" applyAlignment="1" applyProtection="1">
      <alignment horizontal="center" vertical="center" wrapText="1" readingOrder="1"/>
      <protection hidden="1"/>
    </xf>
    <xf numFmtId="0" fontId="17" fillId="12" borderId="7" xfId="0" applyFont="1" applyFill="1" applyBorder="1" applyAlignment="1" applyProtection="1">
      <alignment horizontal="center" wrapText="1" readingOrder="1"/>
      <protection hidden="1"/>
    </xf>
    <xf numFmtId="0" fontId="17" fillId="12" borderId="0" xfId="0" applyFont="1" applyFill="1" applyAlignment="1" applyProtection="1">
      <alignment horizontal="center" wrapText="1" readingOrder="1"/>
      <protection hidden="1"/>
    </xf>
    <xf numFmtId="0" fontId="17" fillId="12" borderId="8" xfId="0" applyFont="1" applyFill="1" applyBorder="1" applyAlignment="1" applyProtection="1">
      <alignment horizontal="center" wrapText="1" readingOrder="1"/>
      <protection hidden="1"/>
    </xf>
    <xf numFmtId="0" fontId="17" fillId="11" borderId="9" xfId="0" applyFont="1" applyFill="1" applyBorder="1" applyAlignment="1" applyProtection="1">
      <alignment horizontal="center" vertical="center" wrapText="1" readingOrder="1"/>
      <protection hidden="1"/>
    </xf>
    <xf numFmtId="0" fontId="17" fillId="11" borderId="11" xfId="0" applyFont="1" applyFill="1" applyBorder="1" applyAlignment="1" applyProtection="1">
      <alignment horizontal="center" vertical="center" wrapText="1" readingOrder="1"/>
      <protection hidden="1"/>
    </xf>
    <xf numFmtId="0" fontId="17" fillId="11" borderId="10" xfId="0" applyFont="1" applyFill="1" applyBorder="1" applyAlignment="1" applyProtection="1">
      <alignment horizontal="center" vertical="center" wrapText="1" readingOrder="1"/>
      <protection hidden="1"/>
    </xf>
    <xf numFmtId="0" fontId="17" fillId="12" borderId="9" xfId="0" applyFont="1" applyFill="1" applyBorder="1" applyAlignment="1" applyProtection="1">
      <alignment horizontal="center" wrapText="1" readingOrder="1"/>
      <protection hidden="1"/>
    </xf>
    <xf numFmtId="0" fontId="17" fillId="12" borderId="11" xfId="0" applyFont="1" applyFill="1" applyBorder="1" applyAlignment="1" applyProtection="1">
      <alignment horizontal="center" wrapText="1" readingOrder="1"/>
      <protection hidden="1"/>
    </xf>
    <xf numFmtId="0" fontId="17" fillId="12" borderId="10" xfId="0" applyFont="1" applyFill="1" applyBorder="1" applyAlignment="1" applyProtection="1">
      <alignment horizontal="center" wrapText="1" readingOrder="1"/>
      <protection hidden="1"/>
    </xf>
    <xf numFmtId="0" fontId="17" fillId="13" borderId="5" xfId="0" applyFont="1" applyFill="1" applyBorder="1" applyAlignment="1" applyProtection="1">
      <alignment horizontal="center" wrapText="1" readingOrder="1"/>
      <protection hidden="1"/>
    </xf>
    <xf numFmtId="0" fontId="17" fillId="13" borderId="12" xfId="0" applyFont="1" applyFill="1" applyBorder="1" applyAlignment="1" applyProtection="1">
      <alignment horizontal="center" wrapText="1" readingOrder="1"/>
      <protection hidden="1"/>
    </xf>
    <xf numFmtId="0" fontId="17" fillId="13" borderId="6" xfId="0" applyFont="1" applyFill="1" applyBorder="1" applyAlignment="1" applyProtection="1">
      <alignment horizontal="center" wrapText="1" readingOrder="1"/>
      <protection hidden="1"/>
    </xf>
    <xf numFmtId="0" fontId="17" fillId="13" borderId="7" xfId="0" applyFont="1" applyFill="1" applyBorder="1" applyAlignment="1" applyProtection="1">
      <alignment horizontal="center" wrapText="1" readingOrder="1"/>
      <protection hidden="1"/>
    </xf>
    <xf numFmtId="0" fontId="17" fillId="13" borderId="0" xfId="0" applyFont="1" applyFill="1" applyAlignment="1" applyProtection="1">
      <alignment horizontal="center" wrapText="1" readingOrder="1"/>
      <protection hidden="1"/>
    </xf>
    <xf numFmtId="0" fontId="17" fillId="13" borderId="8" xfId="0" applyFont="1" applyFill="1" applyBorder="1" applyAlignment="1" applyProtection="1">
      <alignment horizontal="center" wrapText="1" readingOrder="1"/>
      <protection hidden="1"/>
    </xf>
    <xf numFmtId="0" fontId="17" fillId="13" borderId="9" xfId="0" applyFont="1" applyFill="1" applyBorder="1" applyAlignment="1" applyProtection="1">
      <alignment horizontal="center" wrapText="1" readingOrder="1"/>
      <protection hidden="1"/>
    </xf>
    <xf numFmtId="0" fontId="17" fillId="13" borderId="11" xfId="0" applyFont="1" applyFill="1" applyBorder="1" applyAlignment="1" applyProtection="1">
      <alignment horizontal="center" wrapText="1" readingOrder="1"/>
      <protection hidden="1"/>
    </xf>
    <xf numFmtId="0" fontId="17" fillId="13" borderId="10" xfId="0" applyFont="1" applyFill="1" applyBorder="1" applyAlignment="1" applyProtection="1">
      <alignment horizontal="center" wrapText="1" readingOrder="1"/>
      <protection hidden="1"/>
    </xf>
    <xf numFmtId="0" fontId="17" fillId="5" borderId="5" xfId="0" applyFont="1" applyFill="1" applyBorder="1" applyAlignment="1" applyProtection="1">
      <alignment horizontal="center" wrapText="1" readingOrder="1"/>
      <protection hidden="1"/>
    </xf>
    <xf numFmtId="0" fontId="17" fillId="5" borderId="12" xfId="0" applyFont="1" applyFill="1" applyBorder="1" applyAlignment="1" applyProtection="1">
      <alignment horizontal="center" wrapText="1" readingOrder="1"/>
      <protection hidden="1"/>
    </xf>
    <xf numFmtId="0" fontId="17" fillId="5" borderId="6" xfId="0" applyFont="1" applyFill="1" applyBorder="1" applyAlignment="1" applyProtection="1">
      <alignment horizontal="center" wrapText="1" readingOrder="1"/>
      <protection hidden="1"/>
    </xf>
    <xf numFmtId="0" fontId="17" fillId="5" borderId="7" xfId="0" applyFont="1" applyFill="1" applyBorder="1" applyAlignment="1" applyProtection="1">
      <alignment horizontal="center" wrapText="1" readingOrder="1"/>
      <protection hidden="1"/>
    </xf>
    <xf numFmtId="0" fontId="17" fillId="5" borderId="0" xfId="0" applyFont="1" applyFill="1" applyAlignment="1" applyProtection="1">
      <alignment horizontal="center" wrapText="1" readingOrder="1"/>
      <protection hidden="1"/>
    </xf>
    <xf numFmtId="0" fontId="17" fillId="5" borderId="8" xfId="0" applyFont="1" applyFill="1" applyBorder="1" applyAlignment="1" applyProtection="1">
      <alignment horizontal="center" wrapText="1" readingOrder="1"/>
      <protection hidden="1"/>
    </xf>
    <xf numFmtId="0" fontId="17" fillId="5" borderId="9" xfId="0" applyFont="1" applyFill="1" applyBorder="1" applyAlignment="1" applyProtection="1">
      <alignment horizontal="center" wrapText="1" readingOrder="1"/>
      <protection hidden="1"/>
    </xf>
    <xf numFmtId="0" fontId="17" fillId="5" borderId="11" xfId="0" applyFont="1" applyFill="1" applyBorder="1" applyAlignment="1" applyProtection="1">
      <alignment horizontal="center" wrapText="1" readingOrder="1"/>
      <protection hidden="1"/>
    </xf>
    <xf numFmtId="0" fontId="17" fillId="5" borderId="10"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0" fillId="3" borderId="0" xfId="0" applyFill="1"/>
    <xf numFmtId="0" fontId="44" fillId="3" borderId="40" xfId="2" applyFont="1" applyFill="1" applyBorder="1"/>
    <xf numFmtId="0" fontId="44" fillId="3" borderId="41" xfId="2" applyFont="1" applyFill="1" applyBorder="1"/>
    <xf numFmtId="0" fontId="44" fillId="3" borderId="42" xfId="2" applyFont="1" applyFill="1" applyBorder="1"/>
    <xf numFmtId="0" fontId="14" fillId="3" borderId="0" xfId="0" applyFont="1" applyFill="1" applyAlignment="1">
      <alignment vertical="center"/>
    </xf>
    <xf numFmtId="0" fontId="4" fillId="3" borderId="0" xfId="0" applyFont="1" applyFill="1"/>
    <xf numFmtId="0" fontId="32" fillId="3" borderId="0" xfId="0" applyFont="1" applyFill="1"/>
    <xf numFmtId="0" fontId="33" fillId="3" borderId="23" xfId="0" applyFont="1" applyFill="1" applyBorder="1" applyAlignment="1">
      <alignment horizontal="center" vertical="center" wrapText="1" readingOrder="1"/>
    </xf>
    <xf numFmtId="0" fontId="34" fillId="3" borderId="23" xfId="0" applyFont="1" applyFill="1" applyBorder="1" applyAlignment="1">
      <alignment horizontal="justify" vertical="center" wrapText="1" readingOrder="1"/>
    </xf>
    <xf numFmtId="9" fontId="33" fillId="3" borderId="32" xfId="0" applyNumberFormat="1" applyFont="1" applyFill="1" applyBorder="1" applyAlignment="1">
      <alignment horizontal="center" vertical="center" wrapText="1" readingOrder="1"/>
    </xf>
    <xf numFmtId="0" fontId="33" fillId="3" borderId="22" xfId="0" applyFont="1" applyFill="1" applyBorder="1" applyAlignment="1">
      <alignment horizontal="center" vertical="center" wrapText="1" readingOrder="1"/>
    </xf>
    <xf numFmtId="0" fontId="34" fillId="3" borderId="22" xfId="0" applyFont="1" applyFill="1" applyBorder="1" applyAlignment="1">
      <alignment horizontal="justify" vertical="center" wrapText="1" readingOrder="1"/>
    </xf>
    <xf numFmtId="9" fontId="33" fillId="3" borderId="27" xfId="0" applyNumberFormat="1" applyFont="1" applyFill="1" applyBorder="1" applyAlignment="1">
      <alignment horizontal="center" vertical="center" wrapText="1" readingOrder="1"/>
    </xf>
    <xf numFmtId="0" fontId="34" fillId="3" borderId="27" xfId="0" applyFont="1" applyFill="1" applyBorder="1" applyAlignment="1">
      <alignment horizontal="center" vertical="center" wrapText="1" readingOrder="1"/>
    </xf>
    <xf numFmtId="0" fontId="33" fillId="3" borderId="29" xfId="0" applyFont="1" applyFill="1" applyBorder="1" applyAlignment="1">
      <alignment horizontal="center" vertical="center" wrapText="1" readingOrder="1"/>
    </xf>
    <xf numFmtId="0" fontId="34" fillId="3" borderId="29" xfId="0" applyFont="1" applyFill="1" applyBorder="1" applyAlignment="1">
      <alignment horizontal="justify" vertical="center" wrapText="1" readingOrder="1"/>
    </xf>
    <xf numFmtId="0" fontId="34" fillId="3" borderId="30" xfId="0" applyFont="1" applyFill="1" applyBorder="1" applyAlignment="1">
      <alignment horizontal="center" vertical="center" wrapText="1" readingOrder="1"/>
    </xf>
    <xf numFmtId="0" fontId="41" fillId="3" borderId="0" xfId="0" applyFont="1" applyFill="1"/>
    <xf numFmtId="0" fontId="33" fillId="15" borderId="34" xfId="0" applyFont="1" applyFill="1" applyBorder="1" applyAlignment="1">
      <alignment horizontal="center" vertical="center" wrapText="1" readingOrder="1"/>
    </xf>
    <xf numFmtId="0" fontId="33" fillId="15" borderId="35" xfId="0" applyFont="1" applyFill="1" applyBorder="1" applyAlignment="1">
      <alignment horizontal="center" vertical="center" wrapText="1" readingOrder="1"/>
    </xf>
    <xf numFmtId="0" fontId="11" fillId="3" borderId="0" xfId="0" applyFont="1" applyFill="1"/>
    <xf numFmtId="0" fontId="10" fillId="3" borderId="0" xfId="0" applyFont="1" applyFill="1" applyAlignment="1">
      <alignment horizontal="justify" vertical="center" wrapText="1" readingOrder="1"/>
    </xf>
    <xf numFmtId="0" fontId="13" fillId="3" borderId="0" xfId="0" applyFont="1" applyFill="1"/>
    <xf numFmtId="0" fontId="3" fillId="3" borderId="0" xfId="0" applyFont="1" applyFill="1" applyAlignment="1">
      <alignment horizontal="left" vertical="center"/>
    </xf>
    <xf numFmtId="0" fontId="44" fillId="3" borderId="7" xfId="2" applyFont="1" applyFill="1" applyBorder="1"/>
    <xf numFmtId="0" fontId="49" fillId="3" borderId="0" xfId="0" applyFont="1" applyFill="1" applyAlignment="1">
      <alignment horizontal="left" vertical="center" wrapText="1"/>
    </xf>
    <xf numFmtId="0" fontId="50" fillId="3" borderId="0" xfId="0" applyFont="1" applyFill="1" applyAlignment="1">
      <alignment horizontal="left" vertical="top" wrapText="1"/>
    </xf>
    <xf numFmtId="0" fontId="44" fillId="3" borderId="0" xfId="2" applyFont="1" applyFill="1"/>
    <xf numFmtId="0" fontId="44" fillId="3" borderId="8" xfId="2" applyFont="1" applyFill="1" applyBorder="1"/>
    <xf numFmtId="0" fontId="44" fillId="3" borderId="9" xfId="2" applyFont="1" applyFill="1" applyBorder="1"/>
    <xf numFmtId="0" fontId="44" fillId="3" borderId="11" xfId="2" applyFont="1" applyFill="1" applyBorder="1"/>
    <xf numFmtId="0" fontId="44" fillId="3" borderId="10" xfId="2" applyFont="1" applyFill="1" applyBorder="1"/>
    <xf numFmtId="0" fontId="48" fillId="3" borderId="0" xfId="2" applyFont="1" applyFill="1" applyAlignment="1">
      <alignment horizontal="left" vertical="center" wrapText="1"/>
    </xf>
    <xf numFmtId="0" fontId="44" fillId="3" borderId="0" xfId="2" applyFont="1" applyFill="1" applyAlignment="1">
      <alignment horizontal="left" vertical="center" wrapText="1"/>
    </xf>
    <xf numFmtId="0" fontId="44" fillId="3" borderId="0" xfId="2" quotePrefix="1" applyFont="1" applyFill="1" applyAlignment="1">
      <alignment horizontal="left" vertical="center" wrapText="1"/>
    </xf>
    <xf numFmtId="0" fontId="46" fillId="3" borderId="7" xfId="2" quotePrefix="1" applyFont="1" applyFill="1" applyBorder="1" applyAlignment="1">
      <alignment horizontal="left" vertical="top" wrapText="1"/>
    </xf>
    <xf numFmtId="0" fontId="47" fillId="3" borderId="0" xfId="2" quotePrefix="1" applyFont="1" applyFill="1" applyAlignment="1">
      <alignment horizontal="left" vertical="top" wrapText="1"/>
    </xf>
    <xf numFmtId="0" fontId="47" fillId="3" borderId="8" xfId="2" quotePrefix="1" applyFont="1" applyFill="1" applyBorder="1" applyAlignment="1">
      <alignment horizontal="left" vertical="top" wrapText="1"/>
    </xf>
    <xf numFmtId="0" fontId="29" fillId="0" borderId="64" xfId="0" applyFont="1" applyBorder="1" applyAlignment="1">
      <alignment horizontal="justify" vertical="center" wrapText="1" readingOrder="1"/>
    </xf>
    <xf numFmtId="0" fontId="29" fillId="0" borderId="65" xfId="0" applyFont="1" applyBorder="1" applyAlignment="1">
      <alignment horizontal="justify" vertical="center" wrapText="1" readingOrder="1"/>
    </xf>
    <xf numFmtId="166" fontId="27" fillId="3" borderId="0" xfId="5" applyNumberFormat="1" applyFont="1" applyFill="1" applyAlignment="1">
      <alignment horizontal="center" vertical="center" wrapText="1"/>
    </xf>
    <xf numFmtId="166" fontId="0" fillId="3" borderId="0" xfId="5" applyNumberFormat="1" applyFont="1" applyFill="1" applyAlignment="1">
      <alignment horizontal="center" vertical="center"/>
    </xf>
    <xf numFmtId="0" fontId="54" fillId="3" borderId="0" xfId="0" applyFont="1" applyFill="1"/>
    <xf numFmtId="0" fontId="55" fillId="3" borderId="0" xfId="0" applyFont="1" applyFill="1" applyAlignment="1">
      <alignment horizontal="justify" vertical="center" wrapText="1" readingOrder="1"/>
    </xf>
    <xf numFmtId="0" fontId="54" fillId="0" borderId="0" xfId="0" applyFont="1"/>
    <xf numFmtId="0" fontId="56" fillId="3" borderId="0" xfId="0" applyFont="1" applyFill="1" applyAlignment="1">
      <alignment vertical="center"/>
    </xf>
    <xf numFmtId="164" fontId="0" fillId="3" borderId="0" xfId="5" applyFont="1" applyFill="1" applyAlignment="1">
      <alignment horizontal="left" vertical="center"/>
    </xf>
    <xf numFmtId="164" fontId="54" fillId="3" borderId="0" xfId="5" applyFont="1" applyFill="1" applyAlignment="1">
      <alignment horizontal="left" vertical="center"/>
    </xf>
    <xf numFmtId="164" fontId="0" fillId="0" borderId="0" xfId="5" applyFont="1" applyAlignment="1">
      <alignment horizontal="left" vertical="center"/>
    </xf>
    <xf numFmtId="164" fontId="26" fillId="0" borderId="0" xfId="5" applyFont="1" applyAlignment="1">
      <alignment horizontal="left" vertical="center"/>
    </xf>
    <xf numFmtId="0" fontId="0" fillId="0" borderId="0" xfId="0" applyAlignment="1">
      <alignment wrapText="1"/>
    </xf>
    <xf numFmtId="0" fontId="25" fillId="0" borderId="0" xfId="0" applyFont="1" applyAlignment="1">
      <alignment wrapText="1"/>
    </xf>
    <xf numFmtId="0" fontId="0" fillId="0" borderId="0" xfId="0" applyAlignment="1">
      <alignment vertical="center" wrapText="1"/>
    </xf>
    <xf numFmtId="0" fontId="57" fillId="0" borderId="0" xfId="0" applyFont="1"/>
    <xf numFmtId="0" fontId="58" fillId="0" borderId="0" xfId="0" applyFont="1"/>
    <xf numFmtId="0" fontId="59" fillId="0" borderId="0" xfId="0" applyFont="1"/>
    <xf numFmtId="0" fontId="60" fillId="0" borderId="0" xfId="0" applyFont="1" applyAlignment="1">
      <alignment wrapText="1"/>
    </xf>
    <xf numFmtId="0" fontId="59" fillId="0" borderId="0" xfId="0" applyFont="1" applyAlignment="1">
      <alignment wrapText="1"/>
    </xf>
    <xf numFmtId="0" fontId="57" fillId="0" borderId="8" xfId="0" applyFont="1" applyBorder="1"/>
    <xf numFmtId="0" fontId="62" fillId="0" borderId="8" xfId="0" applyFont="1" applyBorder="1"/>
    <xf numFmtId="0" fontId="63" fillId="19" borderId="69" xfId="0" applyFont="1" applyFill="1" applyBorder="1" applyAlignment="1">
      <alignment horizontal="center" vertical="center" wrapText="1"/>
    </xf>
    <xf numFmtId="0" fontId="64" fillId="19" borderId="10" xfId="0" applyFont="1" applyFill="1" applyBorder="1" applyAlignment="1">
      <alignment horizontal="center" vertical="center" wrapText="1"/>
    </xf>
    <xf numFmtId="0" fontId="63" fillId="19" borderId="33" xfId="0" applyFont="1" applyFill="1" applyBorder="1" applyAlignment="1">
      <alignment horizontal="center" vertical="center" wrapText="1"/>
    </xf>
    <xf numFmtId="0" fontId="62" fillId="0" borderId="0" xfId="0" applyFont="1"/>
    <xf numFmtId="0" fontId="63" fillId="19" borderId="69" xfId="0" applyFont="1" applyFill="1" applyBorder="1" applyAlignment="1">
      <alignment horizontal="center" vertical="center" textRotation="90" wrapText="1"/>
    </xf>
    <xf numFmtId="0" fontId="60" fillId="0" borderId="6" xfId="0" applyFont="1" applyBorder="1" applyAlignment="1">
      <alignment horizontal="justify" vertical="center" wrapText="1"/>
    </xf>
    <xf numFmtId="0" fontId="63" fillId="19" borderId="68" xfId="0" applyFont="1" applyFill="1" applyBorder="1" applyAlignment="1">
      <alignment horizontal="center" vertical="center" textRotation="90" wrapText="1"/>
    </xf>
    <xf numFmtId="0" fontId="60" fillId="0" borderId="68" xfId="0" applyFont="1" applyBorder="1" applyAlignment="1">
      <alignment horizontal="left" vertical="center" wrapText="1"/>
    </xf>
    <xf numFmtId="0" fontId="63" fillId="19" borderId="71" xfId="0" applyFont="1" applyFill="1" applyBorder="1" applyAlignment="1">
      <alignment horizontal="center" vertical="center" textRotation="90" wrapText="1"/>
    </xf>
    <xf numFmtId="0" fontId="60" fillId="0" borderId="69" xfId="0" applyFont="1" applyBorder="1" applyAlignment="1">
      <alignment horizontal="left" vertical="center" wrapText="1"/>
    </xf>
    <xf numFmtId="0" fontId="63" fillId="19" borderId="6" xfId="0" applyFont="1" applyFill="1" applyBorder="1" applyAlignment="1">
      <alignment horizontal="center" vertical="center" textRotation="90" wrapText="1"/>
    </xf>
    <xf numFmtId="0" fontId="67" fillId="0" borderId="68" xfId="0" applyFont="1" applyBorder="1" applyAlignment="1">
      <alignment horizontal="left" vertical="center" wrapText="1"/>
    </xf>
    <xf numFmtId="0" fontId="63" fillId="19" borderId="36" xfId="0" applyFont="1" applyFill="1" applyBorder="1" applyAlignment="1">
      <alignment horizontal="center" vertical="center" textRotation="90" wrapText="1"/>
    </xf>
    <xf numFmtId="0" fontId="68" fillId="0" borderId="8" xfId="0" applyFont="1" applyBorder="1"/>
    <xf numFmtId="0" fontId="69" fillId="20" borderId="6" xfId="0" applyFont="1" applyFill="1" applyBorder="1" applyAlignment="1">
      <alignment horizontal="center" vertical="center" textRotation="90" wrapText="1"/>
    </xf>
    <xf numFmtId="0" fontId="68" fillId="0" borderId="0" xfId="0" applyFont="1"/>
    <xf numFmtId="0" fontId="68" fillId="20" borderId="36" xfId="0" applyFont="1" applyFill="1" applyBorder="1"/>
    <xf numFmtId="0" fontId="70" fillId="20" borderId="69" xfId="0" applyFont="1" applyFill="1" applyBorder="1" applyAlignment="1">
      <alignment horizontal="center" vertical="center" wrapText="1"/>
    </xf>
    <xf numFmtId="0" fontId="69" fillId="20" borderId="69" xfId="0" applyFont="1" applyFill="1" applyBorder="1" applyAlignment="1">
      <alignment horizontal="center" vertical="center" wrapText="1"/>
    </xf>
    <xf numFmtId="0" fontId="64" fillId="0" borderId="0" xfId="0" applyFont="1" applyAlignment="1">
      <alignment horizontal="center" vertical="center"/>
    </xf>
    <xf numFmtId="0" fontId="63" fillId="0" borderId="0" xfId="0" applyFont="1" applyAlignment="1">
      <alignment horizontal="center" vertical="center"/>
    </xf>
    <xf numFmtId="0" fontId="60" fillId="0" borderId="0" xfId="0" applyFont="1"/>
    <xf numFmtId="0" fontId="71" fillId="0" borderId="0" xfId="0" applyFont="1" applyAlignment="1">
      <alignment vertical="center" wrapText="1"/>
    </xf>
    <xf numFmtId="0" fontId="71" fillId="0" borderId="73" xfId="0" applyFont="1" applyBorder="1" applyAlignment="1">
      <alignment horizontal="center" vertical="center" wrapText="1"/>
    </xf>
    <xf numFmtId="0" fontId="71" fillId="0" borderId="26" xfId="0" applyFont="1" applyBorder="1" applyAlignment="1">
      <alignment horizontal="center" vertical="center" wrapText="1"/>
    </xf>
    <xf numFmtId="0" fontId="71" fillId="0" borderId="22" xfId="0" applyFont="1" applyBorder="1" applyAlignment="1">
      <alignment vertical="center" wrapText="1"/>
    </xf>
    <xf numFmtId="0" fontId="71" fillId="0" borderId="27" xfId="0" applyFont="1" applyBorder="1" applyAlignment="1">
      <alignment vertical="center" wrapText="1"/>
    </xf>
    <xf numFmtId="0" fontId="76" fillId="0" borderId="77" xfId="0" applyFont="1" applyBorder="1" applyAlignment="1">
      <alignment horizontal="justify" vertical="center" wrapText="1"/>
    </xf>
    <xf numFmtId="0" fontId="76" fillId="0" borderId="79" xfId="0" applyFont="1" applyBorder="1" applyAlignment="1">
      <alignment horizontal="justify" vertical="center" wrapText="1"/>
    </xf>
    <xf numFmtId="0" fontId="75" fillId="16" borderId="77" xfId="0" applyFont="1" applyFill="1" applyBorder="1" applyAlignment="1">
      <alignment horizontal="center" vertical="center" wrapText="1"/>
    </xf>
    <xf numFmtId="0" fontId="75" fillId="16" borderId="79" xfId="0" applyFont="1" applyFill="1" applyBorder="1" applyAlignment="1">
      <alignment horizontal="center" vertical="center" wrapText="1"/>
    </xf>
    <xf numFmtId="0" fontId="75" fillId="16" borderId="81" xfId="0" applyFont="1" applyFill="1" applyBorder="1" applyAlignment="1">
      <alignment horizontal="center" vertical="center" wrapText="1"/>
    </xf>
    <xf numFmtId="0" fontId="73" fillId="16" borderId="29" xfId="0" applyFont="1" applyFill="1" applyBorder="1" applyAlignment="1">
      <alignment horizontal="center" vertical="center" wrapText="1"/>
    </xf>
    <xf numFmtId="0" fontId="73" fillId="16" borderId="30" xfId="0" applyFont="1" applyFill="1" applyBorder="1" applyAlignment="1">
      <alignment horizontal="center" vertical="center" wrapText="1"/>
    </xf>
    <xf numFmtId="0" fontId="75" fillId="19" borderId="69" xfId="0" applyFont="1" applyFill="1" applyBorder="1" applyAlignment="1">
      <alignment horizontal="center" vertical="center" wrapText="1"/>
    </xf>
    <xf numFmtId="0" fontId="75" fillId="19" borderId="36" xfId="0" applyFont="1" applyFill="1" applyBorder="1" applyAlignment="1">
      <alignment horizontal="center" vertical="center" wrapText="1"/>
    </xf>
    <xf numFmtId="0" fontId="76" fillId="0" borderId="10" xfId="0" applyFont="1" applyBorder="1" applyAlignment="1">
      <alignment horizontal="justify" vertical="center" wrapText="1"/>
    </xf>
    <xf numFmtId="0" fontId="60" fillId="0" borderId="5" xfId="0" applyFont="1" applyBorder="1" applyAlignment="1">
      <alignment horizontal="justify" vertical="center" wrapText="1"/>
    </xf>
    <xf numFmtId="0" fontId="60" fillId="0" borderId="5" xfId="0" applyFont="1" applyBorder="1" applyAlignment="1">
      <alignment horizontal="left" vertical="center" wrapText="1"/>
    </xf>
    <xf numFmtId="0" fontId="59" fillId="0" borderId="24" xfId="0" applyFont="1" applyBorder="1" applyAlignment="1">
      <alignment horizontal="left" vertical="center" wrapText="1"/>
    </xf>
    <xf numFmtId="0" fontId="59" fillId="0" borderId="5" xfId="0" applyFont="1" applyBorder="1" applyAlignment="1">
      <alignment horizontal="justify" vertical="center" wrapText="1"/>
    </xf>
    <xf numFmtId="0" fontId="62" fillId="0" borderId="85" xfId="0" applyFont="1" applyBorder="1" applyAlignment="1">
      <alignment horizontal="center" vertical="center"/>
    </xf>
    <xf numFmtId="0" fontId="62" fillId="0" borderId="84" xfId="0" applyFont="1" applyBorder="1" applyAlignment="1">
      <alignment horizontal="center" vertical="center"/>
    </xf>
    <xf numFmtId="0" fontId="68" fillId="0" borderId="86" xfId="0" applyFont="1" applyBorder="1" applyAlignment="1">
      <alignment horizontal="center" vertical="center"/>
    </xf>
    <xf numFmtId="0" fontId="78" fillId="24" borderId="89" xfId="0" applyFont="1" applyFill="1" applyBorder="1" applyAlignment="1">
      <alignment horizontal="left" vertical="center" wrapText="1" readingOrder="1"/>
    </xf>
    <xf numFmtId="0" fontId="78" fillId="25" borderId="89" xfId="0" applyFont="1" applyFill="1" applyBorder="1" applyAlignment="1">
      <alignment horizontal="left" vertical="center" wrapText="1" readingOrder="1"/>
    </xf>
    <xf numFmtId="0" fontId="84" fillId="0" borderId="84" xfId="0" applyFont="1" applyBorder="1" applyAlignment="1">
      <alignment vertical="center" wrapText="1"/>
    </xf>
    <xf numFmtId="0" fontId="83" fillId="0" borderId="84" xfId="0" applyFont="1" applyBorder="1" applyAlignment="1">
      <alignment vertical="center"/>
    </xf>
    <xf numFmtId="0" fontId="83" fillId="0" borderId="84" xfId="0" applyFont="1" applyBorder="1" applyAlignment="1">
      <alignment vertical="center" wrapText="1"/>
    </xf>
    <xf numFmtId="0" fontId="83" fillId="26" borderId="0" xfId="0" applyFont="1" applyFill="1" applyAlignment="1">
      <alignment horizontal="center" vertical="center"/>
    </xf>
    <xf numFmtId="0" fontId="75" fillId="26" borderId="69" xfId="0" applyFont="1" applyFill="1" applyBorder="1" applyAlignment="1">
      <alignment horizontal="center" vertical="center" wrapText="1"/>
    </xf>
    <xf numFmtId="0" fontId="75" fillId="26" borderId="36" xfId="0" applyFont="1" applyFill="1" applyBorder="1" applyAlignment="1">
      <alignment horizontal="center" vertical="center" wrapText="1"/>
    </xf>
    <xf numFmtId="0" fontId="71" fillId="0" borderId="74" xfId="0" applyFont="1" applyBorder="1" applyAlignment="1">
      <alignment horizontal="center" vertical="center" wrapText="1"/>
    </xf>
    <xf numFmtId="0" fontId="71" fillId="0" borderId="75" xfId="0" applyFont="1" applyBorder="1" applyAlignment="1">
      <alignment horizontal="center" vertical="center" wrapText="1"/>
    </xf>
    <xf numFmtId="0" fontId="71" fillId="0" borderId="22" xfId="0" applyFont="1" applyBorder="1" applyAlignment="1">
      <alignment horizontal="center" vertical="center" wrapText="1"/>
    </xf>
    <xf numFmtId="0" fontId="71" fillId="0" borderId="27" xfId="0" applyFont="1" applyBorder="1" applyAlignment="1">
      <alignment horizontal="center" vertical="center" wrapText="1"/>
    </xf>
    <xf numFmtId="0" fontId="0" fillId="3" borderId="0" xfId="0" applyFill="1" applyAlignment="1">
      <alignment vertical="top"/>
    </xf>
    <xf numFmtId="164" fontId="0" fillId="3" borderId="0" xfId="5" applyFont="1" applyFill="1" applyAlignment="1">
      <alignment horizontal="left" vertical="top"/>
    </xf>
    <xf numFmtId="0" fontId="0" fillId="0" borderId="0" xfId="0" applyAlignment="1">
      <alignment vertical="top"/>
    </xf>
    <xf numFmtId="164" fontId="53" fillId="3" borderId="0" xfId="5" applyFont="1" applyFill="1" applyAlignment="1">
      <alignment vertical="top"/>
    </xf>
    <xf numFmtId="0" fontId="80" fillId="0" borderId="90" xfId="0" applyFont="1" applyBorder="1" applyAlignment="1" applyProtection="1">
      <alignment horizontal="center" vertical="center" wrapText="1"/>
      <protection locked="0"/>
    </xf>
    <xf numFmtId="0" fontId="80" fillId="0" borderId="90" xfId="0" applyFont="1" applyBorder="1" applyAlignment="1" applyProtection="1">
      <alignment horizontal="justify" vertical="center" wrapText="1"/>
      <protection locked="0"/>
    </xf>
    <xf numFmtId="0" fontId="80" fillId="0" borderId="90" xfId="0" applyFont="1" applyBorder="1" applyAlignment="1" applyProtection="1">
      <alignment horizontal="justify" vertical="center"/>
      <protection locked="0"/>
    </xf>
    <xf numFmtId="0" fontId="80" fillId="0" borderId="90" xfId="0" applyFont="1" applyBorder="1" applyAlignment="1" applyProtection="1">
      <alignment horizontal="center" vertical="center"/>
      <protection hidden="1"/>
    </xf>
    <xf numFmtId="0" fontId="80" fillId="0" borderId="90" xfId="0" applyFont="1" applyBorder="1" applyAlignment="1" applyProtection="1">
      <alignment horizontal="center" vertical="center" textRotation="90"/>
      <protection locked="0"/>
    </xf>
    <xf numFmtId="9" fontId="80" fillId="0" borderId="90" xfId="0" applyNumberFormat="1" applyFont="1" applyBorder="1" applyAlignment="1" applyProtection="1">
      <alignment horizontal="center" vertical="center"/>
      <protection hidden="1"/>
    </xf>
    <xf numFmtId="165" fontId="80" fillId="0" borderId="90" xfId="1" applyNumberFormat="1" applyFont="1" applyFill="1" applyBorder="1" applyAlignment="1">
      <alignment horizontal="center" vertical="center"/>
    </xf>
    <xf numFmtId="0" fontId="81" fillId="0" borderId="90" xfId="0" applyFont="1" applyBorder="1" applyAlignment="1" applyProtection="1">
      <alignment horizontal="center" vertical="center" textRotation="90" wrapText="1"/>
      <protection hidden="1"/>
    </xf>
    <xf numFmtId="0" fontId="81" fillId="0" borderId="90" xfId="0" applyFont="1" applyBorder="1" applyAlignment="1" applyProtection="1">
      <alignment horizontal="center" vertical="center" textRotation="90"/>
      <protection hidden="1"/>
    </xf>
    <xf numFmtId="0" fontId="80" fillId="0" borderId="90" xfId="0" applyFont="1" applyBorder="1" applyAlignment="1" applyProtection="1">
      <alignment horizontal="center" vertical="center" textRotation="90" wrapText="1"/>
      <protection locked="0"/>
    </xf>
    <xf numFmtId="0" fontId="80" fillId="0" borderId="90" xfId="0" applyFont="1" applyBorder="1" applyAlignment="1" applyProtection="1">
      <alignment horizontal="center" vertical="center"/>
      <protection locked="0"/>
    </xf>
    <xf numFmtId="14" fontId="80" fillId="0" borderId="90" xfId="0" applyNumberFormat="1" applyFont="1" applyBorder="1" applyAlignment="1" applyProtection="1">
      <alignment horizontal="center" vertical="center"/>
      <protection locked="0"/>
    </xf>
    <xf numFmtId="0" fontId="80" fillId="0" borderId="0" xfId="0" applyFont="1"/>
    <xf numFmtId="0" fontId="80" fillId="0" borderId="90" xfId="0" applyFont="1" applyBorder="1" applyAlignment="1" applyProtection="1">
      <alignment horizontal="justify" vertical="top" wrapText="1"/>
      <protection locked="0"/>
    </xf>
    <xf numFmtId="0" fontId="79" fillId="0" borderId="0" xfId="0" applyFont="1" applyAlignment="1">
      <alignment vertical="center"/>
    </xf>
    <xf numFmtId="0" fontId="85" fillId="3" borderId="0" xfId="0" applyFont="1" applyFill="1"/>
    <xf numFmtId="0" fontId="85" fillId="0" borderId="0" xfId="0" applyFont="1"/>
    <xf numFmtId="0" fontId="80" fillId="3" borderId="0" xfId="0" applyFont="1" applyFill="1" applyAlignment="1">
      <alignment horizontal="center" vertical="center"/>
    </xf>
    <xf numFmtId="0" fontId="80" fillId="3" borderId="0" xfId="0" applyFont="1" applyFill="1" applyAlignment="1">
      <alignment horizontal="left" vertical="center"/>
    </xf>
    <xf numFmtId="0" fontId="80" fillId="3" borderId="0" xfId="0" applyFont="1" applyFill="1"/>
    <xf numFmtId="0" fontId="80" fillId="3" borderId="0" xfId="0" applyFont="1" applyFill="1" applyAlignment="1">
      <alignment horizontal="center"/>
    </xf>
    <xf numFmtId="0" fontId="80" fillId="3" borderId="0" xfId="0" applyFont="1" applyFill="1" applyAlignment="1">
      <alignment wrapText="1"/>
    </xf>
    <xf numFmtId="0" fontId="81" fillId="3" borderId="99" xfId="0" applyFont="1" applyFill="1" applyBorder="1"/>
    <xf numFmtId="0" fontId="81" fillId="3" borderId="90" xfId="0" applyFont="1" applyFill="1" applyBorder="1"/>
    <xf numFmtId="0" fontId="81" fillId="3" borderId="100" xfId="0" applyFont="1" applyFill="1" applyBorder="1"/>
    <xf numFmtId="0" fontId="81" fillId="3" borderId="110" xfId="0" applyFont="1" applyFill="1" applyBorder="1"/>
    <xf numFmtId="0" fontId="81" fillId="3" borderId="91" xfId="0" applyFont="1" applyFill="1" applyBorder="1"/>
    <xf numFmtId="0" fontId="81" fillId="3" borderId="101" xfId="0" applyFont="1" applyFill="1" applyBorder="1"/>
    <xf numFmtId="0" fontId="81" fillId="0" borderId="0" xfId="0" applyFont="1" applyAlignment="1">
      <alignment horizontal="left" vertical="center"/>
    </xf>
    <xf numFmtId="0" fontId="80" fillId="0" borderId="0" xfId="0" applyFont="1" applyAlignment="1" applyProtection="1">
      <alignment horizontal="left" vertical="center" wrapText="1"/>
      <protection locked="0"/>
    </xf>
    <xf numFmtId="0" fontId="81" fillId="0" borderId="0" xfId="0" applyFont="1"/>
    <xf numFmtId="0" fontId="80" fillId="0" borderId="0" xfId="0" applyFont="1" applyAlignment="1">
      <alignment horizontal="left" wrapText="1"/>
    </xf>
    <xf numFmtId="0" fontId="81" fillId="16" borderId="90" xfId="0" applyFont="1" applyFill="1" applyBorder="1" applyAlignment="1">
      <alignment horizontal="center" vertical="center" textRotation="90"/>
    </xf>
    <xf numFmtId="0" fontId="81" fillId="3" borderId="0" xfId="0" applyFont="1" applyFill="1" applyAlignment="1">
      <alignment horizontal="center" vertical="center"/>
    </xf>
    <xf numFmtId="0" fontId="81" fillId="0" borderId="0" xfId="0" applyFont="1" applyAlignment="1">
      <alignment horizontal="center" vertical="center"/>
    </xf>
    <xf numFmtId="0" fontId="81" fillId="2" borderId="0" xfId="0" applyFont="1" applyFill="1" applyAlignment="1">
      <alignment horizontal="center" vertical="center"/>
    </xf>
    <xf numFmtId="0" fontId="80" fillId="0" borderId="90" xfId="0" applyFont="1" applyBorder="1" applyAlignment="1">
      <alignment horizontal="center" vertical="center"/>
    </xf>
    <xf numFmtId="0" fontId="80" fillId="0" borderId="0" xfId="0" applyFont="1" applyAlignment="1">
      <alignment vertical="center"/>
    </xf>
    <xf numFmtId="0" fontId="80" fillId="0" borderId="3" xfId="0" applyFont="1" applyBorder="1" applyAlignment="1">
      <alignment horizontal="center" vertical="center"/>
    </xf>
    <xf numFmtId="0" fontId="80" fillId="0" borderId="0" xfId="0" applyFont="1" applyAlignment="1">
      <alignment wrapText="1"/>
    </xf>
    <xf numFmtId="0" fontId="80" fillId="0" borderId="0" xfId="0" applyFont="1" applyAlignment="1">
      <alignment horizontal="center" vertical="center"/>
    </xf>
    <xf numFmtId="0" fontId="80" fillId="0" borderId="0" xfId="0" applyFont="1" applyAlignment="1">
      <alignment horizontal="center"/>
    </xf>
    <xf numFmtId="167" fontId="29" fillId="0" borderId="64" xfId="0" applyNumberFormat="1" applyFont="1" applyBorder="1" applyAlignment="1">
      <alignment horizontal="center" vertical="center" wrapText="1" readingOrder="1"/>
    </xf>
    <xf numFmtId="0" fontId="80" fillId="0" borderId="91" xfId="0" applyFont="1" applyBorder="1" applyAlignment="1" applyProtection="1">
      <alignment horizontal="center" vertical="center" wrapText="1"/>
      <protection locked="0"/>
    </xf>
    <xf numFmtId="0" fontId="80" fillId="0" borderId="105" xfId="0" applyFont="1" applyBorder="1" applyAlignment="1" applyProtection="1">
      <alignment horizontal="center" vertical="center" wrapText="1"/>
      <protection locked="0"/>
    </xf>
    <xf numFmtId="0" fontId="80" fillId="0" borderId="92" xfId="0" applyFont="1" applyBorder="1" applyAlignment="1" applyProtection="1">
      <alignment horizontal="center" vertical="center" wrapText="1"/>
      <protection locked="0"/>
    </xf>
    <xf numFmtId="0" fontId="81" fillId="16" borderId="92" xfId="0" applyFont="1" applyFill="1" applyBorder="1" applyAlignment="1">
      <alignment vertical="center"/>
    </xf>
    <xf numFmtId="0" fontId="0" fillId="21" borderId="7" xfId="0" applyFill="1" applyBorder="1"/>
    <xf numFmtId="0" fontId="0" fillId="21" borderId="0" xfId="0" applyFill="1"/>
    <xf numFmtId="0" fontId="0" fillId="0" borderId="8" xfId="0" applyBorder="1"/>
    <xf numFmtId="0" fontId="0" fillId="8" borderId="7" xfId="0" applyFill="1" applyBorder="1"/>
    <xf numFmtId="0" fontId="0" fillId="8" borderId="0" xfId="0" applyFill="1"/>
    <xf numFmtId="0" fontId="0" fillId="27" borderId="7" xfId="0" applyFill="1" applyBorder="1"/>
    <xf numFmtId="0" fontId="0" fillId="27" borderId="0" xfId="0" applyFill="1"/>
    <xf numFmtId="0" fontId="0" fillId="27" borderId="9" xfId="0" applyFill="1" applyBorder="1"/>
    <xf numFmtId="0" fontId="0" fillId="27" borderId="11" xfId="0" applyFill="1" applyBorder="1"/>
    <xf numFmtId="0" fontId="0" fillId="0" borderId="11" xfId="0" applyBorder="1"/>
    <xf numFmtId="0" fontId="0" fillId="0" borderId="10" xfId="0" applyBorder="1"/>
    <xf numFmtId="0" fontId="83" fillId="0" borderId="24" xfId="0" applyFont="1" applyBorder="1"/>
    <xf numFmtId="0" fontId="83" fillId="0" borderId="25" xfId="0" applyFont="1" applyBorder="1"/>
    <xf numFmtId="0" fontId="0" fillId="0" borderId="25" xfId="0" applyBorder="1"/>
    <xf numFmtId="0" fontId="0" fillId="0" borderId="36" xfId="0" applyBorder="1"/>
    <xf numFmtId="0" fontId="86" fillId="0" borderId="90" xfId="0" applyFont="1" applyBorder="1" applyAlignment="1" applyProtection="1">
      <alignment horizontal="justify" vertical="center" wrapText="1"/>
      <protection locked="0"/>
    </xf>
    <xf numFmtId="0" fontId="87" fillId="28" borderId="120" xfId="0" applyFont="1" applyFill="1" applyBorder="1" applyAlignment="1" applyProtection="1">
      <alignment horizontal="center" vertical="center" wrapText="1"/>
      <protection hidden="1"/>
    </xf>
    <xf numFmtId="0" fontId="87" fillId="28" borderId="121" xfId="0" applyFont="1" applyFill="1" applyBorder="1" applyAlignment="1" applyProtection="1">
      <alignment horizontal="center" vertical="center" wrapText="1"/>
      <protection hidden="1"/>
    </xf>
    <xf numFmtId="0" fontId="87" fillId="28" borderId="122" xfId="0" applyFont="1" applyFill="1" applyBorder="1" applyAlignment="1" applyProtection="1">
      <alignment horizontal="center" vertical="center" wrapText="1"/>
      <protection hidden="1"/>
    </xf>
    <xf numFmtId="0" fontId="0" fillId="3" borderId="0" xfId="0" applyFill="1" applyAlignment="1">
      <alignment horizontal="center" vertical="center"/>
    </xf>
    <xf numFmtId="14" fontId="0" fillId="3" borderId="0" xfId="0" applyNumberFormat="1" applyFill="1" applyAlignment="1">
      <alignment horizontal="center" vertical="center"/>
    </xf>
    <xf numFmtId="0" fontId="0" fillId="3" borderId="0" xfId="0" applyFill="1" applyAlignment="1">
      <alignment horizontal="center" vertical="center" wrapText="1"/>
    </xf>
    <xf numFmtId="0" fontId="71" fillId="0" borderId="0" xfId="0" applyFont="1" applyAlignment="1">
      <alignment vertical="center"/>
    </xf>
    <xf numFmtId="0" fontId="83" fillId="0" borderId="70" xfId="0" applyFont="1" applyBorder="1" applyAlignment="1">
      <alignment vertical="center"/>
    </xf>
    <xf numFmtId="0" fontId="83" fillId="3" borderId="0" xfId="0" applyFont="1" applyFill="1"/>
    <xf numFmtId="0" fontId="81" fillId="21" borderId="92" xfId="0" applyFont="1" applyFill="1" applyBorder="1" applyAlignment="1">
      <alignment horizontal="center" vertical="center" wrapText="1"/>
    </xf>
    <xf numFmtId="0" fontId="81" fillId="21" borderId="91" xfId="0" applyFont="1" applyFill="1" applyBorder="1" applyAlignment="1">
      <alignment horizontal="center" vertical="center" wrapText="1"/>
    </xf>
    <xf numFmtId="165" fontId="94" fillId="0" borderId="90" xfId="1" applyNumberFormat="1" applyFont="1" applyFill="1" applyBorder="1" applyAlignment="1">
      <alignment horizontal="center" vertical="center"/>
    </xf>
    <xf numFmtId="0" fontId="80" fillId="0" borderId="125" xfId="0" applyFont="1" applyBorder="1" applyAlignment="1">
      <alignment horizontal="justify" vertical="top" wrapText="1"/>
    </xf>
    <xf numFmtId="0" fontId="80" fillId="0" borderId="125" xfId="0" applyFont="1" applyBorder="1" applyAlignment="1">
      <alignment horizontal="justify" vertical="center" wrapText="1"/>
    </xf>
    <xf numFmtId="0" fontId="80" fillId="0" borderId="126" xfId="0" applyFont="1" applyBorder="1" applyAlignment="1">
      <alignment horizontal="justify" vertical="center" wrapText="1"/>
    </xf>
    <xf numFmtId="0" fontId="80" fillId="0" borderId="124" xfId="0" applyFont="1" applyBorder="1" applyAlignment="1">
      <alignment horizontal="justify" vertical="center" wrapText="1"/>
    </xf>
    <xf numFmtId="0" fontId="80" fillId="0" borderId="124" xfId="0" applyFont="1" applyBorder="1" applyAlignment="1">
      <alignment horizontal="center" vertical="center" wrapText="1"/>
    </xf>
    <xf numFmtId="0" fontId="80" fillId="0" borderId="124" xfId="0" applyFont="1" applyBorder="1" applyAlignment="1">
      <alignment horizontal="center" vertical="center"/>
    </xf>
    <xf numFmtId="0" fontId="94" fillId="0" borderId="90" xfId="0" applyFont="1" applyBorder="1" applyAlignment="1" applyProtection="1">
      <alignment horizontal="center" vertical="center" wrapText="1"/>
      <protection locked="0"/>
    </xf>
    <xf numFmtId="0" fontId="94" fillId="0" borderId="90" xfId="0" applyFont="1" applyBorder="1" applyAlignment="1">
      <alignment horizontal="center" vertical="center"/>
    </xf>
    <xf numFmtId="0" fontId="92" fillId="0" borderId="90" xfId="0" applyFont="1" applyBorder="1" applyAlignment="1" applyProtection="1">
      <alignment horizontal="justify" vertical="center" wrapText="1"/>
      <protection locked="0"/>
    </xf>
    <xf numFmtId="0" fontId="94" fillId="0" borderId="90" xfId="0" applyFont="1" applyBorder="1" applyAlignment="1" applyProtection="1">
      <alignment horizontal="center" vertical="center"/>
      <protection hidden="1"/>
    </xf>
    <xf numFmtId="0" fontId="94" fillId="0" borderId="90" xfId="0" applyFont="1" applyBorder="1" applyAlignment="1" applyProtection="1">
      <alignment horizontal="center" vertical="center" textRotation="90"/>
      <protection locked="0"/>
    </xf>
    <xf numFmtId="9" fontId="94" fillId="0" borderId="90" xfId="0" applyNumberFormat="1" applyFont="1" applyBorder="1" applyAlignment="1" applyProtection="1">
      <alignment horizontal="center" vertical="center"/>
      <protection hidden="1"/>
    </xf>
    <xf numFmtId="0" fontId="93" fillId="0" borderId="90" xfId="0" applyFont="1" applyBorder="1" applyAlignment="1" applyProtection="1">
      <alignment horizontal="center" vertical="center" textRotation="90" wrapText="1"/>
      <protection hidden="1"/>
    </xf>
    <xf numFmtId="0" fontId="93" fillId="0" borderId="90" xfId="0" applyFont="1" applyBorder="1" applyAlignment="1" applyProtection="1">
      <alignment horizontal="center" vertical="center" textRotation="90"/>
      <protection hidden="1"/>
    </xf>
    <xf numFmtId="0" fontId="94" fillId="0" borderId="90" xfId="0" applyFont="1" applyBorder="1" applyAlignment="1" applyProtection="1">
      <alignment horizontal="center" vertical="center"/>
      <protection locked="0"/>
    </xf>
    <xf numFmtId="14" fontId="94" fillId="0" borderId="90" xfId="0" applyNumberFormat="1" applyFont="1" applyBorder="1" applyAlignment="1" applyProtection="1">
      <alignment horizontal="center" vertical="center"/>
      <protection locked="0"/>
    </xf>
    <xf numFmtId="0" fontId="94" fillId="0" borderId="0" xfId="0" applyFont="1"/>
    <xf numFmtId="0" fontId="94" fillId="0" borderId="90" xfId="0" applyFont="1" applyBorder="1" applyAlignment="1" applyProtection="1">
      <alignment horizontal="center" vertical="center" textRotation="90" wrapText="1"/>
      <protection locked="0"/>
    </xf>
    <xf numFmtId="0" fontId="45" fillId="23" borderId="37" xfId="2" applyFont="1" applyFill="1" applyBorder="1" applyAlignment="1">
      <alignment horizontal="center" vertical="center" wrapText="1"/>
    </xf>
    <xf numFmtId="0" fontId="45" fillId="23" borderId="38" xfId="2" applyFont="1" applyFill="1" applyBorder="1" applyAlignment="1">
      <alignment horizontal="center" vertical="center" wrapText="1"/>
    </xf>
    <xf numFmtId="0" fontId="45" fillId="23" borderId="39" xfId="2" applyFont="1" applyFill="1" applyBorder="1" applyAlignment="1">
      <alignment horizontal="center" vertical="center" wrapText="1"/>
    </xf>
    <xf numFmtId="0" fontId="44" fillId="0" borderId="7" xfId="2" quotePrefix="1" applyFont="1" applyBorder="1" applyAlignment="1">
      <alignment horizontal="left" vertical="center" wrapText="1"/>
    </xf>
    <xf numFmtId="0" fontId="44" fillId="0" borderId="0" xfId="2" quotePrefix="1" applyFont="1" applyAlignment="1">
      <alignment horizontal="left" vertical="center" wrapText="1"/>
    </xf>
    <xf numFmtId="0" fontId="44" fillId="0" borderId="8" xfId="2" quotePrefix="1" applyFont="1" applyBorder="1" applyAlignment="1">
      <alignment horizontal="left" vertical="center" wrapText="1"/>
    </xf>
    <xf numFmtId="0" fontId="44" fillId="0" borderId="57" xfId="2" quotePrefix="1" applyFont="1" applyBorder="1" applyAlignment="1">
      <alignment horizontal="left" vertical="center" wrapText="1"/>
    </xf>
    <xf numFmtId="0" fontId="44" fillId="0" borderId="58" xfId="2" quotePrefix="1" applyFont="1" applyBorder="1" applyAlignment="1">
      <alignment horizontal="left" vertical="center" wrapText="1"/>
    </xf>
    <xf numFmtId="0" fontId="44" fillId="0" borderId="59" xfId="2" quotePrefix="1" applyFont="1" applyBorder="1" applyAlignment="1">
      <alignment horizontal="left" vertical="center" wrapText="1"/>
    </xf>
    <xf numFmtId="0" fontId="46" fillId="3" borderId="40" xfId="2" quotePrefix="1" applyFont="1" applyFill="1" applyBorder="1" applyAlignment="1">
      <alignment horizontal="left" vertical="top" wrapText="1"/>
    </xf>
    <xf numFmtId="0" fontId="47" fillId="3" borderId="41" xfId="2" quotePrefix="1" applyFont="1" applyFill="1" applyBorder="1" applyAlignment="1">
      <alignment horizontal="left" vertical="top" wrapText="1"/>
    </xf>
    <xf numFmtId="0" fontId="47" fillId="3" borderId="42" xfId="2" quotePrefix="1" applyFont="1" applyFill="1" applyBorder="1" applyAlignment="1">
      <alignment horizontal="left" vertical="top" wrapText="1"/>
    </xf>
    <xf numFmtId="0" fontId="44" fillId="0" borderId="7" xfId="2" quotePrefix="1" applyFont="1" applyBorder="1" applyAlignment="1">
      <alignment horizontal="left" vertical="top" wrapText="1"/>
    </xf>
    <xf numFmtId="0" fontId="44" fillId="0" borderId="0" xfId="2" quotePrefix="1" applyFont="1" applyAlignment="1">
      <alignment horizontal="left" vertical="top" wrapText="1"/>
    </xf>
    <xf numFmtId="0" fontId="44" fillId="0" borderId="8" xfId="2" quotePrefix="1" applyFont="1" applyBorder="1" applyAlignment="1">
      <alignment horizontal="left" vertical="top" wrapText="1"/>
    </xf>
    <xf numFmtId="0" fontId="49" fillId="14" borderId="43" xfId="3" applyFont="1" applyFill="1" applyBorder="1" applyAlignment="1">
      <alignment horizontal="center" vertical="center" wrapText="1"/>
    </xf>
    <xf numFmtId="0" fontId="49" fillId="14" borderId="44" xfId="3" applyFont="1" applyFill="1" applyBorder="1" applyAlignment="1">
      <alignment horizontal="center" vertical="center" wrapText="1"/>
    </xf>
    <xf numFmtId="0" fontId="49" fillId="14" borderId="45" xfId="2" applyFont="1" applyFill="1" applyBorder="1" applyAlignment="1">
      <alignment horizontal="center" vertical="center"/>
    </xf>
    <xf numFmtId="0" fontId="49" fillId="14" borderId="46" xfId="2" applyFont="1" applyFill="1" applyBorder="1" applyAlignment="1">
      <alignment horizontal="center" vertical="center"/>
    </xf>
    <xf numFmtId="0" fontId="1" fillId="3" borderId="57" xfId="2" quotePrefix="1" applyFont="1" applyFill="1" applyBorder="1" applyAlignment="1">
      <alignment horizontal="justify" vertical="center" wrapText="1"/>
    </xf>
    <xf numFmtId="0" fontId="1" fillId="3" borderId="58" xfId="2" quotePrefix="1" applyFont="1" applyFill="1" applyBorder="1" applyAlignment="1">
      <alignment horizontal="justify" vertical="center" wrapText="1"/>
    </xf>
    <xf numFmtId="0" fontId="1" fillId="3" borderId="59" xfId="2" quotePrefix="1" applyFont="1" applyFill="1" applyBorder="1" applyAlignment="1">
      <alignment horizontal="justify" vertical="center" wrapText="1"/>
    </xf>
    <xf numFmtId="0" fontId="49" fillId="3" borderId="47" xfId="3" applyFont="1" applyFill="1" applyBorder="1" applyAlignment="1">
      <alignment horizontal="left" vertical="top" wrapText="1" readingOrder="1"/>
    </xf>
    <xf numFmtId="0" fontId="49" fillId="3" borderId="48" xfId="3" applyFont="1" applyFill="1" applyBorder="1" applyAlignment="1">
      <alignment horizontal="left" vertical="top" wrapText="1" readingOrder="1"/>
    </xf>
    <xf numFmtId="0" fontId="50" fillId="3" borderId="49" xfId="2" applyFont="1" applyFill="1" applyBorder="1" applyAlignment="1">
      <alignment horizontal="justify" vertical="center" wrapText="1"/>
    </xf>
    <xf numFmtId="0" fontId="50" fillId="3" borderId="50" xfId="2" applyFont="1" applyFill="1" applyBorder="1" applyAlignment="1">
      <alignment horizontal="justify" vertical="center" wrapText="1"/>
    </xf>
    <xf numFmtId="0" fontId="49" fillId="3" borderId="51" xfId="0" applyFont="1" applyFill="1" applyBorder="1" applyAlignment="1">
      <alignment horizontal="left" vertical="center" wrapText="1"/>
    </xf>
    <xf numFmtId="0" fontId="49" fillId="3" borderId="52" xfId="0" applyFont="1" applyFill="1" applyBorder="1" applyAlignment="1">
      <alignment horizontal="left" vertical="center" wrapText="1"/>
    </xf>
    <xf numFmtId="0" fontId="50" fillId="3" borderId="53" xfId="2" applyFont="1" applyFill="1" applyBorder="1" applyAlignment="1">
      <alignment horizontal="justify" vertical="center" wrapText="1"/>
    </xf>
    <xf numFmtId="0" fontId="50" fillId="3" borderId="54" xfId="2" applyFont="1" applyFill="1" applyBorder="1" applyAlignment="1">
      <alignment horizontal="justify" vertical="center" wrapText="1"/>
    </xf>
    <xf numFmtId="0" fontId="44" fillId="3" borderId="7" xfId="2" applyFont="1" applyFill="1" applyBorder="1" applyAlignment="1">
      <alignment horizontal="left" vertical="top" wrapText="1"/>
    </xf>
    <xf numFmtId="0" fontId="44" fillId="3" borderId="0" xfId="2" applyFont="1" applyFill="1" applyAlignment="1">
      <alignment horizontal="left" vertical="top" wrapText="1"/>
    </xf>
    <xf numFmtId="0" fontId="44" fillId="3" borderId="8" xfId="2" applyFont="1" applyFill="1" applyBorder="1" applyAlignment="1">
      <alignment horizontal="left" vertical="top" wrapText="1"/>
    </xf>
    <xf numFmtId="0" fontId="49" fillId="3" borderId="60" xfId="0" applyFont="1" applyFill="1" applyBorder="1" applyAlignment="1">
      <alignment horizontal="left" vertical="center" wrapText="1"/>
    </xf>
    <xf numFmtId="0" fontId="49" fillId="3" borderId="61" xfId="0" applyFont="1" applyFill="1" applyBorder="1" applyAlignment="1">
      <alignment horizontal="left" vertical="center" wrapText="1"/>
    </xf>
    <xf numFmtId="0" fontId="49" fillId="3" borderId="62" xfId="0" applyFont="1" applyFill="1" applyBorder="1" applyAlignment="1">
      <alignment horizontal="left" vertical="center" wrapText="1"/>
    </xf>
    <xf numFmtId="0" fontId="49" fillId="3" borderId="63" xfId="0" applyFont="1" applyFill="1" applyBorder="1" applyAlignment="1">
      <alignment horizontal="left" vertical="center" wrapText="1"/>
    </xf>
    <xf numFmtId="0" fontId="50" fillId="3" borderId="55" xfId="0" applyFont="1" applyFill="1" applyBorder="1" applyAlignment="1">
      <alignment horizontal="justify" vertical="center" wrapText="1"/>
    </xf>
    <xf numFmtId="0" fontId="50" fillId="3" borderId="56" xfId="0" applyFont="1" applyFill="1" applyBorder="1" applyAlignment="1">
      <alignment horizontal="justify" vertical="center" wrapText="1"/>
    </xf>
    <xf numFmtId="0" fontId="61" fillId="17" borderId="66" xfId="0" applyFont="1" applyFill="1" applyBorder="1" applyAlignment="1">
      <alignment horizontal="center" vertical="center" wrapText="1"/>
    </xf>
    <xf numFmtId="0" fontId="61" fillId="17" borderId="67" xfId="0" applyFont="1" applyFill="1" applyBorder="1" applyAlignment="1">
      <alignment horizontal="center" vertical="center" wrapText="1"/>
    </xf>
    <xf numFmtId="0" fontId="61" fillId="18" borderId="68" xfId="0" applyFont="1" applyFill="1" applyBorder="1" applyAlignment="1">
      <alignment horizontal="center" vertical="center" textRotation="90"/>
    </xf>
    <xf numFmtId="0" fontId="61" fillId="18" borderId="70" xfId="0" applyFont="1" applyFill="1" applyBorder="1" applyAlignment="1">
      <alignment horizontal="center" vertical="center" textRotation="90"/>
    </xf>
    <xf numFmtId="0" fontId="61" fillId="18" borderId="72" xfId="0" applyFont="1" applyFill="1" applyBorder="1" applyAlignment="1">
      <alignment horizontal="center" vertical="center" textRotation="90"/>
    </xf>
    <xf numFmtId="0" fontId="77" fillId="22" borderId="87" xfId="0" applyFont="1" applyFill="1" applyBorder="1" applyAlignment="1">
      <alignment horizontal="center" vertical="center"/>
    </xf>
    <xf numFmtId="0" fontId="77" fillId="22" borderId="88" xfId="0" applyFont="1" applyFill="1" applyBorder="1" applyAlignment="1">
      <alignment horizontal="center" vertical="center"/>
    </xf>
    <xf numFmtId="0" fontId="75" fillId="0" borderId="71" xfId="0" applyFont="1" applyBorder="1" applyAlignment="1">
      <alignment horizontal="center" vertical="center" wrapText="1"/>
    </xf>
    <xf numFmtId="0" fontId="75" fillId="0" borderId="70" xfId="0" applyFont="1" applyBorder="1" applyAlignment="1">
      <alignment horizontal="center" vertical="center" wrapText="1"/>
    </xf>
    <xf numFmtId="0" fontId="75" fillId="0" borderId="83" xfId="0" applyFont="1" applyBorder="1" applyAlignment="1">
      <alignment horizontal="center" vertical="center" wrapText="1"/>
    </xf>
    <xf numFmtId="0" fontId="75" fillId="0" borderId="68" xfId="0" applyFont="1" applyBorder="1" applyAlignment="1">
      <alignment horizontal="center" vertical="center" wrapText="1"/>
    </xf>
    <xf numFmtId="0" fontId="81" fillId="16" borderId="90" xfId="0" applyFont="1" applyFill="1" applyBorder="1" applyAlignment="1">
      <alignment horizontal="center" vertical="center" wrapText="1"/>
    </xf>
    <xf numFmtId="9" fontId="80" fillId="0" borderId="90" xfId="0" applyNumberFormat="1" applyFont="1" applyBorder="1" applyAlignment="1" applyProtection="1">
      <alignment horizontal="center" vertical="center" wrapText="1"/>
      <protection locked="0"/>
    </xf>
    <xf numFmtId="0" fontId="81" fillId="21" borderId="123" xfId="0" applyFont="1" applyFill="1" applyBorder="1" applyAlignment="1">
      <alignment horizontal="center" vertical="center" wrapText="1"/>
    </xf>
    <xf numFmtId="0" fontId="81" fillId="21" borderId="95" xfId="0" applyFont="1" applyFill="1" applyBorder="1" applyAlignment="1">
      <alignment horizontal="center" vertical="center" wrapText="1"/>
    </xf>
    <xf numFmtId="0" fontId="81" fillId="16" borderId="117" xfId="0" applyFont="1" applyFill="1" applyBorder="1" applyAlignment="1">
      <alignment horizontal="center" vertical="center"/>
    </xf>
    <xf numFmtId="0" fontId="81" fillId="16" borderId="118" xfId="0" applyFont="1" applyFill="1" applyBorder="1" applyAlignment="1">
      <alignment horizontal="center" vertical="center"/>
    </xf>
    <xf numFmtId="0" fontId="81" fillId="16" borderId="119" xfId="0" applyFont="1" applyFill="1" applyBorder="1" applyAlignment="1">
      <alignment horizontal="center" vertical="center"/>
    </xf>
    <xf numFmtId="0" fontId="80" fillId="0" borderId="91" xfId="0" applyFont="1" applyBorder="1" applyAlignment="1" applyProtection="1">
      <alignment horizontal="center" vertical="center" wrapText="1"/>
      <protection locked="0"/>
    </xf>
    <xf numFmtId="0" fontId="80" fillId="0" borderId="105" xfId="0" applyFont="1" applyBorder="1" applyAlignment="1" applyProtection="1">
      <alignment horizontal="center" vertical="center" wrapText="1"/>
      <protection locked="0"/>
    </xf>
    <xf numFmtId="0" fontId="80" fillId="0" borderId="92" xfId="0" applyFont="1" applyBorder="1" applyAlignment="1" applyProtection="1">
      <alignment horizontal="center" vertical="center" wrapText="1"/>
      <protection locked="0"/>
    </xf>
    <xf numFmtId="0" fontId="81" fillId="0" borderId="90" xfId="0" applyFont="1" applyBorder="1" applyAlignment="1" applyProtection="1">
      <alignment horizontal="center" vertical="center"/>
      <protection hidden="1"/>
    </xf>
    <xf numFmtId="9" fontId="94" fillId="0" borderId="90" xfId="0" applyNumberFormat="1" applyFont="1" applyBorder="1" applyAlignment="1" applyProtection="1">
      <alignment horizontal="center" vertical="center" wrapText="1"/>
      <protection hidden="1"/>
    </xf>
    <xf numFmtId="0" fontId="93" fillId="0" borderId="90" xfId="0" applyFont="1" applyBorder="1" applyAlignment="1" applyProtection="1">
      <alignment horizontal="center" vertical="center" wrapText="1"/>
      <protection hidden="1"/>
    </xf>
    <xf numFmtId="0" fontId="93" fillId="0" borderId="90" xfId="0" applyFont="1" applyBorder="1" applyAlignment="1" applyProtection="1">
      <alignment horizontal="center" vertical="center"/>
      <protection hidden="1"/>
    </xf>
    <xf numFmtId="0" fontId="81" fillId="16" borderId="90" xfId="0" applyFont="1" applyFill="1" applyBorder="1" applyAlignment="1">
      <alignment horizontal="center" vertical="center" textRotation="90" wrapText="1"/>
    </xf>
    <xf numFmtId="9" fontId="94" fillId="0" borderId="90" xfId="0" applyNumberFormat="1" applyFont="1" applyBorder="1" applyAlignment="1" applyProtection="1">
      <alignment horizontal="center" vertical="center" wrapText="1"/>
      <protection locked="0"/>
    </xf>
    <xf numFmtId="0" fontId="81" fillId="16" borderId="92" xfId="0" applyFont="1" applyFill="1" applyBorder="1" applyAlignment="1">
      <alignment horizontal="center" vertical="center"/>
    </xf>
    <xf numFmtId="9" fontId="80" fillId="0" borderId="90" xfId="0" applyNumberFormat="1" applyFont="1" applyBorder="1" applyAlignment="1" applyProtection="1">
      <alignment horizontal="center" vertical="center" wrapText="1"/>
      <protection hidden="1"/>
    </xf>
    <xf numFmtId="0" fontId="81" fillId="0" borderId="90" xfId="0" applyFont="1" applyBorder="1" applyAlignment="1" applyProtection="1">
      <alignment horizontal="center" vertical="center" wrapText="1"/>
      <protection hidden="1"/>
    </xf>
    <xf numFmtId="0" fontId="80" fillId="0" borderId="128" xfId="0" applyFont="1" applyBorder="1" applyAlignment="1">
      <alignment horizontal="center" vertical="center" wrapText="1"/>
    </xf>
    <xf numFmtId="0" fontId="80" fillId="0" borderId="127" xfId="0" applyFont="1" applyBorder="1" applyAlignment="1">
      <alignment horizontal="center" vertical="center" wrapText="1"/>
    </xf>
    <xf numFmtId="0" fontId="80" fillId="0" borderId="129" xfId="0" applyFont="1" applyBorder="1" applyAlignment="1">
      <alignment horizontal="center" vertical="center" wrapText="1"/>
    </xf>
    <xf numFmtId="0" fontId="80" fillId="0" borderId="133" xfId="0" applyFont="1" applyBorder="1" applyAlignment="1">
      <alignment horizontal="center" vertical="center" wrapText="1"/>
    </xf>
    <xf numFmtId="0" fontId="80" fillId="0" borderId="134" xfId="0" applyFont="1" applyBorder="1" applyAlignment="1">
      <alignment horizontal="center" vertical="center" wrapText="1"/>
    </xf>
    <xf numFmtId="0" fontId="80" fillId="0" borderId="135" xfId="0" applyFont="1" applyBorder="1" applyAlignment="1">
      <alignment horizontal="center" vertical="center" wrapText="1"/>
    </xf>
    <xf numFmtId="0" fontId="81" fillId="29" borderId="117" xfId="0" applyFont="1" applyFill="1" applyBorder="1" applyAlignment="1">
      <alignment horizontal="center" vertical="center"/>
    </xf>
    <xf numFmtId="0" fontId="81" fillId="29" borderId="118" xfId="0" applyFont="1" applyFill="1" applyBorder="1" applyAlignment="1">
      <alignment horizontal="center" vertical="center"/>
    </xf>
    <xf numFmtId="0" fontId="81" fillId="29" borderId="119" xfId="0" applyFont="1" applyFill="1" applyBorder="1" applyAlignment="1">
      <alignment horizontal="center" vertical="center"/>
    </xf>
    <xf numFmtId="0" fontId="95" fillId="0" borderId="90" xfId="0" applyFont="1" applyBorder="1" applyAlignment="1" applyProtection="1">
      <alignment horizontal="center" vertical="center" wrapText="1"/>
      <protection locked="0"/>
    </xf>
    <xf numFmtId="0" fontId="94" fillId="0" borderId="90" xfId="0" applyFont="1" applyBorder="1" applyAlignment="1" applyProtection="1">
      <alignment horizontal="center" vertical="center" wrapText="1"/>
      <protection locked="0"/>
    </xf>
    <xf numFmtId="0" fontId="92" fillId="0" borderId="90" xfId="0" applyFont="1" applyBorder="1" applyAlignment="1" applyProtection="1">
      <alignment horizontal="center" vertical="center" wrapText="1"/>
      <protection locked="0"/>
    </xf>
    <xf numFmtId="0" fontId="96" fillId="0" borderId="90" xfId="0" applyFont="1" applyBorder="1" applyAlignment="1" applyProtection="1">
      <alignment horizontal="justify" vertical="center" wrapText="1"/>
      <protection locked="0"/>
    </xf>
    <xf numFmtId="0" fontId="80" fillId="0" borderId="90" xfId="0" applyFont="1" applyBorder="1" applyAlignment="1" applyProtection="1">
      <alignment horizontal="justify" vertical="center" wrapText="1"/>
      <protection locked="0"/>
    </xf>
    <xf numFmtId="0" fontId="80" fillId="0" borderId="90" xfId="0" applyFont="1" applyBorder="1" applyAlignment="1" applyProtection="1">
      <alignment horizontal="center" vertical="center"/>
      <protection locked="0"/>
    </xf>
    <xf numFmtId="0" fontId="81" fillId="16" borderId="90" xfId="0" applyFont="1" applyFill="1" applyBorder="1" applyAlignment="1">
      <alignment horizontal="center" vertical="center"/>
    </xf>
    <xf numFmtId="0" fontId="81" fillId="27" borderId="90" xfId="0" applyFont="1" applyFill="1" applyBorder="1" applyAlignment="1">
      <alignment horizontal="center" vertical="center"/>
    </xf>
    <xf numFmtId="0" fontId="80" fillId="0" borderId="90" xfId="0" applyFont="1" applyBorder="1" applyAlignment="1" applyProtection="1">
      <alignment horizontal="center" vertical="center" wrapText="1"/>
      <protection locked="0"/>
    </xf>
    <xf numFmtId="0" fontId="81" fillId="29" borderId="91" xfId="0" applyFont="1" applyFill="1" applyBorder="1" applyAlignment="1">
      <alignment horizontal="center" vertical="center" wrapText="1"/>
    </xf>
    <xf numFmtId="0" fontId="81" fillId="29" borderId="92" xfId="0" applyFont="1" applyFill="1" applyBorder="1" applyAlignment="1">
      <alignment horizontal="center" vertical="center" wrapText="1"/>
    </xf>
    <xf numFmtId="0" fontId="94" fillId="0" borderId="91" xfId="0" applyFont="1" applyBorder="1" applyAlignment="1" applyProtection="1">
      <alignment horizontal="center" vertical="center" wrapText="1"/>
      <protection locked="0"/>
    </xf>
    <xf numFmtId="0" fontId="94" fillId="0" borderId="105" xfId="0" applyFont="1" applyBorder="1" applyAlignment="1" applyProtection="1">
      <alignment horizontal="center" vertical="center" wrapText="1"/>
      <protection locked="0"/>
    </xf>
    <xf numFmtId="0" fontId="94" fillId="0" borderId="92" xfId="0" applyFont="1" applyBorder="1" applyAlignment="1" applyProtection="1">
      <alignment horizontal="center" vertical="center" wrapText="1"/>
      <protection locked="0"/>
    </xf>
    <xf numFmtId="0" fontId="95" fillId="31" borderId="130" xfId="0" applyFont="1" applyFill="1" applyBorder="1" applyAlignment="1">
      <alignment horizontal="center" vertical="center" wrapText="1"/>
    </xf>
    <xf numFmtId="0" fontId="95" fillId="31" borderId="131" xfId="0" applyFont="1" applyFill="1" applyBorder="1" applyAlignment="1">
      <alignment horizontal="center" vertical="center" wrapText="1"/>
    </xf>
    <xf numFmtId="0" fontId="95" fillId="31" borderId="132" xfId="0" applyFont="1" applyFill="1" applyBorder="1" applyAlignment="1">
      <alignment horizontal="center" vertical="center" wrapText="1"/>
    </xf>
    <xf numFmtId="0" fontId="96" fillId="0" borderId="90" xfId="0" applyFont="1" applyBorder="1" applyAlignment="1" applyProtection="1">
      <alignment horizontal="center" vertical="center" wrapText="1"/>
      <protection locked="0"/>
    </xf>
    <xf numFmtId="0" fontId="81" fillId="27" borderId="117" xfId="0" applyFont="1" applyFill="1" applyBorder="1" applyAlignment="1">
      <alignment horizontal="center" vertical="center"/>
    </xf>
    <xf numFmtId="0" fontId="81" fillId="27" borderId="118" xfId="0" applyFont="1" applyFill="1" applyBorder="1" applyAlignment="1">
      <alignment horizontal="center" vertical="center"/>
    </xf>
    <xf numFmtId="0" fontId="81" fillId="27" borderId="119" xfId="0" applyFont="1" applyFill="1" applyBorder="1" applyAlignment="1">
      <alignment horizontal="center" vertical="center"/>
    </xf>
    <xf numFmtId="0" fontId="81" fillId="27" borderId="90" xfId="0" applyFont="1" applyFill="1" applyBorder="1" applyAlignment="1">
      <alignment horizontal="center" vertical="center" wrapText="1"/>
    </xf>
    <xf numFmtId="0" fontId="81" fillId="0" borderId="90" xfId="0" applyFont="1" applyBorder="1" applyAlignment="1">
      <alignment horizontal="center" vertical="center"/>
    </xf>
    <xf numFmtId="0" fontId="81" fillId="27" borderId="90" xfId="0" applyFont="1" applyFill="1" applyBorder="1" applyAlignment="1">
      <alignment horizontal="center" vertical="center" textRotation="90"/>
    </xf>
    <xf numFmtId="0" fontId="92" fillId="0" borderId="90" xfId="0" applyFont="1" applyBorder="1" applyAlignment="1" applyProtection="1">
      <alignment horizontal="center" vertical="top" wrapText="1"/>
      <protection locked="0"/>
    </xf>
    <xf numFmtId="0" fontId="80" fillId="0" borderId="90" xfId="0" applyFont="1" applyBorder="1" applyAlignment="1" applyProtection="1">
      <alignment horizontal="center" vertical="top" wrapText="1"/>
      <protection locked="0"/>
    </xf>
    <xf numFmtId="0" fontId="80" fillId="0" borderId="90" xfId="0" applyFont="1" applyBorder="1" applyAlignment="1" applyProtection="1">
      <alignment horizontal="left" vertical="center" wrapText="1"/>
      <protection locked="0"/>
    </xf>
    <xf numFmtId="0" fontId="80" fillId="0" borderId="2" xfId="0" applyFont="1" applyBorder="1" applyAlignment="1">
      <alignment horizontal="left" vertical="center" wrapText="1"/>
    </xf>
    <xf numFmtId="0" fontId="80" fillId="0" borderId="21" xfId="0" applyFont="1" applyBorder="1" applyAlignment="1">
      <alignment horizontal="left" vertical="center" wrapText="1"/>
    </xf>
    <xf numFmtId="0" fontId="80" fillId="3" borderId="108" xfId="0" applyFont="1" applyFill="1" applyBorder="1" applyAlignment="1">
      <alignment horizontal="left" wrapText="1"/>
    </xf>
    <xf numFmtId="0" fontId="80" fillId="3" borderId="97" xfId="0" applyFont="1" applyFill="1" applyBorder="1" applyAlignment="1">
      <alignment horizontal="left" wrapText="1"/>
    </xf>
    <xf numFmtId="0" fontId="80" fillId="3" borderId="94" xfId="0" applyFont="1" applyFill="1" applyBorder="1" applyAlignment="1">
      <alignment horizontal="left" wrapText="1"/>
    </xf>
    <xf numFmtId="0" fontId="80" fillId="3" borderId="90" xfId="0" applyFont="1" applyFill="1" applyBorder="1" applyAlignment="1">
      <alignment horizontal="left" wrapText="1"/>
    </xf>
    <xf numFmtId="0" fontId="80" fillId="3" borderId="93" xfId="0" applyFont="1" applyFill="1" applyBorder="1" applyAlignment="1">
      <alignment horizontal="left" wrapText="1"/>
    </xf>
    <xf numFmtId="0" fontId="80" fillId="3" borderId="91" xfId="0" applyFont="1" applyFill="1" applyBorder="1" applyAlignment="1">
      <alignment horizontal="left" wrapText="1"/>
    </xf>
    <xf numFmtId="0" fontId="79" fillId="0" borderId="96" xfId="0" applyFont="1" applyBorder="1" applyAlignment="1">
      <alignment horizontal="center" vertical="center"/>
    </xf>
    <xf numFmtId="0" fontId="79" fillId="0" borderId="97" xfId="0" applyFont="1" applyBorder="1" applyAlignment="1">
      <alignment horizontal="center" vertical="center"/>
    </xf>
    <xf numFmtId="0" fontId="79" fillId="0" borderId="102" xfId="0" applyFont="1" applyBorder="1" applyAlignment="1">
      <alignment horizontal="center" vertical="center"/>
    </xf>
    <xf numFmtId="0" fontId="79" fillId="0" borderId="103" xfId="0" applyFont="1" applyBorder="1" applyAlignment="1">
      <alignment horizontal="center" vertical="center"/>
    </xf>
    <xf numFmtId="0" fontId="79" fillId="0" borderId="107" xfId="0" applyFont="1" applyBorder="1" applyAlignment="1">
      <alignment horizontal="left" vertical="center"/>
    </xf>
    <xf numFmtId="0" fontId="79" fillId="0" borderId="92" xfId="0" applyFont="1" applyBorder="1" applyAlignment="1">
      <alignment horizontal="left" vertical="center"/>
    </xf>
    <xf numFmtId="0" fontId="79" fillId="0" borderId="102" xfId="0" applyFont="1" applyBorder="1" applyAlignment="1">
      <alignment horizontal="left" vertical="center"/>
    </xf>
    <xf numFmtId="0" fontId="79" fillId="0" borderId="103" xfId="0" applyFont="1" applyBorder="1" applyAlignment="1">
      <alignment horizontal="left" vertical="center"/>
    </xf>
    <xf numFmtId="0" fontId="81" fillId="21" borderId="111" xfId="0" applyFont="1" applyFill="1" applyBorder="1" applyAlignment="1">
      <alignment horizontal="left" vertical="center"/>
    </xf>
    <xf numFmtId="0" fontId="81" fillId="21" borderId="112" xfId="0" applyFont="1" applyFill="1" applyBorder="1" applyAlignment="1">
      <alignment horizontal="left" vertical="center"/>
    </xf>
    <xf numFmtId="0" fontId="81" fillId="21" borderId="113" xfId="0" applyFont="1" applyFill="1" applyBorder="1" applyAlignment="1">
      <alignment horizontal="left" vertical="center"/>
    </xf>
    <xf numFmtId="0" fontId="81" fillId="21" borderId="114" xfId="0" applyFont="1" applyFill="1" applyBorder="1" applyAlignment="1">
      <alignment horizontal="left" vertical="center"/>
    </xf>
    <xf numFmtId="0" fontId="81" fillId="21" borderId="115" xfId="0" applyFont="1" applyFill="1" applyBorder="1" applyAlignment="1">
      <alignment horizontal="left" vertical="center"/>
    </xf>
    <xf numFmtId="0" fontId="81" fillId="21" borderId="116" xfId="0" applyFont="1" applyFill="1" applyBorder="1" applyAlignment="1">
      <alignment horizontal="left" vertical="center"/>
    </xf>
    <xf numFmtId="0" fontId="91" fillId="30" borderId="108" xfId="0" applyFont="1" applyFill="1" applyBorder="1" applyAlignment="1" applyProtection="1">
      <alignment horizontal="left" vertical="center"/>
      <protection locked="0"/>
    </xf>
    <xf numFmtId="0" fontId="80" fillId="30" borderId="97" xfId="0" applyFont="1" applyFill="1" applyBorder="1" applyAlignment="1" applyProtection="1">
      <alignment horizontal="left" vertical="center"/>
      <protection locked="0"/>
    </xf>
    <xf numFmtId="0" fontId="80" fillId="30" borderId="98" xfId="0" applyFont="1" applyFill="1" applyBorder="1" applyAlignment="1" applyProtection="1">
      <alignment horizontal="left" vertical="center"/>
      <protection locked="0"/>
    </xf>
    <xf numFmtId="0" fontId="81" fillId="3" borderId="96" xfId="0" applyFont="1" applyFill="1" applyBorder="1" applyAlignment="1">
      <alignment horizontal="left" vertical="center"/>
    </xf>
    <xf numFmtId="0" fontId="81" fillId="3" borderId="97" xfId="0" applyFont="1" applyFill="1" applyBorder="1" applyAlignment="1">
      <alignment horizontal="left" vertical="center"/>
    </xf>
    <xf numFmtId="0" fontId="81" fillId="3" borderId="98" xfId="0" applyFont="1" applyFill="1" applyBorder="1" applyAlignment="1">
      <alignment horizontal="left" vertical="center"/>
    </xf>
    <xf numFmtId="0" fontId="80" fillId="3" borderId="94" xfId="0" applyFont="1" applyFill="1" applyBorder="1" applyAlignment="1" applyProtection="1">
      <alignment horizontal="left" vertical="center" wrapText="1"/>
      <protection locked="0"/>
    </xf>
    <xf numFmtId="0" fontId="80" fillId="3" borderId="90" xfId="0" applyFont="1" applyFill="1" applyBorder="1" applyAlignment="1" applyProtection="1">
      <alignment horizontal="left" vertical="center" wrapText="1"/>
      <protection locked="0"/>
    </xf>
    <xf numFmtId="0" fontId="80" fillId="3" borderId="100" xfId="0" applyFont="1" applyFill="1" applyBorder="1" applyAlignment="1" applyProtection="1">
      <alignment horizontal="left" vertical="center" wrapText="1"/>
      <protection locked="0"/>
    </xf>
    <xf numFmtId="0" fontId="80" fillId="3" borderId="109" xfId="0" applyFont="1" applyFill="1" applyBorder="1" applyAlignment="1" applyProtection="1">
      <alignment horizontal="left" vertical="center" wrapText="1"/>
      <protection locked="0"/>
    </xf>
    <xf numFmtId="0" fontId="80" fillId="3" borderId="103" xfId="0" applyFont="1" applyFill="1" applyBorder="1" applyAlignment="1" applyProtection="1">
      <alignment horizontal="left" vertical="center" wrapText="1"/>
      <protection locked="0"/>
    </xf>
    <xf numFmtId="0" fontId="80" fillId="3" borderId="104" xfId="0" applyFont="1" applyFill="1" applyBorder="1" applyAlignment="1" applyProtection="1">
      <alignment horizontal="left" vertical="center" wrapText="1"/>
      <protection locked="0"/>
    </xf>
    <xf numFmtId="0" fontId="85" fillId="0" borderId="96" xfId="0" applyFont="1" applyBorder="1" applyAlignment="1">
      <alignment horizontal="center" vertical="center"/>
    </xf>
    <xf numFmtId="0" fontId="85" fillId="0" borderId="97" xfId="0" applyFont="1" applyBorder="1" applyAlignment="1">
      <alignment horizontal="center" vertical="center"/>
    </xf>
    <xf numFmtId="0" fontId="85" fillId="0" borderId="98" xfId="0" applyFont="1" applyBorder="1" applyAlignment="1">
      <alignment horizontal="center" vertical="center"/>
    </xf>
    <xf numFmtId="0" fontId="85" fillId="0" borderId="99" xfId="0" applyFont="1" applyBorder="1" applyAlignment="1">
      <alignment horizontal="center" vertical="center"/>
    </xf>
    <xf numFmtId="0" fontId="85" fillId="0" borderId="90" xfId="0" applyFont="1" applyBorder="1" applyAlignment="1">
      <alignment horizontal="center" vertical="center"/>
    </xf>
    <xf numFmtId="0" fontId="85" fillId="0" borderId="100" xfId="0" applyFont="1" applyBorder="1" applyAlignment="1">
      <alignment horizontal="center" vertical="center"/>
    </xf>
    <xf numFmtId="0" fontId="85" fillId="0" borderId="102" xfId="0" applyFont="1" applyBorder="1" applyAlignment="1">
      <alignment horizontal="center" vertical="center"/>
    </xf>
    <xf numFmtId="0" fontId="85" fillId="0" borderId="103" xfId="0" applyFont="1" applyBorder="1" applyAlignment="1">
      <alignment horizontal="center" vertical="center"/>
    </xf>
    <xf numFmtId="0" fontId="85" fillId="0" borderId="104" xfId="0" applyFont="1" applyBorder="1" applyAlignment="1">
      <alignment horizontal="center" vertical="center"/>
    </xf>
    <xf numFmtId="0" fontId="79" fillId="0" borderId="108" xfId="0" applyFont="1" applyBorder="1" applyAlignment="1">
      <alignment horizontal="center" vertical="center"/>
    </xf>
    <xf numFmtId="0" fontId="79" fillId="0" borderId="98" xfId="0" applyFont="1" applyBorder="1" applyAlignment="1">
      <alignment horizontal="center" vertical="center"/>
    </xf>
    <xf numFmtId="0" fontId="79" fillId="0" borderId="109" xfId="0" applyFont="1" applyBorder="1" applyAlignment="1">
      <alignment horizontal="center" vertical="center"/>
    </xf>
    <xf numFmtId="0" fontId="79" fillId="0" borderId="104" xfId="0" applyFont="1" applyBorder="1" applyAlignment="1">
      <alignment horizontal="center" vertical="center"/>
    </xf>
    <xf numFmtId="0" fontId="79" fillId="0" borderId="95" xfId="0" applyFont="1" applyBorder="1" applyAlignment="1">
      <alignment horizontal="left" vertical="center"/>
    </xf>
    <xf numFmtId="0" fontId="79" fillId="0" borderId="105" xfId="0" applyFont="1" applyBorder="1" applyAlignment="1">
      <alignment horizontal="left" vertical="center"/>
    </xf>
    <xf numFmtId="0" fontId="89" fillId="0" borderId="105" xfId="0" applyFont="1" applyBorder="1" applyAlignment="1">
      <alignment horizontal="left" vertical="center"/>
    </xf>
    <xf numFmtId="0" fontId="89" fillId="0" borderId="106" xfId="0" applyFont="1" applyBorder="1" applyAlignment="1">
      <alignment horizontal="left" vertical="center"/>
    </xf>
    <xf numFmtId="0" fontId="79" fillId="0" borderId="109" xfId="0" applyFont="1" applyBorder="1" applyAlignment="1">
      <alignment horizontal="left" vertical="center"/>
    </xf>
    <xf numFmtId="0" fontId="79" fillId="0" borderId="104" xfId="0" applyFont="1" applyBorder="1" applyAlignment="1">
      <alignment horizontal="left" vertical="center"/>
    </xf>
    <xf numFmtId="0" fontId="94" fillId="0" borderId="90" xfId="0" applyFont="1" applyBorder="1" applyAlignment="1" applyProtection="1">
      <alignment horizontal="center" vertical="center"/>
      <protection locked="0"/>
    </xf>
    <xf numFmtId="0" fontId="93" fillId="0" borderId="90" xfId="0" applyFont="1" applyBorder="1" applyAlignment="1">
      <alignment horizontal="center" vertical="center"/>
    </xf>
    <xf numFmtId="0" fontId="22" fillId="26" borderId="0" xfId="0" applyFont="1" applyFill="1" applyAlignment="1">
      <alignment horizontal="center" vertical="center" wrapText="1"/>
    </xf>
    <xf numFmtId="0" fontId="18" fillId="5" borderId="7" xfId="0" applyFont="1" applyFill="1" applyBorder="1" applyAlignment="1" applyProtection="1">
      <alignment horizontal="center" wrapText="1" readingOrder="1"/>
      <protection hidden="1"/>
    </xf>
    <xf numFmtId="0" fontId="18" fillId="5" borderId="0" xfId="0" applyFont="1" applyFill="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11"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12"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0" xfId="0" applyFont="1" applyFill="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11"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12"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0" xfId="0" applyFont="1" applyFill="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11"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12"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11"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12"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6" fillId="10" borderId="0" xfId="0" applyFont="1" applyFill="1" applyAlignment="1">
      <alignment horizontal="center" vertical="center" wrapText="1" readingOrder="1"/>
    </xf>
    <xf numFmtId="0" fontId="15" fillId="0" borderId="5" xfId="0" applyFont="1" applyBorder="1" applyAlignment="1">
      <alignment horizontal="center" vertical="center" wrapText="1"/>
    </xf>
    <xf numFmtId="0" fontId="15" fillId="0" borderId="12"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1" xfId="0" applyFont="1" applyBorder="1" applyAlignment="1">
      <alignment horizontal="center" vertical="center"/>
    </xf>
    <xf numFmtId="0" fontId="15" fillId="0" borderId="10" xfId="0" applyFont="1" applyBorder="1" applyAlignment="1">
      <alignment horizontal="center" vertical="center"/>
    </xf>
    <xf numFmtId="0" fontId="15" fillId="0" borderId="12" xfId="0" applyFont="1" applyBorder="1" applyAlignment="1">
      <alignment horizontal="center" vertical="center" wrapText="1"/>
    </xf>
    <xf numFmtId="0" fontId="16" fillId="10" borderId="0" xfId="0" applyFont="1" applyFill="1" applyAlignment="1">
      <alignment horizontal="center" vertical="center" textRotation="90" wrapText="1" readingOrder="1"/>
    </xf>
    <xf numFmtId="0" fontId="16" fillId="10" borderId="8" xfId="0" applyFont="1" applyFill="1" applyBorder="1" applyAlignment="1">
      <alignment horizontal="center" vertical="center" textRotation="90" wrapText="1" readingOrder="1"/>
    </xf>
    <xf numFmtId="0" fontId="19" fillId="12" borderId="13" xfId="0" applyFont="1" applyFill="1" applyBorder="1" applyAlignment="1">
      <alignment horizontal="center" vertical="center" wrapText="1" readingOrder="1"/>
    </xf>
    <xf numFmtId="0" fontId="19" fillId="12" borderId="14" xfId="0" applyFont="1" applyFill="1" applyBorder="1" applyAlignment="1">
      <alignment horizontal="center" vertical="center" wrapText="1" readingOrder="1"/>
    </xf>
    <xf numFmtId="0" fontId="19" fillId="12" borderId="15" xfId="0" applyFont="1" applyFill="1" applyBorder="1" applyAlignment="1">
      <alignment horizontal="center" vertical="center" wrapText="1" readingOrder="1"/>
    </xf>
    <xf numFmtId="0" fontId="19" fillId="12" borderId="16" xfId="0" applyFont="1" applyFill="1" applyBorder="1" applyAlignment="1">
      <alignment horizontal="center" vertical="center" wrapText="1" readingOrder="1"/>
    </xf>
    <xf numFmtId="0" fontId="19" fillId="12" borderId="0" xfId="0" applyFont="1" applyFill="1" applyAlignment="1">
      <alignment horizontal="center" vertical="center" wrapText="1" readingOrder="1"/>
    </xf>
    <xf numFmtId="0" fontId="19" fillId="12" borderId="17" xfId="0" applyFont="1" applyFill="1" applyBorder="1" applyAlignment="1">
      <alignment horizontal="center" vertical="center" wrapText="1" readingOrder="1"/>
    </xf>
    <xf numFmtId="0" fontId="19" fillId="12" borderId="18" xfId="0" applyFont="1" applyFill="1" applyBorder="1" applyAlignment="1">
      <alignment horizontal="center" vertical="center" wrapText="1" readingOrder="1"/>
    </xf>
    <xf numFmtId="0" fontId="19" fillId="12" borderId="19" xfId="0" applyFont="1" applyFill="1" applyBorder="1" applyAlignment="1">
      <alignment horizontal="center" vertical="center" wrapText="1" readingOrder="1"/>
    </xf>
    <xf numFmtId="0" fontId="19" fillId="12" borderId="20" xfId="0" applyFont="1" applyFill="1" applyBorder="1" applyAlignment="1">
      <alignment horizontal="center" vertical="center" wrapText="1" readingOrder="1"/>
    </xf>
    <xf numFmtId="0" fontId="19" fillId="11" borderId="13" xfId="0" applyFont="1" applyFill="1" applyBorder="1" applyAlignment="1">
      <alignment horizontal="center" vertical="center" wrapText="1" readingOrder="1"/>
    </xf>
    <xf numFmtId="0" fontId="19" fillId="11" borderId="14" xfId="0" applyFont="1" applyFill="1" applyBorder="1" applyAlignment="1">
      <alignment horizontal="center" vertical="center" wrapText="1" readingOrder="1"/>
    </xf>
    <xf numFmtId="0" fontId="19" fillId="11" borderId="15" xfId="0" applyFont="1" applyFill="1" applyBorder="1" applyAlignment="1">
      <alignment horizontal="center" vertical="center" wrapText="1" readingOrder="1"/>
    </xf>
    <xf numFmtId="0" fontId="19" fillId="11" borderId="16" xfId="0" applyFont="1" applyFill="1" applyBorder="1" applyAlignment="1">
      <alignment horizontal="center" vertical="center" wrapText="1" readingOrder="1"/>
    </xf>
    <xf numFmtId="0" fontId="19" fillId="11" borderId="0" xfId="0" applyFont="1" applyFill="1" applyAlignment="1">
      <alignment horizontal="center" vertical="center" wrapText="1" readingOrder="1"/>
    </xf>
    <xf numFmtId="0" fontId="19" fillId="11" borderId="17" xfId="0" applyFont="1" applyFill="1" applyBorder="1" applyAlignment="1">
      <alignment horizontal="center" vertical="center" wrapText="1" readingOrder="1"/>
    </xf>
    <xf numFmtId="0" fontId="19" fillId="11" borderId="18" xfId="0" applyFont="1" applyFill="1" applyBorder="1" applyAlignment="1">
      <alignment horizontal="center" vertical="center" wrapText="1" readingOrder="1"/>
    </xf>
    <xf numFmtId="0" fontId="19" fillId="11" borderId="19" xfId="0" applyFont="1" applyFill="1" applyBorder="1" applyAlignment="1">
      <alignment horizontal="center" vertical="center" wrapText="1" readingOrder="1"/>
    </xf>
    <xf numFmtId="0" fontId="19" fillId="11" borderId="20" xfId="0" applyFont="1" applyFill="1" applyBorder="1" applyAlignment="1">
      <alignment horizontal="center" vertical="center" wrapText="1" readingOrder="1"/>
    </xf>
    <xf numFmtId="0" fontId="19" fillId="13" borderId="13" xfId="0" applyFont="1" applyFill="1" applyBorder="1" applyAlignment="1">
      <alignment horizontal="center" vertical="center" wrapText="1" readingOrder="1"/>
    </xf>
    <xf numFmtId="0" fontId="19" fillId="13" borderId="14" xfId="0" applyFont="1" applyFill="1" applyBorder="1" applyAlignment="1">
      <alignment horizontal="center" vertical="center" wrapText="1" readingOrder="1"/>
    </xf>
    <xf numFmtId="0" fontId="19" fillId="13" borderId="15" xfId="0" applyFont="1" applyFill="1" applyBorder="1" applyAlignment="1">
      <alignment horizontal="center" vertical="center" wrapText="1" readingOrder="1"/>
    </xf>
    <xf numFmtId="0" fontId="19" fillId="13" borderId="16" xfId="0" applyFont="1" applyFill="1" applyBorder="1" applyAlignment="1">
      <alignment horizontal="center" vertical="center" wrapText="1" readingOrder="1"/>
    </xf>
    <xf numFmtId="0" fontId="19" fillId="13" borderId="0" xfId="0" applyFont="1" applyFill="1" applyAlignment="1">
      <alignment horizontal="center" vertical="center" wrapText="1" readingOrder="1"/>
    </xf>
    <xf numFmtId="0" fontId="19" fillId="13" borderId="17" xfId="0" applyFont="1" applyFill="1" applyBorder="1" applyAlignment="1">
      <alignment horizontal="center" vertical="center" wrapText="1" readingOrder="1"/>
    </xf>
    <xf numFmtId="0" fontId="19" fillId="13" borderId="18" xfId="0" applyFont="1" applyFill="1" applyBorder="1" applyAlignment="1">
      <alignment horizontal="center" vertical="center" wrapText="1" readingOrder="1"/>
    </xf>
    <xf numFmtId="0" fontId="19" fillId="13" borderId="19" xfId="0" applyFont="1" applyFill="1" applyBorder="1" applyAlignment="1">
      <alignment horizontal="center" vertical="center" wrapText="1" readingOrder="1"/>
    </xf>
    <xf numFmtId="0" fontId="19" fillId="13" borderId="20" xfId="0" applyFont="1" applyFill="1" applyBorder="1" applyAlignment="1">
      <alignment horizontal="center" vertical="center" wrapText="1" readingOrder="1"/>
    </xf>
    <xf numFmtId="0" fontId="19" fillId="5" borderId="13" xfId="0" applyFont="1" applyFill="1" applyBorder="1" applyAlignment="1">
      <alignment horizontal="center" vertical="center" wrapText="1" readingOrder="1"/>
    </xf>
    <xf numFmtId="0" fontId="19" fillId="5" borderId="14" xfId="0" applyFont="1" applyFill="1" applyBorder="1" applyAlignment="1">
      <alignment horizontal="center" vertical="center" wrapText="1" readingOrder="1"/>
    </xf>
    <xf numFmtId="0" fontId="19" fillId="5" borderId="15" xfId="0" applyFont="1" applyFill="1" applyBorder="1" applyAlignment="1">
      <alignment horizontal="center" vertical="center" wrapText="1" readingOrder="1"/>
    </xf>
    <xf numFmtId="0" fontId="19" fillId="5" borderId="16" xfId="0" applyFont="1" applyFill="1" applyBorder="1" applyAlignment="1">
      <alignment horizontal="center" vertical="center" wrapText="1" readingOrder="1"/>
    </xf>
    <xf numFmtId="0" fontId="19" fillId="5" borderId="0" xfId="0" applyFont="1" applyFill="1" applyAlignment="1">
      <alignment horizontal="center" vertical="center" wrapText="1" readingOrder="1"/>
    </xf>
    <xf numFmtId="0" fontId="19" fillId="5" borderId="17" xfId="0" applyFont="1" applyFill="1" applyBorder="1" applyAlignment="1">
      <alignment horizontal="center" vertical="center" wrapText="1" readingOrder="1"/>
    </xf>
    <xf numFmtId="0" fontId="19" fillId="5" borderId="18" xfId="0" applyFont="1" applyFill="1" applyBorder="1" applyAlignment="1">
      <alignment horizontal="center" vertical="center" wrapText="1" readingOrder="1"/>
    </xf>
    <xf numFmtId="0" fontId="19" fillId="5" borderId="19" xfId="0" applyFont="1" applyFill="1" applyBorder="1" applyAlignment="1">
      <alignment horizontal="center" vertical="center" wrapText="1" readingOrder="1"/>
    </xf>
    <xf numFmtId="0" fontId="19" fillId="5" borderId="20" xfId="0" applyFont="1" applyFill="1" applyBorder="1" applyAlignment="1">
      <alignment horizontal="center" vertical="center" wrapText="1" readingOrder="1"/>
    </xf>
    <xf numFmtId="0" fontId="38" fillId="0" borderId="5" xfId="0" applyFont="1" applyBorder="1" applyAlignment="1">
      <alignment horizontal="center" vertical="center" wrapText="1"/>
    </xf>
    <xf numFmtId="0" fontId="38" fillId="0" borderId="12"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8" fillId="0" borderId="0" xfId="0" applyFont="1" applyAlignment="1">
      <alignment horizontal="center" vertical="center"/>
    </xf>
    <xf numFmtId="0" fontId="38" fillId="0" borderId="8" xfId="0" applyFont="1" applyBorder="1" applyAlignment="1">
      <alignment horizontal="center" vertical="center"/>
    </xf>
    <xf numFmtId="0" fontId="38" fillId="0" borderId="9" xfId="0" applyFont="1" applyBorder="1" applyAlignment="1">
      <alignment horizontal="center" vertical="center"/>
    </xf>
    <xf numFmtId="0" fontId="38" fillId="0" borderId="11" xfId="0" applyFont="1" applyBorder="1" applyAlignment="1">
      <alignment horizontal="center" vertical="center"/>
    </xf>
    <xf numFmtId="0" fontId="38" fillId="0" borderId="10" xfId="0" applyFont="1" applyBorder="1" applyAlignment="1">
      <alignment horizontal="center" vertical="center"/>
    </xf>
    <xf numFmtId="0" fontId="38" fillId="0" borderId="12" xfId="0" applyFont="1" applyBorder="1" applyAlignment="1">
      <alignment horizontal="center" vertical="center" wrapText="1"/>
    </xf>
    <xf numFmtId="0" fontId="37" fillId="11" borderId="13" xfId="0" applyFont="1" applyFill="1" applyBorder="1" applyAlignment="1">
      <alignment horizontal="center" vertical="center" wrapText="1" readingOrder="1"/>
    </xf>
    <xf numFmtId="0" fontId="37" fillId="11" borderId="14" xfId="0" applyFont="1" applyFill="1" applyBorder="1" applyAlignment="1">
      <alignment horizontal="center" vertical="center" wrapText="1" readingOrder="1"/>
    </xf>
    <xf numFmtId="0" fontId="37" fillId="11" borderId="15" xfId="0" applyFont="1" applyFill="1" applyBorder="1" applyAlignment="1">
      <alignment horizontal="center" vertical="center" wrapText="1" readingOrder="1"/>
    </xf>
    <xf numFmtId="0" fontId="37" fillId="11" borderId="16" xfId="0" applyFont="1" applyFill="1" applyBorder="1" applyAlignment="1">
      <alignment horizontal="center" vertical="center" wrapText="1" readingOrder="1"/>
    </xf>
    <xf numFmtId="0" fontId="37" fillId="11" borderId="0" xfId="0" applyFont="1" applyFill="1" applyAlignment="1">
      <alignment horizontal="center" vertical="center" wrapText="1" readingOrder="1"/>
    </xf>
    <xf numFmtId="0" fontId="37" fillId="11" borderId="17" xfId="0" applyFont="1" applyFill="1" applyBorder="1" applyAlignment="1">
      <alignment horizontal="center" vertical="center" wrapText="1" readingOrder="1"/>
    </xf>
    <xf numFmtId="0" fontId="37" fillId="11" borderId="18" xfId="0" applyFont="1" applyFill="1" applyBorder="1" applyAlignment="1">
      <alignment horizontal="center" vertical="center" wrapText="1" readingOrder="1"/>
    </xf>
    <xf numFmtId="0" fontId="37" fillId="11" borderId="19" xfId="0" applyFont="1" applyFill="1" applyBorder="1" applyAlignment="1">
      <alignment horizontal="center" vertical="center" wrapText="1" readingOrder="1"/>
    </xf>
    <xf numFmtId="0" fontId="37" fillId="11" borderId="20" xfId="0" applyFont="1" applyFill="1" applyBorder="1" applyAlignment="1">
      <alignment horizontal="center" vertical="center" wrapText="1" readingOrder="1"/>
    </xf>
    <xf numFmtId="0" fontId="38" fillId="0" borderId="7" xfId="0" applyFont="1" applyBorder="1" applyAlignment="1">
      <alignment horizontal="center" vertical="center" wrapText="1"/>
    </xf>
    <xf numFmtId="0" fontId="37" fillId="12" borderId="13" xfId="0" applyFont="1" applyFill="1" applyBorder="1" applyAlignment="1">
      <alignment horizontal="center" vertical="center" wrapText="1" readingOrder="1"/>
    </xf>
    <xf numFmtId="0" fontId="37" fillId="12" borderId="14" xfId="0" applyFont="1" applyFill="1" applyBorder="1" applyAlignment="1">
      <alignment horizontal="center" vertical="center" wrapText="1" readingOrder="1"/>
    </xf>
    <xf numFmtId="0" fontId="37" fillId="12" borderId="15" xfId="0" applyFont="1" applyFill="1" applyBorder="1" applyAlignment="1">
      <alignment horizontal="center" vertical="center" wrapText="1" readingOrder="1"/>
    </xf>
    <xf numFmtId="0" fontId="37" fillId="12" borderId="16" xfId="0" applyFont="1" applyFill="1" applyBorder="1" applyAlignment="1">
      <alignment horizontal="center" vertical="center" wrapText="1" readingOrder="1"/>
    </xf>
    <xf numFmtId="0" fontId="37" fillId="12" borderId="0" xfId="0" applyFont="1" applyFill="1" applyAlignment="1">
      <alignment horizontal="center" vertical="center" wrapText="1" readingOrder="1"/>
    </xf>
    <xf numFmtId="0" fontId="37" fillId="12" borderId="17" xfId="0" applyFont="1" applyFill="1" applyBorder="1" applyAlignment="1">
      <alignment horizontal="center" vertical="center" wrapText="1" readingOrder="1"/>
    </xf>
    <xf numFmtId="0" fontId="37" fillId="12" borderId="18" xfId="0" applyFont="1" applyFill="1" applyBorder="1" applyAlignment="1">
      <alignment horizontal="center" vertical="center" wrapText="1" readingOrder="1"/>
    </xf>
    <xf numFmtId="0" fontId="37" fillId="12" borderId="19" xfId="0" applyFont="1" applyFill="1" applyBorder="1" applyAlignment="1">
      <alignment horizontal="center" vertical="center" wrapText="1" readingOrder="1"/>
    </xf>
    <xf numFmtId="0" fontId="37" fillId="12" borderId="20" xfId="0" applyFont="1" applyFill="1" applyBorder="1" applyAlignment="1">
      <alignment horizontal="center" vertical="center" wrapText="1" readingOrder="1"/>
    </xf>
    <xf numFmtId="0" fontId="90" fillId="26" borderId="0" xfId="0" applyFont="1" applyFill="1" applyAlignment="1">
      <alignment horizontal="center" vertical="center" wrapText="1"/>
    </xf>
    <xf numFmtId="0" fontId="21" fillId="26" borderId="0" xfId="0" applyFont="1" applyFill="1" applyAlignment="1">
      <alignment horizontal="center" vertical="center" wrapText="1"/>
    </xf>
    <xf numFmtId="0" fontId="37" fillId="5" borderId="13" xfId="0" applyFont="1" applyFill="1" applyBorder="1" applyAlignment="1">
      <alignment horizontal="center" vertical="center" wrapText="1" readingOrder="1"/>
    </xf>
    <xf numFmtId="0" fontId="37" fillId="5" borderId="14" xfId="0" applyFont="1" applyFill="1" applyBorder="1" applyAlignment="1">
      <alignment horizontal="center" vertical="center" wrapText="1" readingOrder="1"/>
    </xf>
    <xf numFmtId="0" fontId="37" fillId="5" borderId="15" xfId="0" applyFont="1" applyFill="1" applyBorder="1" applyAlignment="1">
      <alignment horizontal="center" vertical="center" wrapText="1" readingOrder="1"/>
    </xf>
    <xf numFmtId="0" fontId="37" fillId="5" borderId="16" xfId="0" applyFont="1" applyFill="1" applyBorder="1" applyAlignment="1">
      <alignment horizontal="center" vertical="center" wrapText="1" readingOrder="1"/>
    </xf>
    <xf numFmtId="0" fontId="37" fillId="5" borderId="0" xfId="0" applyFont="1" applyFill="1" applyAlignment="1">
      <alignment horizontal="center" vertical="center" wrapText="1" readingOrder="1"/>
    </xf>
    <xf numFmtId="0" fontId="37" fillId="5" borderId="17" xfId="0" applyFont="1" applyFill="1" applyBorder="1" applyAlignment="1">
      <alignment horizontal="center" vertical="center" wrapText="1" readingOrder="1"/>
    </xf>
    <xf numFmtId="0" fontId="37" fillId="5" borderId="18" xfId="0" applyFont="1" applyFill="1" applyBorder="1" applyAlignment="1">
      <alignment horizontal="center" vertical="center" wrapText="1" readingOrder="1"/>
    </xf>
    <xf numFmtId="0" fontId="37" fillId="5" borderId="19" xfId="0" applyFont="1" applyFill="1" applyBorder="1" applyAlignment="1">
      <alignment horizontal="center" vertical="center" wrapText="1" readingOrder="1"/>
    </xf>
    <xf numFmtId="0" fontId="37" fillId="5" borderId="20" xfId="0" applyFont="1" applyFill="1" applyBorder="1" applyAlignment="1">
      <alignment horizontal="center" vertical="center" wrapText="1" readingOrder="1"/>
    </xf>
    <xf numFmtId="0" fontId="37" fillId="13" borderId="13" xfId="0" applyFont="1" applyFill="1" applyBorder="1" applyAlignment="1">
      <alignment horizontal="center" vertical="center" wrapText="1" readingOrder="1"/>
    </xf>
    <xf numFmtId="0" fontId="37" fillId="13" borderId="14" xfId="0" applyFont="1" applyFill="1" applyBorder="1" applyAlignment="1">
      <alignment horizontal="center" vertical="center" wrapText="1" readingOrder="1"/>
    </xf>
    <xf numFmtId="0" fontId="37" fillId="13" borderId="15" xfId="0" applyFont="1" applyFill="1" applyBorder="1" applyAlignment="1">
      <alignment horizontal="center" vertical="center" wrapText="1" readingOrder="1"/>
    </xf>
    <xf numFmtId="0" fontId="37" fillId="13" borderId="16" xfId="0" applyFont="1" applyFill="1" applyBorder="1" applyAlignment="1">
      <alignment horizontal="center" vertical="center" wrapText="1" readingOrder="1"/>
    </xf>
    <xf numFmtId="0" fontId="37" fillId="13" borderId="0" xfId="0" applyFont="1" applyFill="1" applyAlignment="1">
      <alignment horizontal="center" vertical="center" wrapText="1" readingOrder="1"/>
    </xf>
    <xf numFmtId="0" fontId="37" fillId="13" borderId="17" xfId="0" applyFont="1" applyFill="1" applyBorder="1" applyAlignment="1">
      <alignment horizontal="center" vertical="center" wrapText="1" readingOrder="1"/>
    </xf>
    <xf numFmtId="0" fontId="37" fillId="13" borderId="18" xfId="0" applyFont="1" applyFill="1" applyBorder="1" applyAlignment="1">
      <alignment horizontal="center" vertical="center" wrapText="1" readingOrder="1"/>
    </xf>
    <xf numFmtId="0" fontId="37" fillId="13" borderId="19" xfId="0" applyFont="1" applyFill="1" applyBorder="1" applyAlignment="1">
      <alignment horizontal="center" vertical="center" wrapText="1" readingOrder="1"/>
    </xf>
    <xf numFmtId="0" fontId="37" fillId="13" borderId="20" xfId="0" applyFont="1" applyFill="1" applyBorder="1" applyAlignment="1">
      <alignment horizontal="center" vertical="center" wrapText="1" readingOrder="1"/>
    </xf>
    <xf numFmtId="0" fontId="81" fillId="9" borderId="90" xfId="0" applyFont="1" applyFill="1" applyBorder="1" applyAlignment="1">
      <alignment horizontal="center" vertical="center" wrapText="1"/>
    </xf>
    <xf numFmtId="0" fontId="80" fillId="3" borderId="108" xfId="0" applyFont="1" applyFill="1" applyBorder="1" applyAlignment="1" applyProtection="1">
      <alignment horizontal="left" vertical="center"/>
      <protection locked="0"/>
    </xf>
    <xf numFmtId="0" fontId="80" fillId="3" borderId="97" xfId="0" applyFont="1" applyFill="1" applyBorder="1" applyAlignment="1" applyProtection="1">
      <alignment horizontal="left" vertical="center"/>
      <protection locked="0"/>
    </xf>
    <xf numFmtId="0" fontId="80" fillId="3" borderId="98" xfId="0" applyFont="1" applyFill="1" applyBorder="1" applyAlignment="1" applyProtection="1">
      <alignment horizontal="left" vertical="center"/>
      <protection locked="0"/>
    </xf>
    <xf numFmtId="0" fontId="71" fillId="0" borderId="22" xfId="0" applyFont="1" applyBorder="1" applyAlignment="1">
      <alignment horizontal="left" vertical="center" wrapText="1"/>
    </xf>
    <xf numFmtId="0" fontId="72" fillId="16" borderId="24" xfId="0" applyFont="1" applyFill="1" applyBorder="1" applyAlignment="1">
      <alignment horizontal="center" vertical="center" wrapText="1"/>
    </xf>
    <xf numFmtId="0" fontId="72" fillId="16" borderId="25" xfId="0" applyFont="1" applyFill="1" applyBorder="1" applyAlignment="1">
      <alignment horizontal="center" vertical="center" wrapText="1"/>
    </xf>
    <xf numFmtId="0" fontId="72" fillId="16" borderId="36" xfId="0" applyFont="1" applyFill="1" applyBorder="1" applyAlignment="1">
      <alignment horizontal="center" vertical="center" wrapText="1"/>
    </xf>
    <xf numFmtId="0" fontId="73" fillId="16" borderId="73" xfId="0" applyFont="1" applyFill="1" applyBorder="1" applyAlignment="1">
      <alignment horizontal="center" vertical="center" wrapText="1"/>
    </xf>
    <xf numFmtId="0" fontId="73" fillId="16" borderId="28" xfId="0" applyFont="1" applyFill="1" applyBorder="1" applyAlignment="1">
      <alignment horizontal="center" vertical="center" wrapText="1"/>
    </xf>
    <xf numFmtId="0" fontId="73" fillId="16" borderId="74" xfId="0" applyFont="1" applyFill="1" applyBorder="1" applyAlignment="1">
      <alignment horizontal="center" vertical="center" wrapText="1"/>
    </xf>
    <xf numFmtId="0" fontId="73" fillId="16" borderId="29" xfId="0" applyFont="1" applyFill="1" applyBorder="1" applyAlignment="1">
      <alignment horizontal="center" vertical="center" wrapText="1"/>
    </xf>
    <xf numFmtId="0" fontId="73" fillId="16" borderId="75" xfId="0" applyFont="1" applyFill="1" applyBorder="1" applyAlignment="1">
      <alignment horizontal="center" vertical="center" wrapText="1"/>
    </xf>
    <xf numFmtId="0" fontId="71" fillId="0" borderId="74" xfId="0" applyFont="1" applyBorder="1" applyAlignment="1">
      <alignment horizontal="left" vertical="center" wrapText="1"/>
    </xf>
    <xf numFmtId="0" fontId="74" fillId="21" borderId="34" xfId="0" applyFont="1" applyFill="1" applyBorder="1" applyAlignment="1">
      <alignment horizontal="center" vertical="center" wrapText="1"/>
    </xf>
    <xf numFmtId="0" fontId="74" fillId="21" borderId="35" xfId="0" applyFont="1" applyFill="1" applyBorder="1" applyAlignment="1">
      <alignment horizontal="center" vertical="center" wrapText="1"/>
    </xf>
    <xf numFmtId="0" fontId="71" fillId="0" borderId="0" xfId="0" applyFont="1" applyAlignment="1">
      <alignment horizontal="left" vertical="center" wrapText="1"/>
    </xf>
    <xf numFmtId="0" fontId="71" fillId="0" borderId="0" xfId="0" applyFont="1" applyAlignment="1">
      <alignment horizontal="center" vertical="center" wrapText="1"/>
    </xf>
    <xf numFmtId="0" fontId="71" fillId="0" borderId="76" xfId="0" applyFont="1" applyBorder="1" applyAlignment="1">
      <alignment horizontal="left" vertical="center" wrapText="1"/>
    </xf>
    <xf numFmtId="0" fontId="74" fillId="21" borderId="33" xfId="0" applyFont="1" applyFill="1" applyBorder="1" applyAlignment="1">
      <alignment horizontal="center" vertical="center" wrapText="1"/>
    </xf>
    <xf numFmtId="0" fontId="81" fillId="17" borderId="91" xfId="0" applyFont="1" applyFill="1" applyBorder="1" applyAlignment="1">
      <alignment horizontal="center" vertical="center" wrapText="1"/>
    </xf>
    <xf numFmtId="0" fontId="81" fillId="17" borderId="92" xfId="0" applyFont="1" applyFill="1" applyBorder="1" applyAlignment="1">
      <alignment horizontal="center" vertical="center" wrapText="1"/>
    </xf>
    <xf numFmtId="0" fontId="81" fillId="17" borderId="90" xfId="0" applyFont="1" applyFill="1" applyBorder="1" applyAlignment="1">
      <alignment horizontal="center" vertical="center" wrapText="1"/>
    </xf>
    <xf numFmtId="0" fontId="81" fillId="21" borderId="117" xfId="0" applyFont="1" applyFill="1" applyBorder="1" applyAlignment="1">
      <alignment horizontal="center" vertical="center" wrapText="1"/>
    </xf>
    <xf numFmtId="0" fontId="81" fillId="21" borderId="119" xfId="0" applyFont="1" applyFill="1" applyBorder="1" applyAlignment="1">
      <alignment horizontal="center" vertical="center" wrapText="1"/>
    </xf>
    <xf numFmtId="0" fontId="21" fillId="0" borderId="0" xfId="0" applyFont="1" applyAlignment="1">
      <alignment horizontal="center" vertical="center"/>
    </xf>
    <xf numFmtId="0" fontId="40" fillId="0" borderId="0" xfId="0" applyFont="1" applyAlignment="1">
      <alignment horizontal="center" vertical="center"/>
    </xf>
    <xf numFmtId="0" fontId="75" fillId="16" borderId="82" xfId="0" applyFont="1" applyFill="1" applyBorder="1" applyAlignment="1">
      <alignment horizontal="center" vertical="center" wrapText="1"/>
    </xf>
    <xf numFmtId="0" fontId="75" fillId="16" borderId="80" xfId="0" applyFont="1" applyFill="1" applyBorder="1" applyAlignment="1">
      <alignment horizontal="center" vertical="center" wrapText="1"/>
    </xf>
    <xf numFmtId="0" fontId="75" fillId="16" borderId="78" xfId="0" applyFont="1" applyFill="1" applyBorder="1" applyAlignment="1">
      <alignment horizontal="center" vertical="center" wrapText="1"/>
    </xf>
    <xf numFmtId="0" fontId="76" fillId="0" borderId="82" xfId="0" applyFont="1" applyBorder="1" applyAlignment="1">
      <alignment horizontal="justify" vertical="center" wrapText="1"/>
    </xf>
    <xf numFmtId="0" fontId="76" fillId="0" borderId="80" xfId="0" applyFont="1" applyBorder="1" applyAlignment="1">
      <alignment horizontal="justify" vertical="center" wrapText="1"/>
    </xf>
    <xf numFmtId="0" fontId="76" fillId="0" borderId="78" xfId="0" applyFont="1" applyBorder="1" applyAlignment="1">
      <alignment horizontal="justify" vertical="center" wrapText="1"/>
    </xf>
    <xf numFmtId="0" fontId="36" fillId="15" borderId="24" xfId="0" applyFont="1" applyFill="1" applyBorder="1" applyAlignment="1">
      <alignment horizontal="center" vertical="center" wrapText="1" readingOrder="1"/>
    </xf>
    <xf numFmtId="0" fontId="36" fillId="15" borderId="25" xfId="0" applyFont="1" applyFill="1" applyBorder="1" applyAlignment="1">
      <alignment horizontal="center" vertical="center" wrapText="1" readingOrder="1"/>
    </xf>
    <xf numFmtId="0" fontId="36" fillId="15" borderId="36" xfId="0" applyFont="1" applyFill="1" applyBorder="1" applyAlignment="1">
      <alignment horizontal="center" vertical="center" wrapText="1" readingOrder="1"/>
    </xf>
    <xf numFmtId="0" fontId="31" fillId="3" borderId="0" xfId="0" applyFont="1" applyFill="1" applyAlignment="1">
      <alignment horizontal="justify" vertical="center" wrapText="1"/>
    </xf>
    <xf numFmtId="0" fontId="33" fillId="15" borderId="33" xfId="0" applyFont="1" applyFill="1" applyBorder="1" applyAlignment="1">
      <alignment horizontal="center" vertical="center" wrapText="1" readingOrder="1"/>
    </xf>
    <xf numFmtId="0" fontId="33" fillId="15" borderId="34" xfId="0" applyFont="1" applyFill="1" applyBorder="1" applyAlignment="1">
      <alignment horizontal="center" vertical="center" wrapText="1" readingOrder="1"/>
    </xf>
    <xf numFmtId="0" fontId="33" fillId="3" borderId="31" xfId="0" applyFont="1" applyFill="1" applyBorder="1" applyAlignment="1">
      <alignment horizontal="center" vertical="center" wrapText="1" readingOrder="1"/>
    </xf>
    <xf numFmtId="0" fontId="33" fillId="3" borderId="26" xfId="0" applyFont="1" applyFill="1" applyBorder="1" applyAlignment="1">
      <alignment horizontal="center" vertical="center" wrapText="1" readingOrder="1"/>
    </xf>
    <xf numFmtId="0" fontId="33" fillId="3" borderId="23" xfId="0" applyFont="1" applyFill="1" applyBorder="1" applyAlignment="1">
      <alignment horizontal="center" vertical="center" wrapText="1" readingOrder="1"/>
    </xf>
    <xf numFmtId="0" fontId="33" fillId="3" borderId="22" xfId="0" applyFont="1" applyFill="1" applyBorder="1" applyAlignment="1">
      <alignment horizontal="center" vertical="center" wrapText="1" readingOrder="1"/>
    </xf>
    <xf numFmtId="0" fontId="33" fillId="3" borderId="28" xfId="0" applyFont="1" applyFill="1" applyBorder="1" applyAlignment="1">
      <alignment horizontal="center" vertical="center" wrapText="1" readingOrder="1"/>
    </xf>
    <xf numFmtId="0" fontId="33" fillId="3" borderId="29" xfId="0" applyFont="1" applyFill="1" applyBorder="1" applyAlignment="1">
      <alignment horizontal="center" vertical="center" wrapText="1" readingOrder="1"/>
    </xf>
  </cellXfs>
  <cellStyles count="7">
    <cellStyle name="Moneda" xfId="5" builtinId="4"/>
    <cellStyle name="Moneda 2" xfId="6" xr:uid="{EB2D9614-327D-41C4-8635-16D31BAE2C4D}"/>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701">
    <dxf>
      <font>
        <b val="0"/>
        <i val="0"/>
        <strike val="0"/>
        <condense val="0"/>
        <extend val="0"/>
        <outline val="0"/>
        <shadow val="0"/>
        <u val="none"/>
        <vertAlign val="baseline"/>
        <sz val="16"/>
        <color rgb="FFFF0000"/>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alignment wrapText="1" readingOrder="0"/>
    </dxf>
    <dxf>
      <alignment vertical="center" readingOrder="0"/>
    </dxf>
    <dxf>
      <alignment wrapText="1" readingOrder="0"/>
    </dxf>
    <dxf>
      <alignment wrapText="1"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eetMetadata" Target="metadata.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s>
</file>

<file path=xl/documenttasks/documenttask1.xml><?xml version="1.0" encoding="utf-8"?>
<Tasks xmlns="http://schemas.microsoft.com/office/tasks/2019/documenttasks">
  <Task id="{C97A73A0-C6A8-41BC-B4EF-A3DBB7DB9017}">
    <Anchor>
      <Comment id="{96F9A291-2D69-4EC2-9DBE-C4F18A5B6D90}"/>
    </Anchor>
    <History>
      <Event time="2022-12-13T14:20:52.61" id="{7026B09E-04F7-4605-9276-EB53D7CECFBB}">
        <Attribution userId="S::natalia.norato@umv.gov.co::a7f20160-359e-4cef-8b73-f8491900a007" userName="Natalia Norato Mora" userProvider="AD"/>
        <Anchor>
          <Comment id="{96F9A291-2D69-4EC2-9DBE-C4F18A5B6D90}"/>
        </Anchor>
        <Create/>
      </Event>
      <Event time="2022-12-13T14:20:52.61" id="{14291CC8-64A0-4950-AF0A-F63E0DEC742D}">
        <Attribution userId="S::natalia.norato@umv.gov.co::a7f20160-359e-4cef-8b73-f8491900a007" userName="Natalia Norato Mora" userProvider="AD"/>
        <Anchor>
          <Comment id="{96F9A291-2D69-4EC2-9DBE-C4F18A5B6D90}"/>
        </Anchor>
        <Assign userId="S::johanna.merchan@umv.gov.co::57663dab-40de-4022-b640-b5a61e1a86b3" userName="Johanna Alejandra Merchán Garzón" userProvider="AD"/>
      </Event>
      <Event time="2022-12-13T14:20:52.61" id="{6BE78905-FBAC-4A26-BED9-17C96B59AEA4}">
        <Attribution userId="S::natalia.norato@umv.gov.co::a7f20160-359e-4cef-8b73-f8491900a007" userName="Natalia Norato Mora" userProvider="AD"/>
        <Anchor>
          <Comment id="{96F9A291-2D69-4EC2-9DBE-C4F18A5B6D90}"/>
        </Anchor>
        <SetTitle title="@Johanna Alejandra Merchán Garzón @Maria Cristina Herrera Calderon @Jenny Andrea Ausique Pedroza por favor revisar y validar los dos controles para que esten alineados con las causas que las marcamos en azul, verificar si se deja las misma evidencias, …"/>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97695</xdr:rowOff>
    </xdr:from>
    <xdr:to>
      <xdr:col>19</xdr:col>
      <xdr:colOff>33704</xdr:colOff>
      <xdr:row>38</xdr:row>
      <xdr:rowOff>278780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821" t="55142" r="5500" b="13845"/>
        <a:stretch/>
      </xdr:blipFill>
      <xdr:spPr>
        <a:xfrm>
          <a:off x="0" y="24186420"/>
          <a:ext cx="38333729" cy="8848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54278</xdr:colOff>
      <xdr:row>4</xdr:row>
      <xdr:rowOff>19050</xdr:rowOff>
    </xdr:from>
    <xdr:ext cx="1288747" cy="1107016"/>
    <xdr:pic>
      <xdr:nvPicPr>
        <xdr:cNvPr id="2" name="Imagen 1" descr="escudo negr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78" y="19050"/>
          <a:ext cx="1288747" cy="1107016"/>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273353</xdr:colOff>
      <xdr:row>0</xdr:row>
      <xdr:rowOff>55034</xdr:rowOff>
    </xdr:from>
    <xdr:ext cx="1288747" cy="1107016"/>
    <xdr:pic>
      <xdr:nvPicPr>
        <xdr:cNvPr id="2" name="Imagen 1" descr="escudo negro">
          <a:extLst>
            <a:ext uri="{FF2B5EF4-FFF2-40B4-BE49-F238E27FC236}">
              <a16:creationId xmlns:a16="http://schemas.microsoft.com/office/drawing/2014/main" id="{CC31457F-ECBC-4BF6-A295-D24C77BD34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503" y="55034"/>
          <a:ext cx="1288747" cy="110701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273353</xdr:colOff>
      <xdr:row>0</xdr:row>
      <xdr:rowOff>55034</xdr:rowOff>
    </xdr:from>
    <xdr:ext cx="1288747" cy="1107016"/>
    <xdr:pic>
      <xdr:nvPicPr>
        <xdr:cNvPr id="2" name="Imagen 1" descr="escudo negro">
          <a:extLst>
            <a:ext uri="{FF2B5EF4-FFF2-40B4-BE49-F238E27FC236}">
              <a16:creationId xmlns:a16="http://schemas.microsoft.com/office/drawing/2014/main" id="{4B130650-B5A7-4455-A04D-93F040AFD7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503" y="55034"/>
          <a:ext cx="1288747" cy="1107016"/>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12</xdr:col>
      <xdr:colOff>182273</xdr:colOff>
      <xdr:row>29</xdr:row>
      <xdr:rowOff>172245</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28575" y="0"/>
          <a:ext cx="9297698" cy="5696745"/>
        </a:xfrm>
        <a:prstGeom prst="rect">
          <a:avLst/>
        </a:prstGeom>
      </xdr:spPr>
    </xdr:pic>
    <xdr:clientData/>
  </xdr:twoCellAnchor>
  <xdr:twoCellAnchor editAs="oneCell">
    <xdr:from>
      <xdr:col>0</xdr:col>
      <xdr:colOff>0</xdr:colOff>
      <xdr:row>31</xdr:row>
      <xdr:rowOff>0</xdr:rowOff>
    </xdr:from>
    <xdr:to>
      <xdr:col>11</xdr:col>
      <xdr:colOff>534644</xdr:colOff>
      <xdr:row>57</xdr:row>
      <xdr:rowOff>19744</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stretch>
          <a:fillRect/>
        </a:stretch>
      </xdr:blipFill>
      <xdr:spPr>
        <a:xfrm>
          <a:off x="0" y="5905500"/>
          <a:ext cx="8916644" cy="4972744"/>
        </a:xfrm>
        <a:prstGeom prst="rect">
          <a:avLst/>
        </a:prstGeom>
      </xdr:spPr>
    </xdr:pic>
    <xdr:clientData/>
  </xdr:twoCellAnchor>
  <xdr:twoCellAnchor editAs="oneCell">
    <xdr:from>
      <xdr:col>12</xdr:col>
      <xdr:colOff>733425</xdr:colOff>
      <xdr:row>0</xdr:row>
      <xdr:rowOff>28575</xdr:rowOff>
    </xdr:from>
    <xdr:to>
      <xdr:col>25</xdr:col>
      <xdr:colOff>210859</xdr:colOff>
      <xdr:row>28</xdr:row>
      <xdr:rowOff>181741</xdr:rowOff>
    </xdr:to>
    <xdr:pic>
      <xdr:nvPicPr>
        <xdr:cNvPr id="4" name="Imagen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3"/>
        <a:stretch>
          <a:fillRect/>
        </a:stretch>
      </xdr:blipFill>
      <xdr:spPr>
        <a:xfrm>
          <a:off x="9877425" y="28575"/>
          <a:ext cx="9383434" cy="5487166"/>
        </a:xfrm>
        <a:prstGeom prst="rect">
          <a:avLst/>
        </a:prstGeom>
      </xdr:spPr>
    </xdr:pic>
    <xdr:clientData/>
  </xdr:twoCellAnchor>
  <xdr:twoCellAnchor editAs="oneCell">
    <xdr:from>
      <xdr:col>13</xdr:col>
      <xdr:colOff>0</xdr:colOff>
      <xdr:row>32</xdr:row>
      <xdr:rowOff>0</xdr:rowOff>
    </xdr:from>
    <xdr:to>
      <xdr:col>25</xdr:col>
      <xdr:colOff>429961</xdr:colOff>
      <xdr:row>62</xdr:row>
      <xdr:rowOff>38903</xdr:rowOff>
    </xdr:to>
    <xdr:pic>
      <xdr:nvPicPr>
        <xdr:cNvPr id="5" name="Imagen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4"/>
        <a:stretch>
          <a:fillRect/>
        </a:stretch>
      </xdr:blipFill>
      <xdr:spPr>
        <a:xfrm>
          <a:off x="9906000" y="6096000"/>
          <a:ext cx="9573961" cy="57539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aermv-my.sharepoint.com/Users/natalia.norato/OneDrive%20-%20uaermv/NATA%20SIG/2018/12.%20DICIEMBRE/SIG-FM-007-V7%20Formato%20Mapa%20de%20Riesgos%20de%20Proceso%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angela.cifuentes/Downloads/DESI-FM-018-V9_Formato_Mapa_de_Riesgos_de_Proce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2019"/>
      <sheetName val="FORMULAS"/>
      <sheetName val="TIPOLOGÍA DE RIESGOS"/>
      <sheetName val="PROBABILIDAD"/>
      <sheetName val="IMPACTO GESTIÓN"/>
      <sheetName val="IMPACTO CORRUPCIÓN"/>
      <sheetName val="IMPACTO SEGURIDAD I"/>
      <sheetName val="EJEMPLO CONTROLES"/>
      <sheetName val="OPCIONES DE MANEJO DEL RIESGO"/>
      <sheetName val="MAPA DE CALOR"/>
      <sheetName val="Listas"/>
      <sheetName val="Opciones Tratamiento"/>
    </sheetNames>
    <sheetDataSet>
      <sheetData sheetId="0"/>
      <sheetData sheetId="1">
        <row r="4">
          <cell r="B4" t="str">
            <v>Direccionamiento estratégico e innovación</v>
          </cell>
          <cell r="C4" t="str">
            <v>Gestion</v>
          </cell>
          <cell r="E4" t="str">
            <v>Daño_fisico</v>
          </cell>
          <cell r="K4" t="str">
            <v>Aceptar el riesgo</v>
          </cell>
        </row>
        <row r="5">
          <cell r="C5" t="str">
            <v>Corrupcion</v>
          </cell>
          <cell r="E5" t="str">
            <v>Eventos_naturales</v>
          </cell>
          <cell r="K5" t="str">
            <v>Reducir el riesgo</v>
          </cell>
        </row>
        <row r="6">
          <cell r="C6" t="str">
            <v>Seguridad_de_la_informacion</v>
          </cell>
          <cell r="E6" t="str">
            <v>Perdidas_de_los_servicios_esenciales</v>
          </cell>
          <cell r="K6" t="str">
            <v>Evitar el riesgo</v>
          </cell>
        </row>
        <row r="7">
          <cell r="E7" t="str">
            <v>Perturbacion_debida_a_la_radiacion</v>
          </cell>
          <cell r="K7" t="str">
            <v>Compartir el riesgo</v>
          </cell>
        </row>
        <row r="8">
          <cell r="E8" t="str">
            <v>Compromiso_de_la_informacion</v>
          </cell>
        </row>
        <row r="9">
          <cell r="E9" t="str">
            <v>Fallas_tecnicas</v>
          </cell>
        </row>
        <row r="10">
          <cell r="E10" t="str">
            <v>Acciones_no_autorizadas</v>
          </cell>
        </row>
        <row r="11">
          <cell r="E11" t="str">
            <v>Compromiso_de_las_funciones</v>
          </cell>
        </row>
      </sheetData>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Jenny Andrea Ausique Pedroza" id="{BFB0203C-CFF0-447B-B8AB-F11A19D97EBB}" userId="jenny.ausique@umv.gov.co" providerId="PeoplePicker"/>
  <person displayName="Maria Cristina Herrera Calderon" id="{FF8F6F00-F611-44B9-91BD-490E7C1C4086}" userId="maria.herrera@umv.gov.co" providerId="PeoplePicker"/>
  <person displayName="Johanna Alejandra Merchán Garzón" id="{1344C916-C882-4A47-BEDE-2D3AE63789AF}" userId="johanna.merchan@umv.gov.co" providerId="PeoplePicker"/>
  <person displayName="Natalia Norato Mora" id="{F85F5E4E-720E-4610-97F1-9D9BE8249138}" userId="S::natalia.norato@umv.gov.co::a7f20160-359e-4cef-8b73-f8491900a007"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alia Norato Mora" refreshedDate="44522.492354513888"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5">
        <s v="Afectación menor a 130 SMLMV ."/>
        <s v="Entre 130 y 650 SMLMV "/>
        <s v="Entre 650 y 1300 SMLMV "/>
        <s v="Entre 1300 y 6500 SMLMV "/>
        <s v="Mayor a 6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 v="Entre 100 y 500 SMLMV " u="1"/>
        <s v="Mayor a 500 SMLMV " u="1"/>
        <s v="Entre 50 y 100 SMLMV " u="1"/>
        <s v="Entre 10 y 50 SMLMV " u="1"/>
        <s v="Afectación menor a 10 SMLMV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4"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5">
        <item m="1" x="14"/>
        <item x="5"/>
        <item x="6"/>
        <item x="7"/>
        <item x="8"/>
        <item x="9"/>
        <item m="1" x="13"/>
        <item m="1" x="12"/>
        <item m="1" x="10"/>
        <item m="1" x="11"/>
        <item x="0"/>
        <item x="1"/>
        <item x="2"/>
        <item x="3"/>
        <item x="4"/>
      </items>
    </pivotField>
  </pivotFields>
  <rowFields count="2">
    <field x="0"/>
    <field x="1"/>
  </rowFields>
  <rowItems count="12">
    <i>
      <x/>
    </i>
    <i r="1">
      <x v="10"/>
    </i>
    <i r="1">
      <x v="11"/>
    </i>
    <i r="1">
      <x v="12"/>
    </i>
    <i r="1">
      <x v="13"/>
    </i>
    <i r="1">
      <x v="14"/>
    </i>
    <i>
      <x v="1"/>
    </i>
    <i r="1">
      <x v="1"/>
    </i>
    <i r="1">
      <x v="2"/>
    </i>
    <i r="1">
      <x v="3"/>
    </i>
    <i r="1">
      <x v="4"/>
    </i>
    <i r="1">
      <x v="5"/>
    </i>
  </rowItems>
  <colItems count="1">
    <i/>
  </colItems>
  <formats count="4">
    <format dxfId="7">
      <pivotArea dataOnly="0" labelOnly="1" outline="0" fieldPosition="0">
        <references count="1">
          <reference field="0" count="1">
            <x v="1"/>
          </reference>
        </references>
      </pivotArea>
    </format>
    <format dxfId="6">
      <pivotArea dataOnly="0" labelOnly="1" outline="0" fieldPosition="0">
        <references count="2">
          <reference field="0" count="1" selected="0">
            <x v="1"/>
          </reference>
          <reference field="1" count="5">
            <x v="1"/>
            <x v="2"/>
            <x v="3"/>
            <x v="4"/>
            <x v="5"/>
          </reference>
        </references>
      </pivotArea>
    </format>
    <format dxfId="5">
      <pivotArea dataOnly="0" labelOnly="1" outline="0" fieldPosition="0">
        <references count="2">
          <reference field="0" count="1" selected="0">
            <x v="1"/>
          </reference>
          <reference field="1" count="5">
            <x v="1"/>
            <x v="2"/>
            <x v="3"/>
            <x v="4"/>
            <x v="5"/>
          </reference>
        </references>
      </pivotArea>
    </format>
    <format dxfId="4">
      <pivotArea dataOnly="0" labelOnly="1" outline="0" fieldPosition="0">
        <references count="1">
          <reference field="0"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0:C220" totalsRowShown="0" headerRowDxfId="3" dataDxfId="2">
  <autoFilter ref="B210:C220"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W19" dT="2022-12-13T14:20:53.53" personId="{F85F5E4E-720E-4610-97F1-9D9BE8249138}" id="{96F9A291-2D69-4EC2-9DBE-C4F18A5B6D90}">
    <text>@Johanna Alejandra Merchán Garzón @Maria Cristina Herrera Calderon @Jenny Andrea Ausique Pedroza por favor revisar y validar los dos controles para que esten alineados con las causas que las marcamos en azul, verificar si se deja las misma evidencias, frecuencia o ajustar segun necesidad ya que la descripción del riesgos se cambio con el enfoque a anteproyecto</text>
    <mentions>
      <mention mentionpersonId="{1344C916-C882-4A47-BEDE-2D3AE63789AF}" mentionId="{17750E80-8C76-44C4-9ED0-C25B08A19F4C}" startIndex="0" length="33"/>
      <mention mentionpersonId="{FF8F6F00-F611-44B9-91BD-490E7C1C4086}" mentionId="{33125FA3-9D88-4B79-94B6-312BEB8C75D9}" startIndex="34" length="32"/>
      <mention mentionpersonId="{BFB0203C-CFF0-447B-B8AB-F11A19D97EBB}" mentionId="{CC8C395D-43C3-406F-B074-3222BC713146}" startIndex="67" length="29"/>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0.bin"/><Relationship Id="rId1" Type="http://schemas.openxmlformats.org/officeDocument/2006/relationships/pivotTable" Target="../pivotTables/pivotTable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microsoft.com/office/2019/04/relationships/documenttask" Target="../documenttasks/documenttask1.x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16"/>
  <sheetViews>
    <sheetView topLeftCell="A44" zoomScale="110" zoomScaleNormal="110" workbookViewId="0">
      <selection activeCell="C53" sqref="C53"/>
    </sheetView>
  </sheetViews>
  <sheetFormatPr baseColWidth="10" defaultColWidth="11.5" defaultRowHeight="15" x14ac:dyDescent="0.2"/>
  <cols>
    <col min="1" max="1" width="2.83203125" style="66" customWidth="1"/>
    <col min="2" max="3" width="24.6640625" style="66" customWidth="1"/>
    <col min="4" max="4" width="16" style="66" customWidth="1"/>
    <col min="5" max="5" width="24.6640625" style="66" customWidth="1"/>
    <col min="6" max="6" width="27.6640625" style="66" customWidth="1"/>
    <col min="7" max="8" width="24.6640625" style="66" customWidth="1"/>
    <col min="9" max="16384" width="11.5" style="66"/>
  </cols>
  <sheetData>
    <row r="1" spans="2:8" ht="16" thickBot="1" x14ac:dyDescent="0.25"/>
    <row r="2" spans="2:8" ht="18" x14ac:dyDescent="0.2">
      <c r="B2" s="279" t="s">
        <v>0</v>
      </c>
      <c r="C2" s="280"/>
      <c r="D2" s="280"/>
      <c r="E2" s="280"/>
      <c r="F2" s="280"/>
      <c r="G2" s="280"/>
      <c r="H2" s="281"/>
    </row>
    <row r="3" spans="2:8" x14ac:dyDescent="0.2">
      <c r="B3" s="67"/>
      <c r="C3" s="68"/>
      <c r="D3" s="68"/>
      <c r="E3" s="68"/>
      <c r="F3" s="68"/>
      <c r="G3" s="68"/>
      <c r="H3" s="69"/>
    </row>
    <row r="4" spans="2:8" ht="63" customHeight="1" x14ac:dyDescent="0.2">
      <c r="B4" s="282" t="s">
        <v>1</v>
      </c>
      <c r="C4" s="283"/>
      <c r="D4" s="283"/>
      <c r="E4" s="283"/>
      <c r="F4" s="283"/>
      <c r="G4" s="283"/>
      <c r="H4" s="284"/>
    </row>
    <row r="5" spans="2:8" ht="63" customHeight="1" x14ac:dyDescent="0.2">
      <c r="B5" s="285"/>
      <c r="C5" s="286"/>
      <c r="D5" s="286"/>
      <c r="E5" s="286"/>
      <c r="F5" s="286"/>
      <c r="G5" s="286"/>
      <c r="H5" s="287"/>
    </row>
    <row r="6" spans="2:8" x14ac:dyDescent="0.2">
      <c r="B6" s="288" t="s">
        <v>2</v>
      </c>
      <c r="C6" s="289"/>
      <c r="D6" s="289"/>
      <c r="E6" s="289"/>
      <c r="F6" s="289"/>
      <c r="G6" s="289"/>
      <c r="H6" s="290"/>
    </row>
    <row r="7" spans="2:8" ht="95.25" customHeight="1" x14ac:dyDescent="0.2">
      <c r="B7" s="298" t="s">
        <v>3</v>
      </c>
      <c r="C7" s="299"/>
      <c r="D7" s="299"/>
      <c r="E7" s="299"/>
      <c r="F7" s="299"/>
      <c r="G7" s="299"/>
      <c r="H7" s="300"/>
    </row>
    <row r="8" spans="2:8" x14ac:dyDescent="0.2">
      <c r="B8" s="101"/>
      <c r="C8" s="102"/>
      <c r="D8" s="102"/>
      <c r="E8" s="102"/>
      <c r="F8" s="102"/>
      <c r="G8" s="102"/>
      <c r="H8" s="103"/>
    </row>
    <row r="9" spans="2:8" ht="16.5" customHeight="1" x14ac:dyDescent="0.2">
      <c r="B9" s="291" t="s">
        <v>4</v>
      </c>
      <c r="C9" s="292"/>
      <c r="D9" s="292"/>
      <c r="E9" s="292"/>
      <c r="F9" s="292"/>
      <c r="G9" s="292"/>
      <c r="H9" s="293"/>
    </row>
    <row r="10" spans="2:8" ht="44.25" customHeight="1" x14ac:dyDescent="0.2">
      <c r="B10" s="291"/>
      <c r="C10" s="292"/>
      <c r="D10" s="292"/>
      <c r="E10" s="292"/>
      <c r="F10" s="292"/>
      <c r="G10" s="292"/>
      <c r="H10" s="293"/>
    </row>
    <row r="11" spans="2:8" ht="16" thickBot="1" x14ac:dyDescent="0.25">
      <c r="B11" s="90"/>
      <c r="C11" s="93"/>
      <c r="D11" s="98"/>
      <c r="E11" s="99"/>
      <c r="F11" s="99"/>
      <c r="G11" s="100"/>
      <c r="H11" s="94"/>
    </row>
    <row r="12" spans="2:8" ht="16" thickTop="1" x14ac:dyDescent="0.2">
      <c r="B12" s="90"/>
      <c r="C12" s="294" t="s">
        <v>5</v>
      </c>
      <c r="D12" s="295"/>
      <c r="E12" s="296" t="s">
        <v>6</v>
      </c>
      <c r="F12" s="297"/>
      <c r="G12" s="93"/>
      <c r="H12" s="94"/>
    </row>
    <row r="13" spans="2:8" ht="35.25" customHeight="1" x14ac:dyDescent="0.2">
      <c r="B13" s="90"/>
      <c r="C13" s="301" t="s">
        <v>7</v>
      </c>
      <c r="D13" s="302"/>
      <c r="E13" s="303" t="s">
        <v>8</v>
      </c>
      <c r="F13" s="304"/>
      <c r="G13" s="93"/>
      <c r="H13" s="94"/>
    </row>
    <row r="14" spans="2:8" ht="17.25" customHeight="1" x14ac:dyDescent="0.2">
      <c r="B14" s="90"/>
      <c r="C14" s="301" t="s">
        <v>9</v>
      </c>
      <c r="D14" s="302"/>
      <c r="E14" s="303" t="s">
        <v>10</v>
      </c>
      <c r="F14" s="304"/>
      <c r="G14" s="93"/>
      <c r="H14" s="94"/>
    </row>
    <row r="15" spans="2:8" ht="19.5" customHeight="1" x14ac:dyDescent="0.2">
      <c r="B15" s="90"/>
      <c r="C15" s="301" t="s">
        <v>11</v>
      </c>
      <c r="D15" s="302"/>
      <c r="E15" s="303" t="s">
        <v>12</v>
      </c>
      <c r="F15" s="304"/>
      <c r="G15" s="93"/>
      <c r="H15" s="94"/>
    </row>
    <row r="16" spans="2:8" ht="69.75" customHeight="1" x14ac:dyDescent="0.2">
      <c r="B16" s="90"/>
      <c r="C16" s="301" t="s">
        <v>13</v>
      </c>
      <c r="D16" s="302"/>
      <c r="E16" s="303" t="s">
        <v>14</v>
      </c>
      <c r="F16" s="304"/>
      <c r="G16" s="93"/>
      <c r="H16" s="94"/>
    </row>
    <row r="17" spans="2:8" ht="34.5" customHeight="1" x14ac:dyDescent="0.2">
      <c r="B17" s="90"/>
      <c r="C17" s="305" t="s">
        <v>15</v>
      </c>
      <c r="D17" s="306"/>
      <c r="E17" s="307" t="s">
        <v>16</v>
      </c>
      <c r="F17" s="308"/>
      <c r="G17" s="93"/>
      <c r="H17" s="94"/>
    </row>
    <row r="18" spans="2:8" ht="27.75" customHeight="1" x14ac:dyDescent="0.2">
      <c r="B18" s="90"/>
      <c r="C18" s="305" t="s">
        <v>17</v>
      </c>
      <c r="D18" s="306"/>
      <c r="E18" s="307" t="s">
        <v>18</v>
      </c>
      <c r="F18" s="308"/>
      <c r="G18" s="93"/>
      <c r="H18" s="94"/>
    </row>
    <row r="19" spans="2:8" ht="28.5" customHeight="1" x14ac:dyDescent="0.2">
      <c r="B19" s="90"/>
      <c r="C19" s="305" t="s">
        <v>19</v>
      </c>
      <c r="D19" s="306"/>
      <c r="E19" s="307" t="s">
        <v>20</v>
      </c>
      <c r="F19" s="308"/>
      <c r="G19" s="93"/>
      <c r="H19" s="94"/>
    </row>
    <row r="20" spans="2:8" ht="72.75" customHeight="1" x14ac:dyDescent="0.2">
      <c r="B20" s="90"/>
      <c r="C20" s="305" t="s">
        <v>21</v>
      </c>
      <c r="D20" s="306"/>
      <c r="E20" s="307" t="s">
        <v>22</v>
      </c>
      <c r="F20" s="308"/>
      <c r="G20" s="93"/>
      <c r="H20" s="94"/>
    </row>
    <row r="21" spans="2:8" ht="64.5" customHeight="1" x14ac:dyDescent="0.2">
      <c r="B21" s="90"/>
      <c r="C21" s="305" t="s">
        <v>23</v>
      </c>
      <c r="D21" s="306"/>
      <c r="E21" s="307" t="s">
        <v>24</v>
      </c>
      <c r="F21" s="308"/>
      <c r="G21" s="93"/>
      <c r="H21" s="94"/>
    </row>
    <row r="22" spans="2:8" ht="71.25" customHeight="1" x14ac:dyDescent="0.2">
      <c r="B22" s="90"/>
      <c r="C22" s="305" t="s">
        <v>25</v>
      </c>
      <c r="D22" s="306"/>
      <c r="E22" s="307" t="s">
        <v>26</v>
      </c>
      <c r="F22" s="308"/>
      <c r="G22" s="93"/>
      <c r="H22" s="94"/>
    </row>
    <row r="23" spans="2:8" ht="55.5" customHeight="1" x14ac:dyDescent="0.2">
      <c r="B23" s="90"/>
      <c r="C23" s="312" t="s">
        <v>27</v>
      </c>
      <c r="D23" s="313"/>
      <c r="E23" s="307" t="s">
        <v>28</v>
      </c>
      <c r="F23" s="308"/>
      <c r="G23" s="93"/>
      <c r="H23" s="94"/>
    </row>
    <row r="24" spans="2:8" ht="42" customHeight="1" x14ac:dyDescent="0.2">
      <c r="B24" s="90"/>
      <c r="C24" s="312" t="s">
        <v>29</v>
      </c>
      <c r="D24" s="313"/>
      <c r="E24" s="307" t="s">
        <v>30</v>
      </c>
      <c r="F24" s="308"/>
      <c r="G24" s="93"/>
      <c r="H24" s="94"/>
    </row>
    <row r="25" spans="2:8" ht="59.25" customHeight="1" x14ac:dyDescent="0.2">
      <c r="B25" s="90"/>
      <c r="C25" s="312" t="s">
        <v>31</v>
      </c>
      <c r="D25" s="313"/>
      <c r="E25" s="307" t="s">
        <v>32</v>
      </c>
      <c r="F25" s="308"/>
      <c r="G25" s="93"/>
      <c r="H25" s="94"/>
    </row>
    <row r="26" spans="2:8" ht="23.25" customHeight="1" x14ac:dyDescent="0.2">
      <c r="B26" s="90"/>
      <c r="C26" s="312" t="s">
        <v>33</v>
      </c>
      <c r="D26" s="313"/>
      <c r="E26" s="307" t="s">
        <v>34</v>
      </c>
      <c r="F26" s="308"/>
      <c r="G26" s="93"/>
      <c r="H26" s="94"/>
    </row>
    <row r="27" spans="2:8" ht="30.75" customHeight="1" x14ac:dyDescent="0.2">
      <c r="B27" s="90"/>
      <c r="C27" s="312" t="s">
        <v>35</v>
      </c>
      <c r="D27" s="313"/>
      <c r="E27" s="307" t="s">
        <v>36</v>
      </c>
      <c r="F27" s="308"/>
      <c r="G27" s="93"/>
      <c r="H27" s="94"/>
    </row>
    <row r="28" spans="2:8" ht="35.25" customHeight="1" x14ac:dyDescent="0.2">
      <c r="B28" s="90"/>
      <c r="C28" s="312" t="s">
        <v>37</v>
      </c>
      <c r="D28" s="313"/>
      <c r="E28" s="307" t="s">
        <v>38</v>
      </c>
      <c r="F28" s="308"/>
      <c r="G28" s="93"/>
      <c r="H28" s="94"/>
    </row>
    <row r="29" spans="2:8" ht="33" customHeight="1" x14ac:dyDescent="0.2">
      <c r="B29" s="90"/>
      <c r="C29" s="312" t="s">
        <v>37</v>
      </c>
      <c r="D29" s="313"/>
      <c r="E29" s="307" t="s">
        <v>38</v>
      </c>
      <c r="F29" s="308"/>
      <c r="G29" s="93"/>
      <c r="H29" s="94"/>
    </row>
    <row r="30" spans="2:8" ht="30" customHeight="1" x14ac:dyDescent="0.2">
      <c r="B30" s="90"/>
      <c r="C30" s="312" t="s">
        <v>39</v>
      </c>
      <c r="D30" s="313"/>
      <c r="E30" s="307" t="s">
        <v>40</v>
      </c>
      <c r="F30" s="308"/>
      <c r="G30" s="93"/>
      <c r="H30" s="94"/>
    </row>
    <row r="31" spans="2:8" ht="35.25" customHeight="1" x14ac:dyDescent="0.2">
      <c r="B31" s="90"/>
      <c r="C31" s="312" t="s">
        <v>41</v>
      </c>
      <c r="D31" s="313"/>
      <c r="E31" s="307" t="s">
        <v>42</v>
      </c>
      <c r="F31" s="308"/>
      <c r="G31" s="93"/>
      <c r="H31" s="94"/>
    </row>
    <row r="32" spans="2:8" ht="31.5" customHeight="1" x14ac:dyDescent="0.2">
      <c r="B32" s="90"/>
      <c r="C32" s="312" t="s">
        <v>43</v>
      </c>
      <c r="D32" s="313"/>
      <c r="E32" s="307" t="s">
        <v>44</v>
      </c>
      <c r="F32" s="308"/>
      <c r="G32" s="93"/>
      <c r="H32" s="94"/>
    </row>
    <row r="33" spans="2:8" ht="35.25" customHeight="1" x14ac:dyDescent="0.2">
      <c r="B33" s="90"/>
      <c r="C33" s="312" t="s">
        <v>45</v>
      </c>
      <c r="D33" s="313"/>
      <c r="E33" s="307" t="s">
        <v>46</v>
      </c>
      <c r="F33" s="308"/>
      <c r="G33" s="93"/>
      <c r="H33" s="94"/>
    </row>
    <row r="34" spans="2:8" ht="59.25" customHeight="1" x14ac:dyDescent="0.2">
      <c r="B34" s="90"/>
      <c r="C34" s="312" t="s">
        <v>47</v>
      </c>
      <c r="D34" s="313"/>
      <c r="E34" s="307" t="s">
        <v>48</v>
      </c>
      <c r="F34" s="308"/>
      <c r="G34" s="93"/>
      <c r="H34" s="94"/>
    </row>
    <row r="35" spans="2:8" ht="29.25" customHeight="1" x14ac:dyDescent="0.2">
      <c r="B35" s="90"/>
      <c r="C35" s="312" t="s">
        <v>49</v>
      </c>
      <c r="D35" s="313"/>
      <c r="E35" s="307" t="s">
        <v>50</v>
      </c>
      <c r="F35" s="308"/>
      <c r="G35" s="93"/>
      <c r="H35" s="94"/>
    </row>
    <row r="36" spans="2:8" ht="82.5" customHeight="1" x14ac:dyDescent="0.2">
      <c r="B36" s="90"/>
      <c r="C36" s="312" t="s">
        <v>51</v>
      </c>
      <c r="D36" s="313"/>
      <c r="E36" s="307" t="s">
        <v>52</v>
      </c>
      <c r="F36" s="308"/>
      <c r="G36" s="93"/>
      <c r="H36" s="94"/>
    </row>
    <row r="37" spans="2:8" ht="46.5" customHeight="1" x14ac:dyDescent="0.2">
      <c r="B37" s="90"/>
      <c r="C37" s="312" t="s">
        <v>53</v>
      </c>
      <c r="D37" s="313"/>
      <c r="E37" s="307" t="s">
        <v>54</v>
      </c>
      <c r="F37" s="308"/>
      <c r="G37" s="93"/>
      <c r="H37" s="94"/>
    </row>
    <row r="38" spans="2:8" ht="6.75" customHeight="1" thickBot="1" x14ac:dyDescent="0.25">
      <c r="B38" s="90"/>
      <c r="C38" s="314"/>
      <c r="D38" s="315"/>
      <c r="E38" s="316"/>
      <c r="F38" s="317"/>
      <c r="G38" s="93"/>
      <c r="H38" s="94"/>
    </row>
    <row r="39" spans="2:8" ht="16" thickTop="1" x14ac:dyDescent="0.2">
      <c r="B39" s="90"/>
      <c r="C39" s="91"/>
      <c r="D39" s="91"/>
      <c r="E39" s="92"/>
      <c r="F39" s="92"/>
      <c r="G39" s="93"/>
      <c r="H39" s="94"/>
    </row>
    <row r="40" spans="2:8" ht="21" customHeight="1" x14ac:dyDescent="0.2">
      <c r="B40" s="309" t="s">
        <v>55</v>
      </c>
      <c r="C40" s="310"/>
      <c r="D40" s="310"/>
      <c r="E40" s="310"/>
      <c r="F40" s="310"/>
      <c r="G40" s="310"/>
      <c r="H40" s="311"/>
    </row>
    <row r="41" spans="2:8" ht="20.25" customHeight="1" x14ac:dyDescent="0.2">
      <c r="B41" s="309" t="s">
        <v>56</v>
      </c>
      <c r="C41" s="310"/>
      <c r="D41" s="310"/>
      <c r="E41" s="310"/>
      <c r="F41" s="310"/>
      <c r="G41" s="310"/>
      <c r="H41" s="311"/>
    </row>
    <row r="42" spans="2:8" ht="20.25" customHeight="1" x14ac:dyDescent="0.2">
      <c r="B42" s="309" t="s">
        <v>57</v>
      </c>
      <c r="C42" s="310"/>
      <c r="D42" s="310"/>
      <c r="E42" s="310"/>
      <c r="F42" s="310"/>
      <c r="G42" s="310"/>
      <c r="H42" s="311"/>
    </row>
    <row r="43" spans="2:8" ht="20.25" customHeight="1" x14ac:dyDescent="0.2">
      <c r="B43" s="309" t="s">
        <v>58</v>
      </c>
      <c r="C43" s="310"/>
      <c r="D43" s="310"/>
      <c r="E43" s="310"/>
      <c r="F43" s="310"/>
      <c r="G43" s="310"/>
      <c r="H43" s="311"/>
    </row>
    <row r="44" spans="2:8" x14ac:dyDescent="0.2">
      <c r="B44" s="309" t="s">
        <v>59</v>
      </c>
      <c r="C44" s="310"/>
      <c r="D44" s="310"/>
      <c r="E44" s="310"/>
      <c r="F44" s="310"/>
      <c r="G44" s="310"/>
      <c r="H44" s="311"/>
    </row>
    <row r="45" spans="2:8" ht="16" thickBot="1" x14ac:dyDescent="0.25">
      <c r="B45" s="95"/>
      <c r="C45" s="96"/>
      <c r="D45" s="96"/>
      <c r="E45" s="96"/>
      <c r="F45" s="96"/>
      <c r="G45" s="96"/>
      <c r="H45" s="97"/>
    </row>
    <row r="47" spans="2:8" x14ac:dyDescent="0.2">
      <c r="B47" s="257" t="s">
        <v>60</v>
      </c>
    </row>
    <row r="48" spans="2:8" x14ac:dyDescent="0.2">
      <c r="B48" s="66" t="s">
        <v>61</v>
      </c>
    </row>
    <row r="49" spans="2:6" ht="28" x14ac:dyDescent="0.2">
      <c r="B49" s="249" t="s">
        <v>62</v>
      </c>
      <c r="C49" s="249" t="s">
        <v>63</v>
      </c>
      <c r="D49" s="249" t="s">
        <v>64</v>
      </c>
      <c r="E49" s="250" t="s">
        <v>65</v>
      </c>
      <c r="F49" s="251" t="s">
        <v>66</v>
      </c>
    </row>
    <row r="50" spans="2:6" x14ac:dyDescent="0.2">
      <c r="B50" s="252" t="s">
        <v>67</v>
      </c>
      <c r="C50" s="252" t="s">
        <v>68</v>
      </c>
      <c r="D50" s="253">
        <v>44957</v>
      </c>
      <c r="E50" s="252" t="s">
        <v>68</v>
      </c>
      <c r="F50" s="252" t="s">
        <v>68</v>
      </c>
    </row>
    <row r="51" spans="2:6" ht="32" x14ac:dyDescent="0.2">
      <c r="B51" s="252" t="s">
        <v>69</v>
      </c>
      <c r="C51" s="252" t="s">
        <v>70</v>
      </c>
      <c r="D51" s="253">
        <v>45016</v>
      </c>
      <c r="E51" s="252" t="s">
        <v>71</v>
      </c>
      <c r="F51" s="254" t="s">
        <v>72</v>
      </c>
    </row>
    <row r="300" spans="3:3" ht="34" x14ac:dyDescent="0.2">
      <c r="C300" s="170" t="s">
        <v>73</v>
      </c>
    </row>
    <row r="301" spans="3:3" ht="51" x14ac:dyDescent="0.2">
      <c r="C301" s="170" t="s">
        <v>74</v>
      </c>
    </row>
    <row r="302" spans="3:3" ht="34" x14ac:dyDescent="0.2">
      <c r="C302" s="171" t="s">
        <v>75</v>
      </c>
    </row>
    <row r="303" spans="3:3" ht="34" x14ac:dyDescent="0.2">
      <c r="C303" s="170" t="s">
        <v>76</v>
      </c>
    </row>
    <row r="304" spans="3:3" ht="51" x14ac:dyDescent="0.2">
      <c r="C304" s="170" t="s">
        <v>77</v>
      </c>
    </row>
    <row r="305" spans="3:3" ht="34" x14ac:dyDescent="0.2">
      <c r="C305" s="170" t="s">
        <v>78</v>
      </c>
    </row>
    <row r="306" spans="3:3" ht="34" x14ac:dyDescent="0.2">
      <c r="C306" s="171" t="s">
        <v>79</v>
      </c>
    </row>
    <row r="307" spans="3:3" ht="34" x14ac:dyDescent="0.2">
      <c r="C307" s="170" t="s">
        <v>80</v>
      </c>
    </row>
    <row r="308" spans="3:3" ht="17" x14ac:dyDescent="0.2">
      <c r="C308" s="170" t="s">
        <v>81</v>
      </c>
    </row>
    <row r="309" spans="3:3" ht="17" x14ac:dyDescent="0.2">
      <c r="C309" s="170" t="s">
        <v>82</v>
      </c>
    </row>
    <row r="310" spans="3:3" ht="17" x14ac:dyDescent="0.2">
      <c r="C310" s="170" t="s">
        <v>83</v>
      </c>
    </row>
    <row r="311" spans="3:3" ht="34" x14ac:dyDescent="0.2">
      <c r="C311" s="170" t="s">
        <v>84</v>
      </c>
    </row>
    <row r="312" spans="3:3" ht="17" x14ac:dyDescent="0.2">
      <c r="C312" s="170" t="s">
        <v>85</v>
      </c>
    </row>
    <row r="313" spans="3:3" ht="17" x14ac:dyDescent="0.2">
      <c r="C313" s="170" t="s">
        <v>86</v>
      </c>
    </row>
    <row r="314" spans="3:3" ht="17" x14ac:dyDescent="0.2">
      <c r="C314" s="170" t="s">
        <v>87</v>
      </c>
    </row>
    <row r="315" spans="3:3" ht="34" x14ac:dyDescent="0.2">
      <c r="C315" s="170" t="s">
        <v>88</v>
      </c>
    </row>
    <row r="316" spans="3:3" ht="34" x14ac:dyDescent="0.2">
      <c r="C316" s="170" t="s">
        <v>89</v>
      </c>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honeticPr fontId="88"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55"/>
  <sheetViews>
    <sheetView zoomScale="90" zoomScaleNormal="90" workbookViewId="0">
      <selection activeCell="B7" sqref="B7"/>
    </sheetView>
  </sheetViews>
  <sheetFormatPr baseColWidth="10" defaultColWidth="11.5" defaultRowHeight="15" x14ac:dyDescent="0.2"/>
  <cols>
    <col min="2" max="2" width="24.1640625" customWidth="1"/>
    <col min="3" max="3" width="70.1640625" customWidth="1"/>
    <col min="4" max="4" width="29.83203125" customWidth="1"/>
  </cols>
  <sheetData>
    <row r="1" spans="1:37" ht="23" x14ac:dyDescent="0.2">
      <c r="A1" s="66"/>
      <c r="B1" s="599" t="s">
        <v>363</v>
      </c>
      <c r="C1" s="599"/>
      <c r="D1" s="599"/>
      <c r="E1" s="66"/>
      <c r="F1" s="66"/>
      <c r="G1" s="66"/>
      <c r="H1" s="66"/>
      <c r="I1" s="66"/>
      <c r="J1" s="66"/>
      <c r="K1" s="66"/>
      <c r="L1" s="66"/>
      <c r="M1" s="66"/>
      <c r="N1" s="66"/>
      <c r="O1" s="66"/>
      <c r="P1" s="66"/>
      <c r="Q1" s="66"/>
      <c r="R1" s="66"/>
      <c r="S1" s="66"/>
      <c r="T1" s="66"/>
      <c r="U1" s="66"/>
      <c r="V1" s="66"/>
      <c r="W1" s="66"/>
      <c r="X1" s="66"/>
      <c r="Y1" s="66"/>
      <c r="Z1" s="66"/>
      <c r="AA1" s="66"/>
      <c r="AB1" s="66"/>
      <c r="AC1" s="66"/>
      <c r="AD1" s="66"/>
      <c r="AE1" s="66"/>
    </row>
    <row r="2" spans="1:37" x14ac:dyDescent="0.2">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row>
    <row r="3" spans="1:37" ht="26" x14ac:dyDescent="0.2">
      <c r="A3" s="66"/>
      <c r="B3" s="3"/>
      <c r="C3" s="4" t="s">
        <v>364</v>
      </c>
      <c r="D3" s="4" t="s">
        <v>314</v>
      </c>
      <c r="E3" s="66"/>
      <c r="F3" s="66"/>
      <c r="G3" s="66"/>
      <c r="H3" s="66"/>
      <c r="I3" s="66"/>
      <c r="J3" s="66"/>
      <c r="K3" s="66"/>
      <c r="L3" s="66"/>
      <c r="M3" s="66"/>
      <c r="N3" s="66"/>
      <c r="O3" s="66"/>
      <c r="P3" s="66"/>
      <c r="Q3" s="66"/>
      <c r="R3" s="66"/>
      <c r="S3" s="66"/>
      <c r="T3" s="66"/>
      <c r="U3" s="66"/>
      <c r="V3" s="66"/>
      <c r="W3" s="66"/>
      <c r="X3" s="66"/>
      <c r="Y3" s="66"/>
      <c r="Z3" s="66"/>
      <c r="AA3" s="66"/>
      <c r="AB3" s="66"/>
      <c r="AC3" s="66"/>
      <c r="AD3" s="66"/>
      <c r="AE3" s="66"/>
    </row>
    <row r="4" spans="1:37" ht="52" x14ac:dyDescent="0.2">
      <c r="A4" s="66"/>
      <c r="B4" s="5" t="s">
        <v>365</v>
      </c>
      <c r="C4" s="6" t="s">
        <v>366</v>
      </c>
      <c r="D4" s="7">
        <v>0.2</v>
      </c>
      <c r="E4" s="66"/>
      <c r="F4" s="66"/>
      <c r="G4" s="66"/>
      <c r="H4" s="66"/>
      <c r="I4" s="66"/>
      <c r="J4" s="66"/>
      <c r="K4" s="66"/>
      <c r="L4" s="66"/>
      <c r="M4" s="66"/>
      <c r="N4" s="66"/>
      <c r="O4" s="66"/>
      <c r="P4" s="66"/>
      <c r="Q4" s="66"/>
      <c r="R4" s="66"/>
      <c r="S4" s="66"/>
      <c r="T4" s="66"/>
      <c r="U4" s="66"/>
      <c r="V4" s="66"/>
      <c r="W4" s="66"/>
      <c r="X4" s="66"/>
      <c r="Y4" s="66"/>
      <c r="Z4" s="66"/>
      <c r="AA4" s="66"/>
      <c r="AB4" s="66"/>
      <c r="AC4" s="66"/>
      <c r="AD4" s="66"/>
      <c r="AE4" s="66"/>
    </row>
    <row r="5" spans="1:37" ht="52" x14ac:dyDescent="0.2">
      <c r="A5" s="66"/>
      <c r="B5" s="8" t="s">
        <v>367</v>
      </c>
      <c r="C5" s="9" t="s">
        <v>368</v>
      </c>
      <c r="D5" s="10">
        <v>0.4</v>
      </c>
      <c r="E5" s="66"/>
      <c r="F5" s="66"/>
      <c r="G5" s="66"/>
      <c r="H5" s="66"/>
      <c r="I5" s="66"/>
      <c r="J5" s="66"/>
      <c r="K5" s="66"/>
      <c r="L5" s="66"/>
      <c r="M5" s="66"/>
      <c r="N5" s="66"/>
      <c r="O5" s="66"/>
      <c r="P5" s="66"/>
      <c r="Q5" s="66"/>
      <c r="R5" s="66"/>
      <c r="S5" s="66"/>
      <c r="T5" s="66"/>
      <c r="U5" s="66"/>
      <c r="V5" s="66"/>
      <c r="W5" s="66"/>
      <c r="X5" s="66"/>
      <c r="Y5" s="66"/>
      <c r="Z5" s="66"/>
      <c r="AA5" s="66"/>
      <c r="AB5" s="66"/>
      <c r="AC5" s="66"/>
      <c r="AD5" s="66"/>
      <c r="AE5" s="66"/>
    </row>
    <row r="6" spans="1:37" ht="52" x14ac:dyDescent="0.2">
      <c r="A6" s="66"/>
      <c r="B6" s="11" t="s">
        <v>369</v>
      </c>
      <c r="C6" s="9" t="s">
        <v>370</v>
      </c>
      <c r="D6" s="10">
        <v>0.6</v>
      </c>
      <c r="E6" s="66"/>
      <c r="F6" s="66"/>
      <c r="G6" s="66"/>
      <c r="H6" s="66"/>
      <c r="I6" s="66"/>
      <c r="J6" s="66"/>
      <c r="K6" s="66"/>
      <c r="L6" s="66"/>
      <c r="M6" s="66"/>
      <c r="N6" s="66"/>
      <c r="O6" s="66"/>
      <c r="P6" s="66"/>
      <c r="Q6" s="66"/>
      <c r="R6" s="66"/>
      <c r="S6" s="66"/>
      <c r="T6" s="66"/>
      <c r="U6" s="66"/>
      <c r="V6" s="66"/>
      <c r="W6" s="66"/>
      <c r="X6" s="66"/>
      <c r="Y6" s="66"/>
      <c r="Z6" s="66"/>
      <c r="AA6" s="66"/>
      <c r="AB6" s="66"/>
      <c r="AC6" s="66"/>
      <c r="AD6" s="66"/>
      <c r="AE6" s="66"/>
    </row>
    <row r="7" spans="1:37" ht="52" x14ac:dyDescent="0.2">
      <c r="A7" s="66"/>
      <c r="B7" s="12" t="s">
        <v>371</v>
      </c>
      <c r="C7" s="9" t="s">
        <v>372</v>
      </c>
      <c r="D7" s="10">
        <v>0.8</v>
      </c>
      <c r="E7" s="66"/>
      <c r="F7" s="66"/>
      <c r="G7" s="66"/>
      <c r="H7" s="66"/>
      <c r="I7" s="66"/>
      <c r="J7" s="66"/>
      <c r="K7" s="66"/>
      <c r="L7" s="66"/>
      <c r="M7" s="66"/>
      <c r="N7" s="66"/>
      <c r="O7" s="66"/>
      <c r="P7" s="66"/>
      <c r="Q7" s="66"/>
      <c r="R7" s="66"/>
      <c r="S7" s="66"/>
      <c r="T7" s="66"/>
      <c r="U7" s="66"/>
      <c r="V7" s="66"/>
      <c r="W7" s="66"/>
      <c r="X7" s="66"/>
      <c r="Y7" s="66"/>
      <c r="Z7" s="66"/>
      <c r="AA7" s="66"/>
      <c r="AB7" s="66"/>
      <c r="AC7" s="66"/>
      <c r="AD7" s="66"/>
      <c r="AE7" s="66"/>
    </row>
    <row r="8" spans="1:37" ht="52" x14ac:dyDescent="0.2">
      <c r="A8" s="66"/>
      <c r="B8" s="13" t="s">
        <v>373</v>
      </c>
      <c r="C8" s="9" t="s">
        <v>374</v>
      </c>
      <c r="D8" s="10">
        <v>1</v>
      </c>
      <c r="E8" s="66"/>
      <c r="F8" s="66"/>
      <c r="G8" s="66"/>
      <c r="H8" s="66"/>
      <c r="I8" s="66"/>
      <c r="J8" s="66"/>
      <c r="K8" s="66"/>
      <c r="L8" s="66"/>
      <c r="M8" s="66"/>
      <c r="N8" s="66"/>
      <c r="O8" s="66"/>
      <c r="P8" s="66"/>
      <c r="Q8" s="66"/>
      <c r="R8" s="66"/>
      <c r="S8" s="66"/>
      <c r="T8" s="66"/>
      <c r="U8" s="66"/>
      <c r="V8" s="66"/>
      <c r="W8" s="66"/>
      <c r="X8" s="66"/>
      <c r="Y8" s="66"/>
      <c r="Z8" s="66"/>
      <c r="AA8" s="66"/>
      <c r="AB8" s="66"/>
      <c r="AC8" s="66"/>
      <c r="AD8" s="66"/>
      <c r="AE8" s="66"/>
    </row>
    <row r="9" spans="1:37" x14ac:dyDescent="0.2">
      <c r="A9" s="66"/>
      <c r="B9" s="88"/>
      <c r="C9" s="88"/>
      <c r="D9" s="88"/>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row>
    <row r="10" spans="1:37" x14ac:dyDescent="0.2">
      <c r="A10" s="66"/>
      <c r="B10" s="89"/>
      <c r="C10" s="88"/>
      <c r="D10" s="88"/>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row>
    <row r="11" spans="1:37" x14ac:dyDescent="0.2">
      <c r="A11" s="66"/>
      <c r="B11" s="88"/>
      <c r="C11" s="88"/>
      <c r="D11" s="88"/>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row>
    <row r="12" spans="1:37" x14ac:dyDescent="0.2">
      <c r="A12" s="66"/>
      <c r="B12" s="88"/>
      <c r="C12" s="88"/>
      <c r="D12" s="88"/>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row>
    <row r="13" spans="1:37" x14ac:dyDescent="0.2">
      <c r="A13" s="66"/>
      <c r="B13" s="88"/>
      <c r="C13" s="88"/>
      <c r="D13" s="88"/>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row>
    <row r="14" spans="1:37" x14ac:dyDescent="0.2">
      <c r="A14" s="66"/>
      <c r="B14" s="88"/>
      <c r="C14" s="88"/>
      <c r="D14" s="88"/>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row>
    <row r="15" spans="1:37" x14ac:dyDescent="0.2">
      <c r="A15" s="66"/>
      <c r="B15" s="88"/>
      <c r="C15" s="88"/>
      <c r="D15" s="88"/>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row>
    <row r="16" spans="1:37" x14ac:dyDescent="0.2">
      <c r="A16" s="66"/>
      <c r="B16" s="88"/>
      <c r="C16" s="88"/>
      <c r="D16" s="88"/>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row>
    <row r="17" spans="1:37" x14ac:dyDescent="0.2">
      <c r="A17" s="66"/>
      <c r="B17" s="88"/>
      <c r="C17" s="88"/>
      <c r="D17" s="88"/>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row>
    <row r="18" spans="1:37" x14ac:dyDescent="0.2">
      <c r="A18" s="66"/>
      <c r="B18" s="88"/>
      <c r="C18" s="88"/>
      <c r="D18" s="88"/>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row>
    <row r="19" spans="1:37" x14ac:dyDescent="0.2">
      <c r="A19" s="66"/>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row>
    <row r="20" spans="1:37" x14ac:dyDescent="0.2">
      <c r="A20" s="66"/>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row>
    <row r="21" spans="1:37" x14ac:dyDescent="0.2">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row>
    <row r="22" spans="1:37" x14ac:dyDescent="0.2">
      <c r="A22" s="66"/>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row>
    <row r="23" spans="1:37" x14ac:dyDescent="0.2">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row>
    <row r="24" spans="1:37" x14ac:dyDescent="0.2">
      <c r="A24" s="66"/>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row>
    <row r="25" spans="1:37" x14ac:dyDescent="0.2">
      <c r="A25" s="66"/>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row>
    <row r="26" spans="1:37" x14ac:dyDescent="0.2">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row>
    <row r="27" spans="1:37" x14ac:dyDescent="0.2">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row>
    <row r="28" spans="1:37" x14ac:dyDescent="0.2">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row>
    <row r="29" spans="1:37" x14ac:dyDescent="0.2">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row>
    <row r="30" spans="1:37" x14ac:dyDescent="0.2">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row>
    <row r="31" spans="1:37" x14ac:dyDescent="0.2">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row>
    <row r="32" spans="1:37" x14ac:dyDescent="0.2">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row>
    <row r="33" spans="1:31" x14ac:dyDescent="0.2">
      <c r="A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row>
    <row r="34" spans="1:31" x14ac:dyDescent="0.2">
      <c r="A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row>
    <row r="35" spans="1:31" x14ac:dyDescent="0.2">
      <c r="A35" s="66"/>
    </row>
    <row r="36" spans="1:31" x14ac:dyDescent="0.2">
      <c r="A36" s="66"/>
    </row>
    <row r="37" spans="1:31" x14ac:dyDescent="0.2">
      <c r="A37" s="66"/>
    </row>
    <row r="38" spans="1:31" x14ac:dyDescent="0.2">
      <c r="A38" s="66"/>
    </row>
    <row r="39" spans="1:31" x14ac:dyDescent="0.2">
      <c r="A39" s="66"/>
    </row>
    <row r="40" spans="1:31" x14ac:dyDescent="0.2">
      <c r="A40" s="66"/>
    </row>
    <row r="41" spans="1:31" x14ac:dyDescent="0.2">
      <c r="A41" s="66"/>
    </row>
    <row r="42" spans="1:31" x14ac:dyDescent="0.2">
      <c r="A42" s="66"/>
    </row>
    <row r="43" spans="1:31" x14ac:dyDescent="0.2">
      <c r="A43" s="66"/>
    </row>
    <row r="44" spans="1:31" x14ac:dyDescent="0.2">
      <c r="A44" s="66"/>
    </row>
    <row r="45" spans="1:31" x14ac:dyDescent="0.2">
      <c r="A45" s="66"/>
    </row>
    <row r="46" spans="1:31" x14ac:dyDescent="0.2">
      <c r="A46" s="66"/>
    </row>
    <row r="47" spans="1:31" x14ac:dyDescent="0.2">
      <c r="A47" s="66"/>
    </row>
    <row r="48" spans="1:31" x14ac:dyDescent="0.2">
      <c r="A48" s="66"/>
    </row>
    <row r="49" spans="1:1" x14ac:dyDescent="0.2">
      <c r="A49" s="66"/>
    </row>
    <row r="50" spans="1:1" x14ac:dyDescent="0.2">
      <c r="A50" s="66"/>
    </row>
    <row r="51" spans="1:1" x14ac:dyDescent="0.2">
      <c r="A51" s="66"/>
    </row>
    <row r="52" spans="1:1" x14ac:dyDescent="0.2">
      <c r="A52" s="66"/>
    </row>
    <row r="53" spans="1:1" x14ac:dyDescent="0.2">
      <c r="A53" s="66"/>
    </row>
    <row r="54" spans="1:1" x14ac:dyDescent="0.2">
      <c r="A54" s="66"/>
    </row>
    <row r="55" spans="1:1" x14ac:dyDescent="0.2">
      <c r="A55" s="66"/>
    </row>
  </sheetData>
  <mergeCells count="1">
    <mergeCell ref="B1:D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U233"/>
  <sheetViews>
    <sheetView topLeftCell="A207" zoomScale="50" zoomScaleNormal="50" workbookViewId="0">
      <selection activeCell="F218" sqref="F218:F222"/>
    </sheetView>
  </sheetViews>
  <sheetFormatPr baseColWidth="10" defaultColWidth="11.5" defaultRowHeight="15" x14ac:dyDescent="0.2"/>
  <cols>
    <col min="1" max="1" width="5.33203125" customWidth="1"/>
    <col min="2" max="2" width="56.83203125" customWidth="1"/>
    <col min="3" max="3" width="75.1640625" customWidth="1"/>
    <col min="4" max="4" width="87.5" customWidth="1"/>
    <col min="5" max="5" width="46.5" customWidth="1"/>
    <col min="6" max="6" width="23.5" style="114" customWidth="1"/>
    <col min="7" max="7" width="26.83203125" customWidth="1"/>
  </cols>
  <sheetData>
    <row r="2" spans="1:21" s="184" customFormat="1" ht="45.75" customHeight="1" x14ac:dyDescent="0.2">
      <c r="A2" s="182"/>
      <c r="B2" s="600" t="s">
        <v>375</v>
      </c>
      <c r="C2" s="600"/>
      <c r="D2" s="600"/>
      <c r="E2" s="600"/>
      <c r="F2" s="183"/>
      <c r="G2" s="182"/>
      <c r="H2" s="182"/>
      <c r="I2" s="182"/>
      <c r="J2" s="182"/>
      <c r="K2" s="182"/>
      <c r="L2" s="182"/>
      <c r="M2" s="182"/>
      <c r="N2" s="182"/>
      <c r="O2" s="182"/>
      <c r="P2" s="182"/>
      <c r="Q2" s="182"/>
      <c r="R2" s="182"/>
      <c r="S2" s="182"/>
      <c r="T2" s="182"/>
      <c r="U2" s="182"/>
    </row>
    <row r="3" spans="1:21" s="184" customFormat="1" ht="18.75" customHeight="1" x14ac:dyDescent="0.2">
      <c r="A3" s="182"/>
      <c r="B3" s="185"/>
      <c r="C3" s="182"/>
      <c r="D3" s="182"/>
      <c r="E3" s="182"/>
      <c r="F3" s="183"/>
      <c r="G3" s="182"/>
      <c r="H3" s="182"/>
      <c r="I3" s="182"/>
      <c r="J3" s="182"/>
      <c r="K3" s="182"/>
      <c r="L3" s="182"/>
      <c r="M3" s="182"/>
      <c r="N3" s="182"/>
      <c r="O3" s="182"/>
      <c r="P3" s="182"/>
      <c r="Q3" s="182"/>
      <c r="R3" s="182"/>
      <c r="S3" s="182"/>
      <c r="T3" s="182"/>
      <c r="U3" s="182"/>
    </row>
    <row r="4" spans="1:21" ht="67.5" customHeight="1" x14ac:dyDescent="0.2">
      <c r="A4" s="66"/>
      <c r="B4" s="106"/>
      <c r="C4" s="21" t="s">
        <v>376</v>
      </c>
      <c r="D4" s="21" t="s">
        <v>377</v>
      </c>
      <c r="E4" s="21" t="s">
        <v>378</v>
      </c>
      <c r="F4" s="112"/>
      <c r="G4" s="66"/>
      <c r="H4" s="66"/>
      <c r="I4" s="66"/>
      <c r="J4" s="66"/>
      <c r="K4" s="66"/>
      <c r="L4" s="66"/>
      <c r="M4" s="66"/>
      <c r="N4" s="66"/>
      <c r="O4" s="66"/>
      <c r="P4" s="66"/>
      <c r="Q4" s="66"/>
      <c r="R4" s="66"/>
      <c r="S4" s="66"/>
      <c r="T4" s="66"/>
      <c r="U4" s="66"/>
    </row>
    <row r="5" spans="1:21" ht="67.5" customHeight="1" x14ac:dyDescent="0.2">
      <c r="A5" s="86" t="s">
        <v>379</v>
      </c>
      <c r="B5" s="22" t="s">
        <v>380</v>
      </c>
      <c r="C5" s="27" t="s">
        <v>381</v>
      </c>
      <c r="D5" s="104" t="s">
        <v>382</v>
      </c>
      <c r="E5" s="228">
        <f>908526*130</f>
        <v>118108380</v>
      </c>
      <c r="F5" s="66"/>
      <c r="G5" s="66"/>
      <c r="H5" s="66"/>
      <c r="I5" s="66"/>
      <c r="J5" s="66"/>
      <c r="K5" s="66"/>
      <c r="L5" s="66"/>
      <c r="M5" s="66"/>
      <c r="N5" s="66"/>
      <c r="O5" s="66"/>
      <c r="P5" s="66"/>
      <c r="Q5" s="66"/>
      <c r="R5" s="66"/>
      <c r="S5" s="66"/>
      <c r="T5" s="66"/>
      <c r="U5" s="66"/>
    </row>
    <row r="6" spans="1:21" ht="129" customHeight="1" x14ac:dyDescent="0.2">
      <c r="A6" s="86" t="s">
        <v>383</v>
      </c>
      <c r="B6" s="23" t="s">
        <v>384</v>
      </c>
      <c r="C6" s="28" t="s">
        <v>385</v>
      </c>
      <c r="D6" s="105" t="s">
        <v>386</v>
      </c>
      <c r="E6" s="228">
        <f>908526*650</f>
        <v>590541900</v>
      </c>
      <c r="F6" s="66"/>
      <c r="G6" s="66"/>
      <c r="H6" s="66"/>
      <c r="I6" s="66"/>
      <c r="J6" s="66"/>
      <c r="K6" s="66"/>
      <c r="L6" s="66"/>
      <c r="M6" s="66"/>
      <c r="N6" s="66"/>
      <c r="O6" s="66"/>
      <c r="P6" s="66"/>
      <c r="Q6" s="66"/>
      <c r="R6" s="66"/>
      <c r="S6" s="66"/>
      <c r="T6" s="66"/>
      <c r="U6" s="66"/>
    </row>
    <row r="7" spans="1:21" ht="102" x14ac:dyDescent="0.2">
      <c r="A7" s="86" t="s">
        <v>320</v>
      </c>
      <c r="B7" s="24" t="s">
        <v>387</v>
      </c>
      <c r="C7" s="28" t="s">
        <v>388</v>
      </c>
      <c r="D7" s="105" t="s">
        <v>389</v>
      </c>
      <c r="E7" s="228">
        <f>908526*1300</f>
        <v>1181083800</v>
      </c>
      <c r="F7" s="66"/>
      <c r="G7" s="66"/>
      <c r="H7" s="66"/>
      <c r="I7" s="66"/>
      <c r="J7" s="66"/>
      <c r="K7" s="66"/>
      <c r="L7" s="66"/>
      <c r="M7" s="66"/>
      <c r="N7" s="66"/>
      <c r="O7" s="66"/>
      <c r="P7" s="66"/>
      <c r="Q7" s="66"/>
      <c r="R7" s="66"/>
      <c r="S7" s="66"/>
      <c r="T7" s="66"/>
      <c r="U7" s="66"/>
    </row>
    <row r="8" spans="1:21" ht="102" x14ac:dyDescent="0.2">
      <c r="A8" s="86" t="s">
        <v>390</v>
      </c>
      <c r="B8" s="25" t="s">
        <v>391</v>
      </c>
      <c r="C8" s="28" t="s">
        <v>392</v>
      </c>
      <c r="D8" s="105" t="s">
        <v>393</v>
      </c>
      <c r="E8" s="228">
        <f>908526*6500</f>
        <v>5905419000</v>
      </c>
      <c r="F8" s="66"/>
      <c r="G8" s="66"/>
      <c r="H8" s="66"/>
      <c r="I8" s="66"/>
      <c r="J8" s="66"/>
      <c r="K8" s="66"/>
      <c r="L8" s="66"/>
      <c r="M8" s="66"/>
      <c r="N8" s="66"/>
      <c r="O8" s="66"/>
      <c r="P8" s="66"/>
      <c r="Q8" s="66"/>
      <c r="R8" s="66"/>
      <c r="S8" s="66"/>
      <c r="T8" s="66"/>
      <c r="U8" s="66"/>
    </row>
    <row r="9" spans="1:21" ht="102" x14ac:dyDescent="0.2">
      <c r="A9" s="86" t="s">
        <v>394</v>
      </c>
      <c r="B9" s="26" t="s">
        <v>395</v>
      </c>
      <c r="C9" s="28" t="s">
        <v>396</v>
      </c>
      <c r="D9" s="105" t="s">
        <v>397</v>
      </c>
      <c r="E9" s="228"/>
      <c r="F9" s="107"/>
      <c r="G9" s="107"/>
      <c r="H9" s="66"/>
      <c r="I9" s="66"/>
      <c r="J9" s="66"/>
      <c r="K9" s="66"/>
      <c r="L9" s="66"/>
      <c r="M9" s="66"/>
      <c r="N9" s="66"/>
      <c r="O9" s="66"/>
      <c r="P9" s="66"/>
      <c r="Q9" s="66"/>
      <c r="R9" s="66"/>
      <c r="S9" s="66"/>
      <c r="T9" s="66"/>
      <c r="U9" s="66"/>
    </row>
    <row r="10" spans="1:21" s="110" customFormat="1" ht="20" hidden="1" x14ac:dyDescent="0.2">
      <c r="A10" s="108"/>
      <c r="B10" s="108"/>
      <c r="C10" s="109"/>
      <c r="D10" s="109"/>
      <c r="E10" s="108"/>
      <c r="F10" s="108"/>
      <c r="G10" s="108"/>
      <c r="H10" s="108"/>
      <c r="I10" s="108"/>
      <c r="J10" s="108"/>
      <c r="K10" s="108"/>
      <c r="L10" s="108"/>
      <c r="M10" s="108"/>
      <c r="N10" s="108"/>
      <c r="O10" s="108"/>
      <c r="P10" s="108"/>
      <c r="Q10" s="108"/>
      <c r="R10" s="108"/>
      <c r="S10" s="108"/>
      <c r="T10" s="108"/>
      <c r="U10" s="108"/>
    </row>
    <row r="11" spans="1:21" s="110" customFormat="1" hidden="1" x14ac:dyDescent="0.2">
      <c r="A11" s="108"/>
      <c r="B11" s="111"/>
      <c r="C11" s="111"/>
      <c r="D11" s="111"/>
      <c r="E11" s="108"/>
      <c r="F11" s="108"/>
      <c r="G11" s="108"/>
      <c r="H11" s="108"/>
      <c r="I11" s="108"/>
      <c r="J11" s="108"/>
      <c r="K11" s="108"/>
      <c r="L11" s="108"/>
      <c r="M11" s="108"/>
      <c r="N11" s="108"/>
      <c r="O11" s="108"/>
      <c r="P11" s="108"/>
      <c r="Q11" s="108"/>
      <c r="R11" s="108"/>
      <c r="S11" s="108"/>
      <c r="T11" s="108"/>
      <c r="U11" s="108"/>
    </row>
    <row r="12" spans="1:21" s="110" customFormat="1" hidden="1" x14ac:dyDescent="0.2">
      <c r="A12" s="108"/>
      <c r="B12" s="108" t="s">
        <v>398</v>
      </c>
      <c r="C12" s="108" t="s">
        <v>399</v>
      </c>
      <c r="D12" s="108" t="s">
        <v>400</v>
      </c>
      <c r="E12" s="108"/>
      <c r="F12" s="108"/>
      <c r="G12" s="108"/>
      <c r="H12" s="108"/>
      <c r="I12" s="108"/>
      <c r="J12" s="108"/>
      <c r="K12" s="108"/>
      <c r="L12" s="108"/>
      <c r="M12" s="108"/>
      <c r="N12" s="108"/>
      <c r="O12" s="108"/>
      <c r="P12" s="108"/>
      <c r="Q12" s="108"/>
      <c r="R12" s="108"/>
      <c r="S12" s="108"/>
      <c r="T12" s="108"/>
      <c r="U12" s="108"/>
    </row>
    <row r="13" spans="1:21" s="110" customFormat="1" hidden="1" x14ac:dyDescent="0.2">
      <c r="A13" s="108"/>
      <c r="B13" s="108" t="s">
        <v>401</v>
      </c>
      <c r="C13" s="108" t="s">
        <v>402</v>
      </c>
      <c r="D13" s="108" t="s">
        <v>304</v>
      </c>
      <c r="E13" s="108"/>
      <c r="F13" s="108"/>
      <c r="G13" s="108"/>
      <c r="H13" s="108"/>
      <c r="I13" s="108"/>
      <c r="J13" s="108"/>
      <c r="K13" s="108"/>
      <c r="L13" s="108"/>
      <c r="M13" s="108"/>
      <c r="N13" s="108"/>
      <c r="O13" s="108"/>
      <c r="P13" s="108"/>
      <c r="Q13" s="108"/>
      <c r="R13" s="108"/>
      <c r="S13" s="108"/>
      <c r="T13" s="108"/>
      <c r="U13" s="108"/>
    </row>
    <row r="14" spans="1:21" s="110" customFormat="1" hidden="1" x14ac:dyDescent="0.2">
      <c r="A14" s="108"/>
      <c r="B14" s="108"/>
      <c r="C14" s="108" t="s">
        <v>403</v>
      </c>
      <c r="D14" s="108" t="s">
        <v>266</v>
      </c>
      <c r="E14" s="108"/>
      <c r="F14" s="108"/>
      <c r="G14" s="108"/>
      <c r="H14" s="108"/>
      <c r="I14" s="108"/>
      <c r="J14" s="108"/>
      <c r="K14" s="108"/>
      <c r="L14" s="108"/>
      <c r="M14" s="108"/>
      <c r="N14" s="108"/>
      <c r="O14" s="108"/>
      <c r="P14" s="108"/>
      <c r="Q14" s="108"/>
      <c r="R14" s="108"/>
      <c r="S14" s="108"/>
      <c r="T14" s="108"/>
      <c r="U14" s="108"/>
    </row>
    <row r="15" spans="1:21" s="110" customFormat="1" hidden="1" x14ac:dyDescent="0.2">
      <c r="A15" s="108"/>
      <c r="B15" s="108"/>
      <c r="C15" s="108" t="s">
        <v>404</v>
      </c>
      <c r="D15" s="108" t="s">
        <v>405</v>
      </c>
      <c r="E15" s="108"/>
      <c r="F15" s="108"/>
      <c r="G15" s="108"/>
      <c r="H15" s="108"/>
      <c r="I15" s="108"/>
      <c r="J15" s="108"/>
      <c r="K15" s="108"/>
      <c r="L15" s="108"/>
      <c r="M15" s="108"/>
      <c r="N15" s="108"/>
      <c r="O15" s="108"/>
      <c r="P15" s="108"/>
      <c r="Q15" s="108"/>
      <c r="R15" s="108"/>
      <c r="S15" s="108"/>
      <c r="T15" s="108"/>
      <c r="U15" s="108"/>
    </row>
    <row r="16" spans="1:21" s="110" customFormat="1" hidden="1" x14ac:dyDescent="0.2">
      <c r="A16" s="108"/>
      <c r="B16" s="108"/>
      <c r="C16" s="108" t="s">
        <v>406</v>
      </c>
      <c r="D16" s="108" t="s">
        <v>407</v>
      </c>
      <c r="E16" s="108"/>
      <c r="F16" s="108"/>
      <c r="G16" s="108"/>
      <c r="H16" s="108"/>
      <c r="I16" s="108"/>
      <c r="J16" s="108"/>
      <c r="K16" s="108"/>
      <c r="L16" s="108"/>
      <c r="M16" s="108"/>
      <c r="N16" s="108"/>
      <c r="O16" s="108"/>
      <c r="P16" s="108"/>
      <c r="Q16" s="108"/>
      <c r="R16" s="108"/>
      <c r="S16" s="108"/>
      <c r="T16" s="108"/>
      <c r="U16" s="108"/>
    </row>
    <row r="17" spans="1:15" s="110" customFormat="1" hidden="1" x14ac:dyDescent="0.2">
      <c r="A17" s="108"/>
      <c r="B17" s="108"/>
      <c r="C17" s="108"/>
      <c r="D17" s="108"/>
      <c r="E17" s="108"/>
      <c r="F17" s="108"/>
      <c r="G17" s="108"/>
      <c r="H17" s="108"/>
      <c r="I17" s="108"/>
      <c r="J17" s="108"/>
      <c r="K17" s="108"/>
      <c r="L17" s="108"/>
      <c r="M17" s="108"/>
      <c r="N17" s="108"/>
      <c r="O17" s="108"/>
    </row>
    <row r="18" spans="1:15" s="110" customFormat="1" x14ac:dyDescent="0.2">
      <c r="A18" s="108"/>
      <c r="B18" s="108"/>
      <c r="C18" s="108"/>
      <c r="D18" s="108"/>
      <c r="E18" s="108"/>
      <c r="F18" s="108"/>
      <c r="G18" s="108"/>
      <c r="H18" s="108"/>
      <c r="I18" s="108"/>
      <c r="J18" s="108"/>
      <c r="K18" s="108"/>
      <c r="L18" s="108"/>
      <c r="M18" s="108"/>
      <c r="N18" s="108"/>
      <c r="O18" s="108"/>
    </row>
    <row r="19" spans="1:15" s="110" customFormat="1" x14ac:dyDescent="0.2">
      <c r="A19" s="108"/>
      <c r="B19" s="108"/>
      <c r="C19" s="108"/>
      <c r="D19" s="108"/>
      <c r="E19" s="108"/>
      <c r="F19" s="108"/>
      <c r="G19" s="108"/>
      <c r="H19" s="108"/>
      <c r="I19" s="108"/>
      <c r="J19" s="108"/>
      <c r="K19" s="108"/>
      <c r="L19" s="108"/>
      <c r="M19" s="108"/>
      <c r="N19" s="108"/>
      <c r="O19" s="108"/>
    </row>
    <row r="20" spans="1:15" s="110" customFormat="1" x14ac:dyDescent="0.2">
      <c r="A20" s="108"/>
      <c r="B20" s="108"/>
      <c r="C20" s="108"/>
      <c r="D20" s="108"/>
      <c r="E20" s="108"/>
      <c r="F20" s="108"/>
      <c r="G20" s="108"/>
      <c r="H20" s="108"/>
      <c r="I20" s="108"/>
      <c r="J20" s="108"/>
      <c r="K20" s="108"/>
      <c r="L20" s="108"/>
      <c r="M20" s="108"/>
      <c r="N20" s="108"/>
      <c r="O20" s="108"/>
    </row>
    <row r="21" spans="1:15" s="110" customFormat="1" x14ac:dyDescent="0.2">
      <c r="A21" s="108"/>
      <c r="B21" s="108"/>
      <c r="C21" s="108"/>
      <c r="D21" s="108"/>
      <c r="E21" s="108"/>
      <c r="F21" s="113"/>
      <c r="G21" s="108"/>
      <c r="H21" s="108"/>
      <c r="I21" s="108"/>
      <c r="J21" s="108"/>
      <c r="K21" s="108"/>
      <c r="L21" s="108"/>
      <c r="M21" s="108"/>
      <c r="N21" s="108"/>
      <c r="O21" s="108"/>
    </row>
    <row r="22" spans="1:15" s="110" customFormat="1" x14ac:dyDescent="0.2">
      <c r="A22" s="108"/>
      <c r="B22" s="108"/>
      <c r="C22" s="108"/>
      <c r="D22" s="108"/>
      <c r="E22" s="108"/>
      <c r="F22" s="113"/>
      <c r="G22" s="108"/>
      <c r="H22" s="108"/>
      <c r="I22" s="108"/>
      <c r="J22" s="108"/>
      <c r="K22" s="108"/>
      <c r="L22" s="108"/>
      <c r="M22" s="108"/>
      <c r="N22" s="108"/>
      <c r="O22" s="108"/>
    </row>
    <row r="23" spans="1:15" s="110" customFormat="1" ht="20" x14ac:dyDescent="0.2">
      <c r="A23" s="108"/>
      <c r="B23" s="108"/>
      <c r="C23" s="109"/>
      <c r="D23" s="109"/>
      <c r="E23" s="108"/>
      <c r="F23" s="113"/>
      <c r="G23" s="108"/>
      <c r="H23" s="108"/>
      <c r="I23" s="108"/>
      <c r="J23" s="108"/>
      <c r="K23" s="108"/>
      <c r="L23" s="108"/>
      <c r="M23" s="108"/>
      <c r="N23" s="108"/>
      <c r="O23" s="108"/>
    </row>
    <row r="24" spans="1:15" s="110" customFormat="1" ht="20" x14ac:dyDescent="0.2">
      <c r="A24" s="108"/>
      <c r="B24" s="108"/>
      <c r="C24" s="109"/>
      <c r="D24" s="109"/>
      <c r="E24" s="108"/>
      <c r="F24" s="113"/>
      <c r="G24" s="108"/>
      <c r="H24" s="108"/>
      <c r="I24" s="108"/>
      <c r="J24" s="108"/>
      <c r="K24" s="108"/>
      <c r="L24" s="108"/>
      <c r="M24" s="108"/>
      <c r="N24" s="108"/>
      <c r="O24" s="108"/>
    </row>
    <row r="25" spans="1:15" s="110" customFormat="1" ht="20" x14ac:dyDescent="0.2">
      <c r="A25" s="108"/>
      <c r="B25" s="108"/>
      <c r="C25" s="109"/>
      <c r="D25" s="109"/>
      <c r="E25" s="108"/>
      <c r="F25" s="113"/>
      <c r="G25" s="108"/>
      <c r="H25" s="108"/>
      <c r="I25" s="108"/>
      <c r="J25" s="108"/>
      <c r="K25" s="108"/>
      <c r="L25" s="108"/>
      <c r="M25" s="108"/>
      <c r="N25" s="108"/>
      <c r="O25" s="108"/>
    </row>
    <row r="26" spans="1:15" s="110" customFormat="1" ht="20" x14ac:dyDescent="0.2">
      <c r="A26" s="108"/>
      <c r="B26" s="108"/>
      <c r="C26" s="109"/>
      <c r="D26" s="109"/>
      <c r="E26" s="108"/>
      <c r="F26" s="113"/>
      <c r="G26" s="108"/>
      <c r="H26" s="108"/>
      <c r="I26" s="108"/>
      <c r="J26" s="108"/>
      <c r="K26" s="108"/>
      <c r="L26" s="108"/>
      <c r="M26" s="108"/>
      <c r="N26" s="108"/>
      <c r="O26" s="108"/>
    </row>
    <row r="27" spans="1:15" s="110" customFormat="1" ht="20" x14ac:dyDescent="0.2">
      <c r="A27" s="108"/>
      <c r="B27" s="108"/>
      <c r="C27" s="109"/>
      <c r="D27" s="109"/>
      <c r="E27" s="108"/>
      <c r="F27" s="113"/>
      <c r="G27" s="108"/>
      <c r="H27" s="108"/>
      <c r="I27" s="108"/>
      <c r="J27" s="108"/>
      <c r="K27" s="108"/>
      <c r="L27" s="108"/>
      <c r="M27" s="108"/>
      <c r="N27" s="108"/>
      <c r="O27" s="108"/>
    </row>
    <row r="28" spans="1:15" s="110" customFormat="1" ht="20" x14ac:dyDescent="0.2">
      <c r="A28" s="108"/>
      <c r="B28" s="108"/>
      <c r="C28" s="109"/>
      <c r="D28" s="109"/>
      <c r="E28" s="108"/>
      <c r="F28" s="113"/>
      <c r="G28" s="108"/>
      <c r="H28" s="108"/>
      <c r="I28" s="108"/>
      <c r="J28" s="108"/>
      <c r="K28" s="108"/>
      <c r="L28" s="108"/>
      <c r="M28" s="108"/>
      <c r="N28" s="108"/>
      <c r="O28" s="108"/>
    </row>
    <row r="29" spans="1:15" s="110" customFormat="1" ht="20" x14ac:dyDescent="0.2">
      <c r="A29" s="108"/>
      <c r="B29" s="108"/>
      <c r="C29" s="109"/>
      <c r="D29" s="109"/>
      <c r="E29" s="108"/>
      <c r="F29" s="113"/>
      <c r="G29" s="108"/>
      <c r="H29" s="108"/>
      <c r="I29" s="108"/>
      <c r="J29" s="108"/>
      <c r="K29" s="108"/>
      <c r="L29" s="108"/>
      <c r="M29" s="108"/>
      <c r="N29" s="108"/>
      <c r="O29" s="108"/>
    </row>
    <row r="30" spans="1:15" s="110" customFormat="1" ht="20" x14ac:dyDescent="0.2">
      <c r="A30" s="108"/>
      <c r="B30" s="108"/>
      <c r="C30" s="109"/>
      <c r="D30" s="109"/>
      <c r="E30" s="108"/>
      <c r="F30" s="113"/>
      <c r="G30" s="108"/>
      <c r="H30" s="108"/>
      <c r="I30" s="108"/>
      <c r="J30" s="108"/>
      <c r="K30" s="108"/>
      <c r="L30" s="108"/>
      <c r="M30" s="108"/>
      <c r="N30" s="108"/>
      <c r="O30" s="108"/>
    </row>
    <row r="31" spans="1:15" s="110" customFormat="1" ht="20" x14ac:dyDescent="0.2">
      <c r="A31" s="108"/>
      <c r="B31" s="108"/>
      <c r="C31" s="109"/>
      <c r="D31" s="109"/>
      <c r="E31" s="108"/>
      <c r="F31" s="113"/>
      <c r="G31" s="108"/>
      <c r="H31" s="108"/>
      <c r="I31" s="108"/>
      <c r="J31" s="108"/>
      <c r="K31" s="108"/>
      <c r="L31" s="108"/>
      <c r="M31" s="108"/>
      <c r="N31" s="108"/>
      <c r="O31" s="108"/>
    </row>
    <row r="32" spans="1:15" s="110" customFormat="1" ht="20" x14ac:dyDescent="0.2">
      <c r="A32" s="108"/>
      <c r="B32" s="108"/>
      <c r="C32" s="109"/>
      <c r="D32" s="109"/>
      <c r="E32" s="108"/>
      <c r="F32" s="113"/>
      <c r="G32" s="108"/>
      <c r="H32" s="108"/>
      <c r="I32" s="108"/>
      <c r="J32" s="108"/>
      <c r="K32" s="108"/>
      <c r="L32" s="108"/>
      <c r="M32" s="108"/>
      <c r="N32" s="108"/>
      <c r="O32" s="108"/>
    </row>
    <row r="33" spans="1:15" s="110" customFormat="1" ht="20" x14ac:dyDescent="0.2">
      <c r="A33" s="108"/>
      <c r="B33" s="108"/>
      <c r="C33" s="109"/>
      <c r="D33" s="109"/>
      <c r="E33" s="108"/>
      <c r="F33" s="113"/>
      <c r="G33" s="108"/>
      <c r="H33" s="108"/>
      <c r="I33" s="108"/>
      <c r="J33" s="108"/>
      <c r="K33" s="108"/>
      <c r="L33" s="108"/>
      <c r="M33" s="108"/>
      <c r="N33" s="108"/>
      <c r="O33" s="108"/>
    </row>
    <row r="34" spans="1:15" s="110" customFormat="1" ht="20" x14ac:dyDescent="0.2">
      <c r="A34" s="108"/>
      <c r="B34" s="108"/>
      <c r="C34" s="109"/>
      <c r="D34" s="109"/>
      <c r="E34" s="108"/>
      <c r="F34" s="113"/>
      <c r="G34" s="108"/>
      <c r="H34" s="108"/>
      <c r="I34" s="108"/>
      <c r="J34" s="108"/>
      <c r="K34" s="108"/>
      <c r="L34" s="108"/>
      <c r="M34" s="108"/>
      <c r="N34" s="108"/>
      <c r="O34" s="108"/>
    </row>
    <row r="35" spans="1:15" s="110" customFormat="1" ht="20" x14ac:dyDescent="0.2">
      <c r="A35" s="108"/>
      <c r="B35" s="108"/>
      <c r="C35" s="109"/>
      <c r="D35" s="109"/>
      <c r="E35" s="108"/>
      <c r="F35" s="113"/>
      <c r="G35" s="108"/>
      <c r="H35" s="108"/>
      <c r="I35" s="108"/>
      <c r="J35" s="108"/>
      <c r="K35" s="108"/>
      <c r="L35" s="108"/>
      <c r="M35" s="108"/>
      <c r="N35" s="108"/>
      <c r="O35" s="108"/>
    </row>
    <row r="36" spans="1:15" s="110" customFormat="1" ht="20" x14ac:dyDescent="0.2">
      <c r="A36" s="108"/>
      <c r="B36" s="108"/>
      <c r="C36" s="109"/>
      <c r="D36" s="109"/>
      <c r="E36" s="108"/>
      <c r="F36" s="113"/>
      <c r="G36" s="108"/>
      <c r="H36" s="108"/>
      <c r="I36" s="108"/>
      <c r="J36" s="108"/>
      <c r="K36" s="108"/>
      <c r="L36" s="108"/>
      <c r="M36" s="108"/>
      <c r="N36" s="108"/>
      <c r="O36" s="108"/>
    </row>
    <row r="37" spans="1:15" s="110" customFormat="1" ht="20" x14ac:dyDescent="0.2">
      <c r="A37" s="108"/>
      <c r="B37" s="108"/>
      <c r="C37" s="109"/>
      <c r="D37" s="109"/>
      <c r="E37" s="108"/>
      <c r="F37" s="113"/>
      <c r="G37" s="108"/>
      <c r="H37" s="108"/>
      <c r="I37" s="108"/>
      <c r="J37" s="108"/>
      <c r="K37" s="108"/>
      <c r="L37" s="108"/>
      <c r="M37" s="108"/>
      <c r="N37" s="108"/>
      <c r="O37" s="108"/>
    </row>
    <row r="38" spans="1:15" s="110" customFormat="1" ht="20" x14ac:dyDescent="0.2">
      <c r="A38" s="108"/>
      <c r="B38" s="108"/>
      <c r="C38" s="109"/>
      <c r="D38" s="109"/>
      <c r="E38" s="108"/>
      <c r="F38" s="113"/>
      <c r="G38" s="108"/>
      <c r="H38" s="108"/>
      <c r="I38" s="108"/>
      <c r="J38" s="108"/>
      <c r="K38" s="108"/>
      <c r="L38" s="108"/>
      <c r="M38" s="108"/>
      <c r="N38" s="108"/>
      <c r="O38" s="108"/>
    </row>
    <row r="39" spans="1:15" s="110" customFormat="1" ht="20" x14ac:dyDescent="0.2">
      <c r="A39" s="108"/>
      <c r="B39" s="108"/>
      <c r="C39" s="109"/>
      <c r="D39" s="109"/>
      <c r="E39" s="108"/>
      <c r="F39" s="113"/>
      <c r="G39" s="108"/>
      <c r="H39" s="108"/>
      <c r="I39" s="108"/>
      <c r="J39" s="108"/>
      <c r="K39" s="108"/>
      <c r="L39" s="108"/>
      <c r="M39" s="108"/>
      <c r="N39" s="108"/>
      <c r="O39" s="108"/>
    </row>
    <row r="40" spans="1:15" s="110" customFormat="1" ht="20" x14ac:dyDescent="0.2">
      <c r="A40" s="108"/>
      <c r="B40" s="108"/>
      <c r="C40" s="109"/>
      <c r="D40" s="109"/>
      <c r="E40" s="108"/>
      <c r="F40" s="113"/>
      <c r="G40" s="108"/>
      <c r="H40" s="108"/>
      <c r="I40" s="108"/>
      <c r="J40" s="108"/>
      <c r="K40" s="108"/>
      <c r="L40" s="108"/>
      <c r="M40" s="108"/>
      <c r="N40" s="108"/>
      <c r="O40" s="108"/>
    </row>
    <row r="41" spans="1:15" s="110" customFormat="1" ht="20" x14ac:dyDescent="0.2">
      <c r="A41" s="108"/>
      <c r="B41" s="108"/>
      <c r="C41" s="109"/>
      <c r="D41" s="109"/>
      <c r="E41" s="108"/>
      <c r="F41" s="113"/>
      <c r="G41" s="108"/>
      <c r="H41" s="108"/>
      <c r="I41" s="108"/>
      <c r="J41" s="108"/>
      <c r="K41" s="108"/>
      <c r="L41" s="108"/>
      <c r="M41" s="108"/>
      <c r="N41" s="108"/>
      <c r="O41" s="108"/>
    </row>
    <row r="42" spans="1:15" s="110" customFormat="1" ht="20" x14ac:dyDescent="0.2">
      <c r="A42" s="108"/>
      <c r="B42" s="108"/>
      <c r="C42" s="109"/>
      <c r="D42" s="109"/>
      <c r="E42" s="108"/>
      <c r="F42" s="113"/>
      <c r="G42" s="108"/>
      <c r="H42" s="108"/>
      <c r="I42" s="108"/>
      <c r="J42" s="108"/>
      <c r="K42" s="108"/>
      <c r="L42" s="108"/>
      <c r="M42" s="108"/>
      <c r="N42" s="108"/>
      <c r="O42" s="108"/>
    </row>
    <row r="43" spans="1:15" s="110" customFormat="1" ht="20" x14ac:dyDescent="0.2">
      <c r="A43" s="108"/>
      <c r="B43" s="108"/>
      <c r="C43" s="109"/>
      <c r="D43" s="109"/>
      <c r="E43" s="108"/>
      <c r="F43" s="113"/>
      <c r="G43" s="108"/>
      <c r="H43" s="108"/>
      <c r="I43" s="108"/>
      <c r="J43" s="108"/>
      <c r="K43" s="108"/>
      <c r="L43" s="108"/>
      <c r="M43" s="108"/>
      <c r="N43" s="108"/>
      <c r="O43" s="108"/>
    </row>
    <row r="44" spans="1:15" s="110" customFormat="1" ht="20" x14ac:dyDescent="0.2">
      <c r="A44" s="108"/>
      <c r="B44" s="108"/>
      <c r="C44" s="109"/>
      <c r="D44" s="109"/>
      <c r="E44" s="108"/>
      <c r="F44" s="113"/>
      <c r="G44" s="108"/>
      <c r="H44" s="108"/>
      <c r="I44" s="108"/>
      <c r="J44" s="108"/>
      <c r="K44" s="108"/>
      <c r="L44" s="108"/>
      <c r="M44" s="108"/>
      <c r="N44" s="108"/>
      <c r="O44" s="108"/>
    </row>
    <row r="45" spans="1:15" s="110" customFormat="1" ht="20" x14ac:dyDescent="0.2">
      <c r="A45" s="108"/>
      <c r="B45" s="108"/>
      <c r="C45" s="109"/>
      <c r="D45" s="109"/>
      <c r="E45" s="108"/>
      <c r="F45" s="113"/>
      <c r="G45" s="108"/>
      <c r="H45" s="108"/>
      <c r="I45" s="108"/>
      <c r="J45" s="108"/>
      <c r="K45" s="108"/>
      <c r="L45" s="108"/>
      <c r="M45" s="108"/>
      <c r="N45" s="108"/>
      <c r="O45" s="108"/>
    </row>
    <row r="46" spans="1:15" s="110" customFormat="1" ht="20" x14ac:dyDescent="0.2">
      <c r="A46" s="108"/>
      <c r="B46" s="108"/>
      <c r="C46" s="109"/>
      <c r="D46" s="109"/>
      <c r="E46" s="108"/>
      <c r="F46" s="113"/>
      <c r="G46" s="108"/>
      <c r="H46" s="108"/>
      <c r="I46" s="108"/>
      <c r="J46" s="108"/>
      <c r="K46" s="108"/>
      <c r="L46" s="108"/>
      <c r="M46" s="108"/>
      <c r="N46" s="108"/>
      <c r="O46" s="108"/>
    </row>
    <row r="47" spans="1:15" ht="20" x14ac:dyDescent="0.2">
      <c r="A47" s="86"/>
      <c r="B47" s="86"/>
      <c r="C47" s="87"/>
      <c r="D47" s="87"/>
      <c r="E47" s="66"/>
      <c r="F47" s="112"/>
      <c r="G47" s="66"/>
      <c r="H47" s="66"/>
      <c r="I47" s="66"/>
      <c r="J47" s="66"/>
      <c r="K47" s="66"/>
      <c r="L47" s="66"/>
      <c r="M47" s="66"/>
      <c r="N47" s="66"/>
      <c r="O47" s="66"/>
    </row>
    <row r="48" spans="1:15" ht="20" x14ac:dyDescent="0.2">
      <c r="A48" s="86"/>
      <c r="B48" s="86"/>
      <c r="C48" s="87"/>
      <c r="D48" s="87"/>
      <c r="E48" s="66"/>
      <c r="F48" s="112"/>
      <c r="G48" s="66"/>
      <c r="H48" s="66"/>
      <c r="I48" s="66"/>
      <c r="J48" s="66"/>
      <c r="K48" s="66"/>
      <c r="L48" s="66"/>
      <c r="M48" s="66"/>
      <c r="N48" s="66"/>
      <c r="O48" s="66"/>
    </row>
    <row r="49" spans="1:15" ht="20" x14ac:dyDescent="0.2">
      <c r="A49" s="86"/>
      <c r="B49" s="86"/>
      <c r="C49" s="87"/>
      <c r="D49" s="87"/>
      <c r="E49" s="66"/>
      <c r="F49" s="112"/>
      <c r="G49" s="66"/>
      <c r="H49" s="66"/>
      <c r="I49" s="66"/>
      <c r="J49" s="66"/>
      <c r="K49" s="66"/>
      <c r="L49" s="66"/>
      <c r="M49" s="66"/>
      <c r="N49" s="66"/>
      <c r="O49" s="66"/>
    </row>
    <row r="50" spans="1:15" ht="20" x14ac:dyDescent="0.2">
      <c r="A50" s="86"/>
      <c r="B50" s="86"/>
      <c r="C50" s="87"/>
      <c r="D50" s="87"/>
      <c r="E50" s="66"/>
      <c r="F50" s="112"/>
      <c r="G50" s="66"/>
      <c r="H50" s="66"/>
      <c r="I50" s="66"/>
      <c r="J50" s="66"/>
      <c r="K50" s="66"/>
      <c r="L50" s="66"/>
      <c r="M50" s="66"/>
      <c r="N50" s="66"/>
      <c r="O50" s="66"/>
    </row>
    <row r="51" spans="1:15" ht="20" x14ac:dyDescent="0.2">
      <c r="A51" s="86"/>
      <c r="B51" s="86"/>
      <c r="C51" s="87"/>
      <c r="D51" s="87"/>
      <c r="E51" s="66"/>
      <c r="F51" s="112"/>
      <c r="G51" s="66"/>
      <c r="H51" s="66"/>
      <c r="I51" s="66"/>
      <c r="J51" s="66"/>
      <c r="K51" s="66"/>
      <c r="L51" s="66"/>
      <c r="M51" s="66"/>
      <c r="N51" s="66"/>
      <c r="O51" s="66"/>
    </row>
    <row r="52" spans="1:15" ht="20" x14ac:dyDescent="0.2">
      <c r="A52" s="86"/>
      <c r="B52" s="86"/>
      <c r="C52" s="87"/>
      <c r="D52" s="87"/>
      <c r="E52" s="66"/>
      <c r="F52" s="112"/>
      <c r="G52" s="66"/>
      <c r="H52" s="66"/>
      <c r="I52" s="66"/>
      <c r="J52" s="66"/>
      <c r="K52" s="66"/>
      <c r="L52" s="66"/>
      <c r="M52" s="66"/>
      <c r="N52" s="66"/>
      <c r="O52" s="66"/>
    </row>
    <row r="53" spans="1:15" ht="20" x14ac:dyDescent="0.2">
      <c r="A53" s="86"/>
      <c r="B53" s="15"/>
      <c r="C53" s="20"/>
      <c r="D53" s="20"/>
    </row>
    <row r="54" spans="1:15" ht="20" x14ac:dyDescent="0.2">
      <c r="A54" s="86"/>
      <c r="B54" s="15"/>
      <c r="C54" s="20"/>
      <c r="D54" s="20"/>
    </row>
    <row r="55" spans="1:15" ht="20" x14ac:dyDescent="0.2">
      <c r="A55" s="86"/>
      <c r="B55" s="15"/>
      <c r="C55" s="20"/>
      <c r="D55" s="20"/>
    </row>
    <row r="56" spans="1:15" ht="20" x14ac:dyDescent="0.2">
      <c r="A56" s="86"/>
      <c r="B56" s="15"/>
      <c r="C56" s="20"/>
      <c r="D56" s="20"/>
    </row>
    <row r="57" spans="1:15" ht="20" x14ac:dyDescent="0.2">
      <c r="A57" s="86"/>
      <c r="B57" s="15"/>
      <c r="C57" s="20"/>
      <c r="D57" s="20"/>
    </row>
    <row r="58" spans="1:15" ht="20" x14ac:dyDescent="0.2">
      <c r="A58" s="86"/>
      <c r="B58" s="15"/>
      <c r="C58" s="20"/>
      <c r="D58" s="20"/>
    </row>
    <row r="59" spans="1:15" ht="20" x14ac:dyDescent="0.2">
      <c r="A59" s="86"/>
      <c r="B59" s="15"/>
      <c r="C59" s="20"/>
      <c r="D59" s="20"/>
    </row>
    <row r="60" spans="1:15" ht="20" x14ac:dyDescent="0.2">
      <c r="A60" s="86"/>
      <c r="B60" s="15"/>
      <c r="C60" s="20"/>
      <c r="D60" s="20"/>
    </row>
    <row r="61" spans="1:15" ht="20" x14ac:dyDescent="0.2">
      <c r="A61" s="86"/>
      <c r="B61" s="15"/>
      <c r="C61" s="20"/>
      <c r="D61" s="20"/>
    </row>
    <row r="62" spans="1:15" ht="20" x14ac:dyDescent="0.2">
      <c r="A62" s="86"/>
      <c r="B62" s="15"/>
      <c r="C62" s="20"/>
      <c r="D62" s="20"/>
    </row>
    <row r="63" spans="1:15" ht="20" x14ac:dyDescent="0.2">
      <c r="A63" s="86"/>
      <c r="B63" s="15"/>
      <c r="C63" s="20"/>
      <c r="D63" s="20"/>
    </row>
    <row r="64" spans="1:15" ht="20" x14ac:dyDescent="0.2">
      <c r="A64" s="86"/>
      <c r="B64" s="15"/>
      <c r="C64" s="20"/>
      <c r="D64" s="20"/>
    </row>
    <row r="65" spans="1:4" ht="20" x14ac:dyDescent="0.2">
      <c r="A65" s="86"/>
      <c r="B65" s="15"/>
      <c r="C65" s="20"/>
      <c r="D65" s="20"/>
    </row>
    <row r="66" spans="1:4" ht="20" x14ac:dyDescent="0.2">
      <c r="A66" s="86"/>
      <c r="B66" s="15"/>
      <c r="C66" s="20"/>
      <c r="D66" s="20"/>
    </row>
    <row r="67" spans="1:4" ht="20" x14ac:dyDescent="0.2">
      <c r="A67" s="86"/>
      <c r="B67" s="15"/>
      <c r="C67" s="20"/>
      <c r="D67" s="20"/>
    </row>
    <row r="68" spans="1:4" ht="20" x14ac:dyDescent="0.2">
      <c r="A68" s="86"/>
      <c r="B68" s="15"/>
      <c r="C68" s="20"/>
      <c r="D68" s="20"/>
    </row>
    <row r="69" spans="1:4" ht="20" x14ac:dyDescent="0.2">
      <c r="A69" s="86"/>
      <c r="B69" s="15"/>
      <c r="C69" s="20"/>
      <c r="D69" s="20"/>
    </row>
    <row r="70" spans="1:4" ht="20" x14ac:dyDescent="0.2">
      <c r="A70" s="86"/>
      <c r="B70" s="15"/>
      <c r="C70" s="20"/>
      <c r="D70" s="20"/>
    </row>
    <row r="71" spans="1:4" ht="20" x14ac:dyDescent="0.2">
      <c r="A71" s="86"/>
      <c r="B71" s="15"/>
      <c r="C71" s="20"/>
      <c r="D71" s="20"/>
    </row>
    <row r="72" spans="1:4" ht="20" x14ac:dyDescent="0.2">
      <c r="A72" s="86"/>
      <c r="B72" s="15"/>
      <c r="C72" s="20"/>
      <c r="D72" s="20"/>
    </row>
    <row r="73" spans="1:4" ht="20" x14ac:dyDescent="0.2">
      <c r="A73" s="86"/>
      <c r="B73" s="15"/>
      <c r="C73" s="20"/>
      <c r="D73" s="20"/>
    </row>
    <row r="74" spans="1:4" ht="20" x14ac:dyDescent="0.2">
      <c r="A74" s="86"/>
      <c r="B74" s="15"/>
      <c r="C74" s="20"/>
      <c r="D74" s="20"/>
    </row>
    <row r="75" spans="1:4" ht="20" x14ac:dyDescent="0.2">
      <c r="A75" s="86"/>
      <c r="B75" s="15"/>
      <c r="C75" s="20"/>
      <c r="D75" s="20"/>
    </row>
    <row r="76" spans="1:4" ht="20" x14ac:dyDescent="0.2">
      <c r="A76" s="86"/>
      <c r="B76" s="15"/>
      <c r="C76" s="20"/>
      <c r="D76" s="20"/>
    </row>
    <row r="77" spans="1:4" ht="20" x14ac:dyDescent="0.2">
      <c r="A77" s="86"/>
      <c r="B77" s="15"/>
      <c r="C77" s="20"/>
      <c r="D77" s="20"/>
    </row>
    <row r="78" spans="1:4" ht="20" x14ac:dyDescent="0.2">
      <c r="A78" s="86"/>
      <c r="B78" s="15"/>
      <c r="C78" s="20"/>
      <c r="D78" s="20"/>
    </row>
    <row r="79" spans="1:4" ht="20" x14ac:dyDescent="0.2">
      <c r="A79" s="86"/>
      <c r="B79" s="15"/>
      <c r="C79" s="20"/>
      <c r="D79" s="20"/>
    </row>
    <row r="80" spans="1:4" ht="20" x14ac:dyDescent="0.2">
      <c r="A80" s="86"/>
      <c r="B80" s="15"/>
      <c r="C80" s="20"/>
      <c r="D80" s="20"/>
    </row>
    <row r="81" spans="1:4" ht="20" x14ac:dyDescent="0.2">
      <c r="A81" s="86"/>
      <c r="B81" s="15"/>
      <c r="C81" s="20"/>
      <c r="D81" s="20"/>
    </row>
    <row r="82" spans="1:4" ht="20" x14ac:dyDescent="0.2">
      <c r="A82" s="86"/>
      <c r="B82" s="15"/>
      <c r="C82" s="20"/>
      <c r="D82" s="20"/>
    </row>
    <row r="83" spans="1:4" ht="20" x14ac:dyDescent="0.2">
      <c r="A83" s="86"/>
      <c r="B83" s="15"/>
      <c r="C83" s="20"/>
      <c r="D83" s="20"/>
    </row>
    <row r="84" spans="1:4" ht="20" x14ac:dyDescent="0.2">
      <c r="A84" s="86"/>
      <c r="B84" s="15"/>
      <c r="C84" s="20"/>
      <c r="D84" s="20"/>
    </row>
    <row r="85" spans="1:4" ht="20" x14ac:dyDescent="0.2">
      <c r="A85" s="86"/>
      <c r="B85" s="15"/>
      <c r="C85" s="20"/>
      <c r="D85" s="20"/>
    </row>
    <row r="86" spans="1:4" ht="20" x14ac:dyDescent="0.2">
      <c r="A86" s="86"/>
      <c r="B86" s="15"/>
      <c r="C86" s="20"/>
      <c r="D86" s="20"/>
    </row>
    <row r="87" spans="1:4" ht="20" x14ac:dyDescent="0.2">
      <c r="A87" s="86"/>
      <c r="B87" s="15"/>
      <c r="C87" s="20"/>
      <c r="D87" s="20"/>
    </row>
    <row r="88" spans="1:4" ht="20" x14ac:dyDescent="0.2">
      <c r="A88" s="86"/>
      <c r="B88" s="15"/>
      <c r="C88" s="20"/>
      <c r="D88" s="20"/>
    </row>
    <row r="89" spans="1:4" ht="20" x14ac:dyDescent="0.2">
      <c r="A89" s="86"/>
      <c r="B89" s="15"/>
      <c r="C89" s="20"/>
      <c r="D89" s="20"/>
    </row>
    <row r="90" spans="1:4" ht="20" x14ac:dyDescent="0.2">
      <c r="A90" s="86"/>
      <c r="B90" s="15"/>
      <c r="C90" s="20"/>
      <c r="D90" s="20"/>
    </row>
    <row r="91" spans="1:4" ht="20" x14ac:dyDescent="0.2">
      <c r="A91" s="86"/>
      <c r="B91" s="15"/>
      <c r="C91" s="20"/>
      <c r="D91" s="20"/>
    </row>
    <row r="92" spans="1:4" ht="20" x14ac:dyDescent="0.2">
      <c r="A92" s="86"/>
      <c r="B92" s="15"/>
      <c r="C92" s="20"/>
      <c r="D92" s="20"/>
    </row>
    <row r="93" spans="1:4" ht="20" x14ac:dyDescent="0.2">
      <c r="A93" s="86"/>
      <c r="B93" s="15"/>
      <c r="C93" s="20"/>
      <c r="D93" s="20"/>
    </row>
    <row r="94" spans="1:4" ht="20" x14ac:dyDescent="0.2">
      <c r="A94" s="86"/>
      <c r="B94" s="15"/>
      <c r="C94" s="20"/>
      <c r="D94" s="20"/>
    </row>
    <row r="95" spans="1:4" ht="20" x14ac:dyDescent="0.2">
      <c r="A95" s="86"/>
      <c r="B95" s="15"/>
      <c r="C95" s="20"/>
      <c r="D95" s="20"/>
    </row>
    <row r="96" spans="1:4" ht="20" x14ac:dyDescent="0.2">
      <c r="A96" s="86"/>
      <c r="B96" s="15"/>
      <c r="C96" s="20"/>
      <c r="D96" s="20"/>
    </row>
    <row r="97" spans="1:4" ht="20" x14ac:dyDescent="0.2">
      <c r="A97" s="86"/>
      <c r="B97" s="15"/>
      <c r="C97" s="20"/>
      <c r="D97" s="20"/>
    </row>
    <row r="98" spans="1:4" ht="20" x14ac:dyDescent="0.2">
      <c r="A98" s="86"/>
      <c r="B98" s="15"/>
      <c r="C98" s="20"/>
      <c r="D98" s="20"/>
    </row>
    <row r="99" spans="1:4" ht="20" x14ac:dyDescent="0.2">
      <c r="A99" s="86"/>
      <c r="B99" s="15"/>
      <c r="C99" s="20"/>
      <c r="D99" s="20"/>
    </row>
    <row r="100" spans="1:4" ht="20" x14ac:dyDescent="0.2">
      <c r="A100" s="86"/>
      <c r="B100" s="15"/>
      <c r="C100" s="20"/>
      <c r="D100" s="20"/>
    </row>
    <row r="101" spans="1:4" ht="20" x14ac:dyDescent="0.2">
      <c r="A101" s="86"/>
      <c r="B101" s="15"/>
      <c r="C101" s="20"/>
      <c r="D101" s="20"/>
    </row>
    <row r="102" spans="1:4" ht="20" x14ac:dyDescent="0.2">
      <c r="A102" s="86"/>
      <c r="B102" s="15"/>
      <c r="C102" s="20"/>
      <c r="D102" s="20"/>
    </row>
    <row r="103" spans="1:4" ht="20" x14ac:dyDescent="0.2">
      <c r="A103" s="86"/>
      <c r="B103" s="15"/>
      <c r="C103" s="20"/>
      <c r="D103" s="20"/>
    </row>
    <row r="104" spans="1:4" ht="20" x14ac:dyDescent="0.2">
      <c r="A104" s="86"/>
      <c r="B104" s="15"/>
      <c r="C104" s="20"/>
      <c r="D104" s="20"/>
    </row>
    <row r="105" spans="1:4" ht="20" x14ac:dyDescent="0.2">
      <c r="A105" s="86"/>
      <c r="B105" s="15"/>
      <c r="C105" s="20"/>
      <c r="D105" s="20"/>
    </row>
    <row r="106" spans="1:4" ht="20" x14ac:dyDescent="0.2">
      <c r="A106" s="86"/>
      <c r="B106" s="15"/>
      <c r="C106" s="20"/>
      <c r="D106" s="20"/>
    </row>
    <row r="107" spans="1:4" ht="20" x14ac:dyDescent="0.2">
      <c r="A107" s="86"/>
      <c r="B107" s="15"/>
      <c r="C107" s="20"/>
      <c r="D107" s="20"/>
    </row>
    <row r="108" spans="1:4" ht="20" x14ac:dyDescent="0.2">
      <c r="A108" s="86"/>
      <c r="B108" s="15"/>
      <c r="C108" s="20"/>
      <c r="D108" s="20"/>
    </row>
    <row r="109" spans="1:4" ht="20" x14ac:dyDescent="0.2">
      <c r="A109" s="86"/>
      <c r="B109" s="15"/>
      <c r="C109" s="20"/>
      <c r="D109" s="20"/>
    </row>
    <row r="110" spans="1:4" ht="20" x14ac:dyDescent="0.2">
      <c r="A110" s="86"/>
      <c r="B110" s="15"/>
      <c r="C110" s="20"/>
      <c r="D110" s="20"/>
    </row>
    <row r="111" spans="1:4" ht="20" x14ac:dyDescent="0.2">
      <c r="A111" s="86"/>
      <c r="B111" s="15"/>
      <c r="C111" s="20"/>
      <c r="D111" s="20"/>
    </row>
    <row r="112" spans="1:4" ht="20" x14ac:dyDescent="0.2">
      <c r="A112" s="86"/>
      <c r="B112" s="15"/>
      <c r="C112" s="20"/>
      <c r="D112" s="20"/>
    </row>
    <row r="113" spans="1:4" ht="20" x14ac:dyDescent="0.2">
      <c r="A113" s="86"/>
      <c r="B113" s="15"/>
      <c r="C113" s="20"/>
      <c r="D113" s="20"/>
    </row>
    <row r="114" spans="1:4" ht="20" x14ac:dyDescent="0.2">
      <c r="A114" s="86"/>
      <c r="B114" s="15"/>
      <c r="C114" s="20"/>
      <c r="D114" s="20"/>
    </row>
    <row r="115" spans="1:4" ht="20" x14ac:dyDescent="0.2">
      <c r="A115" s="86"/>
      <c r="B115" s="15"/>
      <c r="C115" s="20"/>
      <c r="D115" s="20"/>
    </row>
    <row r="116" spans="1:4" ht="20" x14ac:dyDescent="0.2">
      <c r="A116" s="86"/>
      <c r="B116" s="15"/>
      <c r="C116" s="20"/>
      <c r="D116" s="20"/>
    </row>
    <row r="117" spans="1:4" ht="20" x14ac:dyDescent="0.2">
      <c r="A117" s="86"/>
      <c r="B117" s="15"/>
      <c r="C117" s="20"/>
      <c r="D117" s="20"/>
    </row>
    <row r="118" spans="1:4" ht="20" x14ac:dyDescent="0.2">
      <c r="A118" s="86"/>
      <c r="B118" s="15"/>
      <c r="C118" s="20"/>
      <c r="D118" s="20"/>
    </row>
    <row r="119" spans="1:4" ht="20" x14ac:dyDescent="0.2">
      <c r="A119" s="86"/>
      <c r="B119" s="15"/>
      <c r="C119" s="20"/>
      <c r="D119" s="20"/>
    </row>
    <row r="120" spans="1:4" ht="20" x14ac:dyDescent="0.2">
      <c r="A120" s="86"/>
      <c r="B120" s="15"/>
      <c r="C120" s="20"/>
      <c r="D120" s="20"/>
    </row>
    <row r="121" spans="1:4" ht="20" x14ac:dyDescent="0.2">
      <c r="A121" s="86"/>
      <c r="B121" s="15"/>
      <c r="C121" s="20"/>
      <c r="D121" s="20"/>
    </row>
    <row r="122" spans="1:4" ht="20" x14ac:dyDescent="0.2">
      <c r="A122" s="86"/>
      <c r="B122" s="15"/>
      <c r="C122" s="20"/>
      <c r="D122" s="20"/>
    </row>
    <row r="123" spans="1:4" ht="20" x14ac:dyDescent="0.2">
      <c r="A123" s="86"/>
      <c r="B123" s="15"/>
      <c r="C123" s="20"/>
      <c r="D123" s="20"/>
    </row>
    <row r="124" spans="1:4" ht="20" x14ac:dyDescent="0.2">
      <c r="A124" s="86"/>
      <c r="B124" s="15"/>
      <c r="C124" s="20"/>
      <c r="D124" s="20"/>
    </row>
    <row r="125" spans="1:4" ht="20" x14ac:dyDescent="0.2">
      <c r="A125" s="86"/>
      <c r="B125" s="15"/>
      <c r="C125" s="20"/>
      <c r="D125" s="20"/>
    </row>
    <row r="126" spans="1:4" ht="20" x14ac:dyDescent="0.2">
      <c r="A126" s="86"/>
      <c r="B126" s="15"/>
      <c r="C126" s="20"/>
      <c r="D126" s="20"/>
    </row>
    <row r="127" spans="1:4" ht="20" x14ac:dyDescent="0.2">
      <c r="A127" s="86"/>
      <c r="B127" s="15"/>
      <c r="C127" s="20"/>
      <c r="D127" s="20"/>
    </row>
    <row r="128" spans="1:4" ht="20" x14ac:dyDescent="0.2">
      <c r="A128" s="86"/>
      <c r="B128" s="15"/>
      <c r="C128" s="20"/>
      <c r="D128" s="20"/>
    </row>
    <row r="129" spans="1:4" ht="20" x14ac:dyDescent="0.2">
      <c r="A129" s="86"/>
      <c r="B129" s="15"/>
      <c r="C129" s="20"/>
      <c r="D129" s="20"/>
    </row>
    <row r="130" spans="1:4" ht="20" x14ac:dyDescent="0.2">
      <c r="A130" s="86"/>
      <c r="B130" s="15"/>
      <c r="C130" s="20"/>
      <c r="D130" s="20"/>
    </row>
    <row r="131" spans="1:4" ht="20" x14ac:dyDescent="0.2">
      <c r="A131" s="86"/>
      <c r="B131" s="15"/>
      <c r="C131" s="20"/>
      <c r="D131" s="20"/>
    </row>
    <row r="132" spans="1:4" ht="20" x14ac:dyDescent="0.2">
      <c r="A132" s="86"/>
      <c r="B132" s="15"/>
      <c r="C132" s="20"/>
      <c r="D132" s="20"/>
    </row>
    <row r="133" spans="1:4" ht="20" x14ac:dyDescent="0.2">
      <c r="A133" s="86"/>
      <c r="B133" s="15"/>
      <c r="C133" s="20"/>
      <c r="D133" s="20"/>
    </row>
    <row r="134" spans="1:4" ht="20" x14ac:dyDescent="0.2">
      <c r="A134" s="86"/>
      <c r="B134" s="15"/>
      <c r="C134" s="20"/>
      <c r="D134" s="20"/>
    </row>
    <row r="135" spans="1:4" ht="20" x14ac:dyDescent="0.2">
      <c r="A135" s="86"/>
      <c r="B135" s="15"/>
      <c r="C135" s="20"/>
      <c r="D135" s="20"/>
    </row>
    <row r="136" spans="1:4" ht="20" x14ac:dyDescent="0.2">
      <c r="A136" s="86"/>
      <c r="B136" s="15"/>
      <c r="C136" s="20"/>
      <c r="D136" s="20"/>
    </row>
    <row r="137" spans="1:4" ht="20" x14ac:dyDescent="0.2">
      <c r="A137" s="86"/>
      <c r="B137" s="15"/>
      <c r="C137" s="20"/>
      <c r="D137" s="20"/>
    </row>
    <row r="138" spans="1:4" ht="20" x14ac:dyDescent="0.2">
      <c r="A138" s="86"/>
      <c r="B138" s="15"/>
      <c r="C138" s="20"/>
      <c r="D138" s="20"/>
    </row>
    <row r="139" spans="1:4" ht="20" x14ac:dyDescent="0.2">
      <c r="A139" s="86"/>
      <c r="B139" s="15"/>
      <c r="C139" s="20"/>
      <c r="D139" s="20"/>
    </row>
    <row r="140" spans="1:4" ht="20" x14ac:dyDescent="0.2">
      <c r="A140" s="86"/>
      <c r="B140" s="15"/>
      <c r="C140" s="20"/>
      <c r="D140" s="20"/>
    </row>
    <row r="141" spans="1:4" ht="20" x14ac:dyDescent="0.2">
      <c r="A141" s="86"/>
      <c r="B141" s="15"/>
      <c r="C141" s="20"/>
      <c r="D141" s="20"/>
    </row>
    <row r="142" spans="1:4" ht="20" x14ac:dyDescent="0.2">
      <c r="A142" s="86"/>
      <c r="B142" s="15"/>
      <c r="C142" s="20"/>
      <c r="D142" s="20"/>
    </row>
    <row r="143" spans="1:4" ht="20" x14ac:dyDescent="0.2">
      <c r="A143" s="86"/>
      <c r="B143" s="15"/>
      <c r="C143" s="20"/>
      <c r="D143" s="20"/>
    </row>
    <row r="144" spans="1:4" ht="20" x14ac:dyDescent="0.2">
      <c r="A144" s="86"/>
      <c r="B144" s="15"/>
      <c r="C144" s="20"/>
      <c r="D144" s="20"/>
    </row>
    <row r="145" spans="1:4" ht="20" x14ac:dyDescent="0.2">
      <c r="A145" s="86"/>
      <c r="B145" s="15"/>
      <c r="C145" s="20"/>
      <c r="D145" s="20"/>
    </row>
    <row r="146" spans="1:4" ht="20" x14ac:dyDescent="0.2">
      <c r="A146" s="86"/>
      <c r="B146" s="15"/>
      <c r="C146" s="20"/>
      <c r="D146" s="20"/>
    </row>
    <row r="147" spans="1:4" ht="20" x14ac:dyDescent="0.2">
      <c r="A147" s="86"/>
      <c r="B147" s="15"/>
      <c r="C147" s="20"/>
      <c r="D147" s="20"/>
    </row>
    <row r="148" spans="1:4" ht="20" x14ac:dyDescent="0.2">
      <c r="A148" s="86"/>
      <c r="B148" s="15"/>
      <c r="C148" s="20"/>
      <c r="D148" s="20"/>
    </row>
    <row r="149" spans="1:4" ht="20" x14ac:dyDescent="0.2">
      <c r="A149" s="86"/>
      <c r="B149" s="15"/>
      <c r="C149" s="20"/>
      <c r="D149" s="20"/>
    </row>
    <row r="150" spans="1:4" ht="20" x14ac:dyDescent="0.2">
      <c r="A150" s="86"/>
      <c r="B150" s="15"/>
      <c r="C150" s="20"/>
      <c r="D150" s="20"/>
    </row>
    <row r="151" spans="1:4" ht="20" x14ac:dyDescent="0.2">
      <c r="A151" s="86"/>
      <c r="B151" s="15"/>
      <c r="C151" s="20"/>
      <c r="D151" s="20"/>
    </row>
    <row r="152" spans="1:4" ht="20" x14ac:dyDescent="0.2">
      <c r="A152" s="86"/>
      <c r="B152" s="15"/>
      <c r="C152" s="20"/>
      <c r="D152" s="20"/>
    </row>
    <row r="153" spans="1:4" ht="20" x14ac:dyDescent="0.2">
      <c r="A153" s="86"/>
      <c r="B153" s="15"/>
      <c r="C153" s="20"/>
      <c r="D153" s="20"/>
    </row>
    <row r="154" spans="1:4" ht="20" x14ac:dyDescent="0.2">
      <c r="A154" s="86"/>
      <c r="B154" s="15"/>
      <c r="C154" s="20"/>
      <c r="D154" s="20"/>
    </row>
    <row r="155" spans="1:4" ht="20" x14ac:dyDescent="0.2">
      <c r="A155" s="86"/>
      <c r="B155" s="15"/>
      <c r="C155" s="20"/>
      <c r="D155" s="20"/>
    </row>
    <row r="156" spans="1:4" ht="20" x14ac:dyDescent="0.2">
      <c r="A156" s="86"/>
      <c r="B156" s="15"/>
      <c r="C156" s="20"/>
      <c r="D156" s="20"/>
    </row>
    <row r="157" spans="1:4" ht="20" x14ac:dyDescent="0.2">
      <c r="A157" s="86"/>
      <c r="B157" s="15"/>
      <c r="C157" s="20"/>
      <c r="D157" s="20"/>
    </row>
    <row r="158" spans="1:4" ht="20" x14ac:dyDescent="0.2">
      <c r="A158" s="86"/>
      <c r="B158" s="15"/>
      <c r="C158" s="20"/>
      <c r="D158" s="20"/>
    </row>
    <row r="159" spans="1:4" ht="20" x14ac:dyDescent="0.2">
      <c r="A159" s="86"/>
      <c r="B159" s="15"/>
      <c r="C159" s="20"/>
      <c r="D159" s="20"/>
    </row>
    <row r="160" spans="1:4" ht="20" x14ac:dyDescent="0.2">
      <c r="A160" s="86"/>
      <c r="B160" s="15"/>
      <c r="C160" s="20"/>
      <c r="D160" s="20"/>
    </row>
    <row r="161" spans="1:4" ht="20" x14ac:dyDescent="0.2">
      <c r="A161" s="86"/>
      <c r="B161" s="15"/>
      <c r="C161" s="20"/>
      <c r="D161" s="20"/>
    </row>
    <row r="162" spans="1:4" ht="20" x14ac:dyDescent="0.2">
      <c r="A162" s="86"/>
      <c r="B162" s="15"/>
      <c r="C162" s="20"/>
      <c r="D162" s="20"/>
    </row>
    <row r="163" spans="1:4" ht="20" x14ac:dyDescent="0.2">
      <c r="A163" s="86"/>
      <c r="B163" s="15"/>
      <c r="C163" s="20"/>
      <c r="D163" s="20"/>
    </row>
    <row r="164" spans="1:4" ht="20" x14ac:dyDescent="0.2">
      <c r="A164" s="86"/>
      <c r="B164" s="15"/>
      <c r="C164" s="20"/>
      <c r="D164" s="20"/>
    </row>
    <row r="165" spans="1:4" ht="20" x14ac:dyDescent="0.2">
      <c r="A165" s="86"/>
      <c r="B165" s="15"/>
      <c r="C165" s="20"/>
      <c r="D165" s="20"/>
    </row>
    <row r="166" spans="1:4" ht="20" x14ac:dyDescent="0.2">
      <c r="A166" s="86"/>
      <c r="B166" s="15"/>
      <c r="C166" s="20"/>
      <c r="D166" s="20"/>
    </row>
    <row r="167" spans="1:4" ht="20" x14ac:dyDescent="0.2">
      <c r="A167" s="86"/>
      <c r="B167" s="15"/>
      <c r="C167" s="20"/>
      <c r="D167" s="20"/>
    </row>
    <row r="168" spans="1:4" ht="20" x14ac:dyDescent="0.2">
      <c r="A168" s="86"/>
      <c r="B168" s="15"/>
      <c r="C168" s="20"/>
      <c r="D168" s="20"/>
    </row>
    <row r="169" spans="1:4" ht="20" x14ac:dyDescent="0.2">
      <c r="A169" s="86"/>
      <c r="B169" s="15"/>
      <c r="C169" s="20"/>
      <c r="D169" s="20"/>
    </row>
    <row r="170" spans="1:4" ht="20" x14ac:dyDescent="0.2">
      <c r="A170" s="86"/>
      <c r="B170" s="15"/>
      <c r="C170" s="20"/>
      <c r="D170" s="20"/>
    </row>
    <row r="171" spans="1:4" ht="20" x14ac:dyDescent="0.2">
      <c r="A171" s="86"/>
      <c r="B171" s="15"/>
      <c r="C171" s="20"/>
      <c r="D171" s="20"/>
    </row>
    <row r="172" spans="1:4" ht="20" x14ac:dyDescent="0.2">
      <c r="A172" s="86"/>
      <c r="B172" s="15"/>
      <c r="C172" s="20"/>
      <c r="D172" s="20"/>
    </row>
    <row r="173" spans="1:4" ht="20" x14ac:dyDescent="0.2">
      <c r="A173" s="86"/>
      <c r="B173" s="15"/>
      <c r="C173" s="20"/>
      <c r="D173" s="20"/>
    </row>
    <row r="174" spans="1:4" ht="20" x14ac:dyDescent="0.2">
      <c r="A174" s="86"/>
      <c r="B174" s="15"/>
      <c r="C174" s="20"/>
      <c r="D174" s="20"/>
    </row>
    <row r="175" spans="1:4" ht="20" x14ac:dyDescent="0.2">
      <c r="A175" s="86"/>
      <c r="B175" s="15"/>
      <c r="C175" s="20"/>
      <c r="D175" s="20"/>
    </row>
    <row r="176" spans="1:4" ht="20" x14ac:dyDescent="0.2">
      <c r="A176" s="86"/>
      <c r="B176" s="15"/>
      <c r="C176" s="20"/>
      <c r="D176" s="20"/>
    </row>
    <row r="177" spans="1:4" ht="20" x14ac:dyDescent="0.2">
      <c r="A177" s="86"/>
      <c r="B177" s="15"/>
      <c r="C177" s="20"/>
      <c r="D177" s="20"/>
    </row>
    <row r="178" spans="1:4" ht="20" x14ac:dyDescent="0.2">
      <c r="A178" s="86"/>
      <c r="B178" s="15"/>
      <c r="C178" s="20"/>
      <c r="D178" s="20"/>
    </row>
    <row r="179" spans="1:4" ht="20" x14ac:dyDescent="0.2">
      <c r="A179" s="86"/>
      <c r="B179" s="15"/>
      <c r="C179" s="20"/>
      <c r="D179" s="20"/>
    </row>
    <row r="180" spans="1:4" ht="20" x14ac:dyDescent="0.2">
      <c r="A180" s="86"/>
      <c r="B180" s="15"/>
      <c r="C180" s="20"/>
      <c r="D180" s="20"/>
    </row>
    <row r="181" spans="1:4" ht="20" x14ac:dyDescent="0.2">
      <c r="A181" s="86"/>
      <c r="B181" s="15"/>
      <c r="C181" s="20"/>
      <c r="D181" s="20"/>
    </row>
    <row r="182" spans="1:4" ht="20" x14ac:dyDescent="0.2">
      <c r="A182" s="86"/>
      <c r="B182" s="15"/>
      <c r="C182" s="20"/>
      <c r="D182" s="20"/>
    </row>
    <row r="183" spans="1:4" ht="20" x14ac:dyDescent="0.2">
      <c r="A183" s="86"/>
      <c r="B183" s="15"/>
      <c r="C183" s="20"/>
      <c r="D183" s="20"/>
    </row>
    <row r="184" spans="1:4" ht="20" x14ac:dyDescent="0.2">
      <c r="A184" s="86"/>
      <c r="B184" s="15"/>
      <c r="C184" s="20"/>
      <c r="D184" s="20"/>
    </row>
    <row r="185" spans="1:4" ht="20" x14ac:dyDescent="0.2">
      <c r="A185" s="86"/>
      <c r="B185" s="15"/>
      <c r="C185" s="20"/>
      <c r="D185" s="20"/>
    </row>
    <row r="186" spans="1:4" ht="20" x14ac:dyDescent="0.2">
      <c r="A186" s="86"/>
      <c r="B186" s="15"/>
      <c r="C186" s="20"/>
      <c r="D186" s="20"/>
    </row>
    <row r="187" spans="1:4" ht="20" x14ac:dyDescent="0.2">
      <c r="A187" s="86"/>
      <c r="B187" s="15"/>
      <c r="C187" s="20"/>
      <c r="D187" s="20"/>
    </row>
    <row r="188" spans="1:4" ht="20" x14ac:dyDescent="0.2">
      <c r="A188" s="86"/>
      <c r="B188" s="15"/>
      <c r="C188" s="20"/>
      <c r="D188" s="20"/>
    </row>
    <row r="189" spans="1:4" ht="20" x14ac:dyDescent="0.2">
      <c r="A189" s="86"/>
      <c r="B189" s="15"/>
      <c r="C189" s="20"/>
      <c r="D189" s="20"/>
    </row>
    <row r="190" spans="1:4" ht="20" x14ac:dyDescent="0.2">
      <c r="A190" s="86"/>
      <c r="B190" s="15"/>
      <c r="C190" s="20"/>
      <c r="D190" s="20"/>
    </row>
    <row r="191" spans="1:4" ht="20" x14ac:dyDescent="0.2">
      <c r="A191" s="86"/>
      <c r="B191" s="15"/>
      <c r="C191" s="20"/>
      <c r="D191" s="20"/>
    </row>
    <row r="192" spans="1:4" ht="20" x14ac:dyDescent="0.2">
      <c r="A192" s="86"/>
      <c r="B192" s="15"/>
      <c r="C192" s="20"/>
      <c r="D192" s="20"/>
    </row>
    <row r="193" spans="1:6" ht="20" x14ac:dyDescent="0.2">
      <c r="A193" s="86"/>
      <c r="B193" s="15"/>
      <c r="C193" s="20"/>
      <c r="D193" s="20"/>
    </row>
    <row r="194" spans="1:6" ht="20" x14ac:dyDescent="0.2">
      <c r="A194" s="86"/>
      <c r="B194" s="15"/>
      <c r="C194" s="20"/>
      <c r="D194" s="20"/>
    </row>
    <row r="195" spans="1:6" ht="20" x14ac:dyDescent="0.2">
      <c r="A195" s="86"/>
      <c r="B195" s="15"/>
      <c r="C195" s="20"/>
      <c r="D195" s="20"/>
    </row>
    <row r="196" spans="1:6" ht="20" x14ac:dyDescent="0.2">
      <c r="A196" s="86"/>
      <c r="B196" s="15"/>
      <c r="C196" s="20"/>
      <c r="D196" s="20"/>
    </row>
    <row r="197" spans="1:6" ht="20" x14ac:dyDescent="0.2">
      <c r="A197" s="86"/>
      <c r="B197" s="15"/>
      <c r="C197" s="20"/>
      <c r="D197" s="20"/>
    </row>
    <row r="198" spans="1:6" ht="20" x14ac:dyDescent="0.2">
      <c r="A198" s="86"/>
      <c r="B198" s="15"/>
      <c r="C198" s="20"/>
      <c r="D198" s="20"/>
    </row>
    <row r="199" spans="1:6" ht="20" x14ac:dyDescent="0.2">
      <c r="A199" s="86"/>
      <c r="B199" s="15"/>
      <c r="C199" s="20"/>
      <c r="D199" s="20"/>
    </row>
    <row r="200" spans="1:6" ht="20" x14ac:dyDescent="0.2">
      <c r="A200" s="86"/>
      <c r="B200" s="15"/>
      <c r="C200" s="20"/>
      <c r="D200" s="20"/>
    </row>
    <row r="201" spans="1:6" ht="20" x14ac:dyDescent="0.2">
      <c r="A201" s="86"/>
      <c r="B201" s="15"/>
      <c r="C201" s="20"/>
      <c r="D201" s="20"/>
    </row>
    <row r="202" spans="1:6" ht="20" x14ac:dyDescent="0.2">
      <c r="A202" s="86"/>
      <c r="B202" s="15"/>
      <c r="C202" s="20"/>
      <c r="D202" s="20"/>
    </row>
    <row r="203" spans="1:6" ht="20" x14ac:dyDescent="0.2">
      <c r="A203" s="86"/>
      <c r="B203" s="15"/>
      <c r="C203" s="20"/>
      <c r="D203" s="20"/>
    </row>
    <row r="204" spans="1:6" ht="20" x14ac:dyDescent="0.2">
      <c r="A204" s="86"/>
      <c r="B204" s="15"/>
      <c r="C204" s="20"/>
      <c r="D204" s="20"/>
    </row>
    <row r="205" spans="1:6" ht="20" x14ac:dyDescent="0.2">
      <c r="A205" s="86"/>
      <c r="B205" s="15"/>
      <c r="C205" s="20"/>
      <c r="D205" s="20"/>
    </row>
    <row r="206" spans="1:6" ht="20" x14ac:dyDescent="0.2">
      <c r="A206" s="86"/>
      <c r="B206" s="15"/>
      <c r="C206" s="20"/>
      <c r="D206" s="20"/>
    </row>
    <row r="207" spans="1:6" ht="20" x14ac:dyDescent="0.2">
      <c r="A207" s="86"/>
      <c r="B207" s="15"/>
      <c r="C207" s="20"/>
      <c r="D207" s="20"/>
    </row>
    <row r="208" spans="1:6" ht="20" x14ac:dyDescent="0.2">
      <c r="A208" s="86"/>
      <c r="B208" s="15"/>
      <c r="C208" s="20"/>
      <c r="D208" s="20"/>
      <c r="F208" s="114" t="s">
        <v>320</v>
      </c>
    </row>
    <row r="209" spans="1:8" x14ac:dyDescent="0.2">
      <c r="A209" s="66"/>
      <c r="B209" s="15"/>
      <c r="C209" s="15"/>
      <c r="D209" s="15"/>
      <c r="F209" s="114" t="s">
        <v>390</v>
      </c>
    </row>
    <row r="210" spans="1:8" ht="20" x14ac:dyDescent="0.2">
      <c r="A210" s="66"/>
      <c r="B210" s="16" t="s">
        <v>408</v>
      </c>
      <c r="C210" s="16" t="s">
        <v>409</v>
      </c>
      <c r="D210" s="19" t="s">
        <v>408</v>
      </c>
      <c r="E210" s="19" t="s">
        <v>409</v>
      </c>
      <c r="F210" s="114" t="s">
        <v>410</v>
      </c>
    </row>
    <row r="211" spans="1:8" ht="22" x14ac:dyDescent="0.25">
      <c r="A211" s="66"/>
      <c r="B211" s="17" t="s">
        <v>411</v>
      </c>
      <c r="C211" s="117" t="s">
        <v>412</v>
      </c>
      <c r="D211" s="116" t="s">
        <v>411</v>
      </c>
      <c r="F211" s="114" t="str">
        <f>IF(NOT(ISBLANK(D211)),D211,IF(NOT(ISBLANK(E211)),"     "&amp;E211,FALSE))</f>
        <v>Afectación Económica o presupuestal</v>
      </c>
      <c r="G211" t="s">
        <v>411</v>
      </c>
      <c r="H211" t="str">
        <f>IF(NOT(ISERROR(MATCH(G211,_xlfn.ANCHORARRAY(B222),0))),F224&amp;"Por favor no seleccionar los criterios de impacto",G211)</f>
        <v>❌Por favor no seleccionar los criterios de impacto</v>
      </c>
    </row>
    <row r="212" spans="1:8" ht="22" x14ac:dyDescent="0.25">
      <c r="A212" s="66"/>
      <c r="B212" s="17" t="s">
        <v>411</v>
      </c>
      <c r="C212" s="117" t="s">
        <v>385</v>
      </c>
      <c r="E212" t="s">
        <v>412</v>
      </c>
      <c r="F212" s="114" t="str">
        <f t="shared" ref="F212:F222" si="0">IF(NOT(ISBLANK(D212)),D212,IF(NOT(ISBLANK(E212)),"     "&amp;E212,FALSE))</f>
        <v xml:space="preserve">     Afectación menor a 130 SMLMV .</v>
      </c>
    </row>
    <row r="213" spans="1:8" ht="22" x14ac:dyDescent="0.25">
      <c r="A213" s="66"/>
      <c r="B213" s="17" t="s">
        <v>411</v>
      </c>
      <c r="C213" s="117" t="s">
        <v>388</v>
      </c>
      <c r="E213" t="s">
        <v>385</v>
      </c>
      <c r="F213" s="114" t="str">
        <f t="shared" si="0"/>
        <v xml:space="preserve">     Entre 130 y 650 SMLMV </v>
      </c>
    </row>
    <row r="214" spans="1:8" ht="22" x14ac:dyDescent="0.25">
      <c r="A214" s="66"/>
      <c r="B214" s="17" t="s">
        <v>411</v>
      </c>
      <c r="C214" s="117" t="s">
        <v>392</v>
      </c>
      <c r="E214" t="s">
        <v>388</v>
      </c>
      <c r="F214" s="114" t="str">
        <f t="shared" si="0"/>
        <v xml:space="preserve">     Entre 650 y 1300 SMLMV </v>
      </c>
    </row>
    <row r="215" spans="1:8" ht="22" x14ac:dyDescent="0.25">
      <c r="A215" s="66"/>
      <c r="B215" s="17" t="s">
        <v>411</v>
      </c>
      <c r="C215" s="117" t="s">
        <v>396</v>
      </c>
      <c r="E215" t="s">
        <v>392</v>
      </c>
      <c r="F215" s="114" t="str">
        <f t="shared" si="0"/>
        <v xml:space="preserve">     Entre 1300 y 6500 SMLMV </v>
      </c>
    </row>
    <row r="216" spans="1:8" ht="22" x14ac:dyDescent="0.25">
      <c r="A216" s="66"/>
      <c r="B216" s="17" t="s">
        <v>377</v>
      </c>
      <c r="C216" s="117" t="s">
        <v>382</v>
      </c>
      <c r="E216" t="s">
        <v>396</v>
      </c>
      <c r="F216" s="114" t="str">
        <f t="shared" si="0"/>
        <v xml:space="preserve">     Mayor a 6500 SMLMV </v>
      </c>
    </row>
    <row r="217" spans="1:8" ht="66" x14ac:dyDescent="0.25">
      <c r="A217" s="66"/>
      <c r="B217" s="17" t="s">
        <v>377</v>
      </c>
      <c r="C217" s="117" t="s">
        <v>386</v>
      </c>
      <c r="D217" s="116" t="s">
        <v>377</v>
      </c>
      <c r="F217" s="114" t="str">
        <f t="shared" si="0"/>
        <v>Pérdida Reputacional</v>
      </c>
    </row>
    <row r="218" spans="1:8" ht="44" x14ac:dyDescent="0.25">
      <c r="A218" s="66"/>
      <c r="B218" s="17" t="s">
        <v>377</v>
      </c>
      <c r="C218" s="117" t="s">
        <v>389</v>
      </c>
      <c r="D218" s="116"/>
      <c r="E218" s="118" t="s">
        <v>382</v>
      </c>
      <c r="F218" s="114" t="str">
        <f t="shared" si="0"/>
        <v xml:space="preserve">     El riesgo afecta la imagen de alguna área de la organización</v>
      </c>
    </row>
    <row r="219" spans="1:8" ht="66" x14ac:dyDescent="0.25">
      <c r="A219" s="66"/>
      <c r="B219" s="17" t="s">
        <v>377</v>
      </c>
      <c r="C219" s="117" t="s">
        <v>413</v>
      </c>
      <c r="D219" s="116"/>
      <c r="E219" s="118" t="s">
        <v>386</v>
      </c>
      <c r="F219" s="114" t="str">
        <f t="shared" si="0"/>
        <v xml:space="preserve">     El riesgo afecta la imagen de la entidad internamente, de conocimiento general, nivel interno, de junta dircetiva y accionistas y/o de provedores</v>
      </c>
    </row>
    <row r="220" spans="1:8" ht="44" x14ac:dyDescent="0.25">
      <c r="A220" s="66"/>
      <c r="B220" s="17" t="s">
        <v>377</v>
      </c>
      <c r="C220" s="117" t="s">
        <v>397</v>
      </c>
      <c r="D220" s="116"/>
      <c r="E220" s="118" t="s">
        <v>389</v>
      </c>
      <c r="F220" s="114" t="str">
        <f t="shared" si="0"/>
        <v xml:space="preserve">     El riesgo afecta la imagen de la entidad con algunos usuarios de relevancia frente al logro de los objetivos</v>
      </c>
    </row>
    <row r="221" spans="1:8" ht="48" x14ac:dyDescent="0.2">
      <c r="A221" s="66"/>
      <c r="B221" s="18"/>
      <c r="C221" s="18"/>
      <c r="D221" s="116"/>
      <c r="E221" s="118" t="s">
        <v>413</v>
      </c>
      <c r="F221" s="114" t="str">
        <f t="shared" si="0"/>
        <v xml:space="preserve">     El riesgo afecta la imagen de de la entidad con efecto publicitario sostenido a nivel de sector administrativo, nivel departamental o municipal</v>
      </c>
    </row>
    <row r="222" spans="1:8" ht="58.5" customHeight="1" x14ac:dyDescent="0.2">
      <c r="A222" s="66"/>
      <c r="B222" s="18" t="str" cm="1">
        <f t="array" ref="B222:B224">_xlfn.UNIQUE(Tabla1[[#All],[Criterios]])</f>
        <v>Criterios</v>
      </c>
      <c r="C222" s="18"/>
      <c r="D222" s="116"/>
      <c r="E222" s="118" t="s">
        <v>397</v>
      </c>
      <c r="F222" s="114" t="str">
        <f t="shared" si="0"/>
        <v xml:space="preserve">     El riesgo afecta la imagen de la entidad a nivel nacional, con efecto publicitarios sostenible a nivel país</v>
      </c>
    </row>
    <row r="223" spans="1:8" x14ac:dyDescent="0.2">
      <c r="A223" s="66"/>
      <c r="B223" s="18" t="str">
        <v>Afectación Económica o presupuestal</v>
      </c>
      <c r="C223" s="18"/>
    </row>
    <row r="224" spans="1:8" x14ac:dyDescent="0.2">
      <c r="B224" s="18" t="str">
        <v>Pérdida Reputacional</v>
      </c>
      <c r="C224" s="18"/>
      <c r="F224" s="115" t="s">
        <v>414</v>
      </c>
    </row>
    <row r="225" spans="2:6" x14ac:dyDescent="0.2">
      <c r="B225" s="14"/>
      <c r="C225" s="14"/>
      <c r="F225" s="115" t="s">
        <v>415</v>
      </c>
    </row>
    <row r="226" spans="2:6" x14ac:dyDescent="0.2">
      <c r="B226" s="14"/>
      <c r="C226" s="14"/>
    </row>
    <row r="227" spans="2:6" x14ac:dyDescent="0.2">
      <c r="B227" s="14"/>
      <c r="C227" s="14"/>
    </row>
    <row r="228" spans="2:6" x14ac:dyDescent="0.2">
      <c r="B228" s="14"/>
      <c r="C228" s="14"/>
      <c r="D228" s="14"/>
    </row>
    <row r="229" spans="2:6" x14ac:dyDescent="0.2">
      <c r="B229" s="14"/>
      <c r="C229" s="14"/>
      <c r="D229" s="14"/>
    </row>
    <row r="230" spans="2:6" x14ac:dyDescent="0.2">
      <c r="B230" s="14"/>
      <c r="C230" s="14"/>
      <c r="D230" s="14"/>
    </row>
    <row r="231" spans="2:6" x14ac:dyDescent="0.2">
      <c r="B231" s="14"/>
      <c r="C231" s="14"/>
      <c r="D231" s="14"/>
    </row>
    <row r="232" spans="2:6" x14ac:dyDescent="0.2">
      <c r="B232" s="14"/>
      <c r="C232" s="14"/>
      <c r="D232" s="14"/>
    </row>
    <row r="233" spans="2:6" x14ac:dyDescent="0.2">
      <c r="B233" s="14"/>
      <c r="C233" s="14"/>
      <c r="D233" s="14"/>
    </row>
  </sheetData>
  <mergeCells count="1">
    <mergeCell ref="B2:E2"/>
  </mergeCells>
  <dataValidations disablePrompts="1" count="1">
    <dataValidation type="list" allowBlank="1" showInputMessage="1" showErrorMessage="1" sqref="G211" xr:uid="{00000000-0002-0000-0700-000000000000}">
      <formula1>$F$211:$F$222</formula1>
    </dataValidation>
  </dataValidations>
  <pageMargins left="0.7" right="0.7" top="0.75" bottom="0.75" header="0.3" footer="0.3"/>
  <pageSetup orientation="portrait"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X18"/>
  <sheetViews>
    <sheetView zoomScale="140" zoomScaleNormal="140" workbookViewId="0">
      <pane xSplit="4" ySplit="2" topLeftCell="E3" activePane="bottomRight" state="frozen"/>
      <selection pane="topRight" activeCell="E1" sqref="E1"/>
      <selection pane="bottomLeft" activeCell="A3" sqref="A3"/>
      <selection pane="bottomRight" activeCell="C3" sqref="C3:D3"/>
    </sheetView>
  </sheetViews>
  <sheetFormatPr baseColWidth="10" defaultColWidth="11.5" defaultRowHeight="15" x14ac:dyDescent="0.2"/>
  <cols>
    <col min="2" max="2" width="18" customWidth="1"/>
    <col min="3" max="3" width="26.5" customWidth="1"/>
    <col min="4" max="4" width="41.83203125" customWidth="1"/>
    <col min="50" max="50" width="15.5" customWidth="1"/>
  </cols>
  <sheetData>
    <row r="2" spans="2:50" ht="16" thickBot="1" x14ac:dyDescent="0.25"/>
    <row r="3" spans="2:50" ht="33.75" customHeight="1" thickBot="1" x14ac:dyDescent="0.25">
      <c r="B3" s="601" t="s">
        <v>416</v>
      </c>
      <c r="C3" s="155" t="s">
        <v>417</v>
      </c>
      <c r="D3" s="153" t="s">
        <v>418</v>
      </c>
      <c r="AX3" t="s">
        <v>416</v>
      </c>
    </row>
    <row r="4" spans="2:50" ht="40" thickBot="1" x14ac:dyDescent="0.25">
      <c r="B4" s="602"/>
      <c r="C4" s="156" t="s">
        <v>419</v>
      </c>
      <c r="D4" s="154" t="s">
        <v>420</v>
      </c>
      <c r="AX4" t="s">
        <v>146</v>
      </c>
    </row>
    <row r="5" spans="2:50" ht="40" thickBot="1" x14ac:dyDescent="0.25">
      <c r="B5" s="602"/>
      <c r="C5" s="156" t="s">
        <v>421</v>
      </c>
      <c r="D5" s="154" t="s">
        <v>422</v>
      </c>
      <c r="AX5" t="s">
        <v>423</v>
      </c>
    </row>
    <row r="6" spans="2:50" ht="27" thickBot="1" x14ac:dyDescent="0.25">
      <c r="B6" s="603"/>
      <c r="C6" s="156" t="s">
        <v>424</v>
      </c>
      <c r="D6" s="154" t="s">
        <v>425</v>
      </c>
    </row>
    <row r="7" spans="2:50" ht="27" thickBot="1" x14ac:dyDescent="0.25">
      <c r="B7" s="601" t="s">
        <v>146</v>
      </c>
      <c r="C7" s="156" t="s">
        <v>426</v>
      </c>
      <c r="D7" s="154" t="s">
        <v>427</v>
      </c>
    </row>
    <row r="8" spans="2:50" ht="105" thickBot="1" x14ac:dyDescent="0.25">
      <c r="B8" s="602"/>
      <c r="C8" s="156" t="s">
        <v>428</v>
      </c>
      <c r="D8" s="154" t="s">
        <v>429</v>
      </c>
    </row>
    <row r="9" spans="2:50" ht="53" thickBot="1" x14ac:dyDescent="0.25">
      <c r="B9" s="603"/>
      <c r="C9" s="156" t="s">
        <v>150</v>
      </c>
      <c r="D9" s="154" t="s">
        <v>430</v>
      </c>
    </row>
    <row r="10" spans="2:50" x14ac:dyDescent="0.2">
      <c r="B10" s="601" t="s">
        <v>423</v>
      </c>
      <c r="C10" s="157"/>
      <c r="D10" s="604" t="s">
        <v>431</v>
      </c>
    </row>
    <row r="11" spans="2:50" x14ac:dyDescent="0.2">
      <c r="B11" s="602"/>
      <c r="C11" s="157" t="s">
        <v>153</v>
      </c>
      <c r="D11" s="605"/>
    </row>
    <row r="12" spans="2:50" ht="16" thickBot="1" x14ac:dyDescent="0.25">
      <c r="B12" s="602"/>
      <c r="C12" s="156"/>
      <c r="D12" s="606"/>
    </row>
    <row r="13" spans="2:50" ht="22.5" customHeight="1" x14ac:dyDescent="0.2">
      <c r="B13" s="602"/>
      <c r="C13" s="157"/>
      <c r="D13" s="604" t="s">
        <v>432</v>
      </c>
    </row>
    <row r="14" spans="2:50" ht="22.5" customHeight="1" x14ac:dyDescent="0.2">
      <c r="B14" s="602"/>
      <c r="C14" s="157" t="s">
        <v>152</v>
      </c>
      <c r="D14" s="605"/>
    </row>
    <row r="15" spans="2:50" ht="22.5" customHeight="1" thickBot="1" x14ac:dyDescent="0.25">
      <c r="B15" s="602"/>
      <c r="C15" s="156"/>
      <c r="D15" s="606"/>
    </row>
    <row r="16" spans="2:50" ht="25.5" customHeight="1" x14ac:dyDescent="0.2">
      <c r="B16" s="602"/>
      <c r="C16" s="157"/>
      <c r="D16" s="604" t="s">
        <v>433</v>
      </c>
    </row>
    <row r="17" spans="2:4" ht="25.5" customHeight="1" x14ac:dyDescent="0.2">
      <c r="B17" s="602"/>
      <c r="C17" s="157" t="s">
        <v>154</v>
      </c>
      <c r="D17" s="605"/>
    </row>
    <row r="18" spans="2:4" ht="25.5" customHeight="1" thickBot="1" x14ac:dyDescent="0.25">
      <c r="B18" s="603"/>
      <c r="C18" s="156"/>
      <c r="D18" s="606"/>
    </row>
  </sheetData>
  <mergeCells count="6">
    <mergeCell ref="B3:B6"/>
    <mergeCell ref="B7:B9"/>
    <mergeCell ref="B10:B18"/>
    <mergeCell ref="D10:D12"/>
    <mergeCell ref="D13:D15"/>
    <mergeCell ref="D16:D1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1:F48"/>
  <sheetViews>
    <sheetView topLeftCell="A3" zoomScale="110" zoomScaleNormal="110" workbookViewId="0">
      <selection activeCell="C14" sqref="C14"/>
    </sheetView>
  </sheetViews>
  <sheetFormatPr baseColWidth="10" defaultColWidth="11.5" defaultRowHeight="15" x14ac:dyDescent="0.2"/>
  <cols>
    <col min="1" max="1" width="3.6640625" customWidth="1"/>
    <col min="2" max="2" width="8.33203125" customWidth="1"/>
    <col min="3" max="3" width="27" customWidth="1"/>
    <col min="5" max="5" width="15" customWidth="1"/>
    <col min="6" max="6" width="33.5" customWidth="1"/>
  </cols>
  <sheetData>
    <row r="1" spans="3:6" ht="16" thickBot="1" x14ac:dyDescent="0.25">
      <c r="C1" s="175" t="s">
        <v>434</v>
      </c>
    </row>
    <row r="2" spans="3:6" ht="16" thickBot="1" x14ac:dyDescent="0.25">
      <c r="C2" s="173" t="s">
        <v>435</v>
      </c>
      <c r="E2" s="176" t="s">
        <v>159</v>
      </c>
      <c r="F2" s="177" t="s">
        <v>160</v>
      </c>
    </row>
    <row r="3" spans="3:6" ht="16" thickBot="1" x14ac:dyDescent="0.25">
      <c r="C3" s="173" t="s">
        <v>436</v>
      </c>
      <c r="E3" s="328" t="s">
        <v>158</v>
      </c>
      <c r="F3" s="162" t="s">
        <v>162</v>
      </c>
    </row>
    <row r="4" spans="3:6" ht="16" thickBot="1" x14ac:dyDescent="0.25">
      <c r="C4" s="173" t="s">
        <v>437</v>
      </c>
      <c r="E4" s="326"/>
      <c r="F4" s="162" t="s">
        <v>164</v>
      </c>
    </row>
    <row r="5" spans="3:6" ht="16" thickBot="1" x14ac:dyDescent="0.25">
      <c r="C5" s="173" t="s">
        <v>438</v>
      </c>
      <c r="E5" s="326"/>
      <c r="F5" s="162" t="s">
        <v>166</v>
      </c>
    </row>
    <row r="6" spans="3:6" ht="16" thickBot="1" x14ac:dyDescent="0.25">
      <c r="C6" s="173" t="s">
        <v>439</v>
      </c>
      <c r="E6" s="326"/>
      <c r="F6" s="162" t="s">
        <v>168</v>
      </c>
    </row>
    <row r="7" spans="3:6" ht="17" thickBot="1" x14ac:dyDescent="0.25">
      <c r="C7" s="174" t="s">
        <v>440</v>
      </c>
      <c r="E7" s="326"/>
      <c r="F7" s="162" t="s">
        <v>169</v>
      </c>
    </row>
    <row r="8" spans="3:6" ht="16" thickBot="1" x14ac:dyDescent="0.25">
      <c r="C8" s="173" t="s">
        <v>441</v>
      </c>
      <c r="E8" s="327"/>
      <c r="F8" s="162" t="s">
        <v>170</v>
      </c>
    </row>
    <row r="9" spans="3:6" ht="16" thickBot="1" x14ac:dyDescent="0.25">
      <c r="C9" s="173" t="s">
        <v>442</v>
      </c>
      <c r="E9" s="325" t="s">
        <v>167</v>
      </c>
      <c r="F9" s="162" t="s">
        <v>171</v>
      </c>
    </row>
    <row r="10" spans="3:6" ht="17" thickBot="1" x14ac:dyDescent="0.25">
      <c r="C10" s="172" t="s">
        <v>443</v>
      </c>
      <c r="E10" s="326"/>
      <c r="F10" s="162" t="s">
        <v>172</v>
      </c>
    </row>
    <row r="11" spans="3:6" ht="16" thickBot="1" x14ac:dyDescent="0.25">
      <c r="C11" s="256" t="s">
        <v>444</v>
      </c>
      <c r="E11" s="326"/>
      <c r="F11" s="162" t="s">
        <v>173</v>
      </c>
    </row>
    <row r="12" spans="3:6" ht="16" thickBot="1" x14ac:dyDescent="0.25">
      <c r="E12" s="326"/>
      <c r="F12" s="162" t="s">
        <v>174</v>
      </c>
    </row>
    <row r="13" spans="3:6" ht="16" thickBot="1" x14ac:dyDescent="0.25">
      <c r="E13" s="327"/>
      <c r="F13" s="162" t="s">
        <v>175</v>
      </c>
    </row>
    <row r="14" spans="3:6" ht="27" thickBot="1" x14ac:dyDescent="0.25">
      <c r="E14" s="325" t="s">
        <v>163</v>
      </c>
      <c r="F14" s="162" t="s">
        <v>176</v>
      </c>
    </row>
    <row r="15" spans="3:6" ht="16" thickBot="1" x14ac:dyDescent="0.25">
      <c r="E15" s="326"/>
      <c r="F15" s="162" t="s">
        <v>177</v>
      </c>
    </row>
    <row r="16" spans="3:6" ht="16" thickBot="1" x14ac:dyDescent="0.25">
      <c r="E16" s="327"/>
      <c r="F16" s="162" t="s">
        <v>178</v>
      </c>
    </row>
    <row r="17" spans="5:6" ht="16" thickBot="1" x14ac:dyDescent="0.25">
      <c r="E17" s="325" t="s">
        <v>165</v>
      </c>
      <c r="F17" s="162" t="s">
        <v>179</v>
      </c>
    </row>
    <row r="18" spans="5:6" ht="16" thickBot="1" x14ac:dyDescent="0.25">
      <c r="E18" s="326"/>
      <c r="F18" s="162" t="s">
        <v>180</v>
      </c>
    </row>
    <row r="19" spans="5:6" ht="16" thickBot="1" x14ac:dyDescent="0.25">
      <c r="E19" s="327"/>
      <c r="F19" s="162" t="s">
        <v>181</v>
      </c>
    </row>
    <row r="20" spans="5:6" ht="27" thickBot="1" x14ac:dyDescent="0.25">
      <c r="E20" s="325" t="s">
        <v>156</v>
      </c>
      <c r="F20" s="162" t="s">
        <v>182</v>
      </c>
    </row>
    <row r="21" spans="5:6" ht="16" thickBot="1" x14ac:dyDescent="0.25">
      <c r="E21" s="326"/>
      <c r="F21" s="162" t="s">
        <v>183</v>
      </c>
    </row>
    <row r="22" spans="5:6" ht="16" thickBot="1" x14ac:dyDescent="0.25">
      <c r="E22" s="326"/>
      <c r="F22" s="162" t="s">
        <v>184</v>
      </c>
    </row>
    <row r="23" spans="5:6" ht="16" thickBot="1" x14ac:dyDescent="0.25">
      <c r="E23" s="326"/>
      <c r="F23" s="162" t="s">
        <v>185</v>
      </c>
    </row>
    <row r="24" spans="5:6" ht="16" thickBot="1" x14ac:dyDescent="0.25">
      <c r="E24" s="326"/>
      <c r="F24" s="162" t="s">
        <v>186</v>
      </c>
    </row>
    <row r="25" spans="5:6" ht="27" thickBot="1" x14ac:dyDescent="0.25">
      <c r="E25" s="326"/>
      <c r="F25" s="162" t="s">
        <v>187</v>
      </c>
    </row>
    <row r="26" spans="5:6" ht="16" thickBot="1" x14ac:dyDescent="0.25">
      <c r="E26" s="326"/>
      <c r="F26" s="162" t="s">
        <v>188</v>
      </c>
    </row>
    <row r="27" spans="5:6" ht="27" thickBot="1" x14ac:dyDescent="0.25">
      <c r="E27" s="326"/>
      <c r="F27" s="162" t="s">
        <v>189</v>
      </c>
    </row>
    <row r="28" spans="5:6" ht="16" thickBot="1" x14ac:dyDescent="0.25">
      <c r="E28" s="326"/>
      <c r="F28" s="162" t="s">
        <v>190</v>
      </c>
    </row>
    <row r="29" spans="5:6" ht="16" thickBot="1" x14ac:dyDescent="0.25">
      <c r="E29" s="326"/>
      <c r="F29" s="162" t="s">
        <v>191</v>
      </c>
    </row>
    <row r="30" spans="5:6" ht="16" thickBot="1" x14ac:dyDescent="0.25">
      <c r="E30" s="327"/>
      <c r="F30" s="162" t="s">
        <v>192</v>
      </c>
    </row>
    <row r="31" spans="5:6" ht="16" thickBot="1" x14ac:dyDescent="0.25">
      <c r="E31" s="325" t="s">
        <v>161</v>
      </c>
      <c r="F31" s="162" t="s">
        <v>193</v>
      </c>
    </row>
    <row r="32" spans="5:6" ht="16" thickBot="1" x14ac:dyDescent="0.25">
      <c r="E32" s="326"/>
      <c r="F32" s="162" t="s">
        <v>194</v>
      </c>
    </row>
    <row r="33" spans="5:6" ht="16" thickBot="1" x14ac:dyDescent="0.25">
      <c r="E33" s="326"/>
      <c r="F33" s="162" t="s">
        <v>195</v>
      </c>
    </row>
    <row r="34" spans="5:6" ht="16" thickBot="1" x14ac:dyDescent="0.25">
      <c r="E34" s="326"/>
      <c r="F34" s="162" t="s">
        <v>196</v>
      </c>
    </row>
    <row r="35" spans="5:6" ht="27" thickBot="1" x14ac:dyDescent="0.25">
      <c r="E35" s="327"/>
      <c r="F35" s="162" t="s">
        <v>197</v>
      </c>
    </row>
    <row r="36" spans="5:6" ht="16" thickBot="1" x14ac:dyDescent="0.25">
      <c r="E36" s="325" t="s">
        <v>155</v>
      </c>
      <c r="F36" s="162" t="s">
        <v>198</v>
      </c>
    </row>
    <row r="37" spans="5:6" ht="16" thickBot="1" x14ac:dyDescent="0.25">
      <c r="E37" s="326"/>
      <c r="F37" s="162" t="s">
        <v>199</v>
      </c>
    </row>
    <row r="38" spans="5:6" ht="16" thickBot="1" x14ac:dyDescent="0.25">
      <c r="E38" s="326"/>
      <c r="F38" s="162" t="s">
        <v>200</v>
      </c>
    </row>
    <row r="39" spans="5:6" ht="16" thickBot="1" x14ac:dyDescent="0.25">
      <c r="E39" s="326"/>
      <c r="F39" s="162" t="s">
        <v>201</v>
      </c>
    </row>
    <row r="40" spans="5:6" ht="16" thickBot="1" x14ac:dyDescent="0.25">
      <c r="E40" s="327"/>
      <c r="F40" s="162" t="s">
        <v>202</v>
      </c>
    </row>
    <row r="41" spans="5:6" ht="16" thickBot="1" x14ac:dyDescent="0.25">
      <c r="E41" s="325" t="s">
        <v>157</v>
      </c>
      <c r="F41" s="162" t="s">
        <v>203</v>
      </c>
    </row>
    <row r="42" spans="5:6" ht="16" thickBot="1" x14ac:dyDescent="0.25">
      <c r="E42" s="326"/>
      <c r="F42" s="162" t="s">
        <v>204</v>
      </c>
    </row>
    <row r="43" spans="5:6" ht="16" thickBot="1" x14ac:dyDescent="0.25">
      <c r="E43" s="326"/>
      <c r="F43" s="162" t="s">
        <v>205</v>
      </c>
    </row>
    <row r="44" spans="5:6" ht="16" thickBot="1" x14ac:dyDescent="0.25">
      <c r="E44" s="326"/>
      <c r="F44" s="162" t="s">
        <v>206</v>
      </c>
    </row>
    <row r="45" spans="5:6" ht="27" thickBot="1" x14ac:dyDescent="0.25">
      <c r="E45" s="327"/>
      <c r="F45" s="162" t="s">
        <v>207</v>
      </c>
    </row>
    <row r="48" spans="5:6" ht="15" customHeight="1" x14ac:dyDescent="0.2"/>
  </sheetData>
  <mergeCells count="8">
    <mergeCell ref="E36:E40"/>
    <mergeCell ref="E41:E45"/>
    <mergeCell ref="E3:E8"/>
    <mergeCell ref="E9:E13"/>
    <mergeCell ref="E14:E16"/>
    <mergeCell ref="E17:E19"/>
    <mergeCell ref="E20:E30"/>
    <mergeCell ref="E31:E3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topLeftCell="A32" workbookViewId="0">
      <selection activeCell="AA44" sqref="AA44"/>
    </sheetView>
  </sheetViews>
  <sheetFormatPr baseColWidth="10" defaultColWidth="11.5" defaultRowHeight="15" x14ac:dyDescent="0.2"/>
  <cols>
    <col min="27" max="27" width="36" customWidth="1"/>
  </cols>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249977111117893"/>
  </sheetPr>
  <dimension ref="B1:F16"/>
  <sheetViews>
    <sheetView workbookViewId="0">
      <selection activeCell="B1" sqref="B1:F1"/>
    </sheetView>
  </sheetViews>
  <sheetFormatPr baseColWidth="10" defaultColWidth="14.33203125" defaultRowHeight="14" x14ac:dyDescent="0.2"/>
  <cols>
    <col min="1" max="2" width="14.33203125" style="71"/>
    <col min="3" max="3" width="17" style="71" customWidth="1"/>
    <col min="4" max="4" width="14.33203125" style="71"/>
    <col min="5" max="5" width="46" style="71" customWidth="1"/>
    <col min="6" max="16384" width="14.33203125" style="71"/>
  </cols>
  <sheetData>
    <row r="1" spans="2:6" ht="24" customHeight="1" thickBot="1" x14ac:dyDescent="0.25">
      <c r="B1" s="607" t="s">
        <v>445</v>
      </c>
      <c r="C1" s="608"/>
      <c r="D1" s="608"/>
      <c r="E1" s="608"/>
      <c r="F1" s="609"/>
    </row>
    <row r="2" spans="2:6" ht="17" thickBot="1" x14ac:dyDescent="0.25">
      <c r="B2" s="72"/>
      <c r="C2" s="72"/>
      <c r="D2" s="72"/>
      <c r="E2" s="72"/>
      <c r="F2" s="72"/>
    </row>
    <row r="3" spans="2:6" ht="18" thickBot="1" x14ac:dyDescent="0.25">
      <c r="B3" s="611" t="s">
        <v>446</v>
      </c>
      <c r="C3" s="612"/>
      <c r="D3" s="612"/>
      <c r="E3" s="84" t="s">
        <v>447</v>
      </c>
      <c r="F3" s="85" t="s">
        <v>448</v>
      </c>
    </row>
    <row r="4" spans="2:6" ht="34" x14ac:dyDescent="0.2">
      <c r="B4" s="613" t="s">
        <v>449</v>
      </c>
      <c r="C4" s="615" t="s">
        <v>253</v>
      </c>
      <c r="D4" s="73" t="s">
        <v>268</v>
      </c>
      <c r="E4" s="74" t="s">
        <v>450</v>
      </c>
      <c r="F4" s="75">
        <v>0.25</v>
      </c>
    </row>
    <row r="5" spans="2:6" ht="51" x14ac:dyDescent="0.2">
      <c r="B5" s="614"/>
      <c r="C5" s="616"/>
      <c r="D5" s="76" t="s">
        <v>309</v>
      </c>
      <c r="E5" s="77" t="s">
        <v>451</v>
      </c>
      <c r="F5" s="78">
        <v>0.15</v>
      </c>
    </row>
    <row r="6" spans="2:6" ht="34" x14ac:dyDescent="0.2">
      <c r="B6" s="614"/>
      <c r="C6" s="616"/>
      <c r="D6" s="76" t="s">
        <v>331</v>
      </c>
      <c r="E6" s="77" t="s">
        <v>452</v>
      </c>
      <c r="F6" s="78">
        <v>0.1</v>
      </c>
    </row>
    <row r="7" spans="2:6" ht="51" x14ac:dyDescent="0.2">
      <c r="B7" s="614"/>
      <c r="C7" s="616" t="s">
        <v>254</v>
      </c>
      <c r="D7" s="76" t="s">
        <v>453</v>
      </c>
      <c r="E7" s="77" t="s">
        <v>454</v>
      </c>
      <c r="F7" s="78">
        <v>0.25</v>
      </c>
    </row>
    <row r="8" spans="2:6" ht="34" x14ac:dyDescent="0.2">
      <c r="B8" s="614"/>
      <c r="C8" s="616"/>
      <c r="D8" s="76" t="s">
        <v>269</v>
      </c>
      <c r="E8" s="77" t="s">
        <v>455</v>
      </c>
      <c r="F8" s="78">
        <v>0.15</v>
      </c>
    </row>
    <row r="9" spans="2:6" ht="51" x14ac:dyDescent="0.2">
      <c r="B9" s="614" t="s">
        <v>456</v>
      </c>
      <c r="C9" s="616" t="s">
        <v>256</v>
      </c>
      <c r="D9" s="76" t="s">
        <v>270</v>
      </c>
      <c r="E9" s="77" t="s">
        <v>457</v>
      </c>
      <c r="F9" s="79" t="s">
        <v>458</v>
      </c>
    </row>
    <row r="10" spans="2:6" ht="51" x14ac:dyDescent="0.2">
      <c r="B10" s="614"/>
      <c r="C10" s="616"/>
      <c r="D10" s="76" t="s">
        <v>459</v>
      </c>
      <c r="E10" s="77" t="s">
        <v>460</v>
      </c>
      <c r="F10" s="79" t="s">
        <v>458</v>
      </c>
    </row>
    <row r="11" spans="2:6" ht="34" x14ac:dyDescent="0.2">
      <c r="B11" s="614"/>
      <c r="C11" s="616" t="s">
        <v>257</v>
      </c>
      <c r="D11" s="76" t="s">
        <v>271</v>
      </c>
      <c r="E11" s="77" t="s">
        <v>461</v>
      </c>
      <c r="F11" s="79" t="s">
        <v>458</v>
      </c>
    </row>
    <row r="12" spans="2:6" ht="34" x14ac:dyDescent="0.2">
      <c r="B12" s="614"/>
      <c r="C12" s="616"/>
      <c r="D12" s="76" t="s">
        <v>462</v>
      </c>
      <c r="E12" s="77" t="s">
        <v>463</v>
      </c>
      <c r="F12" s="79" t="s">
        <v>458</v>
      </c>
    </row>
    <row r="13" spans="2:6" ht="34" x14ac:dyDescent="0.2">
      <c r="B13" s="614"/>
      <c r="C13" s="616" t="s">
        <v>258</v>
      </c>
      <c r="D13" s="76" t="s">
        <v>272</v>
      </c>
      <c r="E13" s="77" t="s">
        <v>464</v>
      </c>
      <c r="F13" s="79" t="s">
        <v>458</v>
      </c>
    </row>
    <row r="14" spans="2:6" ht="18" thickBot="1" x14ac:dyDescent="0.25">
      <c r="B14" s="617"/>
      <c r="C14" s="618"/>
      <c r="D14" s="80" t="s">
        <v>465</v>
      </c>
      <c r="E14" s="81" t="s">
        <v>466</v>
      </c>
      <c r="F14" s="82" t="s">
        <v>458</v>
      </c>
    </row>
    <row r="15" spans="2:6" ht="49.5" customHeight="1" x14ac:dyDescent="0.2">
      <c r="B15" s="610" t="s">
        <v>467</v>
      </c>
      <c r="C15" s="610"/>
      <c r="D15" s="610"/>
      <c r="E15" s="610"/>
      <c r="F15" s="610"/>
    </row>
    <row r="16" spans="2:6" ht="27" customHeight="1" x14ac:dyDescent="0.2">
      <c r="B16" s="8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A21"/>
  <sheetViews>
    <sheetView workbookViewId="0">
      <selection activeCell="A19" sqref="A19"/>
    </sheetView>
  </sheetViews>
  <sheetFormatPr baseColWidth="10" defaultColWidth="11.5" defaultRowHeight="14" x14ac:dyDescent="0.2"/>
  <cols>
    <col min="1" max="1" width="32.83203125" style="1" customWidth="1"/>
    <col min="2" max="16384" width="11.5" style="1"/>
  </cols>
  <sheetData>
    <row r="3" spans="1:1" x14ac:dyDescent="0.2">
      <c r="A3" s="2" t="s">
        <v>268</v>
      </c>
    </row>
    <row r="4" spans="1:1" x14ac:dyDescent="0.2">
      <c r="A4" s="2" t="s">
        <v>309</v>
      </c>
    </row>
    <row r="5" spans="1:1" x14ac:dyDescent="0.2">
      <c r="A5" s="2" t="s">
        <v>331</v>
      </c>
    </row>
    <row r="6" spans="1:1" x14ac:dyDescent="0.2">
      <c r="A6" s="2" t="s">
        <v>453</v>
      </c>
    </row>
    <row r="7" spans="1:1" x14ac:dyDescent="0.2">
      <c r="A7" s="2" t="s">
        <v>269</v>
      </c>
    </row>
    <row r="8" spans="1:1" x14ac:dyDescent="0.2">
      <c r="A8" s="2" t="s">
        <v>270</v>
      </c>
    </row>
    <row r="9" spans="1:1" x14ac:dyDescent="0.2">
      <c r="A9" s="2" t="s">
        <v>459</v>
      </c>
    </row>
    <row r="10" spans="1:1" x14ac:dyDescent="0.2">
      <c r="A10" s="2" t="s">
        <v>271</v>
      </c>
    </row>
    <row r="11" spans="1:1" x14ac:dyDescent="0.2">
      <c r="A11" s="2" t="s">
        <v>462</v>
      </c>
    </row>
    <row r="12" spans="1:1" x14ac:dyDescent="0.2">
      <c r="A12" s="2" t="s">
        <v>468</v>
      </c>
    </row>
    <row r="13" spans="1:1" x14ac:dyDescent="0.2">
      <c r="A13" s="2" t="s">
        <v>469</v>
      </c>
    </row>
    <row r="14" spans="1:1" x14ac:dyDescent="0.2">
      <c r="A14" s="2" t="s">
        <v>470</v>
      </c>
    </row>
    <row r="16" spans="1:1" x14ac:dyDescent="0.2">
      <c r="A16" s="2" t="s">
        <v>471</v>
      </c>
    </row>
    <row r="17" spans="1:1" x14ac:dyDescent="0.2">
      <c r="A17" s="2" t="s">
        <v>117</v>
      </c>
    </row>
    <row r="18" spans="1:1" x14ac:dyDescent="0.2">
      <c r="A18" s="2" t="s">
        <v>119</v>
      </c>
    </row>
    <row r="20" spans="1:1" x14ac:dyDescent="0.2">
      <c r="A20" s="2" t="s">
        <v>129</v>
      </c>
    </row>
    <row r="21" spans="1:1" x14ac:dyDescent="0.2">
      <c r="A21" s="2" t="s">
        <v>132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topLeftCell="B1" zoomScale="50" zoomScaleNormal="50" workbookViewId="0">
      <selection activeCell="I4" sqref="I4"/>
    </sheetView>
  </sheetViews>
  <sheetFormatPr baseColWidth="10" defaultColWidth="11.5" defaultRowHeight="26" x14ac:dyDescent="0.25"/>
  <cols>
    <col min="1" max="1" width="11.83203125" style="119" customWidth="1"/>
    <col min="2" max="2" width="7.5" style="120" customWidth="1"/>
    <col min="3" max="3" width="36.83203125" style="121" customWidth="1"/>
    <col min="4" max="4" width="150" style="147" customWidth="1"/>
    <col min="5" max="5" width="168" style="121" customWidth="1"/>
    <col min="6" max="6" width="51.6640625" style="119" customWidth="1"/>
    <col min="7" max="16384" width="11.5" style="119"/>
  </cols>
  <sheetData>
    <row r="1" spans="1:6" x14ac:dyDescent="0.25">
      <c r="D1" s="122"/>
      <c r="E1" s="123"/>
    </row>
    <row r="2" spans="1:6" ht="40.5" customHeight="1" thickBot="1" x14ac:dyDescent="0.25">
      <c r="A2" s="124"/>
      <c r="B2" s="318" t="s">
        <v>90</v>
      </c>
      <c r="C2" s="318"/>
      <c r="D2" s="318"/>
      <c r="E2" s="319"/>
      <c r="F2" s="323" t="s">
        <v>91</v>
      </c>
    </row>
    <row r="3" spans="1:6" s="129" customFormat="1" ht="40.5" customHeight="1" thickBot="1" x14ac:dyDescent="0.3">
      <c r="A3" s="125"/>
      <c r="B3" s="320" t="s">
        <v>92</v>
      </c>
      <c r="C3" s="126" t="s">
        <v>93</v>
      </c>
      <c r="D3" s="127" t="s">
        <v>94</v>
      </c>
      <c r="E3" s="128" t="s">
        <v>95</v>
      </c>
      <c r="F3" s="324"/>
    </row>
    <row r="4" spans="1:6" s="129" customFormat="1" ht="228.75" customHeight="1" thickBot="1" x14ac:dyDescent="0.3">
      <c r="A4" s="125"/>
      <c r="B4" s="321"/>
      <c r="C4" s="130" t="s">
        <v>96</v>
      </c>
      <c r="D4" s="131" t="s">
        <v>97</v>
      </c>
      <c r="E4" s="163" t="s">
        <v>98</v>
      </c>
      <c r="F4" s="168" t="s">
        <v>99</v>
      </c>
    </row>
    <row r="5" spans="1:6" s="129" customFormat="1" ht="271" thickBot="1" x14ac:dyDescent="0.3">
      <c r="A5" s="125"/>
      <c r="B5" s="321"/>
      <c r="C5" s="132" t="s">
        <v>100</v>
      </c>
      <c r="D5" s="133" t="s">
        <v>101</v>
      </c>
      <c r="E5" s="164" t="s">
        <v>102</v>
      </c>
      <c r="F5" s="167" t="s">
        <v>103</v>
      </c>
    </row>
    <row r="6" spans="1:6" s="129" customFormat="1" ht="230" thickBot="1" x14ac:dyDescent="0.3">
      <c r="A6" s="125"/>
      <c r="B6" s="321"/>
      <c r="C6" s="134" t="s">
        <v>104</v>
      </c>
      <c r="D6" s="135" t="s">
        <v>105</v>
      </c>
      <c r="E6" s="165" t="s">
        <v>106</v>
      </c>
      <c r="F6" s="167"/>
    </row>
    <row r="7" spans="1:6" s="129" customFormat="1" ht="154.5" customHeight="1" thickBot="1" x14ac:dyDescent="0.3">
      <c r="A7" s="125"/>
      <c r="B7" s="321"/>
      <c r="C7" s="136" t="s">
        <v>107</v>
      </c>
      <c r="D7" s="137"/>
      <c r="E7" s="164"/>
      <c r="F7" s="167"/>
    </row>
    <row r="8" spans="1:6" s="129" customFormat="1" ht="180" thickBot="1" x14ac:dyDescent="0.3">
      <c r="A8" s="125"/>
      <c r="B8" s="321"/>
      <c r="C8" s="138" t="s">
        <v>108</v>
      </c>
      <c r="D8" s="135" t="s">
        <v>109</v>
      </c>
      <c r="E8" s="166" t="s">
        <v>110</v>
      </c>
      <c r="F8" s="167"/>
    </row>
    <row r="9" spans="1:6" s="129" customFormat="1" ht="172" thickBot="1" x14ac:dyDescent="0.3">
      <c r="A9" s="125"/>
      <c r="B9" s="321"/>
      <c r="C9" s="136" t="s">
        <v>111</v>
      </c>
      <c r="D9" s="133" t="s">
        <v>112</v>
      </c>
      <c r="E9" s="166" t="s">
        <v>113</v>
      </c>
      <c r="F9" s="167"/>
    </row>
    <row r="10" spans="1:6" s="141" customFormat="1" ht="258" thickBot="1" x14ac:dyDescent="0.35">
      <c r="A10" s="139"/>
      <c r="B10" s="321"/>
      <c r="C10" s="140" t="s">
        <v>114</v>
      </c>
      <c r="D10" s="133" t="s">
        <v>115</v>
      </c>
      <c r="E10" s="165" t="s">
        <v>116</v>
      </c>
      <c r="F10" s="169"/>
    </row>
    <row r="11" spans="1:6" s="141" customFormat="1" ht="29" thickBot="1" x14ac:dyDescent="0.35">
      <c r="A11" s="139"/>
      <c r="B11" s="322"/>
      <c r="C11" s="142"/>
      <c r="D11" s="143"/>
      <c r="E11" s="144"/>
    </row>
    <row r="12" spans="1:6" x14ac:dyDescent="0.25">
      <c r="D12" s="145"/>
      <c r="E12" s="146"/>
    </row>
    <row r="17" spans="4:4" x14ac:dyDescent="0.25">
      <c r="D17" s="122"/>
    </row>
    <row r="18" spans="4:4" x14ac:dyDescent="0.25">
      <c r="D18" s="122"/>
    </row>
    <row r="19" spans="4:4" x14ac:dyDescent="0.25">
      <c r="D19" s="122"/>
    </row>
  </sheetData>
  <mergeCells count="3">
    <mergeCell ref="B2:E2"/>
    <mergeCell ref="B3:B11"/>
    <mergeCell ref="F2:F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H71"/>
  <sheetViews>
    <sheetView topLeftCell="A21" workbookViewId="0">
      <selection activeCell="B35" sqref="B35"/>
    </sheetView>
  </sheetViews>
  <sheetFormatPr baseColWidth="10" defaultColWidth="11.5" defaultRowHeight="15" x14ac:dyDescent="0.2"/>
  <cols>
    <col min="2" max="2" width="22.83203125" customWidth="1"/>
    <col min="6" max="6" width="17.1640625" customWidth="1"/>
    <col min="7" max="7" width="29.33203125" customWidth="1"/>
  </cols>
  <sheetData>
    <row r="2" spans="1:8" x14ac:dyDescent="0.2">
      <c r="B2" t="s">
        <v>117</v>
      </c>
      <c r="E2" t="s">
        <v>118</v>
      </c>
    </row>
    <row r="3" spans="1:8" x14ac:dyDescent="0.2">
      <c r="B3" t="s">
        <v>119</v>
      </c>
      <c r="E3" t="s">
        <v>120</v>
      </c>
    </row>
    <row r="4" spans="1:8" x14ac:dyDescent="0.2">
      <c r="B4" t="s">
        <v>121</v>
      </c>
      <c r="E4" t="s">
        <v>122</v>
      </c>
    </row>
    <row r="5" spans="1:8" x14ac:dyDescent="0.2">
      <c r="B5" t="s">
        <v>123</v>
      </c>
    </row>
    <row r="7" spans="1:8" x14ac:dyDescent="0.2">
      <c r="F7" t="s">
        <v>124</v>
      </c>
      <c r="H7" t="s">
        <v>125</v>
      </c>
    </row>
    <row r="8" spans="1:8" x14ac:dyDescent="0.2">
      <c r="B8" t="s">
        <v>126</v>
      </c>
      <c r="F8" t="s">
        <v>127</v>
      </c>
      <c r="H8" t="s">
        <v>128</v>
      </c>
    </row>
    <row r="9" spans="1:8" x14ac:dyDescent="0.2">
      <c r="B9" t="s">
        <v>129</v>
      </c>
      <c r="F9" t="s">
        <v>130</v>
      </c>
      <c r="H9" t="s">
        <v>131</v>
      </c>
    </row>
    <row r="10" spans="1:8" ht="16" thickBot="1" x14ac:dyDescent="0.25">
      <c r="B10" t="s">
        <v>132</v>
      </c>
      <c r="H10" t="s">
        <v>133</v>
      </c>
    </row>
    <row r="11" spans="1:8" ht="16" thickBot="1" x14ac:dyDescent="0.25">
      <c r="A11" s="244" t="s">
        <v>23</v>
      </c>
      <c r="B11" s="245"/>
      <c r="C11" s="246"/>
      <c r="D11" s="247"/>
      <c r="H11" t="s">
        <v>134</v>
      </c>
    </row>
    <row r="12" spans="1:8" x14ac:dyDescent="0.2">
      <c r="A12" s="233" t="s">
        <v>135</v>
      </c>
      <c r="B12" s="234" t="s">
        <v>136</v>
      </c>
      <c r="D12" s="235"/>
      <c r="H12" t="s">
        <v>137</v>
      </c>
    </row>
    <row r="13" spans="1:8" x14ac:dyDescent="0.2">
      <c r="A13" s="233"/>
      <c r="B13" s="234" t="s">
        <v>138</v>
      </c>
      <c r="D13" s="235"/>
      <c r="H13" t="s">
        <v>139</v>
      </c>
    </row>
    <row r="14" spans="1:8" x14ac:dyDescent="0.2">
      <c r="A14" s="233"/>
      <c r="B14" s="234" t="s">
        <v>140</v>
      </c>
      <c r="D14" s="235"/>
      <c r="H14" t="s">
        <v>141</v>
      </c>
    </row>
    <row r="15" spans="1:8" x14ac:dyDescent="0.2">
      <c r="A15" s="233"/>
      <c r="B15" s="234" t="s">
        <v>142</v>
      </c>
      <c r="D15" s="235"/>
      <c r="H15" t="s">
        <v>143</v>
      </c>
    </row>
    <row r="16" spans="1:8" x14ac:dyDescent="0.2">
      <c r="A16" s="233"/>
      <c r="B16" s="234" t="s">
        <v>144</v>
      </c>
      <c r="D16" s="235"/>
      <c r="H16" t="s">
        <v>145</v>
      </c>
    </row>
    <row r="17" spans="1:8" x14ac:dyDescent="0.2">
      <c r="A17" s="236" t="s">
        <v>146</v>
      </c>
      <c r="B17" s="237" t="s">
        <v>147</v>
      </c>
      <c r="D17" s="235"/>
      <c r="H17" t="s">
        <v>148</v>
      </c>
    </row>
    <row r="18" spans="1:8" x14ac:dyDescent="0.2">
      <c r="A18" s="236"/>
      <c r="B18" s="237" t="s">
        <v>149</v>
      </c>
      <c r="D18" s="235"/>
      <c r="H18" t="s">
        <v>137</v>
      </c>
    </row>
    <row r="19" spans="1:8" x14ac:dyDescent="0.2">
      <c r="A19" s="236"/>
      <c r="B19" s="237" t="s">
        <v>150</v>
      </c>
      <c r="D19" s="235"/>
    </row>
    <row r="20" spans="1:8" x14ac:dyDescent="0.2">
      <c r="A20" s="238" t="s">
        <v>151</v>
      </c>
      <c r="B20" s="239" t="s">
        <v>152</v>
      </c>
      <c r="D20" s="235"/>
    </row>
    <row r="21" spans="1:8" x14ac:dyDescent="0.2">
      <c r="A21" s="238"/>
      <c r="B21" s="239" t="s">
        <v>153</v>
      </c>
      <c r="D21" s="235"/>
    </row>
    <row r="22" spans="1:8" ht="16" thickBot="1" x14ac:dyDescent="0.25">
      <c r="A22" s="240"/>
      <c r="B22" s="241" t="s">
        <v>154</v>
      </c>
      <c r="C22" s="242"/>
      <c r="D22" s="243"/>
    </row>
    <row r="25" spans="1:8" x14ac:dyDescent="0.2">
      <c r="B25" t="s">
        <v>155</v>
      </c>
    </row>
    <row r="26" spans="1:8" x14ac:dyDescent="0.2">
      <c r="B26" t="s">
        <v>156</v>
      </c>
    </row>
    <row r="27" spans="1:8" ht="16" thickBot="1" x14ac:dyDescent="0.25">
      <c r="B27" t="s">
        <v>157</v>
      </c>
    </row>
    <row r="28" spans="1:8" ht="16" thickBot="1" x14ac:dyDescent="0.25">
      <c r="B28" t="s">
        <v>158</v>
      </c>
      <c r="F28" s="160" t="s">
        <v>159</v>
      </c>
      <c r="G28" s="161" t="s">
        <v>160</v>
      </c>
    </row>
    <row r="29" spans="1:8" ht="16" thickBot="1" x14ac:dyDescent="0.25">
      <c r="B29" t="s">
        <v>161</v>
      </c>
      <c r="F29" s="328" t="s">
        <v>158</v>
      </c>
      <c r="G29" s="162" t="s">
        <v>162</v>
      </c>
    </row>
    <row r="30" spans="1:8" ht="16" thickBot="1" x14ac:dyDescent="0.25">
      <c r="B30" t="s">
        <v>163</v>
      </c>
      <c r="F30" s="326"/>
      <c r="G30" s="162" t="s">
        <v>164</v>
      </c>
    </row>
    <row r="31" spans="1:8" ht="16" thickBot="1" x14ac:dyDescent="0.25">
      <c r="B31" t="s">
        <v>165</v>
      </c>
      <c r="F31" s="326"/>
      <c r="G31" s="162" t="s">
        <v>166</v>
      </c>
    </row>
    <row r="32" spans="1:8" ht="16" thickBot="1" x14ac:dyDescent="0.25">
      <c r="B32" t="s">
        <v>167</v>
      </c>
      <c r="F32" s="326"/>
      <c r="G32" s="162" t="s">
        <v>168</v>
      </c>
    </row>
    <row r="33" spans="6:7" ht="16" thickBot="1" x14ac:dyDescent="0.25">
      <c r="F33" s="326"/>
      <c r="G33" s="162" t="s">
        <v>169</v>
      </c>
    </row>
    <row r="34" spans="6:7" ht="16" thickBot="1" x14ac:dyDescent="0.25">
      <c r="F34" s="327"/>
      <c r="G34" s="162" t="s">
        <v>170</v>
      </c>
    </row>
    <row r="35" spans="6:7" ht="16" thickBot="1" x14ac:dyDescent="0.25">
      <c r="F35" s="325" t="s">
        <v>167</v>
      </c>
      <c r="G35" s="162" t="s">
        <v>171</v>
      </c>
    </row>
    <row r="36" spans="6:7" ht="16" thickBot="1" x14ac:dyDescent="0.25">
      <c r="F36" s="326"/>
      <c r="G36" s="162" t="s">
        <v>172</v>
      </c>
    </row>
    <row r="37" spans="6:7" ht="16" thickBot="1" x14ac:dyDescent="0.25">
      <c r="F37" s="326"/>
      <c r="G37" s="162" t="s">
        <v>173</v>
      </c>
    </row>
    <row r="38" spans="6:7" ht="21.75" customHeight="1" thickBot="1" x14ac:dyDescent="0.25">
      <c r="F38" s="326"/>
      <c r="G38" s="162" t="s">
        <v>174</v>
      </c>
    </row>
    <row r="39" spans="6:7" ht="16" thickBot="1" x14ac:dyDescent="0.25">
      <c r="F39" s="327"/>
      <c r="G39" s="162" t="s">
        <v>175</v>
      </c>
    </row>
    <row r="40" spans="6:7" ht="45.75" customHeight="1" thickBot="1" x14ac:dyDescent="0.25">
      <c r="F40" s="325" t="s">
        <v>163</v>
      </c>
      <c r="G40" s="162" t="s">
        <v>176</v>
      </c>
    </row>
    <row r="41" spans="6:7" ht="16" thickBot="1" x14ac:dyDescent="0.25">
      <c r="F41" s="326"/>
      <c r="G41" s="162" t="s">
        <v>177</v>
      </c>
    </row>
    <row r="42" spans="6:7" ht="30" customHeight="1" thickBot="1" x14ac:dyDescent="0.25">
      <c r="F42" s="327"/>
      <c r="G42" s="162" t="s">
        <v>178</v>
      </c>
    </row>
    <row r="43" spans="6:7" ht="16" thickBot="1" x14ac:dyDescent="0.25">
      <c r="F43" s="325" t="s">
        <v>165</v>
      </c>
      <c r="G43" s="162" t="s">
        <v>179</v>
      </c>
    </row>
    <row r="44" spans="6:7" ht="16" thickBot="1" x14ac:dyDescent="0.25">
      <c r="F44" s="326"/>
      <c r="G44" s="162" t="s">
        <v>180</v>
      </c>
    </row>
    <row r="45" spans="6:7" ht="16" thickBot="1" x14ac:dyDescent="0.25">
      <c r="F45" s="327"/>
      <c r="G45" s="162" t="s">
        <v>181</v>
      </c>
    </row>
    <row r="46" spans="6:7" ht="27" thickBot="1" x14ac:dyDescent="0.25">
      <c r="F46" s="325" t="s">
        <v>156</v>
      </c>
      <c r="G46" s="162" t="s">
        <v>182</v>
      </c>
    </row>
    <row r="47" spans="6:7" ht="16" thickBot="1" x14ac:dyDescent="0.25">
      <c r="F47" s="326"/>
      <c r="G47" s="162" t="s">
        <v>183</v>
      </c>
    </row>
    <row r="48" spans="6:7" ht="16" thickBot="1" x14ac:dyDescent="0.25">
      <c r="F48" s="326"/>
      <c r="G48" s="162" t="s">
        <v>184</v>
      </c>
    </row>
    <row r="49" spans="6:7" ht="16" thickBot="1" x14ac:dyDescent="0.25">
      <c r="F49" s="326"/>
      <c r="G49" s="162" t="s">
        <v>185</v>
      </c>
    </row>
    <row r="50" spans="6:7" ht="16" thickBot="1" x14ac:dyDescent="0.25">
      <c r="F50" s="326"/>
      <c r="G50" s="162" t="s">
        <v>186</v>
      </c>
    </row>
    <row r="51" spans="6:7" ht="27" thickBot="1" x14ac:dyDescent="0.25">
      <c r="F51" s="326"/>
      <c r="G51" s="162" t="s">
        <v>187</v>
      </c>
    </row>
    <row r="52" spans="6:7" ht="16" thickBot="1" x14ac:dyDescent="0.25">
      <c r="F52" s="326"/>
      <c r="G52" s="162" t="s">
        <v>188</v>
      </c>
    </row>
    <row r="53" spans="6:7" ht="27" thickBot="1" x14ac:dyDescent="0.25">
      <c r="F53" s="326"/>
      <c r="G53" s="162" t="s">
        <v>189</v>
      </c>
    </row>
    <row r="54" spans="6:7" ht="16" thickBot="1" x14ac:dyDescent="0.25">
      <c r="F54" s="326"/>
      <c r="G54" s="162" t="s">
        <v>190</v>
      </c>
    </row>
    <row r="55" spans="6:7" ht="16" thickBot="1" x14ac:dyDescent="0.25">
      <c r="F55" s="326"/>
      <c r="G55" s="162" t="s">
        <v>191</v>
      </c>
    </row>
    <row r="56" spans="6:7" ht="16" thickBot="1" x14ac:dyDescent="0.25">
      <c r="F56" s="327"/>
      <c r="G56" s="162" t="s">
        <v>192</v>
      </c>
    </row>
    <row r="57" spans="6:7" ht="16" thickBot="1" x14ac:dyDescent="0.25">
      <c r="F57" s="325" t="s">
        <v>161</v>
      </c>
      <c r="G57" s="162" t="s">
        <v>193</v>
      </c>
    </row>
    <row r="58" spans="6:7" ht="16" thickBot="1" x14ac:dyDescent="0.25">
      <c r="F58" s="326"/>
      <c r="G58" s="162" t="s">
        <v>194</v>
      </c>
    </row>
    <row r="59" spans="6:7" ht="16" thickBot="1" x14ac:dyDescent="0.25">
      <c r="F59" s="326"/>
      <c r="G59" s="162" t="s">
        <v>195</v>
      </c>
    </row>
    <row r="60" spans="6:7" ht="16" thickBot="1" x14ac:dyDescent="0.25">
      <c r="F60" s="326"/>
      <c r="G60" s="162" t="s">
        <v>196</v>
      </c>
    </row>
    <row r="61" spans="6:7" ht="27" thickBot="1" x14ac:dyDescent="0.25">
      <c r="F61" s="327"/>
      <c r="G61" s="162" t="s">
        <v>197</v>
      </c>
    </row>
    <row r="62" spans="6:7" ht="16" thickBot="1" x14ac:dyDescent="0.25">
      <c r="F62" s="325" t="s">
        <v>155</v>
      </c>
      <c r="G62" s="162" t="s">
        <v>198</v>
      </c>
    </row>
    <row r="63" spans="6:7" ht="16" thickBot="1" x14ac:dyDescent="0.25">
      <c r="F63" s="326"/>
      <c r="G63" s="162" t="s">
        <v>199</v>
      </c>
    </row>
    <row r="64" spans="6:7" ht="16" thickBot="1" x14ac:dyDescent="0.25">
      <c r="F64" s="326"/>
      <c r="G64" s="162" t="s">
        <v>200</v>
      </c>
    </row>
    <row r="65" spans="6:7" ht="16" thickBot="1" x14ac:dyDescent="0.25">
      <c r="F65" s="326"/>
      <c r="G65" s="162" t="s">
        <v>201</v>
      </c>
    </row>
    <row r="66" spans="6:7" ht="16" thickBot="1" x14ac:dyDescent="0.25">
      <c r="F66" s="327"/>
      <c r="G66" s="162" t="s">
        <v>202</v>
      </c>
    </row>
    <row r="67" spans="6:7" ht="16" thickBot="1" x14ac:dyDescent="0.25">
      <c r="F67" s="325" t="s">
        <v>157</v>
      </c>
      <c r="G67" s="162" t="s">
        <v>203</v>
      </c>
    </row>
    <row r="68" spans="6:7" ht="16" thickBot="1" x14ac:dyDescent="0.25">
      <c r="F68" s="326"/>
      <c r="G68" s="162" t="s">
        <v>204</v>
      </c>
    </row>
    <row r="69" spans="6:7" ht="16" thickBot="1" x14ac:dyDescent="0.25">
      <c r="F69" s="326"/>
      <c r="G69" s="162" t="s">
        <v>205</v>
      </c>
    </row>
    <row r="70" spans="6:7" ht="16" thickBot="1" x14ac:dyDescent="0.25">
      <c r="F70" s="326"/>
      <c r="G70" s="162" t="s">
        <v>206</v>
      </c>
    </row>
    <row r="71" spans="6:7" ht="27" thickBot="1" x14ac:dyDescent="0.25">
      <c r="F71" s="327"/>
      <c r="G71" s="162" t="s">
        <v>207</v>
      </c>
    </row>
  </sheetData>
  <sortState xmlns:xlrd2="http://schemas.microsoft.com/office/spreadsheetml/2017/richdata2" ref="B2:B5">
    <sortCondition ref="B2:B5"/>
  </sortState>
  <mergeCells count="8">
    <mergeCell ref="F62:F66"/>
    <mergeCell ref="F67:F71"/>
    <mergeCell ref="F29:F34"/>
    <mergeCell ref="F35:F39"/>
    <mergeCell ref="F40:F42"/>
    <mergeCell ref="F43:F45"/>
    <mergeCell ref="F46:F56"/>
    <mergeCell ref="F57:F6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JL75"/>
  <sheetViews>
    <sheetView tabSelected="1" topLeftCell="AF19" zoomScale="70" zoomScaleNormal="70" zoomScaleSheetLayoutView="50" zoomScalePageLayoutView="60" workbookViewId="0">
      <selection activeCell="W20" sqref="W20"/>
    </sheetView>
  </sheetViews>
  <sheetFormatPr baseColWidth="10" defaultColWidth="11.5" defaultRowHeight="16" x14ac:dyDescent="0.2"/>
  <cols>
    <col min="1" max="1" width="6.5" style="226" customWidth="1"/>
    <col min="2" max="2" width="16" style="226" customWidth="1"/>
    <col min="3" max="3" width="19.1640625" style="226" customWidth="1"/>
    <col min="4" max="4" width="25.33203125" style="226" customWidth="1"/>
    <col min="5" max="5" width="67" style="226" customWidth="1"/>
    <col min="6" max="6" width="15.6640625" style="198" hidden="1" customWidth="1"/>
    <col min="7" max="7" width="16" style="198" hidden="1" customWidth="1"/>
    <col min="8" max="8" width="27.5" style="198" hidden="1" customWidth="1"/>
    <col min="9" max="10" width="29.5" style="198" customWidth="1"/>
    <col min="11" max="11" width="24.33203125" style="198" customWidth="1"/>
    <col min="12" max="12" width="19.5" style="198" customWidth="1"/>
    <col min="13" max="13" width="17.6640625" style="198" customWidth="1"/>
    <col min="14" max="14" width="16.6640625" style="227" customWidth="1"/>
    <col min="15" max="15" width="16.6640625" style="198" customWidth="1"/>
    <col min="16" max="16" width="9.5" style="198" customWidth="1"/>
    <col min="17" max="17" width="20.1640625" style="198" customWidth="1"/>
    <col min="18" max="18" width="25" style="198" customWidth="1"/>
    <col min="19" max="19" width="17" style="198" customWidth="1"/>
    <col min="20" max="20" width="12" style="198" customWidth="1"/>
    <col min="21" max="21" width="17.33203125" style="198" customWidth="1"/>
    <col min="22" max="22" width="7.5" style="198" customWidth="1"/>
    <col min="23" max="23" width="75" style="198" customWidth="1"/>
    <col min="24" max="24" width="25.1640625" style="198" customWidth="1"/>
    <col min="25" max="25" width="5.83203125" style="198" customWidth="1"/>
    <col min="26" max="26" width="6.83203125" style="198" customWidth="1"/>
    <col min="27" max="27" width="5" style="198" customWidth="1"/>
    <col min="28" max="28" width="5.5" style="198" customWidth="1"/>
    <col min="29" max="29" width="7.1640625" style="198" customWidth="1"/>
    <col min="30" max="30" width="6.6640625" style="198" customWidth="1"/>
    <col min="31" max="31" width="7.5" style="198" customWidth="1"/>
    <col min="32" max="32" width="8.5" style="198" customWidth="1"/>
    <col min="33" max="37" width="10.83203125" style="198" customWidth="1"/>
    <col min="38" max="38" width="37.83203125" style="225" customWidth="1"/>
    <col min="39" max="39" width="23" style="198" customWidth="1"/>
    <col min="40" max="40" width="18.83203125" style="198" customWidth="1"/>
    <col min="41" max="41" width="21.5" style="198" customWidth="1"/>
    <col min="42" max="42" width="22.5" style="198" customWidth="1"/>
    <col min="43" max="43" width="16.5" style="198" customWidth="1"/>
    <col min="44" max="44" width="20.5" style="198" customWidth="1"/>
    <col min="45" max="16384" width="11.5" style="198"/>
  </cols>
  <sheetData>
    <row r="1" spans="1:272" s="202" customFormat="1" ht="24" hidden="1" customHeight="1" x14ac:dyDescent="0.2">
      <c r="A1" s="418"/>
      <c r="B1" s="419"/>
      <c r="C1" s="420"/>
      <c r="D1" s="427" t="s">
        <v>208</v>
      </c>
      <c r="E1" s="427"/>
      <c r="F1" s="393"/>
      <c r="G1" s="393"/>
      <c r="H1" s="393"/>
      <c r="I1" s="393"/>
      <c r="J1" s="393"/>
      <c r="K1" s="393"/>
      <c r="L1" s="393"/>
      <c r="M1" s="393"/>
      <c r="N1" s="393"/>
      <c r="O1" s="393"/>
      <c r="P1" s="393"/>
      <c r="Q1" s="393"/>
      <c r="R1" s="393"/>
      <c r="S1" s="393"/>
      <c r="T1" s="393"/>
      <c r="U1" s="393"/>
      <c r="V1" s="428"/>
      <c r="W1" s="200"/>
      <c r="X1" s="392" t="s">
        <v>208</v>
      </c>
      <c r="Y1" s="393"/>
      <c r="Z1" s="393"/>
      <c r="AA1" s="393"/>
      <c r="AB1" s="393"/>
      <c r="AC1" s="393"/>
      <c r="AD1" s="393"/>
      <c r="AE1" s="393"/>
      <c r="AF1" s="393"/>
      <c r="AG1" s="393"/>
      <c r="AH1" s="393"/>
      <c r="AI1" s="393"/>
      <c r="AJ1" s="393"/>
      <c r="AK1" s="393"/>
      <c r="AL1" s="393"/>
      <c r="AM1" s="393"/>
      <c r="AN1" s="393"/>
      <c r="AO1" s="393"/>
      <c r="AP1" s="393"/>
      <c r="AQ1" s="393"/>
      <c r="AR1" s="393"/>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row>
    <row r="2" spans="1:272" s="202" customFormat="1" ht="24" hidden="1" customHeight="1" thickBot="1" x14ac:dyDescent="0.25">
      <c r="A2" s="421"/>
      <c r="B2" s="422"/>
      <c r="C2" s="423"/>
      <c r="D2" s="429"/>
      <c r="E2" s="429"/>
      <c r="F2" s="395"/>
      <c r="G2" s="395"/>
      <c r="H2" s="395"/>
      <c r="I2" s="395"/>
      <c r="J2" s="395"/>
      <c r="K2" s="395"/>
      <c r="L2" s="395"/>
      <c r="M2" s="395"/>
      <c r="N2" s="395"/>
      <c r="O2" s="395"/>
      <c r="P2" s="395"/>
      <c r="Q2" s="395"/>
      <c r="R2" s="395"/>
      <c r="S2" s="395"/>
      <c r="T2" s="395"/>
      <c r="U2" s="395"/>
      <c r="V2" s="430"/>
      <c r="W2" s="200"/>
      <c r="X2" s="394"/>
      <c r="Y2" s="395"/>
      <c r="Z2" s="395"/>
      <c r="AA2" s="395"/>
      <c r="AB2" s="395"/>
      <c r="AC2" s="395"/>
      <c r="AD2" s="395"/>
      <c r="AE2" s="395"/>
      <c r="AF2" s="395"/>
      <c r="AG2" s="395"/>
      <c r="AH2" s="395"/>
      <c r="AI2" s="395"/>
      <c r="AJ2" s="395"/>
      <c r="AK2" s="395"/>
      <c r="AL2" s="395"/>
      <c r="AM2" s="395"/>
      <c r="AN2" s="395"/>
      <c r="AO2" s="395"/>
      <c r="AP2" s="395"/>
      <c r="AQ2" s="395"/>
      <c r="AR2" s="395"/>
      <c r="AS2" s="201"/>
      <c r="AT2" s="201"/>
      <c r="AU2" s="201"/>
      <c r="AV2" s="201"/>
      <c r="AW2" s="201"/>
      <c r="AX2" s="201"/>
      <c r="AY2" s="201"/>
      <c r="AZ2" s="201"/>
      <c r="BA2" s="201"/>
      <c r="BB2" s="201"/>
      <c r="BC2" s="201"/>
      <c r="BD2" s="201"/>
      <c r="BE2" s="201"/>
      <c r="BF2" s="201"/>
      <c r="BG2" s="201"/>
      <c r="BH2" s="201"/>
      <c r="BI2" s="201"/>
      <c r="BJ2" s="201"/>
      <c r="BK2" s="201"/>
      <c r="BL2" s="201"/>
      <c r="BM2" s="201"/>
      <c r="BN2" s="201"/>
      <c r="BO2" s="201"/>
      <c r="BP2" s="201"/>
    </row>
    <row r="3" spans="1:272" s="202" customFormat="1" ht="24" hidden="1" customHeight="1" x14ac:dyDescent="0.2">
      <c r="A3" s="421"/>
      <c r="B3" s="422"/>
      <c r="C3" s="423"/>
      <c r="D3" s="431" t="s">
        <v>209</v>
      </c>
      <c r="E3" s="431"/>
      <c r="F3" s="432"/>
      <c r="G3" s="432"/>
      <c r="H3" s="432"/>
      <c r="I3" s="432"/>
      <c r="J3" s="432"/>
      <c r="K3" s="432"/>
      <c r="L3" s="432"/>
      <c r="M3" s="432"/>
      <c r="N3" s="432"/>
      <c r="O3" s="433" t="s">
        <v>210</v>
      </c>
      <c r="P3" s="433"/>
      <c r="Q3" s="433"/>
      <c r="R3" s="433"/>
      <c r="S3" s="433"/>
      <c r="T3" s="433"/>
      <c r="U3" s="433"/>
      <c r="V3" s="434"/>
      <c r="W3" s="200"/>
      <c r="X3" s="396" t="s">
        <v>211</v>
      </c>
      <c r="Y3" s="397"/>
      <c r="Z3" s="397"/>
      <c r="AA3" s="397"/>
      <c r="AB3" s="397"/>
      <c r="AC3" s="397"/>
      <c r="AD3" s="397"/>
      <c r="AE3" s="397"/>
      <c r="AF3" s="397"/>
      <c r="AG3" s="397"/>
      <c r="AH3" s="397"/>
      <c r="AI3" s="397"/>
      <c r="AJ3" s="397"/>
      <c r="AK3" s="397"/>
      <c r="AL3" s="397"/>
      <c r="AM3" s="397" t="s">
        <v>212</v>
      </c>
      <c r="AN3" s="397"/>
      <c r="AO3" s="397"/>
      <c r="AP3" s="397"/>
      <c r="AQ3" s="397"/>
      <c r="AR3" s="397"/>
      <c r="AS3" s="201"/>
      <c r="AT3" s="201"/>
      <c r="AU3" s="201"/>
      <c r="AV3" s="201"/>
      <c r="AW3" s="201"/>
      <c r="AX3" s="201"/>
      <c r="AY3" s="201"/>
      <c r="AZ3" s="201"/>
      <c r="BA3" s="201"/>
      <c r="BB3" s="201"/>
      <c r="BC3" s="201"/>
      <c r="BD3" s="201"/>
      <c r="BE3" s="201"/>
      <c r="BF3" s="201"/>
      <c r="BG3" s="201"/>
      <c r="BH3" s="201"/>
      <c r="BI3" s="201"/>
      <c r="BJ3" s="201"/>
      <c r="BK3" s="201"/>
      <c r="BL3" s="201"/>
      <c r="BM3" s="201"/>
      <c r="BN3" s="201"/>
      <c r="BO3" s="201"/>
      <c r="BP3" s="201"/>
    </row>
    <row r="4" spans="1:272" s="202" customFormat="1" ht="24" hidden="1" customHeight="1" thickBot="1" x14ac:dyDescent="0.25">
      <c r="A4" s="424"/>
      <c r="B4" s="425"/>
      <c r="C4" s="426"/>
      <c r="D4" s="435" t="s">
        <v>213</v>
      </c>
      <c r="E4" s="435"/>
      <c r="F4" s="399"/>
      <c r="G4" s="399"/>
      <c r="H4" s="399"/>
      <c r="I4" s="399"/>
      <c r="J4" s="399"/>
      <c r="K4" s="399"/>
      <c r="L4" s="399"/>
      <c r="M4" s="399"/>
      <c r="N4" s="399"/>
      <c r="O4" s="399"/>
      <c r="P4" s="399"/>
      <c r="Q4" s="399"/>
      <c r="R4" s="399"/>
      <c r="S4" s="399"/>
      <c r="T4" s="399"/>
      <c r="U4" s="399"/>
      <c r="V4" s="436"/>
      <c r="W4" s="200"/>
      <c r="X4" s="398" t="s">
        <v>214</v>
      </c>
      <c r="Y4" s="399"/>
      <c r="Z4" s="399"/>
      <c r="AA4" s="399"/>
      <c r="AB4" s="399"/>
      <c r="AC4" s="399"/>
      <c r="AD4" s="399"/>
      <c r="AE4" s="399"/>
      <c r="AF4" s="399"/>
      <c r="AG4" s="399"/>
      <c r="AH4" s="399"/>
      <c r="AI4" s="399"/>
      <c r="AJ4" s="399"/>
      <c r="AK4" s="399"/>
      <c r="AL4" s="399"/>
      <c r="AM4" s="399"/>
      <c r="AN4" s="399"/>
      <c r="AO4" s="399"/>
      <c r="AP4" s="399"/>
      <c r="AQ4" s="399"/>
      <c r="AR4" s="399"/>
      <c r="AS4" s="201"/>
      <c r="AT4" s="201"/>
      <c r="AU4" s="201"/>
      <c r="AV4" s="201"/>
      <c r="AW4" s="201"/>
      <c r="AX4" s="201"/>
      <c r="AY4" s="201"/>
      <c r="AZ4" s="201"/>
      <c r="BA4" s="201"/>
      <c r="BB4" s="201"/>
      <c r="BC4" s="201"/>
      <c r="BD4" s="201"/>
      <c r="BE4" s="201"/>
      <c r="BF4" s="201"/>
      <c r="BG4" s="201"/>
      <c r="BH4" s="201"/>
      <c r="BI4" s="201"/>
      <c r="BJ4" s="201"/>
      <c r="BK4" s="201"/>
      <c r="BL4" s="201"/>
      <c r="BM4" s="201"/>
      <c r="BN4" s="201"/>
      <c r="BO4" s="201"/>
      <c r="BP4" s="201"/>
    </row>
    <row r="5" spans="1:272" ht="17" thickBot="1" x14ac:dyDescent="0.25">
      <c r="A5" s="203"/>
      <c r="B5" s="204"/>
      <c r="C5" s="203"/>
      <c r="D5" s="203"/>
      <c r="E5" s="203"/>
      <c r="F5" s="205"/>
      <c r="G5" s="205"/>
      <c r="H5" s="205"/>
      <c r="I5" s="205"/>
      <c r="J5" s="205"/>
      <c r="K5" s="205"/>
      <c r="L5" s="205"/>
      <c r="M5" s="205"/>
      <c r="N5" s="206"/>
      <c r="O5" s="205"/>
      <c r="P5" s="205"/>
      <c r="Q5" s="205"/>
      <c r="R5" s="205"/>
      <c r="S5" s="205"/>
      <c r="T5" s="205"/>
      <c r="U5" s="205"/>
      <c r="V5" s="205"/>
      <c r="W5" s="205"/>
      <c r="X5" s="205"/>
      <c r="Y5" s="205"/>
      <c r="Z5" s="205"/>
      <c r="AA5" s="205"/>
      <c r="AB5" s="205"/>
      <c r="AC5" s="205"/>
      <c r="AD5" s="205"/>
      <c r="AE5" s="205"/>
      <c r="AF5" s="205"/>
      <c r="AG5" s="205"/>
      <c r="AH5" s="205"/>
      <c r="AI5" s="205"/>
      <c r="AJ5" s="205"/>
      <c r="AK5" s="205"/>
      <c r="AL5" s="207"/>
      <c r="AM5" s="205"/>
      <c r="AN5" s="205"/>
      <c r="AO5" s="205"/>
      <c r="AP5" s="205"/>
      <c r="AQ5" s="205"/>
      <c r="AR5" s="205"/>
      <c r="AS5" s="205"/>
      <c r="AT5" s="205"/>
      <c r="AU5" s="205"/>
      <c r="AV5" s="205"/>
      <c r="AW5" s="205"/>
      <c r="AX5" s="205"/>
      <c r="AY5" s="205"/>
      <c r="AZ5" s="205"/>
      <c r="BA5" s="205"/>
      <c r="BB5" s="205"/>
      <c r="BC5" s="205"/>
      <c r="BD5" s="205"/>
      <c r="BE5" s="205"/>
      <c r="BF5" s="205"/>
      <c r="BG5" s="205"/>
      <c r="BH5" s="205"/>
      <c r="BI5" s="205"/>
      <c r="BJ5" s="205"/>
      <c r="BK5" s="205"/>
      <c r="BL5" s="205"/>
      <c r="BM5" s="205"/>
      <c r="BN5" s="205"/>
      <c r="BO5" s="205"/>
      <c r="BP5" s="205"/>
    </row>
    <row r="6" spans="1:272" ht="27.75" customHeight="1" x14ac:dyDescent="0.2">
      <c r="A6" s="400" t="s">
        <v>215</v>
      </c>
      <c r="B6" s="401"/>
      <c r="C6" s="406" t="s">
        <v>73</v>
      </c>
      <c r="D6" s="407"/>
      <c r="E6" s="407"/>
      <c r="F6" s="407"/>
      <c r="G6" s="407"/>
      <c r="H6" s="407"/>
      <c r="I6" s="407"/>
      <c r="J6" s="407"/>
      <c r="K6" s="407"/>
      <c r="L6" s="407"/>
      <c r="M6" s="407"/>
      <c r="N6" s="407"/>
      <c r="O6" s="407"/>
      <c r="P6" s="407"/>
      <c r="Q6" s="407"/>
      <c r="R6" s="407"/>
      <c r="S6" s="407"/>
      <c r="T6" s="407"/>
      <c r="U6" s="407"/>
      <c r="V6" s="408"/>
      <c r="W6" s="409" t="s">
        <v>215</v>
      </c>
      <c r="X6" s="410"/>
      <c r="Y6" s="411"/>
      <c r="Z6" s="386" t="str">
        <f>C6</f>
        <v>1. Direccionamiento estratégico e innovación</v>
      </c>
      <c r="AA6" s="387"/>
      <c r="AB6" s="387"/>
      <c r="AC6" s="387"/>
      <c r="AD6" s="387"/>
      <c r="AE6" s="387"/>
      <c r="AF6" s="387"/>
      <c r="AG6" s="387"/>
      <c r="AH6" s="387"/>
      <c r="AI6" s="387"/>
      <c r="AJ6" s="387"/>
      <c r="AK6" s="387"/>
      <c r="AL6" s="387"/>
      <c r="AM6" s="387"/>
      <c r="AN6" s="387"/>
      <c r="AO6" s="387"/>
      <c r="AP6" s="387"/>
      <c r="AQ6" s="387"/>
      <c r="AR6" s="387"/>
      <c r="AS6" s="205"/>
      <c r="AT6" s="205"/>
      <c r="AU6" s="205"/>
      <c r="AV6" s="205"/>
      <c r="AW6" s="205"/>
      <c r="AX6" s="205"/>
      <c r="AY6" s="205"/>
      <c r="AZ6" s="205"/>
      <c r="BA6" s="205"/>
      <c r="BB6" s="205"/>
      <c r="BC6" s="205"/>
      <c r="BD6" s="205"/>
      <c r="BE6" s="205"/>
      <c r="BF6" s="205"/>
      <c r="BG6" s="205"/>
      <c r="BH6" s="205"/>
      <c r="BI6" s="205"/>
      <c r="BJ6" s="205"/>
      <c r="BK6" s="205"/>
      <c r="BL6" s="205"/>
      <c r="BM6" s="205"/>
      <c r="BN6" s="205"/>
      <c r="BO6" s="205"/>
      <c r="BP6" s="205"/>
    </row>
    <row r="7" spans="1:272" ht="67.5" customHeight="1" x14ac:dyDescent="0.2">
      <c r="A7" s="402" t="s">
        <v>216</v>
      </c>
      <c r="B7" s="403"/>
      <c r="C7" s="412" t="s">
        <v>217</v>
      </c>
      <c r="D7" s="413"/>
      <c r="E7" s="413"/>
      <c r="F7" s="413"/>
      <c r="G7" s="413"/>
      <c r="H7" s="413"/>
      <c r="I7" s="413"/>
      <c r="J7" s="413"/>
      <c r="K7" s="413"/>
      <c r="L7" s="413"/>
      <c r="M7" s="413"/>
      <c r="N7" s="413"/>
      <c r="O7" s="413"/>
      <c r="P7" s="413"/>
      <c r="Q7" s="413"/>
      <c r="R7" s="413"/>
      <c r="S7" s="413"/>
      <c r="T7" s="413"/>
      <c r="U7" s="413"/>
      <c r="V7" s="414"/>
      <c r="W7" s="208" t="s">
        <v>216</v>
      </c>
      <c r="X7" s="209"/>
      <c r="Y7" s="210"/>
      <c r="Z7" s="388" t="str">
        <f>C7</f>
        <v>Brindar las herramientas necesarias para definir la ruta estratégica que guiará la gestión institucional y la toma de decisiones de la alta dirección para mejorar los procesos y el uso de los recursos a partir de los resultados del seguimiento, en pro de satisfacer las necesidades de los grupos de valor y en el marco de la implementación del modelo de gestión pública</v>
      </c>
      <c r="AA7" s="389"/>
      <c r="AB7" s="389"/>
      <c r="AC7" s="389"/>
      <c r="AD7" s="389"/>
      <c r="AE7" s="389"/>
      <c r="AF7" s="389"/>
      <c r="AG7" s="389"/>
      <c r="AH7" s="389"/>
      <c r="AI7" s="389"/>
      <c r="AJ7" s="389"/>
      <c r="AK7" s="389"/>
      <c r="AL7" s="389"/>
      <c r="AM7" s="389"/>
      <c r="AN7" s="389"/>
      <c r="AO7" s="389"/>
      <c r="AP7" s="389"/>
      <c r="AQ7" s="389"/>
      <c r="AR7" s="389"/>
      <c r="AS7" s="205"/>
      <c r="AT7" s="205"/>
      <c r="AU7" s="205"/>
      <c r="AV7" s="205"/>
      <c r="AW7" s="205"/>
      <c r="AX7" s="205"/>
      <c r="AY7" s="205"/>
      <c r="AZ7" s="205"/>
      <c r="BA7" s="205"/>
      <c r="BB7" s="205"/>
      <c r="BC7" s="205"/>
      <c r="BD7" s="205"/>
      <c r="BE7" s="205"/>
      <c r="BF7" s="205"/>
      <c r="BG7" s="205"/>
      <c r="BH7" s="205"/>
      <c r="BI7" s="205"/>
      <c r="BJ7" s="205"/>
      <c r="BK7" s="205"/>
      <c r="BL7" s="205"/>
      <c r="BM7" s="205"/>
      <c r="BN7" s="205"/>
      <c r="BO7" s="205"/>
      <c r="BP7" s="205"/>
    </row>
    <row r="8" spans="1:272" ht="30" customHeight="1" thickBot="1" x14ac:dyDescent="0.25">
      <c r="A8" s="404" t="s">
        <v>218</v>
      </c>
      <c r="B8" s="405"/>
      <c r="C8" s="415" t="s">
        <v>219</v>
      </c>
      <c r="D8" s="416"/>
      <c r="E8" s="416"/>
      <c r="F8" s="416"/>
      <c r="G8" s="416"/>
      <c r="H8" s="416"/>
      <c r="I8" s="416"/>
      <c r="J8" s="416"/>
      <c r="K8" s="416"/>
      <c r="L8" s="416"/>
      <c r="M8" s="416"/>
      <c r="N8" s="416"/>
      <c r="O8" s="416"/>
      <c r="P8" s="416"/>
      <c r="Q8" s="416"/>
      <c r="R8" s="416"/>
      <c r="S8" s="416"/>
      <c r="T8" s="416"/>
      <c r="U8" s="416"/>
      <c r="V8" s="417"/>
      <c r="W8" s="211" t="s">
        <v>218</v>
      </c>
      <c r="X8" s="212"/>
      <c r="Y8" s="213"/>
      <c r="Z8" s="390" t="str">
        <f>C8</f>
        <v xml:space="preserve">El proceso inicia con la formulación de la plataforma estratégica institucional, alineada al Plan de Desarrollo Distrital, con el fin de definir los lineamientos para la formulación de politicas, planes, programas, proyectos, estrategias de mejora e innovación, manuales e indicadores que permitan medir la gestión institucional y cumplir con las políticas y lineamientos del gobierno nacional y distrital. Finaliza con el seguimiento, consolidación, análisis y presentación de resultados como insumo para la toma de decisiones de la Alta Dirección. </v>
      </c>
      <c r="AA8" s="391"/>
      <c r="AB8" s="391"/>
      <c r="AC8" s="391"/>
      <c r="AD8" s="391"/>
      <c r="AE8" s="391"/>
      <c r="AF8" s="391"/>
      <c r="AG8" s="391"/>
      <c r="AH8" s="391"/>
      <c r="AI8" s="391"/>
      <c r="AJ8" s="391"/>
      <c r="AK8" s="391"/>
      <c r="AL8" s="391"/>
      <c r="AM8" s="391"/>
      <c r="AN8" s="391"/>
      <c r="AO8" s="391"/>
      <c r="AP8" s="391"/>
      <c r="AQ8" s="391"/>
      <c r="AR8" s="391"/>
      <c r="AS8" s="205"/>
      <c r="AT8" s="205"/>
      <c r="AU8" s="205"/>
      <c r="AV8" s="205"/>
      <c r="AW8" s="205"/>
      <c r="AX8" s="205"/>
      <c r="AY8" s="205"/>
      <c r="AZ8" s="205"/>
      <c r="BA8" s="205"/>
      <c r="BB8" s="205"/>
      <c r="BC8" s="205"/>
      <c r="BD8" s="205"/>
      <c r="BE8" s="205"/>
      <c r="BF8" s="205"/>
      <c r="BG8" s="205"/>
      <c r="BH8" s="205"/>
      <c r="BI8" s="205"/>
      <c r="BJ8" s="205"/>
      <c r="BK8" s="205"/>
      <c r="BL8" s="205"/>
      <c r="BM8" s="205"/>
      <c r="BN8" s="205"/>
      <c r="BO8" s="205"/>
      <c r="BP8" s="205"/>
    </row>
    <row r="9" spans="1:272" ht="12" customHeight="1" x14ac:dyDescent="0.2">
      <c r="A9" s="214"/>
      <c r="B9" s="214"/>
      <c r="C9" s="215"/>
      <c r="D9" s="215"/>
      <c r="E9" s="215"/>
      <c r="F9" s="215"/>
      <c r="G9" s="215"/>
      <c r="H9" s="215"/>
      <c r="I9" s="215"/>
      <c r="J9" s="215"/>
      <c r="K9" s="215"/>
      <c r="L9" s="215"/>
      <c r="M9" s="215"/>
      <c r="N9" s="215"/>
      <c r="O9" s="215"/>
      <c r="P9" s="215"/>
      <c r="Q9" s="215"/>
      <c r="R9" s="215"/>
      <c r="S9" s="215"/>
      <c r="T9" s="215"/>
      <c r="U9" s="215"/>
      <c r="V9" s="215"/>
      <c r="W9" s="216"/>
      <c r="X9" s="216"/>
      <c r="Y9" s="216"/>
      <c r="Z9" s="217"/>
      <c r="AA9" s="217"/>
      <c r="AB9" s="217"/>
      <c r="AC9" s="217"/>
      <c r="AD9" s="217"/>
      <c r="AE9" s="217"/>
      <c r="AF9" s="217"/>
      <c r="AG9" s="217"/>
      <c r="AH9" s="217"/>
      <c r="AI9" s="217"/>
      <c r="AJ9" s="217"/>
      <c r="AK9" s="217"/>
      <c r="AL9" s="217"/>
      <c r="AM9" s="217"/>
      <c r="AN9" s="217"/>
      <c r="AO9" s="217"/>
      <c r="AP9" s="217"/>
      <c r="AQ9" s="217"/>
      <c r="AR9" s="217"/>
    </row>
    <row r="10" spans="1:272" ht="22.5" customHeight="1" x14ac:dyDescent="0.2">
      <c r="A10" s="375" t="s">
        <v>220</v>
      </c>
      <c r="B10" s="376"/>
      <c r="C10" s="376"/>
      <c r="D10" s="376"/>
      <c r="E10" s="376"/>
      <c r="F10" s="377"/>
      <c r="G10" s="354" t="s">
        <v>221</v>
      </c>
      <c r="H10" s="355"/>
      <c r="I10" s="355"/>
      <c r="J10" s="355"/>
      <c r="K10" s="356"/>
      <c r="L10" s="331" t="s">
        <v>222</v>
      </c>
      <c r="M10" s="332"/>
      <c r="N10" s="333" t="s">
        <v>223</v>
      </c>
      <c r="O10" s="334"/>
      <c r="P10" s="334"/>
      <c r="Q10" s="334"/>
      <c r="R10" s="334"/>
      <c r="S10" s="334"/>
      <c r="T10" s="334"/>
      <c r="U10" s="334"/>
      <c r="V10" s="335"/>
      <c r="W10" s="345" t="s">
        <v>224</v>
      </c>
      <c r="X10" s="345"/>
      <c r="Y10" s="345"/>
      <c r="Z10" s="345"/>
      <c r="AA10" s="345"/>
      <c r="AB10" s="345"/>
      <c r="AC10" s="345"/>
      <c r="AD10" s="345"/>
      <c r="AE10" s="345"/>
      <c r="AF10" s="333" t="s">
        <v>225</v>
      </c>
      <c r="AG10" s="334"/>
      <c r="AH10" s="334"/>
      <c r="AI10" s="334"/>
      <c r="AJ10" s="335"/>
      <c r="AK10" s="333" t="s">
        <v>226</v>
      </c>
      <c r="AL10" s="334"/>
      <c r="AM10" s="334"/>
      <c r="AN10" s="334"/>
      <c r="AO10" s="335"/>
      <c r="AP10" s="333" t="s">
        <v>227</v>
      </c>
      <c r="AQ10" s="334"/>
      <c r="AR10" s="335"/>
      <c r="AS10" s="205"/>
      <c r="AT10" s="205"/>
      <c r="AU10" s="205"/>
      <c r="AV10" s="205"/>
      <c r="AW10" s="205"/>
      <c r="AX10" s="205"/>
      <c r="AY10" s="205"/>
      <c r="AZ10" s="205"/>
      <c r="BA10" s="205"/>
      <c r="BB10" s="205"/>
      <c r="BC10" s="205"/>
      <c r="BD10" s="205"/>
      <c r="BE10" s="205"/>
      <c r="BF10" s="205"/>
      <c r="BG10" s="205"/>
      <c r="BH10" s="205"/>
      <c r="BI10" s="205"/>
      <c r="BJ10" s="205"/>
      <c r="BK10" s="205"/>
      <c r="BL10" s="205"/>
      <c r="BM10" s="205"/>
      <c r="BN10" s="205"/>
      <c r="BO10" s="205"/>
      <c r="BP10" s="205"/>
    </row>
    <row r="11" spans="1:272" ht="26.25" customHeight="1" x14ac:dyDescent="0.2">
      <c r="A11" s="380" t="s">
        <v>228</v>
      </c>
      <c r="B11" s="364" t="s">
        <v>15</v>
      </c>
      <c r="C11" s="378" t="s">
        <v>17</v>
      </c>
      <c r="D11" s="378" t="s">
        <v>19</v>
      </c>
      <c r="E11" s="364" t="s">
        <v>21</v>
      </c>
      <c r="F11" s="378" t="s">
        <v>23</v>
      </c>
      <c r="G11" s="366" t="s">
        <v>124</v>
      </c>
      <c r="H11" s="366" t="s">
        <v>229</v>
      </c>
      <c r="I11" s="366" t="s">
        <v>230</v>
      </c>
      <c r="J11" s="366" t="s">
        <v>231</v>
      </c>
      <c r="K11" s="366" t="s">
        <v>232</v>
      </c>
      <c r="L11" s="331"/>
      <c r="M11" s="332"/>
      <c r="N11" s="329" t="s">
        <v>233</v>
      </c>
      <c r="O11" s="329" t="s">
        <v>234</v>
      </c>
      <c r="P11" s="363" t="s">
        <v>235</v>
      </c>
      <c r="Q11" s="329" t="s">
        <v>236</v>
      </c>
      <c r="R11" s="329" t="s">
        <v>237</v>
      </c>
      <c r="S11" s="329" t="s">
        <v>238</v>
      </c>
      <c r="T11" s="363" t="s">
        <v>235</v>
      </c>
      <c r="U11" s="329" t="s">
        <v>29</v>
      </c>
      <c r="V11" s="343" t="s">
        <v>239</v>
      </c>
      <c r="W11" s="329" t="s">
        <v>31</v>
      </c>
      <c r="X11" s="329" t="s">
        <v>33</v>
      </c>
      <c r="Y11" s="329" t="s">
        <v>240</v>
      </c>
      <c r="Z11" s="329"/>
      <c r="AA11" s="329"/>
      <c r="AB11" s="329"/>
      <c r="AC11" s="329"/>
      <c r="AD11" s="329"/>
      <c r="AE11" s="343" t="s">
        <v>241</v>
      </c>
      <c r="AF11" s="343" t="s">
        <v>242</v>
      </c>
      <c r="AG11" s="343" t="s">
        <v>235</v>
      </c>
      <c r="AH11" s="343" t="s">
        <v>243</v>
      </c>
      <c r="AI11" s="343" t="s">
        <v>235</v>
      </c>
      <c r="AJ11" s="343" t="s">
        <v>244</v>
      </c>
      <c r="AK11" s="343" t="s">
        <v>49</v>
      </c>
      <c r="AL11" s="329" t="s">
        <v>245</v>
      </c>
      <c r="AM11" s="329" t="s">
        <v>246</v>
      </c>
      <c r="AN11" s="329" t="s">
        <v>247</v>
      </c>
      <c r="AO11" s="329" t="s">
        <v>248</v>
      </c>
      <c r="AP11" s="329" t="s">
        <v>249</v>
      </c>
      <c r="AQ11" s="329" t="s">
        <v>250</v>
      </c>
      <c r="AR11" s="329" t="s">
        <v>251</v>
      </c>
      <c r="AS11" s="205"/>
      <c r="AT11" s="205"/>
      <c r="AU11" s="205"/>
      <c r="AV11" s="205"/>
      <c r="AW11" s="205"/>
      <c r="AX11" s="205"/>
      <c r="AY11" s="205"/>
      <c r="AZ11" s="205"/>
      <c r="BA11" s="205"/>
      <c r="BB11" s="205"/>
      <c r="BC11" s="205"/>
      <c r="BD11" s="205"/>
      <c r="BE11" s="205"/>
      <c r="BF11" s="205"/>
      <c r="BG11" s="205"/>
      <c r="BH11" s="205"/>
      <c r="BI11" s="205"/>
      <c r="BJ11" s="205"/>
      <c r="BK11" s="205"/>
      <c r="BL11" s="205"/>
      <c r="BM11" s="205"/>
      <c r="BN11" s="205"/>
      <c r="BO11" s="205"/>
    </row>
    <row r="12" spans="1:272" s="221" customFormat="1" ht="49.5" customHeight="1" x14ac:dyDescent="0.2">
      <c r="A12" s="380"/>
      <c r="B12" s="364"/>
      <c r="C12" s="378"/>
      <c r="D12" s="378"/>
      <c r="E12" s="364"/>
      <c r="F12" s="378"/>
      <c r="G12" s="367"/>
      <c r="H12" s="367"/>
      <c r="I12" s="367"/>
      <c r="J12" s="367"/>
      <c r="K12" s="367"/>
      <c r="L12" s="258" t="s">
        <v>125</v>
      </c>
      <c r="M12" s="258" t="s">
        <v>252</v>
      </c>
      <c r="N12" s="329"/>
      <c r="O12" s="329"/>
      <c r="P12" s="363"/>
      <c r="Q12" s="329"/>
      <c r="R12" s="329"/>
      <c r="S12" s="363"/>
      <c r="T12" s="363"/>
      <c r="U12" s="329"/>
      <c r="V12" s="343"/>
      <c r="W12" s="329"/>
      <c r="X12" s="329"/>
      <c r="Y12" s="218" t="s">
        <v>253</v>
      </c>
      <c r="Z12" s="218" t="s">
        <v>254</v>
      </c>
      <c r="AA12" s="218" t="s">
        <v>255</v>
      </c>
      <c r="AB12" s="218" t="s">
        <v>256</v>
      </c>
      <c r="AC12" s="218" t="s">
        <v>257</v>
      </c>
      <c r="AD12" s="218" t="s">
        <v>258</v>
      </c>
      <c r="AE12" s="343"/>
      <c r="AF12" s="343"/>
      <c r="AG12" s="343"/>
      <c r="AH12" s="343"/>
      <c r="AI12" s="343"/>
      <c r="AJ12" s="343"/>
      <c r="AK12" s="343"/>
      <c r="AL12" s="329"/>
      <c r="AM12" s="329"/>
      <c r="AN12" s="329"/>
      <c r="AO12" s="329"/>
      <c r="AP12" s="329"/>
      <c r="AQ12" s="329"/>
      <c r="AR12" s="329"/>
      <c r="AS12" s="219"/>
      <c r="AT12" s="219"/>
      <c r="AU12" s="219"/>
      <c r="AV12" s="219"/>
      <c r="AW12" s="219"/>
      <c r="AX12" s="219"/>
      <c r="AY12" s="219"/>
      <c r="AZ12" s="219"/>
      <c r="BA12" s="219"/>
      <c r="BB12" s="219"/>
      <c r="BC12" s="219"/>
      <c r="BD12" s="219"/>
      <c r="BE12" s="219"/>
      <c r="BF12" s="219"/>
      <c r="BG12" s="219"/>
      <c r="BH12" s="219"/>
      <c r="BI12" s="219"/>
      <c r="BJ12" s="219"/>
      <c r="BK12" s="219"/>
      <c r="BL12" s="219"/>
      <c r="BM12" s="219"/>
      <c r="BN12" s="219"/>
      <c r="BO12" s="219"/>
      <c r="BP12" s="220"/>
      <c r="BQ12" s="220"/>
      <c r="BR12" s="220"/>
      <c r="BS12" s="220"/>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220"/>
      <c r="CY12" s="220"/>
      <c r="CZ12" s="220"/>
      <c r="DA12" s="220"/>
      <c r="DB12" s="220"/>
      <c r="DC12" s="220"/>
      <c r="DD12" s="220"/>
      <c r="DE12" s="220"/>
      <c r="DF12" s="220"/>
      <c r="DG12" s="220"/>
      <c r="DH12" s="220"/>
      <c r="DI12" s="220"/>
      <c r="DJ12" s="220"/>
      <c r="DK12" s="220"/>
      <c r="DL12" s="220"/>
      <c r="DM12" s="220"/>
      <c r="DN12" s="220"/>
      <c r="DO12" s="220"/>
      <c r="DP12" s="220"/>
      <c r="DQ12" s="220"/>
      <c r="DR12" s="220"/>
      <c r="DS12" s="220"/>
      <c r="DT12" s="220"/>
      <c r="DU12" s="220"/>
      <c r="DV12" s="220"/>
      <c r="DW12" s="220"/>
      <c r="DX12" s="220"/>
      <c r="DY12" s="220"/>
      <c r="DZ12" s="220"/>
      <c r="EA12" s="220"/>
      <c r="EB12" s="220"/>
      <c r="EC12" s="220"/>
      <c r="ED12" s="220"/>
      <c r="EE12" s="220"/>
      <c r="EF12" s="220"/>
      <c r="EG12" s="220"/>
      <c r="EH12" s="220"/>
      <c r="EI12" s="220"/>
      <c r="EJ12" s="220"/>
      <c r="EK12" s="220"/>
      <c r="EL12" s="220"/>
      <c r="EM12" s="220"/>
      <c r="EN12" s="220"/>
      <c r="EO12" s="220"/>
      <c r="EP12" s="220"/>
      <c r="EQ12" s="220"/>
      <c r="ER12" s="220"/>
      <c r="ES12" s="220"/>
      <c r="ET12" s="220"/>
      <c r="EU12" s="220"/>
      <c r="EV12" s="220"/>
      <c r="EW12" s="220"/>
      <c r="EX12" s="220"/>
      <c r="EY12" s="220"/>
      <c r="EZ12" s="220"/>
      <c r="FA12" s="220"/>
      <c r="FB12" s="220"/>
      <c r="FC12" s="220"/>
      <c r="FD12" s="220"/>
      <c r="FE12" s="220"/>
      <c r="FF12" s="220"/>
      <c r="FG12" s="220"/>
      <c r="FH12" s="220"/>
      <c r="FI12" s="220"/>
      <c r="FJ12" s="220"/>
      <c r="FK12" s="220"/>
      <c r="FL12" s="220"/>
      <c r="FM12" s="220"/>
      <c r="FN12" s="220"/>
      <c r="FO12" s="220"/>
      <c r="FP12" s="220"/>
      <c r="FQ12" s="220"/>
      <c r="FR12" s="220"/>
      <c r="FS12" s="220"/>
      <c r="FT12" s="220"/>
      <c r="FU12" s="220"/>
      <c r="FV12" s="220"/>
      <c r="FW12" s="220"/>
      <c r="FX12" s="220"/>
      <c r="FY12" s="220"/>
      <c r="FZ12" s="220"/>
      <c r="GA12" s="220"/>
      <c r="GB12" s="220"/>
      <c r="GC12" s="220"/>
      <c r="GD12" s="220"/>
      <c r="GE12" s="220"/>
      <c r="GF12" s="220"/>
      <c r="GG12" s="220"/>
      <c r="GH12" s="220"/>
      <c r="GI12" s="220"/>
      <c r="GJ12" s="220"/>
      <c r="GK12" s="220"/>
      <c r="GL12" s="220"/>
      <c r="GM12" s="220"/>
      <c r="GN12" s="220"/>
      <c r="GO12" s="220"/>
      <c r="GP12" s="220"/>
      <c r="GQ12" s="220"/>
      <c r="GR12" s="220"/>
      <c r="GS12" s="220"/>
      <c r="GT12" s="220"/>
      <c r="GU12" s="220"/>
      <c r="GV12" s="220"/>
      <c r="GW12" s="220"/>
      <c r="GX12" s="220"/>
      <c r="GY12" s="220"/>
      <c r="GZ12" s="220"/>
      <c r="HA12" s="220"/>
      <c r="HB12" s="220"/>
      <c r="HC12" s="220"/>
      <c r="HD12" s="220"/>
      <c r="HE12" s="220"/>
      <c r="HF12" s="220"/>
      <c r="HG12" s="220"/>
      <c r="HH12" s="220"/>
      <c r="HI12" s="220"/>
      <c r="HJ12" s="220"/>
      <c r="HK12" s="220"/>
      <c r="HL12" s="220"/>
      <c r="HM12" s="220"/>
      <c r="HN12" s="220"/>
      <c r="HO12" s="220"/>
      <c r="HP12" s="220"/>
      <c r="HQ12" s="220"/>
      <c r="HR12" s="220"/>
      <c r="HS12" s="220"/>
      <c r="HT12" s="220"/>
      <c r="HU12" s="220"/>
      <c r="HV12" s="220"/>
      <c r="HW12" s="220"/>
      <c r="HX12" s="220"/>
      <c r="HY12" s="220"/>
      <c r="HZ12" s="220"/>
      <c r="IA12" s="220"/>
      <c r="IB12" s="220"/>
      <c r="IC12" s="220"/>
      <c r="ID12" s="220"/>
      <c r="IE12" s="220"/>
      <c r="IF12" s="220"/>
      <c r="IG12" s="220"/>
      <c r="IH12" s="220"/>
      <c r="II12" s="220"/>
      <c r="IJ12" s="220"/>
      <c r="IK12" s="220"/>
      <c r="IL12" s="220"/>
      <c r="IM12" s="220"/>
      <c r="IN12" s="220"/>
      <c r="IO12" s="220"/>
      <c r="IP12" s="220"/>
      <c r="IQ12" s="220"/>
      <c r="IR12" s="220"/>
      <c r="IS12" s="220"/>
      <c r="IT12" s="220"/>
      <c r="IU12" s="220"/>
      <c r="IV12" s="220"/>
      <c r="IW12" s="220"/>
      <c r="IX12" s="220"/>
      <c r="IY12" s="220"/>
      <c r="IZ12" s="220"/>
      <c r="JA12" s="220"/>
      <c r="JB12" s="220"/>
      <c r="JC12" s="220"/>
      <c r="JD12" s="220"/>
      <c r="JE12" s="220"/>
      <c r="JF12" s="220"/>
      <c r="JG12" s="220"/>
      <c r="JH12" s="220"/>
      <c r="JI12" s="220"/>
      <c r="JJ12" s="220"/>
      <c r="JK12" s="220"/>
      <c r="JL12" s="220"/>
    </row>
    <row r="13" spans="1:272" s="223" customFormat="1" ht="67.5" customHeight="1" x14ac:dyDescent="0.2">
      <c r="A13" s="379">
        <v>1</v>
      </c>
      <c r="B13" s="358" t="s">
        <v>120</v>
      </c>
      <c r="C13" s="357" t="s">
        <v>259</v>
      </c>
      <c r="D13" s="359" t="s">
        <v>260</v>
      </c>
      <c r="E13" s="360" t="s">
        <v>261</v>
      </c>
      <c r="F13" s="365" t="s">
        <v>140</v>
      </c>
      <c r="G13" s="336" t="s">
        <v>127</v>
      </c>
      <c r="H13" s="336" t="s">
        <v>262</v>
      </c>
      <c r="I13" s="336" t="s">
        <v>263</v>
      </c>
      <c r="J13" s="336" t="s">
        <v>264</v>
      </c>
      <c r="K13" s="336" t="s">
        <v>265</v>
      </c>
      <c r="L13" s="336" t="s">
        <v>131</v>
      </c>
      <c r="M13" s="336" t="s">
        <v>143</v>
      </c>
      <c r="N13" s="362">
        <v>500</v>
      </c>
      <c r="O13" s="347" t="str">
        <f>IF(N13&lt;=0,"",IF(N13&lt;=2,"Muy Baja",IF(N13&lt;=24,"Baja",IF(N13&lt;=500,"Media",IF(N13&lt;=5000,"Alta","Muy Alta")))))</f>
        <v>Media</v>
      </c>
      <c r="P13" s="346">
        <f>IF(O13="","",IF(O13="Muy Baja",0.2,IF(O13="Baja",0.4,IF(O13="Media",0.6,IF(O13="Alta",0.8,IF(O13="Muy Alta",1,))))))</f>
        <v>0.6</v>
      </c>
      <c r="Q13" s="330" t="s">
        <v>266</v>
      </c>
      <c r="R13" s="346" t="str">
        <f>IF(NOT(ISERROR(MATCH(Q13,'Tabla Impacto'!$B$222:$B$224,0))),'Tabla Impacto'!$F$224&amp;"Por favor no seleccionar los criterios de impacto(Afectación Económica o presupuestal y Pérdida Reputacional)",Q13)</f>
        <v xml:space="preserve">     El riesgo afecta la imagen de la entidad con algunos usuarios de relevancia frente al logro de los objetivos</v>
      </c>
      <c r="S13" s="347" t="str">
        <f>IF(OR(R13='Tabla Impacto'!$C$12,R13='Tabla Impacto'!$D$12),"Leve",IF(OR(R13='Tabla Impacto'!$C$13,R13='Tabla Impacto'!$D$13),"Menor",IF(OR(R13='Tabla Impacto'!$C$14,R13='Tabla Impacto'!$D$14),"Moderado",IF(OR(R13='Tabla Impacto'!$C$15,R13='Tabla Impacto'!$D$15),"Mayor",IF(OR(R13='Tabla Impacto'!$C$16,R13='Tabla Impacto'!$D$16),"Catastrófico","")))))</f>
        <v>Moderado</v>
      </c>
      <c r="T13" s="346">
        <f>IF(S13="","",IF(S13="Leve",0.2,IF(S13="Menor",0.4,IF(S13="Moderado",0.6,IF(S13="Mayor",0.8,IF(S13="Catastrófico",1,))))))</f>
        <v>0.6</v>
      </c>
      <c r="U13" s="339" t="str">
        <f>IF(OR(AND(O13="Muy Baja",S13="Leve"),AND(O13="Muy Baja",S13="Menor"),AND(O13="Baja",S13="Leve")),"Bajo",IF(OR(AND(O13="Muy baja",S13="Moderado"),AND(O13="Baja",S13="Menor"),AND(O13="Baja",S13="Moderado"),AND(O13="Media",S13="Leve"),AND(O13="Media",S13="Menor"),AND(O13="Media",S13="Moderado"),AND(O13="Alta",S13="Leve"),AND(O13="Alta",S13="Menor")),"Moderado",IF(OR(AND(O13="Muy Baja",S13="Mayor"),AND(O13="Baja",S13="Mayor"),AND(O13="Media",S13="Mayor"),AND(O13="Alta",S13="Moderado"),AND(O13="Alta",S13="Mayor"),AND(O13="Muy Alta",S13="Leve"),AND(O13="Muy Alta",S13="Menor"),AND(O13="Muy Alta",S13="Moderado"),AND(O13="Muy Alta",S13="Mayor")),"Alto",IF(OR(AND(O13="Muy Baja",S13="Catastrófico"),AND(O13="Baja",S13="Catastrófico"),AND(O13="Media",S13="Catastrófico"),AND(O13="Alta",S13="Catastrófico"),AND(O13="Muy Alta",S13="Catastrófico")),"Extremo",""))))</f>
        <v>Moderado</v>
      </c>
      <c r="V13" s="222">
        <v>1</v>
      </c>
      <c r="W13" s="199" t="s">
        <v>267</v>
      </c>
      <c r="X13" s="189" t="str">
        <f t="shared" ref="X13:X16" si="0">IF(OR(Y13="Preventivo",Y13="Detectivo"),"Probabilidad",IF(Y13="Correctivo","Impacto",""))</f>
        <v>Probabilidad</v>
      </c>
      <c r="Y13" s="190" t="s">
        <v>268</v>
      </c>
      <c r="Z13" s="190" t="s">
        <v>269</v>
      </c>
      <c r="AA13" s="191" t="str">
        <f>IF(AND(Y13="Preventivo",Z13="Automático"),"50%",IF(AND(Y13="Preventivo",Z13="Manual"),"40%",IF(AND(Y13="Detectivo",Z13="Automático"),"40%",IF(AND(Y13="Detectivo",Z13="Manual"),"30%",IF(AND(Y13="Correctivo",Z13="Automático"),"35%",IF(AND(Y13="Correctivo",Z13="Manual"),"25%",""))))))</f>
        <v>40%</v>
      </c>
      <c r="AB13" s="190" t="s">
        <v>270</v>
      </c>
      <c r="AC13" s="190" t="s">
        <v>271</v>
      </c>
      <c r="AD13" s="190" t="s">
        <v>272</v>
      </c>
      <c r="AE13" s="192">
        <f>IFERROR(IF(X13="Probabilidad",(P13-(+P13*AA13)),IF(X13="Impacto",P13,"")),"")</f>
        <v>0.36</v>
      </c>
      <c r="AF13" s="193" t="str">
        <f>IFERROR(IF(AE13="","",IF(AE13&lt;=0.2,"Muy Baja",IF(AE13&lt;=0.4,"Baja",IF(AE13&lt;=0.6,"Media",IF(AE13&lt;=0.8,"Alta","Muy Alta"))))),"")</f>
        <v>Baja</v>
      </c>
      <c r="AG13" s="191">
        <f>+AE13</f>
        <v>0.36</v>
      </c>
      <c r="AH13" s="193" t="str">
        <f>IFERROR(IF(AI13="","",IF(AI13&lt;=0.2,"Leve",IF(AI13&lt;=0.4,"Menor",IF(AI13&lt;=0.6,"Moderado",IF(AI13&lt;=0.8,"Mayor","Catastrófico"))))),"")</f>
        <v>Moderado</v>
      </c>
      <c r="AI13" s="191">
        <f>IFERROR(IF(X13="Impacto",(T13-(+T13*AA13)),IF(X13="Probabilidad",T13,"")),"")</f>
        <v>0.6</v>
      </c>
      <c r="AJ13" s="194" t="str">
        <f>IFERROR(IF(OR(AND(AF13="Muy Baja",AH13="Leve"),AND(AF13="Muy Baja",AH13="Menor"),AND(AF13="Baja",AH13="Leve")),"Bajo",IF(OR(AND(AF13="Muy baja",AH13="Moderado"),AND(AF13="Baja",AH13="Menor"),AND(AF13="Baja",AH13="Moderado"),AND(AF13="Media",AH13="Leve"),AND(AF13="Media",AH13="Menor"),AND(AF13="Media",AH13="Moderado"),AND(AF13="Alta",AH13="Leve"),AND(AF13="Alta",AH13="Menor")),"Moderado",IF(OR(AND(AF13="Muy Baja",AH13="Mayor"),AND(AF13="Baja",AH13="Mayor"),AND(AF13="Media",AH13="Mayor"),AND(AF13="Alta",AH13="Moderado"),AND(AF13="Alta",AH13="Mayor"),AND(AF13="Muy Alta",AH13="Leve"),AND(AF13="Muy Alta",AH13="Menor"),AND(AF13="Muy Alta",AH13="Moderado"),AND(AF13="Muy Alta",AH13="Mayor")),"Alto",IF(OR(AND(AF13="Muy Baja",AH13="Catastrófico"),AND(AF13="Baja",AH13="Catastrófico"),AND(AF13="Media",AH13="Catastrófico"),AND(AF13="Alta",AH13="Catastrófico"),AND(AF13="Muy Alta",AH13="Catastrófico")),"Extremo","")))),"")</f>
        <v>Moderado</v>
      </c>
      <c r="AK13" s="195"/>
      <c r="AL13" s="186" t="s">
        <v>273</v>
      </c>
      <c r="AM13" s="186" t="s">
        <v>274</v>
      </c>
      <c r="AN13" s="186" t="s">
        <v>275</v>
      </c>
      <c r="AO13" s="197" t="s">
        <v>276</v>
      </c>
      <c r="AP13" s="365" t="s">
        <v>277</v>
      </c>
      <c r="AQ13" s="348" t="s">
        <v>278</v>
      </c>
      <c r="AR13" s="348" t="s">
        <v>274</v>
      </c>
    </row>
    <row r="14" spans="1:272" ht="67.5" customHeight="1" x14ac:dyDescent="0.2">
      <c r="A14" s="379"/>
      <c r="B14" s="358"/>
      <c r="C14" s="358"/>
      <c r="D14" s="358"/>
      <c r="E14" s="361"/>
      <c r="F14" s="365"/>
      <c r="G14" s="337"/>
      <c r="H14" s="337"/>
      <c r="I14" s="337"/>
      <c r="J14" s="337"/>
      <c r="K14" s="337"/>
      <c r="L14" s="337"/>
      <c r="M14" s="337"/>
      <c r="N14" s="362"/>
      <c r="O14" s="347"/>
      <c r="P14" s="346"/>
      <c r="Q14" s="330"/>
      <c r="R14" s="346">
        <f>IF(NOT(ISERROR(MATCH(Q14,_xlfn.ANCHORARRAY(E25),0))),P27&amp;"Por favor no seleccionar los criterios de impacto",Q14)</f>
        <v>0</v>
      </c>
      <c r="S14" s="347"/>
      <c r="T14" s="346"/>
      <c r="U14" s="339"/>
      <c r="V14" s="222">
        <v>2</v>
      </c>
      <c r="W14" s="199" t="s">
        <v>279</v>
      </c>
      <c r="X14" s="189" t="str">
        <f t="shared" si="0"/>
        <v>Probabilidad</v>
      </c>
      <c r="Y14" s="190" t="s">
        <v>268</v>
      </c>
      <c r="Z14" s="190" t="s">
        <v>269</v>
      </c>
      <c r="AA14" s="191" t="str">
        <f t="shared" ref="AA14:AA18" si="1">IF(AND(Y14="Preventivo",Z14="Automático"),"50%",IF(AND(Y14="Preventivo",Z14="Manual"),"40%",IF(AND(Y14="Detectivo",Z14="Automático"),"40%",IF(AND(Y14="Detectivo",Z14="Manual"),"30%",IF(AND(Y14="Correctivo",Z14="Automático"),"35%",IF(AND(Y14="Correctivo",Z14="Manual"),"25%",""))))))</f>
        <v>40%</v>
      </c>
      <c r="AB14" s="190" t="s">
        <v>270</v>
      </c>
      <c r="AC14" s="190" t="s">
        <v>271</v>
      </c>
      <c r="AD14" s="190" t="s">
        <v>272</v>
      </c>
      <c r="AE14" s="192">
        <f>IFERROR(IF(AND(X13="Probabilidad",X14="Probabilidad"),(AG13-(+AG13*AA14)),IF(X14="Probabilidad",(P13-(+P13*AA14)),IF(X14="Impacto",AG13,""))),"")</f>
        <v>0.216</v>
      </c>
      <c r="AF14" s="193" t="str">
        <f t="shared" ref="AF14:AF72" si="2">IFERROR(IF(AE14="","",IF(AE14&lt;=0.2,"Muy Baja",IF(AE14&lt;=0.4,"Baja",IF(AE14&lt;=0.6,"Media",IF(AE14&lt;=0.8,"Alta","Muy Alta"))))),"")</f>
        <v>Baja</v>
      </c>
      <c r="AG14" s="191">
        <f t="shared" ref="AG14:AG18" si="3">+AE14</f>
        <v>0.216</v>
      </c>
      <c r="AH14" s="193" t="str">
        <f t="shared" ref="AH14:AH72" si="4">IFERROR(IF(AI14="","",IF(AI14&lt;=0.2,"Leve",IF(AI14&lt;=0.4,"Menor",IF(AI14&lt;=0.6,"Moderado",IF(AI14&lt;=0.8,"Mayor","Catastrófico"))))),"")</f>
        <v>Moderado</v>
      </c>
      <c r="AI14" s="191">
        <f>IFERROR(IF(AND(X13="Impacto",X14="Impacto"),(AI13-(+AI13*AA14)),IF(X14="Impacto",($T$13-(+$T$13*AA14)),IF(X14="Probabilidad",AI13,""))),"")</f>
        <v>0.6</v>
      </c>
      <c r="AJ14" s="194" t="str">
        <f t="shared" ref="AJ14:AJ18" si="5">IFERROR(IF(OR(AND(AF14="Muy Baja",AH14="Leve"),AND(AF14="Muy Baja",AH14="Menor"),AND(AF14="Baja",AH14="Leve")),"Bajo",IF(OR(AND(AF14="Muy baja",AH14="Moderado"),AND(AF14="Baja",AH14="Menor"),AND(AF14="Baja",AH14="Moderado"),AND(AF14="Media",AH14="Leve"),AND(AF14="Media",AH14="Menor"),AND(AF14="Media",AH14="Moderado"),AND(AF14="Alta",AH14="Leve"),AND(AF14="Alta",AH14="Menor")),"Moderado",IF(OR(AND(AF14="Muy Baja",AH14="Mayor"),AND(AF14="Baja",AH14="Mayor"),AND(AF14="Media",AH14="Mayor"),AND(AF14="Alta",AH14="Moderado"),AND(AF14="Alta",AH14="Mayor"),AND(AF14="Muy Alta",AH14="Leve"),AND(AF14="Muy Alta",AH14="Menor"),AND(AF14="Muy Alta",AH14="Moderado"),AND(AF14="Muy Alta",AH14="Mayor")),"Alto",IF(OR(AND(AF14="Muy Baja",AH14="Catastrófico"),AND(AF14="Baja",AH14="Catastrófico"),AND(AF14="Media",AH14="Catastrófico"),AND(AF14="Alta",AH14="Catastrófico"),AND(AF14="Muy Alta",AH14="Catastrófico")),"Extremo","")))),"")</f>
        <v>Moderado</v>
      </c>
      <c r="AK14" s="195"/>
      <c r="AL14" s="186" t="s">
        <v>280</v>
      </c>
      <c r="AM14" s="186" t="s">
        <v>274</v>
      </c>
      <c r="AN14" s="186" t="s">
        <v>281</v>
      </c>
      <c r="AO14" s="197" t="s">
        <v>276</v>
      </c>
      <c r="AP14" s="365"/>
      <c r="AQ14" s="349"/>
      <c r="AR14" s="349"/>
    </row>
    <row r="15" spans="1:272" ht="67.5" customHeight="1" x14ac:dyDescent="0.2">
      <c r="A15" s="379"/>
      <c r="B15" s="358"/>
      <c r="C15" s="358"/>
      <c r="D15" s="358"/>
      <c r="E15" s="361"/>
      <c r="F15" s="365"/>
      <c r="G15" s="337"/>
      <c r="H15" s="337"/>
      <c r="I15" s="337"/>
      <c r="J15" s="337"/>
      <c r="K15" s="337"/>
      <c r="L15" s="337"/>
      <c r="M15" s="337"/>
      <c r="N15" s="362"/>
      <c r="O15" s="347"/>
      <c r="P15" s="346"/>
      <c r="Q15" s="330"/>
      <c r="R15" s="346">
        <f>IF(NOT(ISERROR(MATCH(Q15,_xlfn.ANCHORARRAY(E26),0))),P28&amp;"Por favor no seleccionar los criterios de impacto",Q15)</f>
        <v>0</v>
      </c>
      <c r="S15" s="347"/>
      <c r="T15" s="346"/>
      <c r="U15" s="339"/>
      <c r="V15" s="222">
        <v>3</v>
      </c>
      <c r="W15" s="199" t="s">
        <v>282</v>
      </c>
      <c r="X15" s="189" t="str">
        <f t="shared" si="0"/>
        <v>Probabilidad</v>
      </c>
      <c r="Y15" s="190" t="s">
        <v>268</v>
      </c>
      <c r="Z15" s="190" t="s">
        <v>269</v>
      </c>
      <c r="AA15" s="191" t="str">
        <f t="shared" si="1"/>
        <v>40%</v>
      </c>
      <c r="AB15" s="190" t="s">
        <v>270</v>
      </c>
      <c r="AC15" s="190" t="s">
        <v>271</v>
      </c>
      <c r="AD15" s="190" t="s">
        <v>272</v>
      </c>
      <c r="AE15" s="192">
        <f>IFERROR(IF(AND(X14="Probabilidad",X15="Probabilidad"),(AG14-(+AG14*AA15)),IF(AND(X14="Impacto",X15="Probabilidad"),(AG13-(+AG13*AA15)),IF(X15="Impacto",AG14,""))),"")</f>
        <v>0.12959999999999999</v>
      </c>
      <c r="AF15" s="193" t="str">
        <f t="shared" si="2"/>
        <v>Muy Baja</v>
      </c>
      <c r="AG15" s="191">
        <f t="shared" si="3"/>
        <v>0.12959999999999999</v>
      </c>
      <c r="AH15" s="193" t="str">
        <f t="shared" si="4"/>
        <v>Moderado</v>
      </c>
      <c r="AI15" s="191">
        <f>IFERROR(IF(AND(X14="Impacto",X15="Impacto"),(AI14-(+AI14*AA15)),IF(AND(X14="Probabilidad",X15="Impacto"),(AI13-(+AI13*AA15)),IF(X15="Probabilidad",AI14,""))),"")</f>
        <v>0.6</v>
      </c>
      <c r="AJ15" s="194" t="str">
        <f t="shared" si="5"/>
        <v>Moderado</v>
      </c>
      <c r="AK15" s="195" t="s">
        <v>123</v>
      </c>
      <c r="AL15" s="186"/>
      <c r="AM15" s="196"/>
      <c r="AN15" s="196"/>
      <c r="AO15" s="197"/>
      <c r="AP15" s="365"/>
      <c r="AQ15" s="349"/>
      <c r="AR15" s="349"/>
    </row>
    <row r="16" spans="1:272" x14ac:dyDescent="0.2">
      <c r="A16" s="379"/>
      <c r="B16" s="358"/>
      <c r="C16" s="358"/>
      <c r="D16" s="358"/>
      <c r="E16" s="361"/>
      <c r="F16" s="365"/>
      <c r="G16" s="337"/>
      <c r="H16" s="337"/>
      <c r="I16" s="337"/>
      <c r="J16" s="337"/>
      <c r="K16" s="337"/>
      <c r="L16" s="337"/>
      <c r="M16" s="337"/>
      <c r="N16" s="362"/>
      <c r="O16" s="347"/>
      <c r="P16" s="346"/>
      <c r="Q16" s="330"/>
      <c r="R16" s="346">
        <f>IF(NOT(ISERROR(MATCH(Q16,_xlfn.ANCHORARRAY(E27),0))),P29&amp;"Por favor no seleccionar los criterios de impacto",Q16)</f>
        <v>0</v>
      </c>
      <c r="S16" s="347"/>
      <c r="T16" s="346"/>
      <c r="U16" s="339"/>
      <c r="V16" s="222">
        <v>4</v>
      </c>
      <c r="W16" s="199"/>
      <c r="X16" s="189" t="str">
        <f t="shared" si="0"/>
        <v/>
      </c>
      <c r="Y16" s="190"/>
      <c r="Z16" s="190"/>
      <c r="AA16" s="191" t="str">
        <f t="shared" si="1"/>
        <v/>
      </c>
      <c r="AB16" s="190"/>
      <c r="AC16" s="190"/>
      <c r="AD16" s="190"/>
      <c r="AE16" s="192" t="str">
        <f t="shared" ref="AE16:AE18" si="6">IFERROR(IF(AND(X15="Probabilidad",X16="Probabilidad"),(AG15-(+AG15*AA16)),IF(AND(X15="Impacto",X16="Probabilidad"),(AG14-(+AG14*AA16)),IF(X16="Impacto",AG15,""))),"")</f>
        <v/>
      </c>
      <c r="AF16" s="193" t="str">
        <f t="shared" si="2"/>
        <v/>
      </c>
      <c r="AG16" s="191" t="str">
        <f t="shared" si="3"/>
        <v/>
      </c>
      <c r="AH16" s="193" t="str">
        <f t="shared" si="4"/>
        <v/>
      </c>
      <c r="AI16" s="191" t="str">
        <f t="shared" ref="AI16:AI18" si="7">IFERROR(IF(AND(X15="Impacto",X16="Impacto"),(AI15-(+AI15*AA16)),IF(AND(X15="Probabilidad",X16="Impacto"),(AI14-(+AI14*AA16)),IF(X16="Probabilidad",AI15,""))),"")</f>
        <v/>
      </c>
      <c r="AJ16" s="194" t="str">
        <f>IFERROR(IF(OR(AND(AF16="Muy Baja",AH16="Leve"),AND(AF16="Muy Baja",AH16="Menor"),AND(AF16="Baja",AH16="Leve")),"Bajo",IF(OR(AND(AF16="Muy baja",AH16="Moderado"),AND(AF16="Baja",AH16="Menor"),AND(AF16="Baja",AH16="Moderado"),AND(AF16="Media",AH16="Leve"),AND(AF16="Media",AH16="Menor"),AND(AF16="Media",AH16="Moderado"),AND(AF16="Alta",AH16="Leve"),AND(AF16="Alta",AH16="Menor")),"Moderado",IF(OR(AND(AF16="Muy Baja",AH16="Mayor"),AND(AF16="Baja",AH16="Mayor"),AND(AF16="Media",AH16="Mayor"),AND(AF16="Alta",AH16="Moderado"),AND(AF16="Alta",AH16="Mayor"),AND(AF16="Muy Alta",AH16="Leve"),AND(AF16="Muy Alta",AH16="Menor"),AND(AF16="Muy Alta",AH16="Moderado"),AND(AF16="Muy Alta",AH16="Mayor")),"Alto",IF(OR(AND(AF16="Muy Baja",AH16="Catastrófico"),AND(AF16="Baja",AH16="Catastrófico"),AND(AF16="Media",AH16="Catastrófico"),AND(AF16="Alta",AH16="Catastrófico"),AND(AF16="Muy Alta",AH16="Catastrófico")),"Extremo","")))),"")</f>
        <v/>
      </c>
      <c r="AK16" s="195"/>
      <c r="AL16" s="186"/>
      <c r="AM16" s="196"/>
      <c r="AN16" s="196"/>
      <c r="AO16" s="197"/>
      <c r="AP16" s="365"/>
      <c r="AQ16" s="349"/>
      <c r="AR16" s="349"/>
    </row>
    <row r="17" spans="1:44" x14ac:dyDescent="0.2">
      <c r="A17" s="379"/>
      <c r="B17" s="358"/>
      <c r="C17" s="358"/>
      <c r="D17" s="358"/>
      <c r="E17" s="361"/>
      <c r="F17" s="365"/>
      <c r="G17" s="337"/>
      <c r="H17" s="337"/>
      <c r="I17" s="337"/>
      <c r="J17" s="337"/>
      <c r="K17" s="337"/>
      <c r="L17" s="337"/>
      <c r="M17" s="337"/>
      <c r="N17" s="362"/>
      <c r="O17" s="347"/>
      <c r="P17" s="346"/>
      <c r="Q17" s="330"/>
      <c r="R17" s="346">
        <f>IF(NOT(ISERROR(MATCH(Q17,_xlfn.ANCHORARRAY(E28),0))),P30&amp;"Por favor no seleccionar los criterios de impacto",Q17)</f>
        <v>0</v>
      </c>
      <c r="S17" s="347"/>
      <c r="T17" s="346"/>
      <c r="U17" s="339"/>
      <c r="V17" s="222">
        <v>5</v>
      </c>
      <c r="W17" s="187"/>
      <c r="X17" s="189" t="str">
        <f t="shared" ref="X17:X18" si="8">IF(OR(Y17="Preventivo",Y17="Detectivo"),"Probabilidad",IF(Y17="Correctivo","Impacto",""))</f>
        <v/>
      </c>
      <c r="Y17" s="190"/>
      <c r="Z17" s="190"/>
      <c r="AA17" s="191" t="str">
        <f t="shared" si="1"/>
        <v/>
      </c>
      <c r="AB17" s="190"/>
      <c r="AC17" s="190"/>
      <c r="AD17" s="190"/>
      <c r="AE17" s="192" t="str">
        <f t="shared" si="6"/>
        <v/>
      </c>
      <c r="AF17" s="193" t="str">
        <f t="shared" si="2"/>
        <v/>
      </c>
      <c r="AG17" s="191" t="str">
        <f t="shared" si="3"/>
        <v/>
      </c>
      <c r="AH17" s="193" t="str">
        <f t="shared" si="4"/>
        <v/>
      </c>
      <c r="AI17" s="191" t="str">
        <f t="shared" si="7"/>
        <v/>
      </c>
      <c r="AJ17" s="194" t="str">
        <f t="shared" si="5"/>
        <v/>
      </c>
      <c r="AK17" s="195"/>
      <c r="AL17" s="186"/>
      <c r="AM17" s="196"/>
      <c r="AN17" s="196"/>
      <c r="AO17" s="197"/>
      <c r="AP17" s="365"/>
      <c r="AQ17" s="349"/>
      <c r="AR17" s="349"/>
    </row>
    <row r="18" spans="1:44" x14ac:dyDescent="0.2">
      <c r="A18" s="379"/>
      <c r="B18" s="358"/>
      <c r="C18" s="358"/>
      <c r="D18" s="358"/>
      <c r="E18" s="361"/>
      <c r="F18" s="365"/>
      <c r="G18" s="338"/>
      <c r="H18" s="338"/>
      <c r="I18" s="338"/>
      <c r="J18" s="338"/>
      <c r="K18" s="338"/>
      <c r="L18" s="338"/>
      <c r="M18" s="338"/>
      <c r="N18" s="362"/>
      <c r="O18" s="347"/>
      <c r="P18" s="346"/>
      <c r="Q18" s="330"/>
      <c r="R18" s="346">
        <f>IF(NOT(ISERROR(MATCH(Q18,_xlfn.ANCHORARRAY(E29),0))),P31&amp;"Por favor no seleccionar los criterios de impacto",Q18)</f>
        <v>0</v>
      </c>
      <c r="S18" s="347"/>
      <c r="T18" s="346"/>
      <c r="U18" s="339"/>
      <c r="V18" s="222">
        <v>6</v>
      </c>
      <c r="W18" s="199"/>
      <c r="X18" s="189" t="str">
        <f t="shared" si="8"/>
        <v/>
      </c>
      <c r="Y18" s="190"/>
      <c r="Z18" s="190"/>
      <c r="AA18" s="191" t="str">
        <f t="shared" si="1"/>
        <v/>
      </c>
      <c r="AB18" s="190"/>
      <c r="AC18" s="190"/>
      <c r="AD18" s="190"/>
      <c r="AE18" s="192" t="str">
        <f t="shared" si="6"/>
        <v/>
      </c>
      <c r="AF18" s="193" t="str">
        <f t="shared" si="2"/>
        <v/>
      </c>
      <c r="AG18" s="191" t="str">
        <f t="shared" si="3"/>
        <v/>
      </c>
      <c r="AH18" s="193" t="str">
        <f t="shared" si="4"/>
        <v/>
      </c>
      <c r="AI18" s="191" t="str">
        <f t="shared" si="7"/>
        <v/>
      </c>
      <c r="AJ18" s="194" t="str">
        <f t="shared" si="5"/>
        <v/>
      </c>
      <c r="AK18" s="195"/>
      <c r="AL18" s="186"/>
      <c r="AM18" s="196"/>
      <c r="AN18" s="196"/>
      <c r="AO18" s="197"/>
      <c r="AP18" s="365"/>
      <c r="AQ18" s="350"/>
      <c r="AR18" s="350"/>
    </row>
    <row r="19" spans="1:44" s="277" customFormat="1" ht="151.5" customHeight="1" x14ac:dyDescent="0.2">
      <c r="A19" s="438">
        <v>2</v>
      </c>
      <c r="B19" s="358" t="s">
        <v>122</v>
      </c>
      <c r="C19" s="358" t="s">
        <v>283</v>
      </c>
      <c r="D19" s="357" t="s">
        <v>284</v>
      </c>
      <c r="E19" s="361" t="s">
        <v>285</v>
      </c>
      <c r="F19" s="358" t="s">
        <v>140</v>
      </c>
      <c r="G19" s="368" t="s">
        <v>130</v>
      </c>
      <c r="H19" s="368" t="s">
        <v>286</v>
      </c>
      <c r="I19" s="368" t="s">
        <v>287</v>
      </c>
      <c r="J19" s="368" t="s">
        <v>288</v>
      </c>
      <c r="K19" s="368" t="s">
        <v>289</v>
      </c>
      <c r="L19" s="368" t="s">
        <v>133</v>
      </c>
      <c r="M19" s="368" t="s">
        <v>141</v>
      </c>
      <c r="N19" s="437">
        <v>645</v>
      </c>
      <c r="O19" s="341" t="str">
        <f>IF(N19&lt;=0,"",IF(N19&lt;=2,"Muy Baja",IF(N19&lt;=24,"Baja",IF(N19&lt;=500,"Media",IF(N19&lt;=5000,"Alta","Muy Alta")))))</f>
        <v>Alta</v>
      </c>
      <c r="P19" s="340">
        <f>IF(O19="","",IF(O19="Muy Baja",0.2,IF(O19="Baja",0.4,IF(O19="Media",0.6,IF(O19="Alta",0.8,IF(O19="Muy Alta",1,))))))</f>
        <v>0.8</v>
      </c>
      <c r="Q19" s="344" t="s">
        <v>266</v>
      </c>
      <c r="R19" s="340" t="str">
        <f>IF(NOT(ISERROR(MATCH(Q19,'Tabla Impacto'!$B$222:$B$224,0))),'Tabla Impacto'!$F$224&amp;"Por favor no seleccionar los criterios de impacto(Afectación Económica o presupuestal y Pérdida Reputacional)",Q19)</f>
        <v xml:space="preserve">     El riesgo afecta la imagen de la entidad con algunos usuarios de relevancia frente al logro de los objetivos</v>
      </c>
      <c r="S19" s="341" t="str">
        <f>IF(OR(R19='Tabla Impacto'!$C$12,R19='Tabla Impacto'!$D$12),"Leve",IF(OR(R19='Tabla Impacto'!$C$13,R19='Tabla Impacto'!$D$13),"Menor",IF(OR(R19='Tabla Impacto'!$C$14,R19='Tabla Impacto'!$D$14),"Moderado",IF(OR(R19='Tabla Impacto'!$C$15,R19='Tabla Impacto'!$D$15),"Mayor",IF(OR(R19='Tabla Impacto'!$C$16,R19='Tabla Impacto'!$D$16),"Catastrófico","")))))</f>
        <v>Moderado</v>
      </c>
      <c r="T19" s="340">
        <f>IF(S19="","",IF(S19="Leve",0.2,IF(S19="Menor",0.4,IF(S19="Moderado",0.6,IF(S19="Mayor",0.8,IF(S19="Catastrófico",1,))))))</f>
        <v>0.6</v>
      </c>
      <c r="U19" s="342" t="str">
        <f>IF(OR(AND(O19="Muy Baja",S19="Leve"),AND(O19="Muy Baja",S19="Menor"),AND(O19="Baja",S19="Leve")),"Bajo",IF(OR(AND(O19="Muy baja",S19="Moderado"),AND(O19="Baja",S19="Menor"),AND(O19="Baja",S19="Moderado"),AND(O19="Media",S19="Leve"),AND(O19="Media",S19="Menor"),AND(O19="Media",S19="Moderado"),AND(O19="Alta",S19="Leve"),AND(O19="Alta",S19="Menor")),"Moderado",IF(OR(AND(O19="Muy Baja",S19="Mayor"),AND(O19="Baja",S19="Mayor"),AND(O19="Media",S19="Mayor"),AND(O19="Alta",S19="Moderado"),AND(O19="Alta",S19="Mayor"),AND(O19="Muy Alta",S19="Leve"),AND(O19="Muy Alta",S19="Menor"),AND(O19="Muy Alta",S19="Moderado"),AND(O19="Muy Alta",S19="Mayor")),"Alto",IF(OR(AND(O19="Muy Baja",S19="Catastrófico"),AND(O19="Baja",S19="Catastrófico"),AND(O19="Media",S19="Catastrófico"),AND(O19="Alta",S19="Catastrófico"),AND(O19="Muy Alta",S19="Catastrófico")),"Extremo",""))))</f>
        <v>Alto</v>
      </c>
      <c r="V19" s="268">
        <v>1</v>
      </c>
      <c r="W19" s="269" t="s">
        <v>290</v>
      </c>
      <c r="X19" s="270" t="str">
        <f>IF(OR(Y19="Preventivo",Y19="Detectivo"),"Probabilidad",IF(Y19="Correctivo","Impacto",""))</f>
        <v>Probabilidad</v>
      </c>
      <c r="Y19" s="271" t="s">
        <v>268</v>
      </c>
      <c r="Z19" s="190" t="s">
        <v>269</v>
      </c>
      <c r="AA19" s="272" t="str">
        <f>IF(AND(Y19="Preventivo",Z19="Automático"),"50%",IF(AND(Y19="Preventivo",Z19="Manual"),"40%",IF(AND(Y19="Detectivo",Z19="Automático"),"40%",IF(AND(Y19="Detectivo",Z19="Manual"),"30%",IF(AND(Y19="Correctivo",Z19="Automático"),"35%",IF(AND(Y19="Correctivo",Z19="Manual"),"25%",""))))))</f>
        <v>40%</v>
      </c>
      <c r="AB19" s="271" t="s">
        <v>270</v>
      </c>
      <c r="AC19" s="190" t="s">
        <v>271</v>
      </c>
      <c r="AD19" s="190" t="s">
        <v>272</v>
      </c>
      <c r="AE19" s="260">
        <f>IFERROR(IF(X19="Probabilidad",(P19-(+P19*AA19)),IF(X19="Impacto",P19,"")),"")</f>
        <v>0.48</v>
      </c>
      <c r="AF19" s="273" t="str">
        <f>IFERROR(IF(AE19="","",IF(AE19&lt;=0.2,"Muy Baja",IF(AE19&lt;=0.4,"Baja",IF(AE19&lt;=0.6,"Media",IF(AE19&lt;=0.8,"Alta","Muy Alta"))))),"")</f>
        <v>Media</v>
      </c>
      <c r="AG19" s="272">
        <f>+AE19</f>
        <v>0.48</v>
      </c>
      <c r="AH19" s="273" t="str">
        <f>IFERROR(IF(AI19="","",IF(AI19&lt;=0.2,"Leve",IF(AI19&lt;=0.4,"Menor",IF(AI19&lt;=0.6,"Moderado",IF(AI19&lt;=0.8,"Mayor","Catastrófico"))))),"")</f>
        <v>Moderado</v>
      </c>
      <c r="AI19" s="272">
        <f t="shared" ref="AI19" si="9">IFERROR(IF(X19="Impacto",(T19-(+T19*AA19)),IF(X19="Probabilidad",T19,"")),"")</f>
        <v>0.6</v>
      </c>
      <c r="AJ19" s="274" t="str">
        <f>IFERROR(IF(OR(AND(AF19="Muy Baja",AH19="Leve"),AND(AF19="Muy Baja",AH19="Menor"),AND(AF19="Baja",AH19="Leve")),"Bajo",IF(OR(AND(AF19="Muy baja",AH19="Moderado"),AND(AF19="Baja",AH19="Menor"),AND(AF19="Baja",AH19="Moderado"),AND(AF19="Media",AH19="Leve"),AND(AF19="Media",AH19="Menor"),AND(AF19="Media",AH19="Moderado"),AND(AF19="Alta",AH19="Leve"),AND(AF19="Alta",AH19="Menor")),"Moderado",IF(OR(AND(AF19="Muy Baja",AH19="Mayor"),AND(AF19="Baja",AH19="Mayor"),AND(AF19="Media",AH19="Mayor"),AND(AF19="Alta",AH19="Moderado"),AND(AF19="Alta",AH19="Mayor"),AND(AF19="Muy Alta",AH19="Leve"),AND(AF19="Muy Alta",AH19="Menor"),AND(AF19="Muy Alta",AH19="Moderado"),AND(AF19="Muy Alta",AH19="Mayor")),"Alto",IF(OR(AND(AF19="Muy Baja",AH19="Catastrófico"),AND(AF19="Baja",AH19="Catastrófico"),AND(AF19="Media",AH19="Catastrófico"),AND(AF19="Alta",AH19="Catastrófico"),AND(AF19="Muy Alta",AH19="Catastrófico")),"Extremo","")))),"")</f>
        <v>Moderado</v>
      </c>
      <c r="AK19" s="195"/>
      <c r="AL19" s="267" t="s">
        <v>291</v>
      </c>
      <c r="AM19" s="186" t="s">
        <v>274</v>
      </c>
      <c r="AN19" s="275" t="s">
        <v>292</v>
      </c>
      <c r="AO19" s="276">
        <v>45291</v>
      </c>
      <c r="AP19" s="374" t="s">
        <v>293</v>
      </c>
      <c r="AQ19" s="374" t="s">
        <v>294</v>
      </c>
      <c r="AR19" s="348" t="s">
        <v>274</v>
      </c>
    </row>
    <row r="20" spans="1:44" s="277" customFormat="1" ht="196.5" customHeight="1" x14ac:dyDescent="0.2">
      <c r="A20" s="438"/>
      <c r="B20" s="358"/>
      <c r="C20" s="358"/>
      <c r="D20" s="358"/>
      <c r="E20" s="361"/>
      <c r="F20" s="358"/>
      <c r="G20" s="369"/>
      <c r="H20" s="369"/>
      <c r="I20" s="369"/>
      <c r="J20" s="369"/>
      <c r="K20" s="369"/>
      <c r="L20" s="369"/>
      <c r="M20" s="369"/>
      <c r="N20" s="437"/>
      <c r="O20" s="341"/>
      <c r="P20" s="340"/>
      <c r="Q20" s="344"/>
      <c r="R20" s="340">
        <f>IF(NOT(ISERROR(MATCH(Q20,_xlfn.ANCHORARRAY(E31),0))),P33&amp;"Por favor no seleccionar los criterios de impacto",Q20)</f>
        <v>0</v>
      </c>
      <c r="S20" s="341"/>
      <c r="T20" s="340"/>
      <c r="U20" s="342"/>
      <c r="V20" s="268">
        <v>2</v>
      </c>
      <c r="W20" s="199" t="s">
        <v>295</v>
      </c>
      <c r="X20" s="270" t="str">
        <f>IF(OR(Y20="Preventivo",Y20="Detectivo"),"Probabilidad",IF(Y20="Correctivo","Impacto",""))</f>
        <v>Probabilidad</v>
      </c>
      <c r="Y20" s="271" t="s">
        <v>268</v>
      </c>
      <c r="Z20" s="190" t="s">
        <v>269</v>
      </c>
      <c r="AA20" s="272" t="str">
        <f t="shared" ref="AA20:AA24" si="10">IF(AND(Y20="Preventivo",Z20="Automático"),"50%",IF(AND(Y20="Preventivo",Z20="Manual"),"40%",IF(AND(Y20="Detectivo",Z20="Automático"),"40%",IF(AND(Y20="Detectivo",Z20="Manual"),"30%",IF(AND(Y20="Correctivo",Z20="Automático"),"35%",IF(AND(Y20="Correctivo",Z20="Manual"),"25%",""))))))</f>
        <v>40%</v>
      </c>
      <c r="AB20" s="271" t="s">
        <v>270</v>
      </c>
      <c r="AC20" s="190" t="s">
        <v>271</v>
      </c>
      <c r="AD20" s="190" t="s">
        <v>272</v>
      </c>
      <c r="AE20" s="260">
        <f>IFERROR(IF(AND(X19="Probabilidad",X20="Probabilidad"),(AG19-(+AG19*AA20)),IF(X20="Probabilidad",(P19-(+P19*AA20)),IF(X20="Impacto",AG19,""))),"")</f>
        <v>0.28799999999999998</v>
      </c>
      <c r="AF20" s="273" t="str">
        <f t="shared" si="2"/>
        <v>Baja</v>
      </c>
      <c r="AG20" s="272">
        <f t="shared" ref="AG20:AG24" si="11">+AE20</f>
        <v>0.28799999999999998</v>
      </c>
      <c r="AH20" s="273" t="str">
        <f t="shared" si="4"/>
        <v>Moderado</v>
      </c>
      <c r="AI20" s="272">
        <f t="shared" ref="AI20" si="12">IFERROR(IF(AND(X19="Impacto",X20="Impacto"),(AI19-(+AI19*AA20)),IF(X20="Impacto",($T$13-(+$T$13*AA20)),IF(X20="Probabilidad",AI19,""))),"")</f>
        <v>0.6</v>
      </c>
      <c r="AJ20" s="274" t="str">
        <f t="shared" ref="AJ20:AJ21" si="13">IFERROR(IF(OR(AND(AF20="Muy Baja",AH20="Leve"),AND(AF20="Muy Baja",AH20="Menor"),AND(AF20="Baja",AH20="Leve")),"Bajo",IF(OR(AND(AF20="Muy baja",AH20="Moderado"),AND(AF20="Baja",AH20="Menor"),AND(AF20="Baja",AH20="Moderado"),AND(AF20="Media",AH20="Leve"),AND(AF20="Media",AH20="Menor"),AND(AF20="Media",AH20="Moderado"),AND(AF20="Alta",AH20="Leve"),AND(AF20="Alta",AH20="Menor")),"Moderado",IF(OR(AND(AF20="Muy Baja",AH20="Mayor"),AND(AF20="Baja",AH20="Mayor"),AND(AF20="Media",AH20="Mayor"),AND(AF20="Alta",AH20="Moderado"),AND(AF20="Alta",AH20="Mayor"),AND(AF20="Muy Alta",AH20="Leve"),AND(AF20="Muy Alta",AH20="Menor"),AND(AF20="Muy Alta",AH20="Moderado"),AND(AF20="Muy Alta",AH20="Mayor")),"Alto",IF(OR(AND(AF20="Muy Baja",AH20="Catastrófico"),AND(AF20="Baja",AH20="Catastrófico"),AND(AF20="Media",AH20="Catastrófico"),AND(AF20="Alta",AH20="Catastrófico"),AND(AF20="Muy Alta",AH20="Catastrófico")),"Extremo","")))),"")</f>
        <v>Moderado</v>
      </c>
      <c r="AK20" s="195"/>
      <c r="AL20" s="267"/>
      <c r="AM20" s="275"/>
      <c r="AN20" s="267"/>
      <c r="AO20" s="276"/>
      <c r="AP20" s="374"/>
      <c r="AQ20" s="374"/>
      <c r="AR20" s="349"/>
    </row>
    <row r="21" spans="1:44" s="277" customFormat="1" ht="191.25" customHeight="1" x14ac:dyDescent="0.2">
      <c r="A21" s="438"/>
      <c r="B21" s="358"/>
      <c r="C21" s="358"/>
      <c r="D21" s="358"/>
      <c r="E21" s="361"/>
      <c r="F21" s="358"/>
      <c r="G21" s="369"/>
      <c r="H21" s="369"/>
      <c r="I21" s="369"/>
      <c r="J21" s="369"/>
      <c r="K21" s="369"/>
      <c r="L21" s="369"/>
      <c r="M21" s="369"/>
      <c r="N21" s="437"/>
      <c r="O21" s="341"/>
      <c r="P21" s="340"/>
      <c r="Q21" s="344"/>
      <c r="R21" s="340">
        <f>IF(NOT(ISERROR(MATCH(Q21,_xlfn.ANCHORARRAY(E32),0))),P34&amp;"Por favor no seleccionar los criterios de impacto",Q21)</f>
        <v>0</v>
      </c>
      <c r="S21" s="341"/>
      <c r="T21" s="340"/>
      <c r="U21" s="342"/>
      <c r="V21" s="268">
        <v>3</v>
      </c>
      <c r="W21" s="199" t="s">
        <v>296</v>
      </c>
      <c r="X21" s="270" t="str">
        <f>IF(OR(Y21="Preventivo",Y21="Detectivo"),"Probabilidad",IF(Y21="Correctivo","Impacto",""))</f>
        <v>Probabilidad</v>
      </c>
      <c r="Y21" s="271" t="s">
        <v>268</v>
      </c>
      <c r="Z21" s="190" t="s">
        <v>269</v>
      </c>
      <c r="AA21" s="272" t="str">
        <f t="shared" si="10"/>
        <v>40%</v>
      </c>
      <c r="AB21" s="271" t="s">
        <v>270</v>
      </c>
      <c r="AC21" s="190" t="s">
        <v>271</v>
      </c>
      <c r="AD21" s="190" t="s">
        <v>272</v>
      </c>
      <c r="AE21" s="260">
        <f>IFERROR(IF(AND(X20="Probabilidad",X21="Probabilidad"),(AG20-(+AG20*AA21)),IF(AND(X20="Impacto",X21="Probabilidad"),(AG19-(+AG19*AA21)),IF(X21="Impacto",AG20,""))),"")</f>
        <v>0.17279999999999998</v>
      </c>
      <c r="AF21" s="273" t="str">
        <f t="shared" si="2"/>
        <v>Muy Baja</v>
      </c>
      <c r="AG21" s="272">
        <f t="shared" si="11"/>
        <v>0.17279999999999998</v>
      </c>
      <c r="AH21" s="273" t="str">
        <f t="shared" si="4"/>
        <v>Moderado</v>
      </c>
      <c r="AI21" s="272">
        <f t="shared" ref="AI21:AI72" si="14">IFERROR(IF(AND(X20="Impacto",X21="Impacto"),(AI20-(+AI20*AA21)),IF(AND(X20="Probabilidad",X21="Impacto"),(AI19-(+AI19*AA21)),IF(X21="Probabilidad",AI20,""))),"")</f>
        <v>0.6</v>
      </c>
      <c r="AJ21" s="274" t="str">
        <f t="shared" si="13"/>
        <v>Moderado</v>
      </c>
      <c r="AK21" s="195" t="s">
        <v>123</v>
      </c>
      <c r="AL21" s="267"/>
      <c r="AM21" s="275"/>
      <c r="AN21" s="275"/>
      <c r="AO21" s="276"/>
      <c r="AP21" s="374"/>
      <c r="AQ21" s="374"/>
      <c r="AR21" s="349"/>
    </row>
    <row r="22" spans="1:44" s="277" customFormat="1" x14ac:dyDescent="0.2">
      <c r="A22" s="438"/>
      <c r="B22" s="358"/>
      <c r="C22" s="358"/>
      <c r="D22" s="358"/>
      <c r="E22" s="361"/>
      <c r="F22" s="358"/>
      <c r="G22" s="369"/>
      <c r="H22" s="369"/>
      <c r="I22" s="369"/>
      <c r="J22" s="369"/>
      <c r="K22" s="369"/>
      <c r="L22" s="369"/>
      <c r="M22" s="369"/>
      <c r="N22" s="437"/>
      <c r="O22" s="341"/>
      <c r="P22" s="340"/>
      <c r="Q22" s="344"/>
      <c r="R22" s="340">
        <f>IF(NOT(ISERROR(MATCH(Q22,_xlfn.ANCHORARRAY(E33),0))),P35&amp;"Por favor no seleccionar los criterios de impacto",Q22)</f>
        <v>0</v>
      </c>
      <c r="S22" s="341"/>
      <c r="T22" s="340"/>
      <c r="U22" s="342"/>
      <c r="V22" s="268">
        <v>4</v>
      </c>
      <c r="W22" s="187"/>
      <c r="X22" s="270" t="str">
        <f t="shared" ref="X22:X24" si="15">IF(OR(Y22="Preventivo",Y22="Detectivo"),"Probabilidad",IF(Y22="Correctivo","Impacto",""))</f>
        <v/>
      </c>
      <c r="Y22" s="271"/>
      <c r="Z22" s="271"/>
      <c r="AA22" s="272" t="str">
        <f t="shared" si="10"/>
        <v/>
      </c>
      <c r="AB22" s="271"/>
      <c r="AC22" s="271"/>
      <c r="AD22" s="271"/>
      <c r="AE22" s="260" t="str">
        <f t="shared" ref="AE22:AE24" si="16">IFERROR(IF(AND(X21="Probabilidad",X22="Probabilidad"),(AG21-(+AG21*AA22)),IF(AND(X21="Impacto",X22="Probabilidad"),(AG20-(+AG20*AA22)),IF(X22="Impacto",AG21,""))),"")</f>
        <v/>
      </c>
      <c r="AF22" s="273" t="str">
        <f t="shared" si="2"/>
        <v/>
      </c>
      <c r="AG22" s="272" t="str">
        <f t="shared" si="11"/>
        <v/>
      </c>
      <c r="AH22" s="273" t="str">
        <f t="shared" si="4"/>
        <v/>
      </c>
      <c r="AI22" s="272" t="str">
        <f t="shared" si="14"/>
        <v/>
      </c>
      <c r="AJ22" s="274" t="str">
        <f>IFERROR(IF(OR(AND(AF22="Muy Baja",AH22="Leve"),AND(AF22="Muy Baja",AH22="Menor"),AND(AF22="Baja",AH22="Leve")),"Bajo",IF(OR(AND(AF22="Muy baja",AH22="Moderado"),AND(AF22="Baja",AH22="Menor"),AND(AF22="Baja",AH22="Moderado"),AND(AF22="Media",AH22="Leve"),AND(AF22="Media",AH22="Menor"),AND(AF22="Media",AH22="Moderado"),AND(AF22="Alta",AH22="Leve"),AND(AF22="Alta",AH22="Menor")),"Moderado",IF(OR(AND(AF22="Muy Baja",AH22="Mayor"),AND(AF22="Baja",AH22="Mayor"),AND(AF22="Media",AH22="Mayor"),AND(AF22="Alta",AH22="Moderado"),AND(AF22="Alta",AH22="Mayor"),AND(AF22="Muy Alta",AH22="Leve"),AND(AF22="Muy Alta",AH22="Menor"),AND(AF22="Muy Alta",AH22="Moderado"),AND(AF22="Muy Alta",AH22="Mayor")),"Alto",IF(OR(AND(AF22="Muy Baja",AH22="Catastrófico"),AND(AF22="Baja",AH22="Catastrófico"),AND(AF22="Media",AH22="Catastrófico"),AND(AF22="Alta",AH22="Catastrófico"),AND(AF22="Muy Alta",AH22="Catastrófico")),"Extremo","")))),"")</f>
        <v/>
      </c>
      <c r="AK22" s="278"/>
      <c r="AL22" s="267"/>
      <c r="AM22" s="275"/>
      <c r="AN22" s="275"/>
      <c r="AO22" s="276"/>
      <c r="AP22" s="374"/>
      <c r="AQ22" s="374"/>
      <c r="AR22" s="349"/>
    </row>
    <row r="23" spans="1:44" s="277" customFormat="1" x14ac:dyDescent="0.2">
      <c r="A23" s="438"/>
      <c r="B23" s="358"/>
      <c r="C23" s="358"/>
      <c r="D23" s="358"/>
      <c r="E23" s="361"/>
      <c r="F23" s="358"/>
      <c r="G23" s="369"/>
      <c r="H23" s="369"/>
      <c r="I23" s="369"/>
      <c r="J23" s="369"/>
      <c r="K23" s="369"/>
      <c r="L23" s="369"/>
      <c r="M23" s="369"/>
      <c r="N23" s="437"/>
      <c r="O23" s="341"/>
      <c r="P23" s="340"/>
      <c r="Q23" s="344"/>
      <c r="R23" s="340">
        <f>IF(NOT(ISERROR(MATCH(Q23,_xlfn.ANCHORARRAY(E34),0))),P36&amp;"Por favor no seleccionar los criterios de impacto",Q23)</f>
        <v>0</v>
      </c>
      <c r="S23" s="341"/>
      <c r="T23" s="340"/>
      <c r="U23" s="342"/>
      <c r="V23" s="268">
        <v>5</v>
      </c>
      <c r="W23" s="187"/>
      <c r="X23" s="270" t="str">
        <f t="shared" si="15"/>
        <v/>
      </c>
      <c r="Y23" s="271"/>
      <c r="Z23" s="271"/>
      <c r="AA23" s="272" t="str">
        <f t="shared" si="10"/>
        <v/>
      </c>
      <c r="AB23" s="271"/>
      <c r="AC23" s="271"/>
      <c r="AD23" s="271"/>
      <c r="AE23" s="260" t="str">
        <f t="shared" si="16"/>
        <v/>
      </c>
      <c r="AF23" s="273" t="str">
        <f t="shared" si="2"/>
        <v/>
      </c>
      <c r="AG23" s="272" t="str">
        <f t="shared" si="11"/>
        <v/>
      </c>
      <c r="AH23" s="273" t="str">
        <f t="shared" si="4"/>
        <v/>
      </c>
      <c r="AI23" s="272" t="str">
        <f t="shared" si="14"/>
        <v/>
      </c>
      <c r="AJ23" s="274" t="str">
        <f t="shared" ref="AJ23:AJ24" si="17">IFERROR(IF(OR(AND(AF23="Muy Baja",AH23="Leve"),AND(AF23="Muy Baja",AH23="Menor"),AND(AF23="Baja",AH23="Leve")),"Bajo",IF(OR(AND(AF23="Muy baja",AH23="Moderado"),AND(AF23="Baja",AH23="Menor"),AND(AF23="Baja",AH23="Moderado"),AND(AF23="Media",AH23="Leve"),AND(AF23="Media",AH23="Menor"),AND(AF23="Media",AH23="Moderado"),AND(AF23="Alta",AH23="Leve"),AND(AF23="Alta",AH23="Menor")),"Moderado",IF(OR(AND(AF23="Muy Baja",AH23="Mayor"),AND(AF23="Baja",AH23="Mayor"),AND(AF23="Media",AH23="Mayor"),AND(AF23="Alta",AH23="Moderado"),AND(AF23="Alta",AH23="Mayor"),AND(AF23="Muy Alta",AH23="Leve"),AND(AF23="Muy Alta",AH23="Menor"),AND(AF23="Muy Alta",AH23="Moderado"),AND(AF23="Muy Alta",AH23="Mayor")),"Alto",IF(OR(AND(AF23="Muy Baja",AH23="Catastrófico"),AND(AF23="Baja",AH23="Catastrófico"),AND(AF23="Media",AH23="Catastrófico"),AND(AF23="Alta",AH23="Catastrófico"),AND(AF23="Muy Alta",AH23="Catastrófico")),"Extremo","")))),"")</f>
        <v/>
      </c>
      <c r="AK23" s="278"/>
      <c r="AL23" s="267"/>
      <c r="AM23" s="275"/>
      <c r="AN23" s="275"/>
      <c r="AO23" s="276"/>
      <c r="AP23" s="374"/>
      <c r="AQ23" s="374"/>
      <c r="AR23" s="349"/>
    </row>
    <row r="24" spans="1:44" s="277" customFormat="1" x14ac:dyDescent="0.2">
      <c r="A24" s="438"/>
      <c r="B24" s="358"/>
      <c r="C24" s="358"/>
      <c r="D24" s="358"/>
      <c r="E24" s="361"/>
      <c r="F24" s="358"/>
      <c r="G24" s="370"/>
      <c r="H24" s="370"/>
      <c r="I24" s="370"/>
      <c r="J24" s="370"/>
      <c r="K24" s="370"/>
      <c r="L24" s="370"/>
      <c r="M24" s="370"/>
      <c r="N24" s="437"/>
      <c r="O24" s="341"/>
      <c r="P24" s="340"/>
      <c r="Q24" s="344"/>
      <c r="R24" s="340">
        <f>IF(NOT(ISERROR(MATCH(Q24,_xlfn.ANCHORARRAY(E35),0))),P37&amp;"Por favor no seleccionar los criterios de impacto",Q24)</f>
        <v>0</v>
      </c>
      <c r="S24" s="341"/>
      <c r="T24" s="340"/>
      <c r="U24" s="342"/>
      <c r="V24" s="268">
        <v>6</v>
      </c>
      <c r="W24" s="187"/>
      <c r="X24" s="270" t="str">
        <f t="shared" si="15"/>
        <v/>
      </c>
      <c r="Y24" s="271"/>
      <c r="Z24" s="271"/>
      <c r="AA24" s="272" t="str">
        <f t="shared" si="10"/>
        <v/>
      </c>
      <c r="AB24" s="271"/>
      <c r="AC24" s="271"/>
      <c r="AD24" s="271"/>
      <c r="AE24" s="260" t="str">
        <f t="shared" si="16"/>
        <v/>
      </c>
      <c r="AF24" s="273" t="str">
        <f t="shared" si="2"/>
        <v/>
      </c>
      <c r="AG24" s="272" t="str">
        <f t="shared" si="11"/>
        <v/>
      </c>
      <c r="AH24" s="273" t="str">
        <f t="shared" si="4"/>
        <v/>
      </c>
      <c r="AI24" s="272" t="str">
        <f t="shared" si="14"/>
        <v/>
      </c>
      <c r="AJ24" s="274" t="str">
        <f t="shared" si="17"/>
        <v/>
      </c>
      <c r="AK24" s="278"/>
      <c r="AL24" s="267"/>
      <c r="AM24" s="275"/>
      <c r="AN24" s="275"/>
      <c r="AO24" s="276"/>
      <c r="AP24" s="374"/>
      <c r="AQ24" s="374"/>
      <c r="AR24" s="350"/>
    </row>
    <row r="25" spans="1:44" ht="78" customHeight="1" x14ac:dyDescent="0.2">
      <c r="A25" s="379">
        <v>3</v>
      </c>
      <c r="B25" s="365" t="s">
        <v>120</v>
      </c>
      <c r="C25" s="365" t="s">
        <v>297</v>
      </c>
      <c r="D25" s="365" t="s">
        <v>298</v>
      </c>
      <c r="E25" s="361" t="s">
        <v>299</v>
      </c>
      <c r="F25" s="365" t="s">
        <v>140</v>
      </c>
      <c r="G25" s="336" t="s">
        <v>130</v>
      </c>
      <c r="H25" s="336" t="s">
        <v>300</v>
      </c>
      <c r="I25" s="371" t="s">
        <v>301</v>
      </c>
      <c r="J25" s="348" t="s">
        <v>302</v>
      </c>
      <c r="K25" s="351" t="s">
        <v>303</v>
      </c>
      <c r="L25" s="336" t="s">
        <v>131</v>
      </c>
      <c r="M25" s="336" t="s">
        <v>143</v>
      </c>
      <c r="N25" s="362">
        <v>365</v>
      </c>
      <c r="O25" s="347" t="str">
        <f>IF(N25&lt;=0,"",IF(N25&lt;=2,"Muy Baja",IF(N25&lt;=24,"Baja",IF(N25&lt;=500,"Media",IF(N25&lt;=5000,"Alta","Muy Alta")))))</f>
        <v>Media</v>
      </c>
      <c r="P25" s="346">
        <f>IF(O25="","",IF(O25="Muy Baja",0.2,IF(O25="Baja",0.4,IF(O25="Media",0.6,IF(O25="Alta",0.8,IF(O25="Muy Alta",1,))))))</f>
        <v>0.6</v>
      </c>
      <c r="Q25" s="330" t="s">
        <v>304</v>
      </c>
      <c r="R25" s="346" t="str">
        <f>IF(NOT(ISERROR(MATCH(Q25,'Tabla Impacto'!$B$222:$B$224,0))),'Tabla Impacto'!$F$224&amp;"Por favor no seleccionar los criterios de impacto(Afectación Económica o presupuestal y Pérdida Reputacional)",Q25)</f>
        <v xml:space="preserve">     El riesgo afecta la imagen de la entidad internamente, de conocimiento general, nivel interno, de junta dircetiva y accionistas y/o de provedores</v>
      </c>
      <c r="S25" s="347" t="str">
        <f>IF(OR(R25='Tabla Impacto'!$C$12,R25='Tabla Impacto'!$D$12),"Leve",IF(OR(R25='Tabla Impacto'!$C$13,R25='Tabla Impacto'!$D$13),"Menor",IF(OR(R25='Tabla Impacto'!$C$14,R25='Tabla Impacto'!$D$14),"Moderado",IF(OR(R25='Tabla Impacto'!$C$15,R25='Tabla Impacto'!$D$15),"Mayor",IF(OR(R25='Tabla Impacto'!$C$16,R25='Tabla Impacto'!$D$16),"Catastrófico","")))))</f>
        <v>Menor</v>
      </c>
      <c r="T25" s="346">
        <f>IF(S25="","",IF(S25="Leve",0.2,IF(S25="Menor",0.4,IF(S25="Moderado",0.6,IF(S25="Mayor",0.8,IF(S25="Catastrófico",1,))))))</f>
        <v>0.4</v>
      </c>
      <c r="U25" s="339" t="str">
        <f>IF(OR(AND(O25="Muy Baja",S25="Leve"),AND(O25="Muy Baja",S25="Menor"),AND(O25="Baja",S25="Leve")),"Bajo",IF(OR(AND(O25="Muy baja",S25="Moderado"),AND(O25="Baja",S25="Menor"),AND(O25="Baja",S25="Moderado"),AND(O25="Media",S25="Leve"),AND(O25="Media",S25="Menor"),AND(O25="Media",S25="Moderado"),AND(O25="Alta",S25="Leve"),AND(O25="Alta",S25="Menor")),"Moderado",IF(OR(AND(O25="Muy Baja",S25="Mayor"),AND(O25="Baja",S25="Mayor"),AND(O25="Media",S25="Mayor"),AND(O25="Alta",S25="Moderado"),AND(O25="Alta",S25="Mayor"),AND(O25="Muy Alta",S25="Leve"),AND(O25="Muy Alta",S25="Menor"),AND(O25="Muy Alta",S25="Moderado"),AND(O25="Muy Alta",S25="Mayor")),"Alto",IF(OR(AND(O25="Muy Baja",S25="Catastrófico"),AND(O25="Baja",S25="Catastrófico"),AND(O25="Media",S25="Catastrófico"),AND(O25="Alta",S25="Catastrófico"),AND(O25="Muy Alta",S25="Catastrófico")),"Extremo",""))))</f>
        <v>Moderado</v>
      </c>
      <c r="V25" s="222">
        <v>1</v>
      </c>
      <c r="W25" s="261" t="s">
        <v>305</v>
      </c>
      <c r="X25" s="189" t="str">
        <f>IF(OR(Y25="Preventivo",Y25="Detectivo"),"Probabilidad",IF(Y25="Correctivo","Impacto",""))</f>
        <v>Probabilidad</v>
      </c>
      <c r="Y25" s="190" t="s">
        <v>268</v>
      </c>
      <c r="Z25" s="190" t="s">
        <v>269</v>
      </c>
      <c r="AA25" s="191" t="str">
        <f>IF(AND(Y25="Preventivo",Z25="Automático"),"50%",IF(AND(Y25="Preventivo",Z25="Manual"),"40%",IF(AND(Y25="Detectivo",Z25="Automático"),"40%",IF(AND(Y25="Detectivo",Z25="Manual"),"30%",IF(AND(Y25="Correctivo",Z25="Automático"),"35%",IF(AND(Y25="Correctivo",Z25="Manual"),"25%",""))))))</f>
        <v>40%</v>
      </c>
      <c r="AB25" s="190" t="s">
        <v>270</v>
      </c>
      <c r="AC25" s="190" t="s">
        <v>271</v>
      </c>
      <c r="AD25" s="190" t="s">
        <v>272</v>
      </c>
      <c r="AE25" s="192">
        <f>IFERROR(IF(X25="Probabilidad",(P25-(+P25*AA25)),IF(X25="Impacto",P25,"")),"")</f>
        <v>0.36</v>
      </c>
      <c r="AF25" s="193" t="str">
        <f>IFERROR(IF(AE25="","",IF(AE25&lt;=0.2,"Muy Baja",IF(AE25&lt;=0.4,"Baja",IF(AE25&lt;=0.6,"Media",IF(AE25&lt;=0.8,"Alta","Muy Alta"))))),"")</f>
        <v>Baja</v>
      </c>
      <c r="AG25" s="191">
        <f>+AE25</f>
        <v>0.36</v>
      </c>
      <c r="AH25" s="193" t="str">
        <f>IFERROR(IF(AI25="","",IF(AI25&lt;=0.2,"Leve",IF(AI25&lt;=0.4,"Menor",IF(AI25&lt;=0.6,"Moderado",IF(AI25&lt;=0.8,"Mayor","Catastrófico"))))),"")</f>
        <v>Menor</v>
      </c>
      <c r="AI25" s="191">
        <f t="shared" ref="AI25" si="18">IFERROR(IF(X25="Impacto",(T25-(+T25*AA25)),IF(X25="Probabilidad",T25,"")),"")</f>
        <v>0.4</v>
      </c>
      <c r="AJ25" s="194" t="str">
        <f>IFERROR(IF(OR(AND(AF25="Muy Baja",AH25="Leve"),AND(AF25="Muy Baja",AH25="Menor"),AND(AF25="Baja",AH25="Leve")),"Bajo",IF(OR(AND(AF25="Muy baja",AH25="Moderado"),AND(AF25="Baja",AH25="Menor"),AND(AF25="Baja",AH25="Moderado"),AND(AF25="Media",AH25="Leve"),AND(AF25="Media",AH25="Menor"),AND(AF25="Media",AH25="Moderado"),AND(AF25="Alta",AH25="Leve"),AND(AF25="Alta",AH25="Menor")),"Moderado",IF(OR(AND(AF25="Muy Baja",AH25="Mayor"),AND(AF25="Baja",AH25="Mayor"),AND(AF25="Media",AH25="Mayor"),AND(AF25="Alta",AH25="Moderado"),AND(AF25="Alta",AH25="Mayor"),AND(AF25="Muy Alta",AH25="Leve"),AND(AF25="Muy Alta",AH25="Menor"),AND(AF25="Muy Alta",AH25="Moderado"),AND(AF25="Muy Alta",AH25="Mayor")),"Alto",IF(OR(AND(AF25="Muy Baja",AH25="Catastrófico"),AND(AF25="Baja",AH25="Catastrófico"),AND(AF25="Media",AH25="Catastrófico"),AND(AF25="Alta",AH25="Catastrófico"),AND(AF25="Muy Alta",AH25="Catastrófico")),"Extremo","")))),"")</f>
        <v>Moderado</v>
      </c>
      <c r="AK25" s="195"/>
      <c r="AL25" s="265"/>
      <c r="AM25" s="265"/>
      <c r="AN25" s="265"/>
      <c r="AO25" s="266"/>
      <c r="AP25" s="348" t="s">
        <v>306</v>
      </c>
      <c r="AQ25" s="348" t="s">
        <v>307</v>
      </c>
      <c r="AR25" s="348" t="s">
        <v>274</v>
      </c>
    </row>
    <row r="26" spans="1:44" ht="78" customHeight="1" x14ac:dyDescent="0.2">
      <c r="A26" s="379"/>
      <c r="B26" s="365"/>
      <c r="C26" s="365"/>
      <c r="D26" s="365"/>
      <c r="E26" s="361"/>
      <c r="F26" s="365"/>
      <c r="G26" s="337"/>
      <c r="H26" s="337"/>
      <c r="I26" s="372"/>
      <c r="J26" s="349"/>
      <c r="K26" s="352"/>
      <c r="L26" s="337"/>
      <c r="M26" s="337"/>
      <c r="N26" s="362"/>
      <c r="O26" s="347"/>
      <c r="P26" s="346"/>
      <c r="Q26" s="330"/>
      <c r="R26" s="346">
        <f>IF(NOT(ISERROR(MATCH(Q26,_xlfn.ANCHORARRAY(E37),0))),P39&amp;"Por favor no seleccionar los criterios de impacto",Q26)</f>
        <v>0</v>
      </c>
      <c r="S26" s="347"/>
      <c r="T26" s="346"/>
      <c r="U26" s="339"/>
      <c r="V26" s="222">
        <v>2</v>
      </c>
      <c r="W26" s="264" t="s">
        <v>308</v>
      </c>
      <c r="X26" s="189" t="str">
        <f>IF(OR(Y26="Preventivo",Y26="Detectivo"),"Probabilidad",IF(Y26="Correctivo","Impacto",""))</f>
        <v>Probabilidad</v>
      </c>
      <c r="Y26" s="190" t="s">
        <v>309</v>
      </c>
      <c r="Z26" s="190" t="s">
        <v>269</v>
      </c>
      <c r="AA26" s="191" t="str">
        <f t="shared" ref="AA26:AA30" si="19">IF(AND(Y26="Preventivo",Z26="Automático"),"50%",IF(AND(Y26="Preventivo",Z26="Manual"),"40%",IF(AND(Y26="Detectivo",Z26="Automático"),"40%",IF(AND(Y26="Detectivo",Z26="Manual"),"30%",IF(AND(Y26="Correctivo",Z26="Automático"),"35%",IF(AND(Y26="Correctivo",Z26="Manual"),"25%",""))))))</f>
        <v>30%</v>
      </c>
      <c r="AB26" s="190" t="s">
        <v>270</v>
      </c>
      <c r="AC26" s="190" t="s">
        <v>271</v>
      </c>
      <c r="AD26" s="190" t="s">
        <v>272</v>
      </c>
      <c r="AE26" s="192">
        <f>IFERROR(IF(AND(X25="Probabilidad",X26="Probabilidad"),(AG25-(+AG25*AA26)),IF(X26="Probabilidad",(P25-(+P25*AA26)),IF(X26="Impacto",AG25,""))),"")</f>
        <v>0.252</v>
      </c>
      <c r="AF26" s="193" t="str">
        <f t="shared" si="2"/>
        <v>Baja</v>
      </c>
      <c r="AG26" s="191">
        <f t="shared" ref="AG26:AG30" si="20">+AE26</f>
        <v>0.252</v>
      </c>
      <c r="AH26" s="193" t="str">
        <f t="shared" si="4"/>
        <v>Menor</v>
      </c>
      <c r="AI26" s="191">
        <f t="shared" ref="AI26" si="21">IFERROR(IF(AND(X25="Impacto",X26="Impacto"),(AI25-(+AI25*AA26)),IF(X26="Impacto",($T$13-(+$T$13*AA26)),IF(X26="Probabilidad",AI25,""))),"")</f>
        <v>0.4</v>
      </c>
      <c r="AJ26" s="194" t="str">
        <f t="shared" ref="AJ26:AJ27" si="22">IFERROR(IF(OR(AND(AF26="Muy Baja",AH26="Leve"),AND(AF26="Muy Baja",AH26="Menor"),AND(AF26="Baja",AH26="Leve")),"Bajo",IF(OR(AND(AF26="Muy baja",AH26="Moderado"),AND(AF26="Baja",AH26="Menor"),AND(AF26="Baja",AH26="Moderado"),AND(AF26="Media",AH26="Leve"),AND(AF26="Media",AH26="Menor"),AND(AF26="Media",AH26="Moderado"),AND(AF26="Alta",AH26="Leve"),AND(AF26="Alta",AH26="Menor")),"Moderado",IF(OR(AND(AF26="Muy Baja",AH26="Mayor"),AND(AF26="Baja",AH26="Mayor"),AND(AF26="Media",AH26="Mayor"),AND(AF26="Alta",AH26="Moderado"),AND(AF26="Alta",AH26="Mayor"),AND(AF26="Muy Alta",AH26="Leve"),AND(AF26="Muy Alta",AH26="Menor"),AND(AF26="Muy Alta",AH26="Moderado"),AND(AF26="Muy Alta",AH26="Mayor")),"Alto",IF(OR(AND(AF26="Muy Baja",AH26="Catastrófico"),AND(AF26="Baja",AH26="Catastrófico"),AND(AF26="Media",AH26="Catastrófico"),AND(AF26="Alta",AH26="Catastrófico"),AND(AF26="Muy Alta",AH26="Catastrófico")),"Extremo","")))),"")</f>
        <v>Moderado</v>
      </c>
      <c r="AK26" s="195"/>
      <c r="AL26" s="265"/>
      <c r="AM26" s="265"/>
      <c r="AN26" s="265"/>
      <c r="AO26" s="266"/>
      <c r="AP26" s="349"/>
      <c r="AQ26" s="349"/>
      <c r="AR26" s="349"/>
    </row>
    <row r="27" spans="1:44" ht="78" customHeight="1" x14ac:dyDescent="0.2">
      <c r="A27" s="379"/>
      <c r="B27" s="365"/>
      <c r="C27" s="365"/>
      <c r="D27" s="365"/>
      <c r="E27" s="361"/>
      <c r="F27" s="365"/>
      <c r="G27" s="337"/>
      <c r="H27" s="337"/>
      <c r="I27" s="372"/>
      <c r="J27" s="349"/>
      <c r="K27" s="352"/>
      <c r="L27" s="337"/>
      <c r="M27" s="337"/>
      <c r="N27" s="362"/>
      <c r="O27" s="347"/>
      <c r="P27" s="346"/>
      <c r="Q27" s="330"/>
      <c r="R27" s="346">
        <f>IF(NOT(ISERROR(MATCH(Q27,_xlfn.ANCHORARRAY(E38),0))),P40&amp;"Por favor no seleccionar los criterios de impacto",Q27)</f>
        <v>0</v>
      </c>
      <c r="S27" s="347"/>
      <c r="T27" s="346"/>
      <c r="U27" s="339"/>
      <c r="V27" s="222">
        <v>3</v>
      </c>
      <c r="W27" s="264" t="s">
        <v>310</v>
      </c>
      <c r="X27" s="189" t="str">
        <f>IF(OR(Y27="Preventivo",Y27="Detectivo"),"Probabilidad",IF(Y27="Correctivo","Impacto",""))</f>
        <v>Probabilidad</v>
      </c>
      <c r="Y27" s="190" t="s">
        <v>268</v>
      </c>
      <c r="Z27" s="190" t="s">
        <v>269</v>
      </c>
      <c r="AA27" s="191" t="str">
        <f t="shared" si="19"/>
        <v>40%</v>
      </c>
      <c r="AB27" s="190" t="s">
        <v>270</v>
      </c>
      <c r="AC27" s="190" t="s">
        <v>271</v>
      </c>
      <c r="AD27" s="190" t="s">
        <v>272</v>
      </c>
      <c r="AE27" s="192">
        <f>IFERROR(IF(AND(X26="Probabilidad",X27="Probabilidad"),(AG26-(+AG26*AA27)),IF(AND(X26="Impacto",X27="Probabilidad"),(AG25-(+AG25*AA27)),IF(X27="Impacto",AG26,""))),"")</f>
        <v>0.1512</v>
      </c>
      <c r="AF27" s="193" t="str">
        <f t="shared" si="2"/>
        <v>Muy Baja</v>
      </c>
      <c r="AG27" s="191">
        <f t="shared" si="20"/>
        <v>0.1512</v>
      </c>
      <c r="AH27" s="193" t="str">
        <f t="shared" si="4"/>
        <v>Menor</v>
      </c>
      <c r="AI27" s="191">
        <f t="shared" ref="AI27" si="23">IFERROR(IF(AND(X26="Impacto",X27="Impacto"),(AI26-(+AI26*AA27)),IF(AND(X26="Probabilidad",X27="Impacto"),(AI25-(+AI25*AA27)),IF(X27="Probabilidad",AI26,""))),"")</f>
        <v>0.4</v>
      </c>
      <c r="AJ27" s="194" t="str">
        <f t="shared" si="22"/>
        <v>Bajo</v>
      </c>
      <c r="AK27" s="195" t="s">
        <v>117</v>
      </c>
      <c r="AL27" s="265"/>
      <c r="AM27" s="266"/>
      <c r="AN27" s="266"/>
      <c r="AO27" s="266"/>
      <c r="AP27" s="349"/>
      <c r="AQ27" s="349"/>
      <c r="AR27" s="349"/>
    </row>
    <row r="28" spans="1:44" x14ac:dyDescent="0.2">
      <c r="A28" s="379"/>
      <c r="B28" s="365"/>
      <c r="C28" s="365"/>
      <c r="D28" s="365"/>
      <c r="E28" s="361"/>
      <c r="F28" s="365"/>
      <c r="G28" s="337"/>
      <c r="H28" s="337"/>
      <c r="I28" s="372"/>
      <c r="J28" s="349"/>
      <c r="K28" s="352"/>
      <c r="L28" s="337"/>
      <c r="M28" s="337"/>
      <c r="N28" s="362"/>
      <c r="O28" s="347"/>
      <c r="P28" s="346"/>
      <c r="Q28" s="330"/>
      <c r="R28" s="346">
        <f>IF(NOT(ISERROR(MATCH(Q28,_xlfn.ANCHORARRAY(E39),0))),P41&amp;"Por favor no seleccionar los criterios de impacto",Q28)</f>
        <v>0</v>
      </c>
      <c r="S28" s="347"/>
      <c r="T28" s="346"/>
      <c r="U28" s="339"/>
      <c r="V28" s="222">
        <v>4</v>
      </c>
      <c r="W28" s="263"/>
      <c r="X28" s="189" t="str">
        <f t="shared" ref="X28:X30" si="24">IF(OR(Y28="Preventivo",Y28="Detectivo"),"Probabilidad",IF(Y28="Correctivo","Impacto",""))</f>
        <v/>
      </c>
      <c r="Y28" s="190"/>
      <c r="Z28" s="190"/>
      <c r="AA28" s="191" t="str">
        <f t="shared" si="19"/>
        <v/>
      </c>
      <c r="AB28" s="190"/>
      <c r="AC28" s="190"/>
      <c r="AD28" s="190"/>
      <c r="AE28" s="192" t="str">
        <f t="shared" ref="AE28:AE30" si="25">IFERROR(IF(AND(X27="Probabilidad",X28="Probabilidad"),(AG27-(+AG27*AA28)),IF(AND(X27="Impacto",X28="Probabilidad"),(AG26-(+AG26*AA28)),IF(X28="Impacto",AG27,""))),"")</f>
        <v/>
      </c>
      <c r="AF28" s="193" t="str">
        <f t="shared" si="2"/>
        <v/>
      </c>
      <c r="AG28" s="191" t="str">
        <f t="shared" si="20"/>
        <v/>
      </c>
      <c r="AH28" s="193" t="str">
        <f t="shared" si="4"/>
        <v/>
      </c>
      <c r="AI28" s="191" t="str">
        <f t="shared" si="14"/>
        <v/>
      </c>
      <c r="AJ28" s="194" t="str">
        <f>IFERROR(IF(OR(AND(AF28="Muy Baja",AH28="Leve"),AND(AF28="Muy Baja",AH28="Menor"),AND(AF28="Baja",AH28="Leve")),"Bajo",IF(OR(AND(AF28="Muy baja",AH28="Moderado"),AND(AF28="Baja",AH28="Menor"),AND(AF28="Baja",AH28="Moderado"),AND(AF28="Media",AH28="Leve"),AND(AF28="Media",AH28="Menor"),AND(AF28="Media",AH28="Moderado"),AND(AF28="Alta",AH28="Leve"),AND(AF28="Alta",AH28="Menor")),"Moderado",IF(OR(AND(AF28="Muy Baja",AH28="Mayor"),AND(AF28="Baja",AH28="Mayor"),AND(AF28="Media",AH28="Mayor"),AND(AF28="Alta",AH28="Moderado"),AND(AF28="Alta",AH28="Mayor"),AND(AF28="Muy Alta",AH28="Leve"),AND(AF28="Muy Alta",AH28="Menor"),AND(AF28="Muy Alta",AH28="Moderado"),AND(AF28="Muy Alta",AH28="Mayor")),"Alto",IF(OR(AND(AF28="Muy Baja",AH28="Catastrófico"),AND(AF28="Baja",AH28="Catastrófico"),AND(AF28="Media",AH28="Catastrófico"),AND(AF28="Alta",AH28="Catastrófico"),AND(AF28="Muy Alta",AH28="Catastrófico")),"Extremo","")))),"")</f>
        <v/>
      </c>
      <c r="AK28" s="195"/>
      <c r="AL28" s="265"/>
      <c r="AM28" s="266"/>
      <c r="AN28" s="266"/>
      <c r="AO28" s="266"/>
      <c r="AP28" s="349"/>
      <c r="AQ28" s="349"/>
      <c r="AR28" s="349"/>
    </row>
    <row r="29" spans="1:44" x14ac:dyDescent="0.2">
      <c r="A29" s="379"/>
      <c r="B29" s="365"/>
      <c r="C29" s="365"/>
      <c r="D29" s="365"/>
      <c r="E29" s="361"/>
      <c r="F29" s="365"/>
      <c r="G29" s="337"/>
      <c r="H29" s="337"/>
      <c r="I29" s="372"/>
      <c r="J29" s="349"/>
      <c r="K29" s="352"/>
      <c r="L29" s="337"/>
      <c r="M29" s="337"/>
      <c r="N29" s="362"/>
      <c r="O29" s="347"/>
      <c r="P29" s="346"/>
      <c r="Q29" s="330"/>
      <c r="R29" s="346">
        <f>IF(NOT(ISERROR(MATCH(Q29,_xlfn.ANCHORARRAY(E40),0))),P42&amp;"Por favor no seleccionar los criterios de impacto",Q29)</f>
        <v>0</v>
      </c>
      <c r="S29" s="347"/>
      <c r="T29" s="346"/>
      <c r="U29" s="339"/>
      <c r="V29" s="222">
        <v>5</v>
      </c>
      <c r="W29" s="262"/>
      <c r="X29" s="189" t="str">
        <f t="shared" si="24"/>
        <v/>
      </c>
      <c r="Y29" s="190"/>
      <c r="Z29" s="190"/>
      <c r="AA29" s="191" t="str">
        <f t="shared" si="19"/>
        <v/>
      </c>
      <c r="AB29" s="190"/>
      <c r="AC29" s="190"/>
      <c r="AD29" s="190"/>
      <c r="AE29" s="192" t="str">
        <f t="shared" si="25"/>
        <v/>
      </c>
      <c r="AF29" s="193" t="str">
        <f t="shared" si="2"/>
        <v/>
      </c>
      <c r="AG29" s="191" t="str">
        <f t="shared" si="20"/>
        <v/>
      </c>
      <c r="AH29" s="193" t="str">
        <f t="shared" si="4"/>
        <v/>
      </c>
      <c r="AI29" s="191" t="str">
        <f t="shared" si="14"/>
        <v/>
      </c>
      <c r="AJ29" s="194" t="str">
        <f t="shared" ref="AJ29:AJ30" si="26">IFERROR(IF(OR(AND(AF29="Muy Baja",AH29="Leve"),AND(AF29="Muy Baja",AH29="Menor"),AND(AF29="Baja",AH29="Leve")),"Bajo",IF(OR(AND(AF29="Muy baja",AH29="Moderado"),AND(AF29="Baja",AH29="Menor"),AND(AF29="Baja",AH29="Moderado"),AND(AF29="Media",AH29="Leve"),AND(AF29="Media",AH29="Menor"),AND(AF29="Media",AH29="Moderado"),AND(AF29="Alta",AH29="Leve"),AND(AF29="Alta",AH29="Menor")),"Moderado",IF(OR(AND(AF29="Muy Baja",AH29="Mayor"),AND(AF29="Baja",AH29="Mayor"),AND(AF29="Media",AH29="Mayor"),AND(AF29="Alta",AH29="Moderado"),AND(AF29="Alta",AH29="Mayor"),AND(AF29="Muy Alta",AH29="Leve"),AND(AF29="Muy Alta",AH29="Menor"),AND(AF29="Muy Alta",AH29="Moderado"),AND(AF29="Muy Alta",AH29="Mayor")),"Alto",IF(OR(AND(AF29="Muy Baja",AH29="Catastrófico"),AND(AF29="Baja",AH29="Catastrófico"),AND(AF29="Media",AH29="Catastrófico"),AND(AF29="Alta",AH29="Catastrófico"),AND(AF29="Muy Alta",AH29="Catastrófico")),"Extremo","")))),"")</f>
        <v/>
      </c>
      <c r="AK29" s="195"/>
      <c r="AL29" s="265"/>
      <c r="AM29" s="266"/>
      <c r="AN29" s="266"/>
      <c r="AO29" s="266"/>
      <c r="AP29" s="349"/>
      <c r="AQ29" s="349"/>
      <c r="AR29" s="349"/>
    </row>
    <row r="30" spans="1:44" x14ac:dyDescent="0.2">
      <c r="A30" s="379"/>
      <c r="B30" s="365"/>
      <c r="C30" s="365"/>
      <c r="D30" s="365"/>
      <c r="E30" s="361"/>
      <c r="F30" s="365"/>
      <c r="G30" s="338"/>
      <c r="H30" s="338"/>
      <c r="I30" s="373"/>
      <c r="J30" s="350"/>
      <c r="K30" s="353"/>
      <c r="L30" s="338"/>
      <c r="M30" s="338"/>
      <c r="N30" s="362"/>
      <c r="O30" s="347"/>
      <c r="P30" s="346"/>
      <c r="Q30" s="330"/>
      <c r="R30" s="346">
        <f>IF(NOT(ISERROR(MATCH(Q30,_xlfn.ANCHORARRAY(E41),0))),P43&amp;"Por favor no seleccionar los criterios de impacto",Q30)</f>
        <v>0</v>
      </c>
      <c r="S30" s="347"/>
      <c r="T30" s="346"/>
      <c r="U30" s="339"/>
      <c r="V30" s="222">
        <v>6</v>
      </c>
      <c r="W30" s="263"/>
      <c r="X30" s="189" t="str">
        <f t="shared" si="24"/>
        <v/>
      </c>
      <c r="Y30" s="190"/>
      <c r="Z30" s="190"/>
      <c r="AA30" s="191" t="str">
        <f t="shared" si="19"/>
        <v/>
      </c>
      <c r="AB30" s="190"/>
      <c r="AC30" s="190"/>
      <c r="AD30" s="190"/>
      <c r="AE30" s="192" t="str">
        <f t="shared" si="25"/>
        <v/>
      </c>
      <c r="AF30" s="193" t="str">
        <f t="shared" si="2"/>
        <v/>
      </c>
      <c r="AG30" s="191" t="str">
        <f t="shared" si="20"/>
        <v/>
      </c>
      <c r="AH30" s="193" t="str">
        <f t="shared" si="4"/>
        <v/>
      </c>
      <c r="AI30" s="191" t="str">
        <f t="shared" si="14"/>
        <v/>
      </c>
      <c r="AJ30" s="194" t="str">
        <f t="shared" si="26"/>
        <v/>
      </c>
      <c r="AK30" s="195"/>
      <c r="AL30" s="265"/>
      <c r="AM30" s="266"/>
      <c r="AN30" s="266"/>
      <c r="AO30" s="266"/>
      <c r="AP30" s="350"/>
      <c r="AQ30" s="350"/>
      <c r="AR30" s="350"/>
    </row>
    <row r="31" spans="1:44" x14ac:dyDescent="0.2">
      <c r="A31" s="379">
        <v>4</v>
      </c>
      <c r="B31" s="365"/>
      <c r="C31" s="365"/>
      <c r="D31" s="365"/>
      <c r="E31" s="381"/>
      <c r="F31" s="365"/>
      <c r="G31" s="336"/>
      <c r="H31" s="336"/>
      <c r="I31" s="336"/>
      <c r="J31" s="336"/>
      <c r="K31" s="336"/>
      <c r="L31" s="336"/>
      <c r="M31" s="336"/>
      <c r="N31" s="362"/>
      <c r="O31" s="347" t="str">
        <f>IF(N31&lt;=0,"",IF(N31&lt;=2,"Muy Baja",IF(N31&lt;=24,"Baja",IF(N31&lt;=500,"Media",IF(N31&lt;=5000,"Alta","Muy Alta")))))</f>
        <v/>
      </c>
      <c r="P31" s="346" t="str">
        <f>IF(O31="","",IF(O31="Muy Baja",0.2,IF(O31="Baja",0.4,IF(O31="Media",0.6,IF(O31="Alta",0.8,IF(O31="Muy Alta",1,))))))</f>
        <v/>
      </c>
      <c r="Q31" s="330"/>
      <c r="R31" s="346">
        <f>IF(NOT(ISERROR(MATCH(Q31,'Tabla Impacto'!$B$222:$B$224,0))),'Tabla Impacto'!$F$224&amp;"Por favor no seleccionar los criterios de impacto(Afectación Económica o presupuestal y Pérdida Reputacional)",Q31)</f>
        <v>0</v>
      </c>
      <c r="S31" s="347" t="str">
        <f>IF(OR(R31='Tabla Impacto'!$C$12,R31='Tabla Impacto'!$D$12),"Leve",IF(OR(R31='Tabla Impacto'!$C$13,R31='Tabla Impacto'!$D$13),"Menor",IF(OR(R31='Tabla Impacto'!$C$14,R31='Tabla Impacto'!$D$14),"Moderado",IF(OR(R31='Tabla Impacto'!$C$15,R31='Tabla Impacto'!$D$15),"Mayor",IF(OR(R31='Tabla Impacto'!$C$16,R31='Tabla Impacto'!$D$16),"Catastrófico","")))))</f>
        <v/>
      </c>
      <c r="T31" s="346" t="str">
        <f>IF(S31="","",IF(S31="Leve",0.2,IF(S31="Menor",0.4,IF(S31="Moderado",0.6,IF(S31="Mayor",0.8,IF(S31="Catastrófico",1,))))))</f>
        <v/>
      </c>
      <c r="U31" s="339" t="str">
        <f>IF(OR(AND(O31="Muy Baja",S31="Leve"),AND(O31="Muy Baja",S31="Menor"),AND(O31="Baja",S31="Leve")),"Bajo",IF(OR(AND(O31="Muy baja",S31="Moderado"),AND(O31="Baja",S31="Menor"),AND(O31="Baja",S31="Moderado"),AND(O31="Media",S31="Leve"),AND(O31="Media",S31="Menor"),AND(O31="Media",S31="Moderado"),AND(O31="Alta",S31="Leve"),AND(O31="Alta",S31="Menor")),"Moderado",IF(OR(AND(O31="Muy Baja",S31="Mayor"),AND(O31="Baja",S31="Mayor"),AND(O31="Media",S31="Mayor"),AND(O31="Alta",S31="Moderado"),AND(O31="Alta",S31="Mayor"),AND(O31="Muy Alta",S31="Leve"),AND(O31="Muy Alta",S31="Menor"),AND(O31="Muy Alta",S31="Moderado"),AND(O31="Muy Alta",S31="Mayor")),"Alto",IF(OR(AND(O31="Muy Baja",S31="Catastrófico"),AND(O31="Baja",S31="Catastrófico"),AND(O31="Media",S31="Catastrófico"),AND(O31="Alta",S31="Catastrófico"),AND(O31="Muy Alta",S31="Catastrófico")),"Extremo",""))))</f>
        <v/>
      </c>
      <c r="V31" s="222">
        <v>1</v>
      </c>
      <c r="W31" s="187"/>
      <c r="X31" s="189" t="str">
        <f>IF(OR(Y31="Preventivo",Y31="Detectivo"),"Probabilidad",IF(Y31="Correctivo","Impacto",""))</f>
        <v/>
      </c>
      <c r="Y31" s="190"/>
      <c r="Z31" s="190"/>
      <c r="AA31" s="191" t="str">
        <f>IF(AND(Y31="Preventivo",Z31="Automático"),"50%",IF(AND(Y31="Preventivo",Z31="Manual"),"40%",IF(AND(Y31="Detectivo",Z31="Automático"),"40%",IF(AND(Y31="Detectivo",Z31="Manual"),"30%",IF(AND(Y31="Correctivo",Z31="Automático"),"35%",IF(AND(Y31="Correctivo",Z31="Manual"),"25%",""))))))</f>
        <v/>
      </c>
      <c r="AB31" s="190"/>
      <c r="AC31" s="190"/>
      <c r="AD31" s="190"/>
      <c r="AE31" s="192" t="str">
        <f>IFERROR(IF(X31="Probabilidad",(P31-(+P31*AA31)),IF(X31="Impacto",P31,"")),"")</f>
        <v/>
      </c>
      <c r="AF31" s="193" t="str">
        <f>IFERROR(IF(AE31="","",IF(AE31&lt;=0.2,"Muy Baja",IF(AE31&lt;=0.4,"Baja",IF(AE31&lt;=0.6,"Media",IF(AE31&lt;=0.8,"Alta","Muy Alta"))))),"")</f>
        <v/>
      </c>
      <c r="AG31" s="191" t="str">
        <f>+AE31</f>
        <v/>
      </c>
      <c r="AH31" s="193" t="str">
        <f>IFERROR(IF(AI31="","",IF(AI31&lt;=0.2,"Leve",IF(AI31&lt;=0.4,"Menor",IF(AI31&lt;=0.6,"Moderado",IF(AI31&lt;=0.8,"Mayor","Catastrófico"))))),"")</f>
        <v/>
      </c>
      <c r="AI31" s="191" t="str">
        <f t="shared" ref="AI31" si="27">IFERROR(IF(X31="Impacto",(T31-(+T31*AA31)),IF(X31="Probabilidad",T31,"")),"")</f>
        <v/>
      </c>
      <c r="AJ31" s="194" t="str">
        <f>IFERROR(IF(OR(AND(AF31="Muy Baja",AH31="Leve"),AND(AF31="Muy Baja",AH31="Menor"),AND(AF31="Baja",AH31="Leve")),"Bajo",IF(OR(AND(AF31="Muy baja",AH31="Moderado"),AND(AF31="Baja",AH31="Menor"),AND(AF31="Baja",AH31="Moderado"),AND(AF31="Media",AH31="Leve"),AND(AF31="Media",AH31="Menor"),AND(AF31="Media",AH31="Moderado"),AND(AF31="Alta",AH31="Leve"),AND(AF31="Alta",AH31="Menor")),"Moderado",IF(OR(AND(AF31="Muy Baja",AH31="Mayor"),AND(AF31="Baja",AH31="Mayor"),AND(AF31="Media",AH31="Mayor"),AND(AF31="Alta",AH31="Moderado"),AND(AF31="Alta",AH31="Mayor"),AND(AF31="Muy Alta",AH31="Leve"),AND(AF31="Muy Alta",AH31="Menor"),AND(AF31="Muy Alta",AH31="Moderado"),AND(AF31="Muy Alta",AH31="Mayor")),"Alto",IF(OR(AND(AF31="Muy Baja",AH31="Catastrófico"),AND(AF31="Baja",AH31="Catastrófico"),AND(AF31="Media",AH31="Catastrófico"),AND(AF31="Alta",AH31="Catastrófico"),AND(AF31="Muy Alta",AH31="Catastrófico")),"Extremo","")))),"")</f>
        <v/>
      </c>
      <c r="AK31" s="195"/>
      <c r="AL31" s="186"/>
      <c r="AM31" s="196"/>
      <c r="AN31" s="196"/>
      <c r="AO31" s="197"/>
      <c r="AP31" s="362"/>
      <c r="AQ31" s="362"/>
      <c r="AR31" s="362"/>
    </row>
    <row r="32" spans="1:44" x14ac:dyDescent="0.2">
      <c r="A32" s="379"/>
      <c r="B32" s="365"/>
      <c r="C32" s="365"/>
      <c r="D32" s="365"/>
      <c r="E32" s="382"/>
      <c r="F32" s="365"/>
      <c r="G32" s="337"/>
      <c r="H32" s="337"/>
      <c r="I32" s="337"/>
      <c r="J32" s="337"/>
      <c r="K32" s="337"/>
      <c r="L32" s="337"/>
      <c r="M32" s="337"/>
      <c r="N32" s="362"/>
      <c r="O32" s="347"/>
      <c r="P32" s="346"/>
      <c r="Q32" s="330"/>
      <c r="R32" s="346">
        <f>IF(NOT(ISERROR(MATCH(Q32,_xlfn.ANCHORARRAY(E43),0))),P45&amp;"Por favor no seleccionar los criterios de impacto",Q32)</f>
        <v>0</v>
      </c>
      <c r="S32" s="347"/>
      <c r="T32" s="346"/>
      <c r="U32" s="339"/>
      <c r="V32" s="222">
        <v>2</v>
      </c>
      <c r="W32" s="187"/>
      <c r="X32" s="189" t="str">
        <f>IF(OR(Y32="Preventivo",Y32="Detectivo"),"Probabilidad",IF(Y32="Correctivo","Impacto",""))</f>
        <v/>
      </c>
      <c r="Y32" s="190"/>
      <c r="Z32" s="190"/>
      <c r="AA32" s="191" t="str">
        <f t="shared" ref="AA32:AA36" si="28">IF(AND(Y32="Preventivo",Z32="Automático"),"50%",IF(AND(Y32="Preventivo",Z32="Manual"),"40%",IF(AND(Y32="Detectivo",Z32="Automático"),"40%",IF(AND(Y32="Detectivo",Z32="Manual"),"30%",IF(AND(Y32="Correctivo",Z32="Automático"),"35%",IF(AND(Y32="Correctivo",Z32="Manual"),"25%",""))))))</f>
        <v/>
      </c>
      <c r="AB32" s="190"/>
      <c r="AC32" s="190"/>
      <c r="AD32" s="190"/>
      <c r="AE32" s="192" t="str">
        <f>IFERROR(IF(AND(X31="Probabilidad",X32="Probabilidad"),(AG31-(+AG31*AA32)),IF(X32="Probabilidad",(P31-(+P31*AA32)),IF(X32="Impacto",AG31,""))),"")</f>
        <v/>
      </c>
      <c r="AF32" s="193" t="str">
        <f t="shared" si="2"/>
        <v/>
      </c>
      <c r="AG32" s="191" t="str">
        <f t="shared" ref="AG32:AG36" si="29">+AE32</f>
        <v/>
      </c>
      <c r="AH32" s="193" t="str">
        <f t="shared" si="4"/>
        <v/>
      </c>
      <c r="AI32" s="191" t="str">
        <f t="shared" ref="AI32" si="30">IFERROR(IF(AND(X31="Impacto",X32="Impacto"),(AI31-(+AI31*AA32)),IF(X32="Impacto",($T$13-(+$T$13*AA32)),IF(X32="Probabilidad",AI31,""))),"")</f>
        <v/>
      </c>
      <c r="AJ32" s="194" t="str">
        <f t="shared" ref="AJ32:AJ33" si="31">IFERROR(IF(OR(AND(AF32="Muy Baja",AH32="Leve"),AND(AF32="Muy Baja",AH32="Menor"),AND(AF32="Baja",AH32="Leve")),"Bajo",IF(OR(AND(AF32="Muy baja",AH32="Moderado"),AND(AF32="Baja",AH32="Menor"),AND(AF32="Baja",AH32="Moderado"),AND(AF32="Media",AH32="Leve"),AND(AF32="Media",AH32="Menor"),AND(AF32="Media",AH32="Moderado"),AND(AF32="Alta",AH32="Leve"),AND(AF32="Alta",AH32="Menor")),"Moderado",IF(OR(AND(AF32="Muy Baja",AH32="Mayor"),AND(AF32="Baja",AH32="Mayor"),AND(AF32="Media",AH32="Mayor"),AND(AF32="Alta",AH32="Moderado"),AND(AF32="Alta",AH32="Mayor"),AND(AF32="Muy Alta",AH32="Leve"),AND(AF32="Muy Alta",AH32="Menor"),AND(AF32="Muy Alta",AH32="Moderado"),AND(AF32="Muy Alta",AH32="Mayor")),"Alto",IF(OR(AND(AF32="Muy Baja",AH32="Catastrófico"),AND(AF32="Baja",AH32="Catastrófico"),AND(AF32="Media",AH32="Catastrófico"),AND(AF32="Alta",AH32="Catastrófico"),AND(AF32="Muy Alta",AH32="Catastrófico")),"Extremo","")))),"")</f>
        <v/>
      </c>
      <c r="AK32" s="195"/>
      <c r="AL32" s="186"/>
      <c r="AM32" s="196"/>
      <c r="AN32" s="196"/>
      <c r="AO32" s="197"/>
      <c r="AP32" s="362"/>
      <c r="AQ32" s="362"/>
      <c r="AR32" s="362"/>
    </row>
    <row r="33" spans="1:44" x14ac:dyDescent="0.2">
      <c r="A33" s="379"/>
      <c r="B33" s="365"/>
      <c r="C33" s="365"/>
      <c r="D33" s="365"/>
      <c r="E33" s="382"/>
      <c r="F33" s="365"/>
      <c r="G33" s="337"/>
      <c r="H33" s="337"/>
      <c r="I33" s="337"/>
      <c r="J33" s="337"/>
      <c r="K33" s="337"/>
      <c r="L33" s="337"/>
      <c r="M33" s="337"/>
      <c r="N33" s="362"/>
      <c r="O33" s="347"/>
      <c r="P33" s="346"/>
      <c r="Q33" s="330"/>
      <c r="R33" s="346">
        <f>IF(NOT(ISERROR(MATCH(Q33,_xlfn.ANCHORARRAY(E44),0))),P46&amp;"Por favor no seleccionar los criterios de impacto",Q33)</f>
        <v>0</v>
      </c>
      <c r="S33" s="347"/>
      <c r="T33" s="346"/>
      <c r="U33" s="339"/>
      <c r="V33" s="222">
        <v>3</v>
      </c>
      <c r="W33" s="188"/>
      <c r="X33" s="189" t="str">
        <f>IF(OR(Y33="Preventivo",Y33="Detectivo"),"Probabilidad",IF(Y33="Correctivo","Impacto",""))</f>
        <v/>
      </c>
      <c r="Y33" s="190"/>
      <c r="Z33" s="190"/>
      <c r="AA33" s="191" t="str">
        <f t="shared" si="28"/>
        <v/>
      </c>
      <c r="AB33" s="190"/>
      <c r="AC33" s="190"/>
      <c r="AD33" s="190"/>
      <c r="AE33" s="192" t="str">
        <f>IFERROR(IF(AND(X32="Probabilidad",X33="Probabilidad"),(AG32-(+AG32*AA33)),IF(AND(X32="Impacto",X33="Probabilidad"),(AG31-(+AG31*AA33)),IF(X33="Impacto",AG32,""))),"")</f>
        <v/>
      </c>
      <c r="AF33" s="193" t="str">
        <f t="shared" si="2"/>
        <v/>
      </c>
      <c r="AG33" s="191" t="str">
        <f t="shared" si="29"/>
        <v/>
      </c>
      <c r="AH33" s="193" t="str">
        <f t="shared" si="4"/>
        <v/>
      </c>
      <c r="AI33" s="191" t="str">
        <f t="shared" ref="AI33" si="32">IFERROR(IF(AND(X32="Impacto",X33="Impacto"),(AI32-(+AI32*AA33)),IF(AND(X32="Probabilidad",X33="Impacto"),(AI31-(+AI31*AA33)),IF(X33="Probabilidad",AI32,""))),"")</f>
        <v/>
      </c>
      <c r="AJ33" s="194" t="str">
        <f t="shared" si="31"/>
        <v/>
      </c>
      <c r="AK33" s="195"/>
      <c r="AL33" s="186"/>
      <c r="AM33" s="196"/>
      <c r="AN33" s="196"/>
      <c r="AO33" s="197"/>
      <c r="AP33" s="362"/>
      <c r="AQ33" s="362"/>
      <c r="AR33" s="362"/>
    </row>
    <row r="34" spans="1:44" x14ac:dyDescent="0.2">
      <c r="A34" s="379"/>
      <c r="B34" s="365"/>
      <c r="C34" s="365"/>
      <c r="D34" s="365"/>
      <c r="E34" s="382"/>
      <c r="F34" s="365"/>
      <c r="G34" s="337"/>
      <c r="H34" s="337"/>
      <c r="I34" s="337"/>
      <c r="J34" s="337"/>
      <c r="K34" s="337"/>
      <c r="L34" s="337"/>
      <c r="M34" s="337"/>
      <c r="N34" s="362"/>
      <c r="O34" s="347"/>
      <c r="P34" s="346"/>
      <c r="Q34" s="330"/>
      <c r="R34" s="346">
        <f>IF(NOT(ISERROR(MATCH(Q34,_xlfn.ANCHORARRAY(E45),0))),P47&amp;"Por favor no seleccionar los criterios de impacto",Q34)</f>
        <v>0</v>
      </c>
      <c r="S34" s="347"/>
      <c r="T34" s="346"/>
      <c r="U34" s="339"/>
      <c r="V34" s="222">
        <v>4</v>
      </c>
      <c r="W34" s="187"/>
      <c r="X34" s="189" t="str">
        <f t="shared" ref="X34:X36" si="33">IF(OR(Y34="Preventivo",Y34="Detectivo"),"Probabilidad",IF(Y34="Correctivo","Impacto",""))</f>
        <v/>
      </c>
      <c r="Y34" s="190"/>
      <c r="Z34" s="190"/>
      <c r="AA34" s="191" t="str">
        <f t="shared" si="28"/>
        <v/>
      </c>
      <c r="AB34" s="190"/>
      <c r="AC34" s="190"/>
      <c r="AD34" s="190"/>
      <c r="AE34" s="192" t="str">
        <f t="shared" ref="AE34:AE36" si="34">IFERROR(IF(AND(X33="Probabilidad",X34="Probabilidad"),(AG33-(+AG33*AA34)),IF(AND(X33="Impacto",X34="Probabilidad"),(AG32-(+AG32*AA34)),IF(X34="Impacto",AG33,""))),"")</f>
        <v/>
      </c>
      <c r="AF34" s="193" t="str">
        <f t="shared" si="2"/>
        <v/>
      </c>
      <c r="AG34" s="191" t="str">
        <f t="shared" si="29"/>
        <v/>
      </c>
      <c r="AH34" s="193" t="str">
        <f t="shared" si="4"/>
        <v/>
      </c>
      <c r="AI34" s="191" t="str">
        <f t="shared" si="14"/>
        <v/>
      </c>
      <c r="AJ34" s="194" t="str">
        <f>IFERROR(IF(OR(AND(AF34="Muy Baja",AH34="Leve"),AND(AF34="Muy Baja",AH34="Menor"),AND(AF34="Baja",AH34="Leve")),"Bajo",IF(OR(AND(AF34="Muy baja",AH34="Moderado"),AND(AF34="Baja",AH34="Menor"),AND(AF34="Baja",AH34="Moderado"),AND(AF34="Media",AH34="Leve"),AND(AF34="Media",AH34="Menor"),AND(AF34="Media",AH34="Moderado"),AND(AF34="Alta",AH34="Leve"),AND(AF34="Alta",AH34="Menor")),"Moderado",IF(OR(AND(AF34="Muy Baja",AH34="Mayor"),AND(AF34="Baja",AH34="Mayor"),AND(AF34="Media",AH34="Mayor"),AND(AF34="Alta",AH34="Moderado"),AND(AF34="Alta",AH34="Mayor"),AND(AF34="Muy Alta",AH34="Leve"),AND(AF34="Muy Alta",AH34="Menor"),AND(AF34="Muy Alta",AH34="Moderado"),AND(AF34="Muy Alta",AH34="Mayor")),"Alto",IF(OR(AND(AF34="Muy Baja",AH34="Catastrófico"),AND(AF34="Baja",AH34="Catastrófico"),AND(AF34="Media",AH34="Catastrófico"),AND(AF34="Alta",AH34="Catastrófico"),AND(AF34="Muy Alta",AH34="Catastrófico")),"Extremo","")))),"")</f>
        <v/>
      </c>
      <c r="AK34" s="195"/>
      <c r="AL34" s="186"/>
      <c r="AM34" s="196"/>
      <c r="AN34" s="196"/>
      <c r="AO34" s="197"/>
      <c r="AP34" s="362"/>
      <c r="AQ34" s="362"/>
      <c r="AR34" s="362"/>
    </row>
    <row r="35" spans="1:44" x14ac:dyDescent="0.2">
      <c r="A35" s="379"/>
      <c r="B35" s="365"/>
      <c r="C35" s="365"/>
      <c r="D35" s="365"/>
      <c r="E35" s="382"/>
      <c r="F35" s="365"/>
      <c r="G35" s="337"/>
      <c r="H35" s="337"/>
      <c r="I35" s="337"/>
      <c r="J35" s="337"/>
      <c r="K35" s="337"/>
      <c r="L35" s="337"/>
      <c r="M35" s="337"/>
      <c r="N35" s="362"/>
      <c r="O35" s="347"/>
      <c r="P35" s="346"/>
      <c r="Q35" s="330"/>
      <c r="R35" s="346">
        <f>IF(NOT(ISERROR(MATCH(Q35,_xlfn.ANCHORARRAY(E46),0))),P48&amp;"Por favor no seleccionar los criterios de impacto",Q35)</f>
        <v>0</v>
      </c>
      <c r="S35" s="347"/>
      <c r="T35" s="346"/>
      <c r="U35" s="339"/>
      <c r="V35" s="222">
        <v>5</v>
      </c>
      <c r="W35" s="187"/>
      <c r="X35" s="189" t="str">
        <f t="shared" si="33"/>
        <v/>
      </c>
      <c r="Y35" s="190"/>
      <c r="Z35" s="190"/>
      <c r="AA35" s="191" t="str">
        <f t="shared" si="28"/>
        <v/>
      </c>
      <c r="AB35" s="190"/>
      <c r="AC35" s="190"/>
      <c r="AD35" s="190"/>
      <c r="AE35" s="192" t="str">
        <f t="shared" si="34"/>
        <v/>
      </c>
      <c r="AF35" s="193" t="str">
        <f>IFERROR(IF(AE35="","",IF(AE35&lt;=0.2,"Muy Baja",IF(AE35&lt;=0.4,"Baja",IF(AE35&lt;=0.6,"Media",IF(AE35&lt;=0.8,"Alta","Muy Alta"))))),"")</f>
        <v/>
      </c>
      <c r="AG35" s="191" t="str">
        <f t="shared" si="29"/>
        <v/>
      </c>
      <c r="AH35" s="193" t="str">
        <f t="shared" si="4"/>
        <v/>
      </c>
      <c r="AI35" s="191" t="str">
        <f t="shared" si="14"/>
        <v/>
      </c>
      <c r="AJ35" s="194" t="str">
        <f t="shared" ref="AJ35:AJ36" si="35">IFERROR(IF(OR(AND(AF35="Muy Baja",AH35="Leve"),AND(AF35="Muy Baja",AH35="Menor"),AND(AF35="Baja",AH35="Leve")),"Bajo",IF(OR(AND(AF35="Muy baja",AH35="Moderado"),AND(AF35="Baja",AH35="Menor"),AND(AF35="Baja",AH35="Moderado"),AND(AF35="Media",AH35="Leve"),AND(AF35="Media",AH35="Menor"),AND(AF35="Media",AH35="Moderado"),AND(AF35="Alta",AH35="Leve"),AND(AF35="Alta",AH35="Menor")),"Moderado",IF(OR(AND(AF35="Muy Baja",AH35="Mayor"),AND(AF35="Baja",AH35="Mayor"),AND(AF35="Media",AH35="Mayor"),AND(AF35="Alta",AH35="Moderado"),AND(AF35="Alta",AH35="Mayor"),AND(AF35="Muy Alta",AH35="Leve"),AND(AF35="Muy Alta",AH35="Menor"),AND(AF35="Muy Alta",AH35="Moderado"),AND(AF35="Muy Alta",AH35="Mayor")),"Alto",IF(OR(AND(AF35="Muy Baja",AH35="Catastrófico"),AND(AF35="Baja",AH35="Catastrófico"),AND(AF35="Media",AH35="Catastrófico"),AND(AF35="Alta",AH35="Catastrófico"),AND(AF35="Muy Alta",AH35="Catastrófico")),"Extremo","")))),"")</f>
        <v/>
      </c>
      <c r="AK35" s="195"/>
      <c r="AL35" s="186"/>
      <c r="AM35" s="196"/>
      <c r="AN35" s="196"/>
      <c r="AO35" s="197"/>
      <c r="AP35" s="362"/>
      <c r="AQ35" s="362"/>
      <c r="AR35" s="362"/>
    </row>
    <row r="36" spans="1:44" x14ac:dyDescent="0.2">
      <c r="A36" s="379"/>
      <c r="B36" s="365"/>
      <c r="C36" s="365"/>
      <c r="D36" s="365"/>
      <c r="E36" s="382"/>
      <c r="F36" s="365"/>
      <c r="G36" s="338"/>
      <c r="H36" s="338"/>
      <c r="I36" s="338"/>
      <c r="J36" s="338"/>
      <c r="K36" s="338"/>
      <c r="L36" s="338"/>
      <c r="M36" s="338"/>
      <c r="N36" s="362"/>
      <c r="O36" s="347"/>
      <c r="P36" s="346"/>
      <c r="Q36" s="330"/>
      <c r="R36" s="346">
        <f>IF(NOT(ISERROR(MATCH(Q36,_xlfn.ANCHORARRAY(E47),0))),P49&amp;"Por favor no seleccionar los criterios de impacto",Q36)</f>
        <v>0</v>
      </c>
      <c r="S36" s="347"/>
      <c r="T36" s="346"/>
      <c r="U36" s="339"/>
      <c r="V36" s="222">
        <v>6</v>
      </c>
      <c r="W36" s="187"/>
      <c r="X36" s="189" t="str">
        <f t="shared" si="33"/>
        <v/>
      </c>
      <c r="Y36" s="190"/>
      <c r="Z36" s="190"/>
      <c r="AA36" s="191" t="str">
        <f t="shared" si="28"/>
        <v/>
      </c>
      <c r="AB36" s="190"/>
      <c r="AC36" s="190"/>
      <c r="AD36" s="190"/>
      <c r="AE36" s="192" t="str">
        <f t="shared" si="34"/>
        <v/>
      </c>
      <c r="AF36" s="193" t="str">
        <f t="shared" si="2"/>
        <v/>
      </c>
      <c r="AG36" s="191" t="str">
        <f t="shared" si="29"/>
        <v/>
      </c>
      <c r="AH36" s="193" t="str">
        <f t="shared" si="4"/>
        <v/>
      </c>
      <c r="AI36" s="191" t="str">
        <f t="shared" si="14"/>
        <v/>
      </c>
      <c r="AJ36" s="194" t="str">
        <f t="shared" si="35"/>
        <v/>
      </c>
      <c r="AK36" s="195"/>
      <c r="AL36" s="186"/>
      <c r="AM36" s="196"/>
      <c r="AN36" s="196"/>
      <c r="AO36" s="197"/>
      <c r="AP36" s="362"/>
      <c r="AQ36" s="362"/>
      <c r="AR36" s="362"/>
    </row>
    <row r="37" spans="1:44" x14ac:dyDescent="0.2">
      <c r="A37" s="379">
        <v>5</v>
      </c>
      <c r="B37" s="365"/>
      <c r="C37" s="365"/>
      <c r="D37" s="365"/>
      <c r="E37" s="365"/>
      <c r="F37" s="365"/>
      <c r="G37" s="336"/>
      <c r="H37" s="336"/>
      <c r="I37" s="336"/>
      <c r="J37" s="336"/>
      <c r="K37" s="336"/>
      <c r="L37" s="336"/>
      <c r="M37" s="336"/>
      <c r="N37" s="362"/>
      <c r="O37" s="347" t="str">
        <f>IF(N37&lt;=0,"",IF(N37&lt;=2,"Muy Baja",IF(N37&lt;=24,"Baja",IF(N37&lt;=500,"Media",IF(N37&lt;=5000,"Alta","Muy Alta")))))</f>
        <v/>
      </c>
      <c r="P37" s="346" t="str">
        <f>IF(O37="","",IF(O37="Muy Baja",0.2,IF(O37="Baja",0.4,IF(O37="Media",0.6,IF(O37="Alta",0.8,IF(O37="Muy Alta",1,))))))</f>
        <v/>
      </c>
      <c r="Q37" s="330"/>
      <c r="R37" s="346">
        <f>IF(NOT(ISERROR(MATCH(Q37,'Tabla Impacto'!$B$222:$B$224,0))),'Tabla Impacto'!$F$224&amp;"Por favor no seleccionar los criterios de impacto(Afectación Económica o presupuestal y Pérdida Reputacional)",Q37)</f>
        <v>0</v>
      </c>
      <c r="S37" s="347" t="str">
        <f>IF(OR(R37='Tabla Impacto'!$C$12,R37='Tabla Impacto'!$D$12),"Leve",IF(OR(R37='Tabla Impacto'!$C$13,R37='Tabla Impacto'!$D$13),"Menor",IF(OR(R37='Tabla Impacto'!$C$14,R37='Tabla Impacto'!$D$14),"Moderado",IF(OR(R37='Tabla Impacto'!$C$15,R37='Tabla Impacto'!$D$15),"Mayor",IF(OR(R37='Tabla Impacto'!$C$16,R37='Tabla Impacto'!$D$16),"Catastrófico","")))))</f>
        <v/>
      </c>
      <c r="T37" s="346" t="str">
        <f>IF(S37="","",IF(S37="Leve",0.2,IF(S37="Menor",0.4,IF(S37="Moderado",0.6,IF(S37="Mayor",0.8,IF(S37="Catastrófico",1,))))))</f>
        <v/>
      </c>
      <c r="U37" s="339" t="str">
        <f>IF(OR(AND(O37="Muy Baja",S37="Leve"),AND(O37="Muy Baja",S37="Menor"),AND(O37="Baja",S37="Leve")),"Bajo",IF(OR(AND(O37="Muy baja",S37="Moderado"),AND(O37="Baja",S37="Menor"),AND(O37="Baja",S37="Moderado"),AND(O37="Media",S37="Leve"),AND(O37="Media",S37="Menor"),AND(O37="Media",S37="Moderado"),AND(O37="Alta",S37="Leve"),AND(O37="Alta",S37="Menor")),"Moderado",IF(OR(AND(O37="Muy Baja",S37="Mayor"),AND(O37="Baja",S37="Mayor"),AND(O37="Media",S37="Mayor"),AND(O37="Alta",S37="Moderado"),AND(O37="Alta",S37="Mayor"),AND(O37="Muy Alta",S37="Leve"),AND(O37="Muy Alta",S37="Menor"),AND(O37="Muy Alta",S37="Moderado"),AND(O37="Muy Alta",S37="Mayor")),"Alto",IF(OR(AND(O37="Muy Baja",S37="Catastrófico"),AND(O37="Baja",S37="Catastrófico"),AND(O37="Media",S37="Catastrófico"),AND(O37="Alta",S37="Catastrófico"),AND(O37="Muy Alta",S37="Catastrófico")),"Extremo",""))))</f>
        <v/>
      </c>
      <c r="V37" s="222">
        <v>1</v>
      </c>
      <c r="W37" s="187"/>
      <c r="X37" s="189" t="str">
        <f>IF(OR(Y37="Preventivo",Y37="Detectivo"),"Probabilidad",IF(Y37="Correctivo","Impacto",""))</f>
        <v/>
      </c>
      <c r="Y37" s="190"/>
      <c r="Z37" s="190"/>
      <c r="AA37" s="191" t="str">
        <f>IF(AND(Y37="Preventivo",Z37="Automático"),"50%",IF(AND(Y37="Preventivo",Z37="Manual"),"40%",IF(AND(Y37="Detectivo",Z37="Automático"),"40%",IF(AND(Y37="Detectivo",Z37="Manual"),"30%",IF(AND(Y37="Correctivo",Z37="Automático"),"35%",IF(AND(Y37="Correctivo",Z37="Manual"),"25%",""))))))</f>
        <v/>
      </c>
      <c r="AB37" s="190"/>
      <c r="AC37" s="190"/>
      <c r="AD37" s="190"/>
      <c r="AE37" s="192" t="str">
        <f>IFERROR(IF(X37="Probabilidad",(P37-(+P37*AA37)),IF(X37="Impacto",P37,"")),"")</f>
        <v/>
      </c>
      <c r="AF37" s="193" t="str">
        <f>IFERROR(IF(AE37="","",IF(AE37&lt;=0.2,"Muy Baja",IF(AE37&lt;=0.4,"Baja",IF(AE37&lt;=0.6,"Media",IF(AE37&lt;=0.8,"Alta","Muy Alta"))))),"")</f>
        <v/>
      </c>
      <c r="AG37" s="191" t="str">
        <f>+AE37</f>
        <v/>
      </c>
      <c r="AH37" s="193" t="str">
        <f>IFERROR(IF(AI37="","",IF(AI37&lt;=0.2,"Leve",IF(AI37&lt;=0.4,"Menor",IF(AI37&lt;=0.6,"Moderado",IF(AI37&lt;=0.8,"Mayor","Catastrófico"))))),"")</f>
        <v/>
      </c>
      <c r="AI37" s="191" t="str">
        <f t="shared" ref="AI37" si="36">IFERROR(IF(X37="Impacto",(T37-(+T37*AA37)),IF(X37="Probabilidad",T37,"")),"")</f>
        <v/>
      </c>
      <c r="AJ37" s="194" t="str">
        <f>IFERROR(IF(OR(AND(AF37="Muy Baja",AH37="Leve"),AND(AF37="Muy Baja",AH37="Menor"),AND(AF37="Baja",AH37="Leve")),"Bajo",IF(OR(AND(AF37="Muy baja",AH37="Moderado"),AND(AF37="Baja",AH37="Menor"),AND(AF37="Baja",AH37="Moderado"),AND(AF37="Media",AH37="Leve"),AND(AF37="Media",AH37="Menor"),AND(AF37="Media",AH37="Moderado"),AND(AF37="Alta",AH37="Leve"),AND(AF37="Alta",AH37="Menor")),"Moderado",IF(OR(AND(AF37="Muy Baja",AH37="Mayor"),AND(AF37="Baja",AH37="Mayor"),AND(AF37="Media",AH37="Mayor"),AND(AF37="Alta",AH37="Moderado"),AND(AF37="Alta",AH37="Mayor"),AND(AF37="Muy Alta",AH37="Leve"),AND(AF37="Muy Alta",AH37="Menor"),AND(AF37="Muy Alta",AH37="Moderado"),AND(AF37="Muy Alta",AH37="Mayor")),"Alto",IF(OR(AND(AF37="Muy Baja",AH37="Catastrófico"),AND(AF37="Baja",AH37="Catastrófico"),AND(AF37="Media",AH37="Catastrófico"),AND(AF37="Alta",AH37="Catastrófico"),AND(AF37="Muy Alta",AH37="Catastrófico")),"Extremo","")))),"")</f>
        <v/>
      </c>
      <c r="AK37" s="195"/>
      <c r="AL37" s="186"/>
      <c r="AM37" s="196"/>
      <c r="AN37" s="196"/>
      <c r="AO37" s="197"/>
      <c r="AP37" s="362"/>
      <c r="AQ37" s="362"/>
      <c r="AR37" s="362"/>
    </row>
    <row r="38" spans="1:44" x14ac:dyDescent="0.2">
      <c r="A38" s="379"/>
      <c r="B38" s="365"/>
      <c r="C38" s="365"/>
      <c r="D38" s="365"/>
      <c r="E38" s="365"/>
      <c r="F38" s="365"/>
      <c r="G38" s="337"/>
      <c r="H38" s="337"/>
      <c r="I38" s="337"/>
      <c r="J38" s="337"/>
      <c r="K38" s="337"/>
      <c r="L38" s="337"/>
      <c r="M38" s="337"/>
      <c r="N38" s="362"/>
      <c r="O38" s="347"/>
      <c r="P38" s="346"/>
      <c r="Q38" s="330"/>
      <c r="R38" s="346">
        <f>IF(NOT(ISERROR(MATCH(Q38,_xlfn.ANCHORARRAY(E49),0))),P51&amp;"Por favor no seleccionar los criterios de impacto",Q38)</f>
        <v>0</v>
      </c>
      <c r="S38" s="347"/>
      <c r="T38" s="346"/>
      <c r="U38" s="339"/>
      <c r="V38" s="222">
        <v>2</v>
      </c>
      <c r="W38" s="187"/>
      <c r="X38" s="189" t="str">
        <f>IF(OR(Y38="Preventivo",Y38="Detectivo"),"Probabilidad",IF(Y38="Correctivo","Impacto",""))</f>
        <v/>
      </c>
      <c r="Y38" s="190"/>
      <c r="Z38" s="190"/>
      <c r="AA38" s="191" t="str">
        <f t="shared" ref="AA38:AA42" si="37">IF(AND(Y38="Preventivo",Z38="Automático"),"50%",IF(AND(Y38="Preventivo",Z38="Manual"),"40%",IF(AND(Y38="Detectivo",Z38="Automático"),"40%",IF(AND(Y38="Detectivo",Z38="Manual"),"30%",IF(AND(Y38="Correctivo",Z38="Automático"),"35%",IF(AND(Y38="Correctivo",Z38="Manual"),"25%",""))))))</f>
        <v/>
      </c>
      <c r="AB38" s="190"/>
      <c r="AC38" s="190"/>
      <c r="AD38" s="190"/>
      <c r="AE38" s="192" t="str">
        <f>IFERROR(IF(AND(X37="Probabilidad",X38="Probabilidad"),(AG37-(+AG37*AA38)),IF(X38="Probabilidad",(P37-(+P37*AA38)),IF(X38="Impacto",AG37,""))),"")</f>
        <v/>
      </c>
      <c r="AF38" s="193" t="str">
        <f t="shared" si="2"/>
        <v/>
      </c>
      <c r="AG38" s="191" t="str">
        <f t="shared" ref="AG38:AG42" si="38">+AE38</f>
        <v/>
      </c>
      <c r="AH38" s="193" t="str">
        <f t="shared" si="4"/>
        <v/>
      </c>
      <c r="AI38" s="191" t="str">
        <f t="shared" ref="AI38" si="39">IFERROR(IF(AND(X37="Impacto",X38="Impacto"),(AI37-(+AI37*AA38)),IF(X38="Impacto",($T$13-(+$T$13*AA38)),IF(X38="Probabilidad",AI37,""))),"")</f>
        <v/>
      </c>
      <c r="AJ38" s="194" t="str">
        <f t="shared" ref="AJ38:AJ39" si="40">IFERROR(IF(OR(AND(AF38="Muy Baja",AH38="Leve"),AND(AF38="Muy Baja",AH38="Menor"),AND(AF38="Baja",AH38="Leve")),"Bajo",IF(OR(AND(AF38="Muy baja",AH38="Moderado"),AND(AF38="Baja",AH38="Menor"),AND(AF38="Baja",AH38="Moderado"),AND(AF38="Media",AH38="Leve"),AND(AF38="Media",AH38="Menor"),AND(AF38="Media",AH38="Moderado"),AND(AF38="Alta",AH38="Leve"),AND(AF38="Alta",AH38="Menor")),"Moderado",IF(OR(AND(AF38="Muy Baja",AH38="Mayor"),AND(AF38="Baja",AH38="Mayor"),AND(AF38="Media",AH38="Mayor"),AND(AF38="Alta",AH38="Moderado"),AND(AF38="Alta",AH38="Mayor"),AND(AF38="Muy Alta",AH38="Leve"),AND(AF38="Muy Alta",AH38="Menor"),AND(AF38="Muy Alta",AH38="Moderado"),AND(AF38="Muy Alta",AH38="Mayor")),"Alto",IF(OR(AND(AF38="Muy Baja",AH38="Catastrófico"),AND(AF38="Baja",AH38="Catastrófico"),AND(AF38="Media",AH38="Catastrófico"),AND(AF38="Alta",AH38="Catastrófico"),AND(AF38="Muy Alta",AH38="Catastrófico")),"Extremo","")))),"")</f>
        <v/>
      </c>
      <c r="AK38" s="195"/>
      <c r="AL38" s="186"/>
      <c r="AM38" s="196"/>
      <c r="AN38" s="196"/>
      <c r="AO38" s="197"/>
      <c r="AP38" s="362"/>
      <c r="AQ38" s="362"/>
      <c r="AR38" s="362"/>
    </row>
    <row r="39" spans="1:44" x14ac:dyDescent="0.2">
      <c r="A39" s="379"/>
      <c r="B39" s="365"/>
      <c r="C39" s="365"/>
      <c r="D39" s="365"/>
      <c r="E39" s="365"/>
      <c r="F39" s="365"/>
      <c r="G39" s="337"/>
      <c r="H39" s="337"/>
      <c r="I39" s="337"/>
      <c r="J39" s="337"/>
      <c r="K39" s="337"/>
      <c r="L39" s="337"/>
      <c r="M39" s="337"/>
      <c r="N39" s="362"/>
      <c r="O39" s="347"/>
      <c r="P39" s="346"/>
      <c r="Q39" s="330"/>
      <c r="R39" s="346">
        <f>IF(NOT(ISERROR(MATCH(Q39,_xlfn.ANCHORARRAY(E50),0))),P52&amp;"Por favor no seleccionar los criterios de impacto",Q39)</f>
        <v>0</v>
      </c>
      <c r="S39" s="347"/>
      <c r="T39" s="346"/>
      <c r="U39" s="339"/>
      <c r="V39" s="222">
        <v>3</v>
      </c>
      <c r="W39" s="188"/>
      <c r="X39" s="189" t="str">
        <f>IF(OR(Y39="Preventivo",Y39="Detectivo"),"Probabilidad",IF(Y39="Correctivo","Impacto",""))</f>
        <v/>
      </c>
      <c r="Y39" s="190"/>
      <c r="Z39" s="190"/>
      <c r="AA39" s="191" t="str">
        <f t="shared" si="37"/>
        <v/>
      </c>
      <c r="AB39" s="190"/>
      <c r="AC39" s="190"/>
      <c r="AD39" s="190"/>
      <c r="AE39" s="192" t="str">
        <f>IFERROR(IF(AND(X38="Probabilidad",X39="Probabilidad"),(AG38-(+AG38*AA39)),IF(AND(X38="Impacto",X39="Probabilidad"),(AG37-(+AG37*AA39)),IF(X39="Impacto",AG38,""))),"")</f>
        <v/>
      </c>
      <c r="AF39" s="193" t="str">
        <f t="shared" si="2"/>
        <v/>
      </c>
      <c r="AG39" s="191" t="str">
        <f t="shared" si="38"/>
        <v/>
      </c>
      <c r="AH39" s="193" t="str">
        <f t="shared" si="4"/>
        <v/>
      </c>
      <c r="AI39" s="191" t="str">
        <f t="shared" ref="AI39" si="41">IFERROR(IF(AND(X38="Impacto",X39="Impacto"),(AI38-(+AI38*AA39)),IF(AND(X38="Probabilidad",X39="Impacto"),(AI37-(+AI37*AA39)),IF(X39="Probabilidad",AI38,""))),"")</f>
        <v/>
      </c>
      <c r="AJ39" s="194" t="str">
        <f t="shared" si="40"/>
        <v/>
      </c>
      <c r="AK39" s="195"/>
      <c r="AL39" s="186"/>
      <c r="AM39" s="196"/>
      <c r="AN39" s="196"/>
      <c r="AO39" s="197"/>
      <c r="AP39" s="362"/>
      <c r="AQ39" s="362"/>
      <c r="AR39" s="362"/>
    </row>
    <row r="40" spans="1:44" x14ac:dyDescent="0.2">
      <c r="A40" s="379"/>
      <c r="B40" s="365"/>
      <c r="C40" s="365"/>
      <c r="D40" s="365"/>
      <c r="E40" s="365"/>
      <c r="F40" s="365"/>
      <c r="G40" s="337"/>
      <c r="H40" s="337"/>
      <c r="I40" s="337"/>
      <c r="J40" s="337"/>
      <c r="K40" s="337"/>
      <c r="L40" s="337"/>
      <c r="M40" s="337"/>
      <c r="N40" s="362"/>
      <c r="O40" s="347"/>
      <c r="P40" s="346"/>
      <c r="Q40" s="330"/>
      <c r="R40" s="346">
        <f>IF(NOT(ISERROR(MATCH(Q40,_xlfn.ANCHORARRAY(E51),0))),P53&amp;"Por favor no seleccionar los criterios de impacto",Q40)</f>
        <v>0</v>
      </c>
      <c r="S40" s="347"/>
      <c r="T40" s="346"/>
      <c r="U40" s="339"/>
      <c r="V40" s="222">
        <v>4</v>
      </c>
      <c r="W40" s="187"/>
      <c r="X40" s="189" t="str">
        <f t="shared" ref="X40:X42" si="42">IF(OR(Y40="Preventivo",Y40="Detectivo"),"Probabilidad",IF(Y40="Correctivo","Impacto",""))</f>
        <v/>
      </c>
      <c r="Y40" s="190"/>
      <c r="Z40" s="190"/>
      <c r="AA40" s="191" t="str">
        <f t="shared" si="37"/>
        <v/>
      </c>
      <c r="AB40" s="190"/>
      <c r="AC40" s="190"/>
      <c r="AD40" s="190"/>
      <c r="AE40" s="192" t="str">
        <f t="shared" ref="AE40:AE42" si="43">IFERROR(IF(AND(X39="Probabilidad",X40="Probabilidad"),(AG39-(+AG39*AA40)),IF(AND(X39="Impacto",X40="Probabilidad"),(AG38-(+AG38*AA40)),IF(X40="Impacto",AG39,""))),"")</f>
        <v/>
      </c>
      <c r="AF40" s="193" t="str">
        <f t="shared" si="2"/>
        <v/>
      </c>
      <c r="AG40" s="191" t="str">
        <f t="shared" si="38"/>
        <v/>
      </c>
      <c r="AH40" s="193" t="str">
        <f t="shared" si="4"/>
        <v/>
      </c>
      <c r="AI40" s="191" t="str">
        <f t="shared" si="14"/>
        <v/>
      </c>
      <c r="AJ40" s="194" t="str">
        <f>IFERROR(IF(OR(AND(AF40="Muy Baja",AH40="Leve"),AND(AF40="Muy Baja",AH40="Menor"),AND(AF40="Baja",AH40="Leve")),"Bajo",IF(OR(AND(AF40="Muy baja",AH40="Moderado"),AND(AF40="Baja",AH40="Menor"),AND(AF40="Baja",AH40="Moderado"),AND(AF40="Media",AH40="Leve"),AND(AF40="Media",AH40="Menor"),AND(AF40="Media",AH40="Moderado"),AND(AF40="Alta",AH40="Leve"),AND(AF40="Alta",AH40="Menor")),"Moderado",IF(OR(AND(AF40="Muy Baja",AH40="Mayor"),AND(AF40="Baja",AH40="Mayor"),AND(AF40="Media",AH40="Mayor"),AND(AF40="Alta",AH40="Moderado"),AND(AF40="Alta",AH40="Mayor"),AND(AF40="Muy Alta",AH40="Leve"),AND(AF40="Muy Alta",AH40="Menor"),AND(AF40="Muy Alta",AH40="Moderado"),AND(AF40="Muy Alta",AH40="Mayor")),"Alto",IF(OR(AND(AF40="Muy Baja",AH40="Catastrófico"),AND(AF40="Baja",AH40="Catastrófico"),AND(AF40="Media",AH40="Catastrófico"),AND(AF40="Alta",AH40="Catastrófico"),AND(AF40="Muy Alta",AH40="Catastrófico")),"Extremo","")))),"")</f>
        <v/>
      </c>
      <c r="AK40" s="195"/>
      <c r="AL40" s="186"/>
      <c r="AM40" s="196"/>
      <c r="AN40" s="196"/>
      <c r="AO40" s="197"/>
      <c r="AP40" s="362"/>
      <c r="AQ40" s="362"/>
      <c r="AR40" s="362"/>
    </row>
    <row r="41" spans="1:44" x14ac:dyDescent="0.2">
      <c r="A41" s="379"/>
      <c r="B41" s="365"/>
      <c r="C41" s="365"/>
      <c r="D41" s="365"/>
      <c r="E41" s="365"/>
      <c r="F41" s="365"/>
      <c r="G41" s="337"/>
      <c r="H41" s="337"/>
      <c r="I41" s="337"/>
      <c r="J41" s="337"/>
      <c r="K41" s="337"/>
      <c r="L41" s="337"/>
      <c r="M41" s="337"/>
      <c r="N41" s="362"/>
      <c r="O41" s="347"/>
      <c r="P41" s="346"/>
      <c r="Q41" s="330"/>
      <c r="R41" s="346">
        <f>IF(NOT(ISERROR(MATCH(Q41,_xlfn.ANCHORARRAY(E52),0))),P54&amp;"Por favor no seleccionar los criterios de impacto",Q41)</f>
        <v>0</v>
      </c>
      <c r="S41" s="347"/>
      <c r="T41" s="346"/>
      <c r="U41" s="339"/>
      <c r="V41" s="222">
        <v>5</v>
      </c>
      <c r="W41" s="187"/>
      <c r="X41" s="189" t="str">
        <f t="shared" si="42"/>
        <v/>
      </c>
      <c r="Y41" s="190"/>
      <c r="Z41" s="190"/>
      <c r="AA41" s="191" t="str">
        <f t="shared" si="37"/>
        <v/>
      </c>
      <c r="AB41" s="190"/>
      <c r="AC41" s="190"/>
      <c r="AD41" s="190"/>
      <c r="AE41" s="192" t="str">
        <f t="shared" si="43"/>
        <v/>
      </c>
      <c r="AF41" s="193" t="str">
        <f t="shared" si="2"/>
        <v/>
      </c>
      <c r="AG41" s="191" t="str">
        <f t="shared" si="38"/>
        <v/>
      </c>
      <c r="AH41" s="193" t="str">
        <f t="shared" si="4"/>
        <v/>
      </c>
      <c r="AI41" s="191" t="str">
        <f t="shared" si="14"/>
        <v/>
      </c>
      <c r="AJ41" s="194" t="str">
        <f t="shared" ref="AJ41:AJ42" si="44">IFERROR(IF(OR(AND(AF41="Muy Baja",AH41="Leve"),AND(AF41="Muy Baja",AH41="Menor"),AND(AF41="Baja",AH41="Leve")),"Bajo",IF(OR(AND(AF41="Muy baja",AH41="Moderado"),AND(AF41="Baja",AH41="Menor"),AND(AF41="Baja",AH41="Moderado"),AND(AF41="Media",AH41="Leve"),AND(AF41="Media",AH41="Menor"),AND(AF41="Media",AH41="Moderado"),AND(AF41="Alta",AH41="Leve"),AND(AF41="Alta",AH41="Menor")),"Moderado",IF(OR(AND(AF41="Muy Baja",AH41="Mayor"),AND(AF41="Baja",AH41="Mayor"),AND(AF41="Media",AH41="Mayor"),AND(AF41="Alta",AH41="Moderado"),AND(AF41="Alta",AH41="Mayor"),AND(AF41="Muy Alta",AH41="Leve"),AND(AF41="Muy Alta",AH41="Menor"),AND(AF41="Muy Alta",AH41="Moderado"),AND(AF41="Muy Alta",AH41="Mayor")),"Alto",IF(OR(AND(AF41="Muy Baja",AH41="Catastrófico"),AND(AF41="Baja",AH41="Catastrófico"),AND(AF41="Media",AH41="Catastrófico"),AND(AF41="Alta",AH41="Catastrófico"),AND(AF41="Muy Alta",AH41="Catastrófico")),"Extremo","")))),"")</f>
        <v/>
      </c>
      <c r="AK41" s="195"/>
      <c r="AL41" s="186"/>
      <c r="AM41" s="196"/>
      <c r="AN41" s="196"/>
      <c r="AO41" s="197"/>
      <c r="AP41" s="362"/>
      <c r="AQ41" s="362"/>
      <c r="AR41" s="362"/>
    </row>
    <row r="42" spans="1:44" x14ac:dyDescent="0.2">
      <c r="A42" s="379"/>
      <c r="B42" s="365"/>
      <c r="C42" s="365"/>
      <c r="D42" s="365"/>
      <c r="E42" s="365"/>
      <c r="F42" s="365"/>
      <c r="G42" s="338"/>
      <c r="H42" s="338"/>
      <c r="I42" s="338"/>
      <c r="J42" s="338"/>
      <c r="K42" s="338"/>
      <c r="L42" s="338"/>
      <c r="M42" s="338"/>
      <c r="N42" s="362"/>
      <c r="O42" s="347"/>
      <c r="P42" s="346"/>
      <c r="Q42" s="330"/>
      <c r="R42" s="346">
        <f>IF(NOT(ISERROR(MATCH(Q42,_xlfn.ANCHORARRAY(E53),0))),P55&amp;"Por favor no seleccionar los criterios de impacto",Q42)</f>
        <v>0</v>
      </c>
      <c r="S42" s="347"/>
      <c r="T42" s="346"/>
      <c r="U42" s="339"/>
      <c r="V42" s="222">
        <v>6</v>
      </c>
      <c r="W42" s="187"/>
      <c r="X42" s="189" t="str">
        <f t="shared" si="42"/>
        <v/>
      </c>
      <c r="Y42" s="190"/>
      <c r="Z42" s="190"/>
      <c r="AA42" s="191" t="str">
        <f t="shared" si="37"/>
        <v/>
      </c>
      <c r="AB42" s="190"/>
      <c r="AC42" s="190"/>
      <c r="AD42" s="190"/>
      <c r="AE42" s="192" t="str">
        <f t="shared" si="43"/>
        <v/>
      </c>
      <c r="AF42" s="193" t="str">
        <f t="shared" si="2"/>
        <v/>
      </c>
      <c r="AG42" s="191" t="str">
        <f t="shared" si="38"/>
        <v/>
      </c>
      <c r="AH42" s="193" t="str">
        <f t="shared" si="4"/>
        <v/>
      </c>
      <c r="AI42" s="191" t="str">
        <f t="shared" si="14"/>
        <v/>
      </c>
      <c r="AJ42" s="194" t="str">
        <f t="shared" si="44"/>
        <v/>
      </c>
      <c r="AK42" s="195"/>
      <c r="AL42" s="186"/>
      <c r="AM42" s="196"/>
      <c r="AN42" s="196"/>
      <c r="AO42" s="197"/>
      <c r="AP42" s="362"/>
      <c r="AQ42" s="362"/>
      <c r="AR42" s="362"/>
    </row>
    <row r="43" spans="1:44" x14ac:dyDescent="0.2">
      <c r="A43" s="379">
        <v>6</v>
      </c>
      <c r="B43" s="365"/>
      <c r="C43" s="365"/>
      <c r="D43" s="365"/>
      <c r="E43" s="336"/>
      <c r="F43" s="365"/>
      <c r="G43" s="336"/>
      <c r="H43" s="336"/>
      <c r="I43" s="336"/>
      <c r="J43" s="336"/>
      <c r="K43" s="336"/>
      <c r="L43" s="336"/>
      <c r="M43" s="336"/>
      <c r="N43" s="362"/>
      <c r="O43" s="347" t="str">
        <f>IF(N43&lt;=0,"",IF(N43&lt;=2,"Muy Baja",IF(N43&lt;=24,"Baja",IF(N43&lt;=500,"Media",IF(N43&lt;=5000,"Alta","Muy Alta")))))</f>
        <v/>
      </c>
      <c r="P43" s="346" t="str">
        <f>IF(O43="","",IF(O43="Muy Baja",0.2,IF(O43="Baja",0.4,IF(O43="Media",0.6,IF(O43="Alta",0.8,IF(O43="Muy Alta",1,))))))</f>
        <v/>
      </c>
      <c r="Q43" s="330"/>
      <c r="R43" s="346">
        <f>IF(NOT(ISERROR(MATCH(Q43,'Tabla Impacto'!$B$222:$B$224,0))),'Tabla Impacto'!$F$224&amp;"Por favor no seleccionar los criterios de impacto(Afectación Económica o presupuestal y Pérdida Reputacional)",Q43)</f>
        <v>0</v>
      </c>
      <c r="S43" s="347" t="str">
        <f>IF(OR(R43='Tabla Impacto'!$C$12,R43='Tabla Impacto'!$D$12),"Leve",IF(OR(R43='Tabla Impacto'!$C$13,R43='Tabla Impacto'!$D$13),"Menor",IF(OR(R43='Tabla Impacto'!$C$14,R43='Tabla Impacto'!$D$14),"Moderado",IF(OR(R43='Tabla Impacto'!$C$15,R43='Tabla Impacto'!$D$15),"Mayor",IF(OR(R43='Tabla Impacto'!$C$16,R43='Tabla Impacto'!$D$16),"Catastrófico","")))))</f>
        <v/>
      </c>
      <c r="T43" s="346" t="str">
        <f>IF(S43="","",IF(S43="Leve",0.2,IF(S43="Menor",0.4,IF(S43="Moderado",0.6,IF(S43="Mayor",0.8,IF(S43="Catastrófico",1,))))))</f>
        <v/>
      </c>
      <c r="U43" s="339" t="str">
        <f>IF(OR(AND(O43="Muy Baja",S43="Leve"),AND(O43="Muy Baja",S43="Menor"),AND(O43="Baja",S43="Leve")),"Bajo",IF(OR(AND(O43="Muy baja",S43="Moderado"),AND(O43="Baja",S43="Menor"),AND(O43="Baja",S43="Moderado"),AND(O43="Media",S43="Leve"),AND(O43="Media",S43="Menor"),AND(O43="Media",S43="Moderado"),AND(O43="Alta",S43="Leve"),AND(O43="Alta",S43="Menor")),"Moderado",IF(OR(AND(O43="Muy Baja",S43="Mayor"),AND(O43="Baja",S43="Mayor"),AND(O43="Media",S43="Mayor"),AND(O43="Alta",S43="Moderado"),AND(O43="Alta",S43="Mayor"),AND(O43="Muy Alta",S43="Leve"),AND(O43="Muy Alta",S43="Menor"),AND(O43="Muy Alta",S43="Moderado"),AND(O43="Muy Alta",S43="Mayor")),"Alto",IF(OR(AND(O43="Muy Baja",S43="Catastrófico"),AND(O43="Baja",S43="Catastrófico"),AND(O43="Media",S43="Catastrófico"),AND(O43="Alta",S43="Catastrófico"),AND(O43="Muy Alta",S43="Catastrófico")),"Extremo",""))))</f>
        <v/>
      </c>
      <c r="V43" s="222">
        <v>1</v>
      </c>
      <c r="W43" s="187"/>
      <c r="X43" s="189" t="str">
        <f>IF(OR(Y43="Preventivo",Y43="Detectivo"),"Probabilidad",IF(Y43="Correctivo","Impacto",""))</f>
        <v/>
      </c>
      <c r="Y43" s="190"/>
      <c r="Z43" s="190"/>
      <c r="AA43" s="191" t="str">
        <f>IF(AND(Y43="Preventivo",Z43="Automático"),"50%",IF(AND(Y43="Preventivo",Z43="Manual"),"40%",IF(AND(Y43="Detectivo",Z43="Automático"),"40%",IF(AND(Y43="Detectivo",Z43="Manual"),"30%",IF(AND(Y43="Correctivo",Z43="Automático"),"35%",IF(AND(Y43="Correctivo",Z43="Manual"),"25%",""))))))</f>
        <v/>
      </c>
      <c r="AB43" s="190"/>
      <c r="AC43" s="190"/>
      <c r="AD43" s="190"/>
      <c r="AE43" s="192" t="str">
        <f>IFERROR(IF(X43="Probabilidad",(P43-(+P43*AA43)),IF(X43="Impacto",P43,"")),"")</f>
        <v/>
      </c>
      <c r="AF43" s="193" t="str">
        <f>IFERROR(IF(AE43="","",IF(AE43&lt;=0.2,"Muy Baja",IF(AE43&lt;=0.4,"Baja",IF(AE43&lt;=0.6,"Media",IF(AE43&lt;=0.8,"Alta","Muy Alta"))))),"")</f>
        <v/>
      </c>
      <c r="AG43" s="191" t="str">
        <f>+AE43</f>
        <v/>
      </c>
      <c r="AH43" s="193" t="str">
        <f>IFERROR(IF(AI43="","",IF(AI43&lt;=0.2,"Leve",IF(AI43&lt;=0.4,"Menor",IF(AI43&lt;=0.6,"Moderado",IF(AI43&lt;=0.8,"Mayor","Catastrófico"))))),"")</f>
        <v/>
      </c>
      <c r="AI43" s="191" t="str">
        <f t="shared" ref="AI43" si="45">IFERROR(IF(X43="Impacto",(T43-(+T43*AA43)),IF(X43="Probabilidad",T43,"")),"")</f>
        <v/>
      </c>
      <c r="AJ43" s="194" t="str">
        <f>IFERROR(IF(OR(AND(AF43="Muy Baja",AH43="Leve"),AND(AF43="Muy Baja",AH43="Menor"),AND(AF43="Baja",AH43="Leve")),"Bajo",IF(OR(AND(AF43="Muy baja",AH43="Moderado"),AND(AF43="Baja",AH43="Menor"),AND(AF43="Baja",AH43="Moderado"),AND(AF43="Media",AH43="Leve"),AND(AF43="Media",AH43="Menor"),AND(AF43="Media",AH43="Moderado"),AND(AF43="Alta",AH43="Leve"),AND(AF43="Alta",AH43="Menor")),"Moderado",IF(OR(AND(AF43="Muy Baja",AH43="Mayor"),AND(AF43="Baja",AH43="Mayor"),AND(AF43="Media",AH43="Mayor"),AND(AF43="Alta",AH43="Moderado"),AND(AF43="Alta",AH43="Mayor"),AND(AF43="Muy Alta",AH43="Leve"),AND(AF43="Muy Alta",AH43="Menor"),AND(AF43="Muy Alta",AH43="Moderado"),AND(AF43="Muy Alta",AH43="Mayor")),"Alto",IF(OR(AND(AF43="Muy Baja",AH43="Catastrófico"),AND(AF43="Baja",AH43="Catastrófico"),AND(AF43="Media",AH43="Catastrófico"),AND(AF43="Alta",AH43="Catastrófico"),AND(AF43="Muy Alta",AH43="Catastrófico")),"Extremo","")))),"")</f>
        <v/>
      </c>
      <c r="AK43" s="190"/>
      <c r="AL43" s="186"/>
      <c r="AM43" s="196"/>
      <c r="AN43" s="196"/>
      <c r="AO43" s="197"/>
      <c r="AP43" s="362"/>
      <c r="AQ43" s="362"/>
      <c r="AR43" s="362"/>
    </row>
    <row r="44" spans="1:44" x14ac:dyDescent="0.2">
      <c r="A44" s="379"/>
      <c r="B44" s="365"/>
      <c r="C44" s="365"/>
      <c r="D44" s="365"/>
      <c r="E44" s="337"/>
      <c r="F44" s="365"/>
      <c r="G44" s="337"/>
      <c r="H44" s="337"/>
      <c r="I44" s="337"/>
      <c r="J44" s="337"/>
      <c r="K44" s="337"/>
      <c r="L44" s="337"/>
      <c r="M44" s="337"/>
      <c r="N44" s="362"/>
      <c r="O44" s="347"/>
      <c r="P44" s="346"/>
      <c r="Q44" s="330"/>
      <c r="R44" s="346">
        <f>IF(NOT(ISERROR(MATCH(Q44,_xlfn.ANCHORARRAY(E55),0))),P57&amp;"Por favor no seleccionar los criterios de impacto",Q44)</f>
        <v>0</v>
      </c>
      <c r="S44" s="347"/>
      <c r="T44" s="346"/>
      <c r="U44" s="339"/>
      <c r="V44" s="222">
        <v>2</v>
      </c>
      <c r="W44" s="187"/>
      <c r="X44" s="189" t="str">
        <f>IF(OR(Y44="Preventivo",Y44="Detectivo"),"Probabilidad",IF(Y44="Correctivo","Impacto",""))</f>
        <v/>
      </c>
      <c r="Y44" s="190"/>
      <c r="Z44" s="190"/>
      <c r="AA44" s="191" t="str">
        <f t="shared" ref="AA44:AA48" si="46">IF(AND(Y44="Preventivo",Z44="Automático"),"50%",IF(AND(Y44="Preventivo",Z44="Manual"),"40%",IF(AND(Y44="Detectivo",Z44="Automático"),"40%",IF(AND(Y44="Detectivo",Z44="Manual"),"30%",IF(AND(Y44="Correctivo",Z44="Automático"),"35%",IF(AND(Y44="Correctivo",Z44="Manual"),"25%",""))))))</f>
        <v/>
      </c>
      <c r="AB44" s="190"/>
      <c r="AC44" s="190"/>
      <c r="AD44" s="190"/>
      <c r="AE44" s="192" t="str">
        <f>IFERROR(IF(AND(X43="Probabilidad",X44="Probabilidad"),(AG43-(+AG43*AA44)),IF(X44="Probabilidad",(P43-(+P43*AA44)),IF(X44="Impacto",AG43,""))),"")</f>
        <v/>
      </c>
      <c r="AF44" s="193" t="str">
        <f t="shared" si="2"/>
        <v/>
      </c>
      <c r="AG44" s="191" t="str">
        <f t="shared" ref="AG44:AG48" si="47">+AE44</f>
        <v/>
      </c>
      <c r="AH44" s="193" t="str">
        <f t="shared" si="4"/>
        <v/>
      </c>
      <c r="AI44" s="191" t="str">
        <f t="shared" ref="AI44" si="48">IFERROR(IF(AND(X43="Impacto",X44="Impacto"),(AI43-(+AI43*AA44)),IF(X44="Impacto",($T$13-(+$T$13*AA44)),IF(X44="Probabilidad",AI43,""))),"")</f>
        <v/>
      </c>
      <c r="AJ44" s="194" t="str">
        <f t="shared" ref="AJ44:AJ45" si="49">IFERROR(IF(OR(AND(AF44="Muy Baja",AH44="Leve"),AND(AF44="Muy Baja",AH44="Menor"),AND(AF44="Baja",AH44="Leve")),"Bajo",IF(OR(AND(AF44="Muy baja",AH44="Moderado"),AND(AF44="Baja",AH44="Menor"),AND(AF44="Baja",AH44="Moderado"),AND(AF44="Media",AH44="Leve"),AND(AF44="Media",AH44="Menor"),AND(AF44="Media",AH44="Moderado"),AND(AF44="Alta",AH44="Leve"),AND(AF44="Alta",AH44="Menor")),"Moderado",IF(OR(AND(AF44="Muy Baja",AH44="Mayor"),AND(AF44="Baja",AH44="Mayor"),AND(AF44="Media",AH44="Mayor"),AND(AF44="Alta",AH44="Moderado"),AND(AF44="Alta",AH44="Mayor"),AND(AF44="Muy Alta",AH44="Leve"),AND(AF44="Muy Alta",AH44="Menor"),AND(AF44="Muy Alta",AH44="Moderado"),AND(AF44="Muy Alta",AH44="Mayor")),"Alto",IF(OR(AND(AF44="Muy Baja",AH44="Catastrófico"),AND(AF44="Baja",AH44="Catastrófico"),AND(AF44="Media",AH44="Catastrófico"),AND(AF44="Alta",AH44="Catastrófico"),AND(AF44="Muy Alta",AH44="Catastrófico")),"Extremo","")))),"")</f>
        <v/>
      </c>
      <c r="AK44" s="195"/>
      <c r="AL44" s="186"/>
      <c r="AM44" s="196"/>
      <c r="AN44" s="196"/>
      <c r="AO44" s="197"/>
      <c r="AP44" s="362"/>
      <c r="AQ44" s="362"/>
      <c r="AR44" s="362"/>
    </row>
    <row r="45" spans="1:44" x14ac:dyDescent="0.2">
      <c r="A45" s="379"/>
      <c r="B45" s="365"/>
      <c r="C45" s="365"/>
      <c r="D45" s="365"/>
      <c r="E45" s="337"/>
      <c r="F45" s="365"/>
      <c r="G45" s="337"/>
      <c r="H45" s="337"/>
      <c r="I45" s="337"/>
      <c r="J45" s="337"/>
      <c r="K45" s="337"/>
      <c r="L45" s="337"/>
      <c r="M45" s="337"/>
      <c r="N45" s="362"/>
      <c r="O45" s="347"/>
      <c r="P45" s="346"/>
      <c r="Q45" s="330"/>
      <c r="R45" s="346">
        <f>IF(NOT(ISERROR(MATCH(Q45,_xlfn.ANCHORARRAY(E56),0))),P58&amp;"Por favor no seleccionar los criterios de impacto",Q45)</f>
        <v>0</v>
      </c>
      <c r="S45" s="347"/>
      <c r="T45" s="346"/>
      <c r="U45" s="339"/>
      <c r="V45" s="222">
        <v>3</v>
      </c>
      <c r="W45" s="188"/>
      <c r="X45" s="189" t="str">
        <f>IF(OR(Y45="Preventivo",Y45="Detectivo"),"Probabilidad",IF(Y45="Correctivo","Impacto",""))</f>
        <v/>
      </c>
      <c r="Y45" s="190"/>
      <c r="Z45" s="190"/>
      <c r="AA45" s="191" t="str">
        <f t="shared" si="46"/>
        <v/>
      </c>
      <c r="AB45" s="190"/>
      <c r="AC45" s="190"/>
      <c r="AD45" s="190"/>
      <c r="AE45" s="192" t="str">
        <f>IFERROR(IF(AND(X44="Probabilidad",X45="Probabilidad"),(AG44-(+AG44*AA45)),IF(AND(X44="Impacto",X45="Probabilidad"),(AG43-(+AG43*AA45)),IF(X45="Impacto",AG44,""))),"")</f>
        <v/>
      </c>
      <c r="AF45" s="193" t="str">
        <f t="shared" si="2"/>
        <v/>
      </c>
      <c r="AG45" s="191" t="str">
        <f t="shared" si="47"/>
        <v/>
      </c>
      <c r="AH45" s="193" t="str">
        <f t="shared" si="4"/>
        <v/>
      </c>
      <c r="AI45" s="191" t="str">
        <f t="shared" ref="AI45" si="50">IFERROR(IF(AND(X44="Impacto",X45="Impacto"),(AI44-(+AI44*AA45)),IF(AND(X44="Probabilidad",X45="Impacto"),(AI43-(+AI43*AA45)),IF(X45="Probabilidad",AI44,""))),"")</f>
        <v/>
      </c>
      <c r="AJ45" s="194" t="str">
        <f t="shared" si="49"/>
        <v/>
      </c>
      <c r="AK45" s="195"/>
      <c r="AL45" s="186"/>
      <c r="AM45" s="196"/>
      <c r="AN45" s="196"/>
      <c r="AO45" s="197"/>
      <c r="AP45" s="362"/>
      <c r="AQ45" s="362"/>
      <c r="AR45" s="362"/>
    </row>
    <row r="46" spans="1:44" x14ac:dyDescent="0.2">
      <c r="A46" s="379"/>
      <c r="B46" s="365"/>
      <c r="C46" s="365"/>
      <c r="D46" s="365"/>
      <c r="E46" s="337"/>
      <c r="F46" s="365"/>
      <c r="G46" s="337"/>
      <c r="H46" s="337"/>
      <c r="I46" s="337"/>
      <c r="J46" s="337"/>
      <c r="K46" s="337"/>
      <c r="L46" s="337"/>
      <c r="M46" s="337"/>
      <c r="N46" s="362"/>
      <c r="O46" s="347"/>
      <c r="P46" s="346"/>
      <c r="Q46" s="330"/>
      <c r="R46" s="346">
        <f>IF(NOT(ISERROR(MATCH(Q46,_xlfn.ANCHORARRAY(E57),0))),P59&amp;"Por favor no seleccionar los criterios de impacto",Q46)</f>
        <v>0</v>
      </c>
      <c r="S46" s="347"/>
      <c r="T46" s="346"/>
      <c r="U46" s="339"/>
      <c r="V46" s="222">
        <v>4</v>
      </c>
      <c r="W46" s="187"/>
      <c r="X46" s="189" t="str">
        <f t="shared" ref="X46:X48" si="51">IF(OR(Y46="Preventivo",Y46="Detectivo"),"Probabilidad",IF(Y46="Correctivo","Impacto",""))</f>
        <v/>
      </c>
      <c r="Y46" s="190"/>
      <c r="Z46" s="190"/>
      <c r="AA46" s="191" t="str">
        <f t="shared" si="46"/>
        <v/>
      </c>
      <c r="AB46" s="190"/>
      <c r="AC46" s="190"/>
      <c r="AD46" s="190"/>
      <c r="AE46" s="192" t="str">
        <f t="shared" ref="AE46:AE48" si="52">IFERROR(IF(AND(X45="Probabilidad",X46="Probabilidad"),(AG45-(+AG45*AA46)),IF(AND(X45="Impacto",X46="Probabilidad"),(AG44-(+AG44*AA46)),IF(X46="Impacto",AG45,""))),"")</f>
        <v/>
      </c>
      <c r="AF46" s="193" t="str">
        <f t="shared" si="2"/>
        <v/>
      </c>
      <c r="AG46" s="191" t="str">
        <f t="shared" si="47"/>
        <v/>
      </c>
      <c r="AH46" s="193" t="str">
        <f t="shared" si="4"/>
        <v/>
      </c>
      <c r="AI46" s="191" t="str">
        <f t="shared" si="14"/>
        <v/>
      </c>
      <c r="AJ46" s="194" t="str">
        <f>IFERROR(IF(OR(AND(AF46="Muy Baja",AH46="Leve"),AND(AF46="Muy Baja",AH46="Menor"),AND(AF46="Baja",AH46="Leve")),"Bajo",IF(OR(AND(AF46="Muy baja",AH46="Moderado"),AND(AF46="Baja",AH46="Menor"),AND(AF46="Baja",AH46="Moderado"),AND(AF46="Media",AH46="Leve"),AND(AF46="Media",AH46="Menor"),AND(AF46="Media",AH46="Moderado"),AND(AF46="Alta",AH46="Leve"),AND(AF46="Alta",AH46="Menor")),"Moderado",IF(OR(AND(AF46="Muy Baja",AH46="Mayor"),AND(AF46="Baja",AH46="Mayor"),AND(AF46="Media",AH46="Mayor"),AND(AF46="Alta",AH46="Moderado"),AND(AF46="Alta",AH46="Mayor"),AND(AF46="Muy Alta",AH46="Leve"),AND(AF46="Muy Alta",AH46="Menor"),AND(AF46="Muy Alta",AH46="Moderado"),AND(AF46="Muy Alta",AH46="Mayor")),"Alto",IF(OR(AND(AF46="Muy Baja",AH46="Catastrófico"),AND(AF46="Baja",AH46="Catastrófico"),AND(AF46="Media",AH46="Catastrófico"),AND(AF46="Alta",AH46="Catastrófico"),AND(AF46="Muy Alta",AH46="Catastrófico")),"Extremo","")))),"")</f>
        <v/>
      </c>
      <c r="AK46" s="195"/>
      <c r="AL46" s="186"/>
      <c r="AM46" s="196"/>
      <c r="AN46" s="196"/>
      <c r="AO46" s="197"/>
      <c r="AP46" s="362"/>
      <c r="AQ46" s="362"/>
      <c r="AR46" s="362"/>
    </row>
    <row r="47" spans="1:44" x14ac:dyDescent="0.2">
      <c r="A47" s="379"/>
      <c r="B47" s="365"/>
      <c r="C47" s="365"/>
      <c r="D47" s="365"/>
      <c r="E47" s="337"/>
      <c r="F47" s="365"/>
      <c r="G47" s="337"/>
      <c r="H47" s="337"/>
      <c r="I47" s="337"/>
      <c r="J47" s="337"/>
      <c r="K47" s="337"/>
      <c r="L47" s="337"/>
      <c r="M47" s="337"/>
      <c r="N47" s="362"/>
      <c r="O47" s="347"/>
      <c r="P47" s="346"/>
      <c r="Q47" s="330"/>
      <c r="R47" s="346">
        <f>IF(NOT(ISERROR(MATCH(Q47,_xlfn.ANCHORARRAY(E58),0))),P60&amp;"Por favor no seleccionar los criterios de impacto",Q47)</f>
        <v>0</v>
      </c>
      <c r="S47" s="347"/>
      <c r="T47" s="346"/>
      <c r="U47" s="339"/>
      <c r="V47" s="222">
        <v>5</v>
      </c>
      <c r="W47" s="187"/>
      <c r="X47" s="189" t="str">
        <f t="shared" si="51"/>
        <v/>
      </c>
      <c r="Y47" s="190"/>
      <c r="Z47" s="190"/>
      <c r="AA47" s="191" t="str">
        <f t="shared" si="46"/>
        <v/>
      </c>
      <c r="AB47" s="190"/>
      <c r="AC47" s="190"/>
      <c r="AD47" s="190"/>
      <c r="AE47" s="192" t="str">
        <f t="shared" si="52"/>
        <v/>
      </c>
      <c r="AF47" s="193" t="str">
        <f t="shared" si="2"/>
        <v/>
      </c>
      <c r="AG47" s="191" t="str">
        <f t="shared" si="47"/>
        <v/>
      </c>
      <c r="AH47" s="193" t="str">
        <f t="shared" si="4"/>
        <v/>
      </c>
      <c r="AI47" s="191" t="str">
        <f t="shared" si="14"/>
        <v/>
      </c>
      <c r="AJ47" s="194" t="str">
        <f t="shared" ref="AJ47" si="53">IFERROR(IF(OR(AND(AF47="Muy Baja",AH47="Leve"),AND(AF47="Muy Baja",AH47="Menor"),AND(AF47="Baja",AH47="Leve")),"Bajo",IF(OR(AND(AF47="Muy baja",AH47="Moderado"),AND(AF47="Baja",AH47="Menor"),AND(AF47="Baja",AH47="Moderado"),AND(AF47="Media",AH47="Leve"),AND(AF47="Media",AH47="Menor"),AND(AF47="Media",AH47="Moderado"),AND(AF47="Alta",AH47="Leve"),AND(AF47="Alta",AH47="Menor")),"Moderado",IF(OR(AND(AF47="Muy Baja",AH47="Mayor"),AND(AF47="Baja",AH47="Mayor"),AND(AF47="Media",AH47="Mayor"),AND(AF47="Alta",AH47="Moderado"),AND(AF47="Alta",AH47="Mayor"),AND(AF47="Muy Alta",AH47="Leve"),AND(AF47="Muy Alta",AH47="Menor"),AND(AF47="Muy Alta",AH47="Moderado"),AND(AF47="Muy Alta",AH47="Mayor")),"Alto",IF(OR(AND(AF47="Muy Baja",AH47="Catastrófico"),AND(AF47="Baja",AH47="Catastrófico"),AND(AF47="Media",AH47="Catastrófico"),AND(AF47="Alta",AH47="Catastrófico"),AND(AF47="Muy Alta",AH47="Catastrófico")),"Extremo","")))),"")</f>
        <v/>
      </c>
      <c r="AK47" s="195"/>
      <c r="AL47" s="186"/>
      <c r="AM47" s="196"/>
      <c r="AN47" s="196"/>
      <c r="AO47" s="197"/>
      <c r="AP47" s="362"/>
      <c r="AQ47" s="362"/>
      <c r="AR47" s="362"/>
    </row>
    <row r="48" spans="1:44" x14ac:dyDescent="0.2">
      <c r="A48" s="379"/>
      <c r="B48" s="365"/>
      <c r="C48" s="365"/>
      <c r="D48" s="365"/>
      <c r="E48" s="338"/>
      <c r="F48" s="365"/>
      <c r="G48" s="338"/>
      <c r="H48" s="338"/>
      <c r="I48" s="338"/>
      <c r="J48" s="338"/>
      <c r="K48" s="338"/>
      <c r="L48" s="338"/>
      <c r="M48" s="338"/>
      <c r="N48" s="362"/>
      <c r="O48" s="347"/>
      <c r="P48" s="346"/>
      <c r="Q48" s="330"/>
      <c r="R48" s="346">
        <f>IF(NOT(ISERROR(MATCH(Q48,_xlfn.ANCHORARRAY(E59),0))),P61&amp;"Por favor no seleccionar los criterios de impacto",Q48)</f>
        <v>0</v>
      </c>
      <c r="S48" s="347"/>
      <c r="T48" s="346"/>
      <c r="U48" s="339"/>
      <c r="V48" s="222">
        <v>6</v>
      </c>
      <c r="W48" s="187"/>
      <c r="X48" s="189" t="str">
        <f t="shared" si="51"/>
        <v/>
      </c>
      <c r="Y48" s="190"/>
      <c r="Z48" s="190"/>
      <c r="AA48" s="191" t="str">
        <f t="shared" si="46"/>
        <v/>
      </c>
      <c r="AB48" s="190"/>
      <c r="AC48" s="190"/>
      <c r="AD48" s="190"/>
      <c r="AE48" s="192" t="str">
        <f t="shared" si="52"/>
        <v/>
      </c>
      <c r="AF48" s="193" t="str">
        <f t="shared" si="2"/>
        <v/>
      </c>
      <c r="AG48" s="191" t="str">
        <f t="shared" si="47"/>
        <v/>
      </c>
      <c r="AH48" s="193" t="str">
        <f>IFERROR(IF(AI48="","",IF(AI48&lt;=0.2,"Leve",IF(AI48&lt;=0.4,"Menor",IF(AI48&lt;=0.6,"Moderado",IF(AI48&lt;=0.8,"Mayor","Catastrófico"))))),"")</f>
        <v/>
      </c>
      <c r="AI48" s="191" t="str">
        <f t="shared" si="14"/>
        <v/>
      </c>
      <c r="AJ48" s="194" t="str">
        <f>IFERROR(IF(OR(AND(AF48="Muy Baja",AH48="Leve"),AND(AF48="Muy Baja",AH48="Menor"),AND(AF48="Baja",AH48="Leve")),"Bajo",IF(OR(AND(AF48="Muy baja",AH48="Moderado"),AND(AF48="Baja",AH48="Menor"),AND(AF48="Baja",AH48="Moderado"),AND(AF48="Media",AH48="Leve"),AND(AF48="Media",AH48="Menor"),AND(AF48="Media",AH48="Moderado"),AND(AF48="Alta",AH48="Leve"),AND(AF48="Alta",AH48="Menor")),"Moderado",IF(OR(AND(AF48="Muy Baja",AH48="Mayor"),AND(AF48="Baja",AH48="Mayor"),AND(AF48="Media",AH48="Mayor"),AND(AF48="Alta",AH48="Moderado"),AND(AF48="Alta",AH48="Mayor"),AND(AF48="Muy Alta",AH48="Leve"),AND(AF48="Muy Alta",AH48="Menor"),AND(AF48="Muy Alta",AH48="Moderado"),AND(AF48="Muy Alta",AH48="Mayor")),"Alto",IF(OR(AND(AF48="Muy Baja",AH48="Catastrófico"),AND(AF48="Baja",AH48="Catastrófico"),AND(AF48="Media",AH48="Catastrófico"),AND(AF48="Alta",AH48="Catastrófico"),AND(AF48="Muy Alta",AH48="Catastrófico")),"Extremo","")))),"")</f>
        <v/>
      </c>
      <c r="AK48" s="195"/>
      <c r="AL48" s="186"/>
      <c r="AM48" s="196"/>
      <c r="AN48" s="196"/>
      <c r="AO48" s="197"/>
      <c r="AP48" s="362"/>
      <c r="AQ48" s="362"/>
      <c r="AR48" s="362"/>
    </row>
    <row r="49" spans="1:44" x14ac:dyDescent="0.2">
      <c r="A49" s="379">
        <v>7</v>
      </c>
      <c r="B49" s="365"/>
      <c r="C49" s="365"/>
      <c r="D49" s="383"/>
      <c r="E49" s="365"/>
      <c r="F49" s="365"/>
      <c r="G49" s="336"/>
      <c r="H49" s="336"/>
      <c r="I49" s="336"/>
      <c r="J49" s="336"/>
      <c r="K49" s="336"/>
      <c r="L49" s="336"/>
      <c r="M49" s="336"/>
      <c r="N49" s="362"/>
      <c r="O49" s="347" t="str">
        <f>IF(N49&lt;=0,"",IF(N49&lt;=2,"Muy Baja",IF(N49&lt;=24,"Baja",IF(N49&lt;=500,"Media",IF(N49&lt;=5000,"Alta","Muy Alta")))))</f>
        <v/>
      </c>
      <c r="P49" s="346" t="str">
        <f>IF(O49="","",IF(O49="Muy Baja",0.2,IF(O49="Baja",0.4,IF(O49="Media",0.6,IF(O49="Alta",0.8,IF(O49="Muy Alta",1,))))))</f>
        <v/>
      </c>
      <c r="Q49" s="330"/>
      <c r="R49" s="346">
        <f>IF(NOT(ISERROR(MATCH(Q49,'Tabla Impacto'!$B$222:$B$224,0))),'Tabla Impacto'!$F$224&amp;"Por favor no seleccionar los criterios de impacto(Afectación Económica o presupuestal y Pérdida Reputacional)",Q49)</f>
        <v>0</v>
      </c>
      <c r="S49" s="347" t="str">
        <f>IF(OR(R49='Tabla Impacto'!$C$12,R49='Tabla Impacto'!$D$12),"Leve",IF(OR(R49='Tabla Impacto'!$C$13,R49='Tabla Impacto'!$D$13),"Menor",IF(OR(R49='Tabla Impacto'!$C$14,R49='Tabla Impacto'!$D$14),"Moderado",IF(OR(R49='Tabla Impacto'!$C$15,R49='Tabla Impacto'!$D$15),"Mayor",IF(OR(R49='Tabla Impacto'!$C$16,R49='Tabla Impacto'!$D$16),"Catastrófico","")))))</f>
        <v/>
      </c>
      <c r="T49" s="346" t="str">
        <f>IF(S49="","",IF(S49="Leve",0.2,IF(S49="Menor",0.4,IF(S49="Moderado",0.6,IF(S49="Mayor",0.8,IF(S49="Catastrófico",1,))))))</f>
        <v/>
      </c>
      <c r="U49" s="339" t="str">
        <f>IF(OR(AND(O49="Muy Baja",S49="Leve"),AND(O49="Muy Baja",S49="Menor"),AND(O49="Baja",S49="Leve")),"Bajo",IF(OR(AND(O49="Muy baja",S49="Moderado"),AND(O49="Baja",S49="Menor"),AND(O49="Baja",S49="Moderado"),AND(O49="Media",S49="Leve"),AND(O49="Media",S49="Menor"),AND(O49="Media",S49="Moderado"),AND(O49="Alta",S49="Leve"),AND(O49="Alta",S49="Menor")),"Moderado",IF(OR(AND(O49="Muy Baja",S49="Mayor"),AND(O49="Baja",S49="Mayor"),AND(O49="Media",S49="Mayor"),AND(O49="Alta",S49="Moderado"),AND(O49="Alta",S49="Mayor"),AND(O49="Muy Alta",S49="Leve"),AND(O49="Muy Alta",S49="Menor"),AND(O49="Muy Alta",S49="Moderado"),AND(O49="Muy Alta",S49="Mayor")),"Alto",IF(OR(AND(O49="Muy Baja",S49="Catastrófico"),AND(O49="Baja",S49="Catastrófico"),AND(O49="Media",S49="Catastrófico"),AND(O49="Alta",S49="Catastrófico"),AND(O49="Muy Alta",S49="Catastrófico")),"Extremo",""))))</f>
        <v/>
      </c>
      <c r="V49" s="222">
        <v>1</v>
      </c>
      <c r="W49" s="199"/>
      <c r="X49" s="189" t="str">
        <f>IF(OR(Y49="Preventivo",Y49="Detectivo"),"Probabilidad",IF(Y49="Correctivo","Impacto",""))</f>
        <v/>
      </c>
      <c r="Y49" s="190"/>
      <c r="Z49" s="190"/>
      <c r="AA49" s="191" t="str">
        <f>IF(AND(Y49="Preventivo",Z49="Automático"),"50%",IF(AND(Y49="Preventivo",Z49="Manual"),"40%",IF(AND(Y49="Detectivo",Z49="Automático"),"40%",IF(AND(Y49="Detectivo",Z49="Manual"),"30%",IF(AND(Y49="Correctivo",Z49="Automático"),"35%",IF(AND(Y49="Correctivo",Z49="Manual"),"25%",""))))))</f>
        <v/>
      </c>
      <c r="AB49" s="190"/>
      <c r="AC49" s="190"/>
      <c r="AD49" s="190"/>
      <c r="AE49" s="192" t="str">
        <f>IFERROR(IF(X49="Probabilidad",(P49-(+P49*AA49)),IF(X49="Impacto",P49,"")),"")</f>
        <v/>
      </c>
      <c r="AF49" s="193" t="str">
        <f>IFERROR(IF(AE49="","",IF(AE49&lt;=0.2,"Muy Baja",IF(AE49&lt;=0.4,"Baja",IF(AE49&lt;=0.6,"Media",IF(AE49&lt;=0.8,"Alta","Muy Alta"))))),"")</f>
        <v/>
      </c>
      <c r="AG49" s="191" t="str">
        <f>+AE49</f>
        <v/>
      </c>
      <c r="AH49" s="193" t="str">
        <f>IFERROR(IF(AI49="","",IF(AI49&lt;=0.2,"Leve",IF(AI49&lt;=0.4,"Menor",IF(AI49&lt;=0.6,"Moderado",IF(AI49&lt;=0.8,"Mayor","Catastrófico"))))),"")</f>
        <v/>
      </c>
      <c r="AI49" s="191" t="str">
        <f t="shared" ref="AI49" si="54">IFERROR(IF(X49="Impacto",(T49-(+T49*AA49)),IF(X49="Probabilidad",T49,"")),"")</f>
        <v/>
      </c>
      <c r="AJ49" s="194" t="str">
        <f>IFERROR(IF(OR(AND(AF49="Muy Baja",AH49="Leve"),AND(AF49="Muy Baja",AH49="Menor"),AND(AF49="Baja",AH49="Leve")),"Bajo",IF(OR(AND(AF49="Muy baja",AH49="Moderado"),AND(AF49="Baja",AH49="Menor"),AND(AF49="Baja",AH49="Moderado"),AND(AF49="Media",AH49="Leve"),AND(AF49="Media",AH49="Menor"),AND(AF49="Media",AH49="Moderado"),AND(AF49="Alta",AH49="Leve"),AND(AF49="Alta",AH49="Menor")),"Moderado",IF(OR(AND(AF49="Muy Baja",AH49="Mayor"),AND(AF49="Baja",AH49="Mayor"),AND(AF49="Media",AH49="Mayor"),AND(AF49="Alta",AH49="Moderado"),AND(AF49="Alta",AH49="Mayor"),AND(AF49="Muy Alta",AH49="Leve"),AND(AF49="Muy Alta",AH49="Menor"),AND(AF49="Muy Alta",AH49="Moderado"),AND(AF49="Muy Alta",AH49="Mayor")),"Alto",IF(OR(AND(AF49="Muy Baja",AH49="Catastrófico"),AND(AF49="Baja",AH49="Catastrófico"),AND(AF49="Media",AH49="Catastrófico"),AND(AF49="Alta",AH49="Catastrófico"),AND(AF49="Muy Alta",AH49="Catastrófico")),"Extremo","")))),"")</f>
        <v/>
      </c>
      <c r="AK49" s="195"/>
      <c r="AL49" s="186"/>
      <c r="AM49" s="196"/>
      <c r="AN49" s="196"/>
      <c r="AO49" s="197"/>
      <c r="AP49" s="362"/>
      <c r="AQ49" s="362"/>
      <c r="AR49" s="362"/>
    </row>
    <row r="50" spans="1:44" x14ac:dyDescent="0.2">
      <c r="A50" s="379"/>
      <c r="B50" s="365"/>
      <c r="C50" s="365"/>
      <c r="D50" s="383"/>
      <c r="E50" s="365"/>
      <c r="F50" s="365"/>
      <c r="G50" s="337"/>
      <c r="H50" s="337"/>
      <c r="I50" s="337"/>
      <c r="J50" s="337"/>
      <c r="K50" s="337"/>
      <c r="L50" s="337"/>
      <c r="M50" s="337"/>
      <c r="N50" s="362"/>
      <c r="O50" s="347"/>
      <c r="P50" s="346"/>
      <c r="Q50" s="330"/>
      <c r="R50" s="346">
        <f>IF(NOT(ISERROR(MATCH(Q50,_xlfn.ANCHORARRAY(E61),0))),P63&amp;"Por favor no seleccionar los criterios de impacto",Q50)</f>
        <v>0</v>
      </c>
      <c r="S50" s="347"/>
      <c r="T50" s="346"/>
      <c r="U50" s="339"/>
      <c r="V50" s="222">
        <v>2</v>
      </c>
      <c r="W50" s="187"/>
      <c r="X50" s="189" t="str">
        <f>IF(OR(Y50="Preventivo",Y50="Detectivo"),"Probabilidad",IF(Y50="Correctivo","Impacto",""))</f>
        <v/>
      </c>
      <c r="Y50" s="190"/>
      <c r="Z50" s="190"/>
      <c r="AA50" s="191" t="str">
        <f t="shared" ref="AA50:AA54" si="55">IF(AND(Y50="Preventivo",Z50="Automático"),"50%",IF(AND(Y50="Preventivo",Z50="Manual"),"40%",IF(AND(Y50="Detectivo",Z50="Automático"),"40%",IF(AND(Y50="Detectivo",Z50="Manual"),"30%",IF(AND(Y50="Correctivo",Z50="Automático"),"35%",IF(AND(Y50="Correctivo",Z50="Manual"),"25%",""))))))</f>
        <v/>
      </c>
      <c r="AB50" s="190"/>
      <c r="AC50" s="190"/>
      <c r="AD50" s="190"/>
      <c r="AE50" s="192" t="str">
        <f>IFERROR(IF(AND(X49="Probabilidad",X50="Probabilidad"),(AG49-(+AG49*AA50)),IF(X50="Probabilidad",(P49-(+P49*AA50)),IF(X50="Impacto",AG49,""))),"")</f>
        <v/>
      </c>
      <c r="AF50" s="193" t="str">
        <f t="shared" si="2"/>
        <v/>
      </c>
      <c r="AG50" s="191" t="str">
        <f t="shared" ref="AG50:AG54" si="56">+AE50</f>
        <v/>
      </c>
      <c r="AH50" s="193" t="str">
        <f t="shared" si="4"/>
        <v/>
      </c>
      <c r="AI50" s="191" t="str">
        <f t="shared" ref="AI50" si="57">IFERROR(IF(AND(X49="Impacto",X50="Impacto"),(AI49-(+AI49*AA50)),IF(X50="Impacto",($T$13-(+$T$13*AA50)),IF(X50="Probabilidad",AI49,""))),"")</f>
        <v/>
      </c>
      <c r="AJ50" s="194" t="str">
        <f t="shared" ref="AJ50:AJ51" si="58">IFERROR(IF(OR(AND(AF50="Muy Baja",AH50="Leve"),AND(AF50="Muy Baja",AH50="Menor"),AND(AF50="Baja",AH50="Leve")),"Bajo",IF(OR(AND(AF50="Muy baja",AH50="Moderado"),AND(AF50="Baja",AH50="Menor"),AND(AF50="Baja",AH50="Moderado"),AND(AF50="Media",AH50="Leve"),AND(AF50="Media",AH50="Menor"),AND(AF50="Media",AH50="Moderado"),AND(AF50="Alta",AH50="Leve"),AND(AF50="Alta",AH50="Menor")),"Moderado",IF(OR(AND(AF50="Muy Baja",AH50="Mayor"),AND(AF50="Baja",AH50="Mayor"),AND(AF50="Media",AH50="Mayor"),AND(AF50="Alta",AH50="Moderado"),AND(AF50="Alta",AH50="Mayor"),AND(AF50="Muy Alta",AH50="Leve"),AND(AF50="Muy Alta",AH50="Menor"),AND(AF50="Muy Alta",AH50="Moderado"),AND(AF50="Muy Alta",AH50="Mayor")),"Alto",IF(OR(AND(AF50="Muy Baja",AH50="Catastrófico"),AND(AF50="Baja",AH50="Catastrófico"),AND(AF50="Media",AH50="Catastrófico"),AND(AF50="Alta",AH50="Catastrófico"),AND(AF50="Muy Alta",AH50="Catastrófico")),"Extremo","")))),"")</f>
        <v/>
      </c>
      <c r="AK50" s="195"/>
      <c r="AL50" s="186"/>
      <c r="AM50" s="196"/>
      <c r="AN50" s="196"/>
      <c r="AO50" s="197"/>
      <c r="AP50" s="362"/>
      <c r="AQ50" s="362"/>
      <c r="AR50" s="362"/>
    </row>
    <row r="51" spans="1:44" x14ac:dyDescent="0.2">
      <c r="A51" s="379"/>
      <c r="B51" s="365"/>
      <c r="C51" s="365"/>
      <c r="D51" s="383"/>
      <c r="E51" s="365"/>
      <c r="F51" s="365"/>
      <c r="G51" s="337"/>
      <c r="H51" s="337"/>
      <c r="I51" s="337"/>
      <c r="J51" s="337"/>
      <c r="K51" s="337"/>
      <c r="L51" s="337"/>
      <c r="M51" s="337"/>
      <c r="N51" s="362"/>
      <c r="O51" s="347"/>
      <c r="P51" s="346"/>
      <c r="Q51" s="330"/>
      <c r="R51" s="346">
        <f>IF(NOT(ISERROR(MATCH(Q51,_xlfn.ANCHORARRAY(E62),0))),P64&amp;"Por favor no seleccionar los criterios de impacto",Q51)</f>
        <v>0</v>
      </c>
      <c r="S51" s="347"/>
      <c r="T51" s="346"/>
      <c r="U51" s="339"/>
      <c r="V51" s="222">
        <v>3</v>
      </c>
      <c r="W51" s="188"/>
      <c r="X51" s="189" t="str">
        <f>IF(OR(Y51="Preventivo",Y51="Detectivo"),"Probabilidad",IF(Y51="Correctivo","Impacto",""))</f>
        <v/>
      </c>
      <c r="Y51" s="190"/>
      <c r="Z51" s="190"/>
      <c r="AA51" s="191" t="str">
        <f t="shared" si="55"/>
        <v/>
      </c>
      <c r="AB51" s="190"/>
      <c r="AC51" s="190"/>
      <c r="AD51" s="190"/>
      <c r="AE51" s="192" t="str">
        <f>IFERROR(IF(AND(X50="Probabilidad",X51="Probabilidad"),(AG50-(+AG50*AA51)),IF(AND(X50="Impacto",X51="Probabilidad"),(AG49-(+AG49*AA51)),IF(X51="Impacto",AG50,""))),"")</f>
        <v/>
      </c>
      <c r="AF51" s="193" t="str">
        <f t="shared" si="2"/>
        <v/>
      </c>
      <c r="AG51" s="191" t="str">
        <f t="shared" si="56"/>
        <v/>
      </c>
      <c r="AH51" s="193" t="str">
        <f t="shared" si="4"/>
        <v/>
      </c>
      <c r="AI51" s="191" t="str">
        <f t="shared" ref="AI51" si="59">IFERROR(IF(AND(X50="Impacto",X51="Impacto"),(AI50-(+AI50*AA51)),IF(AND(X50="Probabilidad",X51="Impacto"),(AI49-(+AI49*AA51)),IF(X51="Probabilidad",AI50,""))),"")</f>
        <v/>
      </c>
      <c r="AJ51" s="194" t="str">
        <f t="shared" si="58"/>
        <v/>
      </c>
      <c r="AK51" s="195"/>
      <c r="AL51" s="186"/>
      <c r="AM51" s="196"/>
      <c r="AN51" s="196"/>
      <c r="AO51" s="197"/>
      <c r="AP51" s="362"/>
      <c r="AQ51" s="362"/>
      <c r="AR51" s="362"/>
    </row>
    <row r="52" spans="1:44" x14ac:dyDescent="0.2">
      <c r="A52" s="379"/>
      <c r="B52" s="365"/>
      <c r="C52" s="365"/>
      <c r="D52" s="383"/>
      <c r="E52" s="365"/>
      <c r="F52" s="365"/>
      <c r="G52" s="337"/>
      <c r="H52" s="337"/>
      <c r="I52" s="337"/>
      <c r="J52" s="337"/>
      <c r="K52" s="337"/>
      <c r="L52" s="337"/>
      <c r="M52" s="337"/>
      <c r="N52" s="362"/>
      <c r="O52" s="347"/>
      <c r="P52" s="346"/>
      <c r="Q52" s="330"/>
      <c r="R52" s="346">
        <f>IF(NOT(ISERROR(MATCH(Q52,_xlfn.ANCHORARRAY(E63),0))),P65&amp;"Por favor no seleccionar los criterios de impacto",Q52)</f>
        <v>0</v>
      </c>
      <c r="S52" s="347"/>
      <c r="T52" s="346"/>
      <c r="U52" s="339"/>
      <c r="V52" s="222">
        <v>4</v>
      </c>
      <c r="W52" s="187"/>
      <c r="X52" s="189" t="str">
        <f t="shared" ref="X52:X54" si="60">IF(OR(Y52="Preventivo",Y52="Detectivo"),"Probabilidad",IF(Y52="Correctivo","Impacto",""))</f>
        <v/>
      </c>
      <c r="Y52" s="190"/>
      <c r="Z52" s="190"/>
      <c r="AA52" s="191" t="str">
        <f t="shared" si="55"/>
        <v/>
      </c>
      <c r="AB52" s="190"/>
      <c r="AC52" s="190"/>
      <c r="AD52" s="190"/>
      <c r="AE52" s="192" t="str">
        <f t="shared" ref="AE52:AE54" si="61">IFERROR(IF(AND(X51="Probabilidad",X52="Probabilidad"),(AG51-(+AG51*AA52)),IF(AND(X51="Impacto",X52="Probabilidad"),(AG50-(+AG50*AA52)),IF(X52="Impacto",AG51,""))),"")</f>
        <v/>
      </c>
      <c r="AF52" s="193" t="str">
        <f t="shared" si="2"/>
        <v/>
      </c>
      <c r="AG52" s="191" t="str">
        <f t="shared" si="56"/>
        <v/>
      </c>
      <c r="AH52" s="193" t="str">
        <f t="shared" si="4"/>
        <v/>
      </c>
      <c r="AI52" s="191" t="str">
        <f t="shared" si="14"/>
        <v/>
      </c>
      <c r="AJ52" s="194" t="str">
        <f>IFERROR(IF(OR(AND(AF52="Muy Baja",AH52="Leve"),AND(AF52="Muy Baja",AH52="Menor"),AND(AF52="Baja",AH52="Leve")),"Bajo",IF(OR(AND(AF52="Muy baja",AH52="Moderado"),AND(AF52="Baja",AH52="Menor"),AND(AF52="Baja",AH52="Moderado"),AND(AF52="Media",AH52="Leve"),AND(AF52="Media",AH52="Menor"),AND(AF52="Media",AH52="Moderado"),AND(AF52="Alta",AH52="Leve"),AND(AF52="Alta",AH52="Menor")),"Moderado",IF(OR(AND(AF52="Muy Baja",AH52="Mayor"),AND(AF52="Baja",AH52="Mayor"),AND(AF52="Media",AH52="Mayor"),AND(AF52="Alta",AH52="Moderado"),AND(AF52="Alta",AH52="Mayor"),AND(AF52="Muy Alta",AH52="Leve"),AND(AF52="Muy Alta",AH52="Menor"),AND(AF52="Muy Alta",AH52="Moderado"),AND(AF52="Muy Alta",AH52="Mayor")),"Alto",IF(OR(AND(AF52="Muy Baja",AH52="Catastrófico"),AND(AF52="Baja",AH52="Catastrófico"),AND(AF52="Media",AH52="Catastrófico"),AND(AF52="Alta",AH52="Catastrófico"),AND(AF52="Muy Alta",AH52="Catastrófico")),"Extremo","")))),"")</f>
        <v/>
      </c>
      <c r="AK52" s="195"/>
      <c r="AL52" s="186"/>
      <c r="AM52" s="196"/>
      <c r="AN52" s="196"/>
      <c r="AO52" s="197"/>
      <c r="AP52" s="362"/>
      <c r="AQ52" s="362"/>
      <c r="AR52" s="362"/>
    </row>
    <row r="53" spans="1:44" x14ac:dyDescent="0.2">
      <c r="A53" s="379"/>
      <c r="B53" s="365"/>
      <c r="C53" s="365"/>
      <c r="D53" s="383"/>
      <c r="E53" s="365"/>
      <c r="F53" s="365"/>
      <c r="G53" s="337"/>
      <c r="H53" s="337"/>
      <c r="I53" s="337"/>
      <c r="J53" s="337"/>
      <c r="K53" s="337"/>
      <c r="L53" s="337"/>
      <c r="M53" s="337"/>
      <c r="N53" s="362"/>
      <c r="O53" s="347"/>
      <c r="P53" s="346"/>
      <c r="Q53" s="330"/>
      <c r="R53" s="346">
        <f>IF(NOT(ISERROR(MATCH(Q53,_xlfn.ANCHORARRAY(E64),0))),P66&amp;"Por favor no seleccionar los criterios de impacto",Q53)</f>
        <v>0</v>
      </c>
      <c r="S53" s="347"/>
      <c r="T53" s="346"/>
      <c r="U53" s="339"/>
      <c r="V53" s="222">
        <v>5</v>
      </c>
      <c r="W53" s="187"/>
      <c r="X53" s="189" t="str">
        <f t="shared" si="60"/>
        <v/>
      </c>
      <c r="Y53" s="190"/>
      <c r="Z53" s="190"/>
      <c r="AA53" s="191" t="str">
        <f t="shared" si="55"/>
        <v/>
      </c>
      <c r="AB53" s="190"/>
      <c r="AC53" s="190"/>
      <c r="AD53" s="190"/>
      <c r="AE53" s="192" t="str">
        <f t="shared" si="61"/>
        <v/>
      </c>
      <c r="AF53" s="193" t="str">
        <f t="shared" si="2"/>
        <v/>
      </c>
      <c r="AG53" s="191" t="str">
        <f t="shared" si="56"/>
        <v/>
      </c>
      <c r="AH53" s="193" t="str">
        <f t="shared" si="4"/>
        <v/>
      </c>
      <c r="AI53" s="191" t="str">
        <f t="shared" si="14"/>
        <v/>
      </c>
      <c r="AJ53" s="194" t="str">
        <f t="shared" ref="AJ53:AJ54" si="62">IFERROR(IF(OR(AND(AF53="Muy Baja",AH53="Leve"),AND(AF53="Muy Baja",AH53="Menor"),AND(AF53="Baja",AH53="Leve")),"Bajo",IF(OR(AND(AF53="Muy baja",AH53="Moderado"),AND(AF53="Baja",AH53="Menor"),AND(AF53="Baja",AH53="Moderado"),AND(AF53="Media",AH53="Leve"),AND(AF53="Media",AH53="Menor"),AND(AF53="Media",AH53="Moderado"),AND(AF53="Alta",AH53="Leve"),AND(AF53="Alta",AH53="Menor")),"Moderado",IF(OR(AND(AF53="Muy Baja",AH53="Mayor"),AND(AF53="Baja",AH53="Mayor"),AND(AF53="Media",AH53="Mayor"),AND(AF53="Alta",AH53="Moderado"),AND(AF53="Alta",AH53="Mayor"),AND(AF53="Muy Alta",AH53="Leve"),AND(AF53="Muy Alta",AH53="Menor"),AND(AF53="Muy Alta",AH53="Moderado"),AND(AF53="Muy Alta",AH53="Mayor")),"Alto",IF(OR(AND(AF53="Muy Baja",AH53="Catastrófico"),AND(AF53="Baja",AH53="Catastrófico"),AND(AF53="Media",AH53="Catastrófico"),AND(AF53="Alta",AH53="Catastrófico"),AND(AF53="Muy Alta",AH53="Catastrófico")),"Extremo","")))),"")</f>
        <v/>
      </c>
      <c r="AK53" s="195"/>
      <c r="AL53" s="186"/>
      <c r="AM53" s="196"/>
      <c r="AN53" s="196"/>
      <c r="AO53" s="197"/>
      <c r="AP53" s="362"/>
      <c r="AQ53" s="362"/>
      <c r="AR53" s="362"/>
    </row>
    <row r="54" spans="1:44" x14ac:dyDescent="0.2">
      <c r="A54" s="379"/>
      <c r="B54" s="365"/>
      <c r="C54" s="365"/>
      <c r="D54" s="383"/>
      <c r="E54" s="365"/>
      <c r="F54" s="365"/>
      <c r="G54" s="338"/>
      <c r="H54" s="338"/>
      <c r="I54" s="338"/>
      <c r="J54" s="338"/>
      <c r="K54" s="338"/>
      <c r="L54" s="338"/>
      <c r="M54" s="338"/>
      <c r="N54" s="362"/>
      <c r="O54" s="347"/>
      <c r="P54" s="346"/>
      <c r="Q54" s="330"/>
      <c r="R54" s="346">
        <f>IF(NOT(ISERROR(MATCH(Q54,_xlfn.ANCHORARRAY(E65),0))),P67&amp;"Por favor no seleccionar los criterios de impacto",Q54)</f>
        <v>0</v>
      </c>
      <c r="S54" s="347"/>
      <c r="T54" s="346"/>
      <c r="U54" s="339"/>
      <c r="V54" s="222">
        <v>6</v>
      </c>
      <c r="W54" s="187"/>
      <c r="X54" s="189" t="str">
        <f t="shared" si="60"/>
        <v/>
      </c>
      <c r="Y54" s="190"/>
      <c r="Z54" s="190"/>
      <c r="AA54" s="191" t="str">
        <f t="shared" si="55"/>
        <v/>
      </c>
      <c r="AB54" s="190"/>
      <c r="AC54" s="190"/>
      <c r="AD54" s="190"/>
      <c r="AE54" s="192" t="str">
        <f t="shared" si="61"/>
        <v/>
      </c>
      <c r="AF54" s="193" t="str">
        <f t="shared" si="2"/>
        <v/>
      </c>
      <c r="AG54" s="191" t="str">
        <f t="shared" si="56"/>
        <v/>
      </c>
      <c r="AH54" s="193" t="str">
        <f t="shared" si="4"/>
        <v/>
      </c>
      <c r="AI54" s="191" t="str">
        <f t="shared" si="14"/>
        <v/>
      </c>
      <c r="AJ54" s="194" t="str">
        <f t="shared" si="62"/>
        <v/>
      </c>
      <c r="AK54" s="195"/>
      <c r="AL54" s="186"/>
      <c r="AM54" s="196"/>
      <c r="AN54" s="196"/>
      <c r="AO54" s="197"/>
      <c r="AP54" s="362"/>
      <c r="AQ54" s="362"/>
      <c r="AR54" s="362"/>
    </row>
    <row r="55" spans="1:44" x14ac:dyDescent="0.2">
      <c r="A55" s="379">
        <v>8</v>
      </c>
      <c r="B55" s="365"/>
      <c r="C55" s="365"/>
      <c r="D55" s="365"/>
      <c r="E55" s="365"/>
      <c r="F55" s="365"/>
      <c r="G55" s="336"/>
      <c r="H55" s="336"/>
      <c r="I55" s="336"/>
      <c r="J55" s="336"/>
      <c r="K55" s="336"/>
      <c r="L55" s="336"/>
      <c r="M55" s="336"/>
      <c r="N55" s="362"/>
      <c r="O55" s="347" t="str">
        <f>IF(N55&lt;=0,"",IF(N55&lt;=2,"Muy Baja",IF(N55&lt;=24,"Baja",IF(N55&lt;=500,"Media",IF(N55&lt;=5000,"Alta","Muy Alta")))))</f>
        <v/>
      </c>
      <c r="P55" s="346" t="str">
        <f>IF(O55="","",IF(O55="Muy Baja",0.2,IF(O55="Baja",0.4,IF(O55="Media",0.6,IF(O55="Alta",0.8,IF(O55="Muy Alta",1,))))))</f>
        <v/>
      </c>
      <c r="Q55" s="330"/>
      <c r="R55" s="346">
        <f>IF(NOT(ISERROR(MATCH(Q55,'Tabla Impacto'!$B$222:$B$224,0))),'Tabla Impacto'!$F$224&amp;"Por favor no seleccionar los criterios de impacto(Afectación Económica o presupuestal y Pérdida Reputacional)",Q55)</f>
        <v>0</v>
      </c>
      <c r="S55" s="347" t="str">
        <f>IF(OR(R55='Tabla Impacto'!$C$12,R55='Tabla Impacto'!$D$12),"Leve",IF(OR(R55='Tabla Impacto'!$C$13,R55='Tabla Impacto'!$D$13),"Menor",IF(OR(R55='Tabla Impacto'!$C$14,R55='Tabla Impacto'!$D$14),"Moderado",IF(OR(R55='Tabla Impacto'!$C$15,R55='Tabla Impacto'!$D$15),"Mayor",IF(OR(R55='Tabla Impacto'!$C$16,R55='Tabla Impacto'!$D$16),"Catastrófico","")))))</f>
        <v/>
      </c>
      <c r="T55" s="346" t="str">
        <f>IF(S55="","",IF(S55="Leve",0.2,IF(S55="Menor",0.4,IF(S55="Moderado",0.6,IF(S55="Mayor",0.8,IF(S55="Catastrófico",1,))))))</f>
        <v/>
      </c>
      <c r="U55" s="339" t="str">
        <f>IF(OR(AND(O55="Muy Baja",S55="Leve"),AND(O55="Muy Baja",S55="Menor"),AND(O55="Baja",S55="Leve")),"Bajo",IF(OR(AND(O55="Muy baja",S55="Moderado"),AND(O55="Baja",S55="Menor"),AND(O55="Baja",S55="Moderado"),AND(O55="Media",S55="Leve"),AND(O55="Media",S55="Menor"),AND(O55="Media",S55="Moderado"),AND(O55="Alta",S55="Leve"),AND(O55="Alta",S55="Menor")),"Moderado",IF(OR(AND(O55="Muy Baja",S55="Mayor"),AND(O55="Baja",S55="Mayor"),AND(O55="Media",S55="Mayor"),AND(O55="Alta",S55="Moderado"),AND(O55="Alta",S55="Mayor"),AND(O55="Muy Alta",S55="Leve"),AND(O55="Muy Alta",S55="Menor"),AND(O55="Muy Alta",S55="Moderado"),AND(O55="Muy Alta",S55="Mayor")),"Alto",IF(OR(AND(O55="Muy Baja",S55="Catastrófico"),AND(O55="Baja",S55="Catastrófico"),AND(O55="Media",S55="Catastrófico"),AND(O55="Alta",S55="Catastrófico"),AND(O55="Muy Alta",S55="Catastrófico")),"Extremo",""))))</f>
        <v/>
      </c>
      <c r="V55" s="222">
        <v>1</v>
      </c>
      <c r="W55" s="187"/>
      <c r="X55" s="189" t="str">
        <f>IF(OR(Y55="Preventivo",Y55="Detectivo"),"Probabilidad",IF(Y55="Correctivo","Impacto",""))</f>
        <v/>
      </c>
      <c r="Y55" s="190"/>
      <c r="Z55" s="190"/>
      <c r="AA55" s="191" t="str">
        <f>IF(AND(Y55="Preventivo",Z55="Automático"),"50%",IF(AND(Y55="Preventivo",Z55="Manual"),"40%",IF(AND(Y55="Detectivo",Z55="Automático"),"40%",IF(AND(Y55="Detectivo",Z55="Manual"),"30%",IF(AND(Y55="Correctivo",Z55="Automático"),"35%",IF(AND(Y55="Correctivo",Z55="Manual"),"25%",""))))))</f>
        <v/>
      </c>
      <c r="AB55" s="190"/>
      <c r="AC55" s="190"/>
      <c r="AD55" s="190"/>
      <c r="AE55" s="192" t="str">
        <f>IFERROR(IF(X55="Probabilidad",(P55-(+P55*AA55)),IF(X55="Impacto",P55,"")),"")</f>
        <v/>
      </c>
      <c r="AF55" s="193" t="str">
        <f>IFERROR(IF(AE55="","",IF(AE55&lt;=0.2,"Muy Baja",IF(AE55&lt;=0.4,"Baja",IF(AE55&lt;=0.6,"Media",IF(AE55&lt;=0.8,"Alta","Muy Alta"))))),"")</f>
        <v/>
      </c>
      <c r="AG55" s="191" t="str">
        <f>+AE55</f>
        <v/>
      </c>
      <c r="AH55" s="193" t="str">
        <f>IFERROR(IF(AI55="","",IF(AI55&lt;=0.2,"Leve",IF(AI55&lt;=0.4,"Menor",IF(AI55&lt;=0.6,"Moderado",IF(AI55&lt;=0.8,"Mayor","Catastrófico"))))),"")</f>
        <v/>
      </c>
      <c r="AI55" s="191" t="str">
        <f t="shared" ref="AI55" si="63">IFERROR(IF(X55="Impacto",(T55-(+T55*AA55)),IF(X55="Probabilidad",T55,"")),"")</f>
        <v/>
      </c>
      <c r="AJ55" s="194" t="str">
        <f>IFERROR(IF(OR(AND(AF55="Muy Baja",AH55="Leve"),AND(AF55="Muy Baja",AH55="Menor"),AND(AF55="Baja",AH55="Leve")),"Bajo",IF(OR(AND(AF55="Muy baja",AH55="Moderado"),AND(AF55="Baja",AH55="Menor"),AND(AF55="Baja",AH55="Moderado"),AND(AF55="Media",AH55="Leve"),AND(AF55="Media",AH55="Menor"),AND(AF55="Media",AH55="Moderado"),AND(AF55="Alta",AH55="Leve"),AND(AF55="Alta",AH55="Menor")),"Moderado",IF(OR(AND(AF55="Muy Baja",AH55="Mayor"),AND(AF55="Baja",AH55="Mayor"),AND(AF55="Media",AH55="Mayor"),AND(AF55="Alta",AH55="Moderado"),AND(AF55="Alta",AH55="Mayor"),AND(AF55="Muy Alta",AH55="Leve"),AND(AF55="Muy Alta",AH55="Menor"),AND(AF55="Muy Alta",AH55="Moderado"),AND(AF55="Muy Alta",AH55="Mayor")),"Alto",IF(OR(AND(AF55="Muy Baja",AH55="Catastrófico"),AND(AF55="Baja",AH55="Catastrófico"),AND(AF55="Media",AH55="Catastrófico"),AND(AF55="Alta",AH55="Catastrófico"),AND(AF55="Muy Alta",AH55="Catastrófico")),"Extremo","")))),"")</f>
        <v/>
      </c>
      <c r="AK55" s="195"/>
      <c r="AL55" s="186"/>
      <c r="AM55" s="196"/>
      <c r="AN55" s="196"/>
      <c r="AO55" s="197"/>
      <c r="AP55" s="362"/>
      <c r="AQ55" s="362"/>
      <c r="AR55" s="362"/>
    </row>
    <row r="56" spans="1:44" x14ac:dyDescent="0.2">
      <c r="A56" s="379"/>
      <c r="B56" s="365"/>
      <c r="C56" s="365"/>
      <c r="D56" s="365"/>
      <c r="E56" s="365"/>
      <c r="F56" s="365"/>
      <c r="G56" s="337"/>
      <c r="H56" s="337"/>
      <c r="I56" s="337"/>
      <c r="J56" s="337"/>
      <c r="K56" s="337"/>
      <c r="L56" s="337"/>
      <c r="M56" s="337"/>
      <c r="N56" s="362"/>
      <c r="O56" s="347"/>
      <c r="P56" s="346"/>
      <c r="Q56" s="330"/>
      <c r="R56" s="346">
        <f>IF(NOT(ISERROR(MATCH(Q56,_xlfn.ANCHORARRAY(E67),0))),P69&amp;"Por favor no seleccionar los criterios de impacto",Q56)</f>
        <v>0</v>
      </c>
      <c r="S56" s="347"/>
      <c r="T56" s="346"/>
      <c r="U56" s="339"/>
      <c r="V56" s="222">
        <v>2</v>
      </c>
      <c r="W56" s="187"/>
      <c r="X56" s="189" t="str">
        <f>IF(OR(Y56="Preventivo",Y56="Detectivo"),"Probabilidad",IF(Y56="Correctivo","Impacto",""))</f>
        <v/>
      </c>
      <c r="Y56" s="190"/>
      <c r="Z56" s="190"/>
      <c r="AA56" s="191" t="str">
        <f t="shared" ref="AA56:AA60" si="64">IF(AND(Y56="Preventivo",Z56="Automático"),"50%",IF(AND(Y56="Preventivo",Z56="Manual"),"40%",IF(AND(Y56="Detectivo",Z56="Automático"),"40%",IF(AND(Y56="Detectivo",Z56="Manual"),"30%",IF(AND(Y56="Correctivo",Z56="Automático"),"35%",IF(AND(Y56="Correctivo",Z56="Manual"),"25%",""))))))</f>
        <v/>
      </c>
      <c r="AB56" s="190"/>
      <c r="AC56" s="190"/>
      <c r="AD56" s="190"/>
      <c r="AE56" s="192" t="str">
        <f>IFERROR(IF(AND(X55="Probabilidad",X56="Probabilidad"),(AG55-(+AG55*AA56)),IF(X56="Probabilidad",(P55-(+P55*AA56)),IF(X56="Impacto",AG55,""))),"")</f>
        <v/>
      </c>
      <c r="AF56" s="193" t="str">
        <f t="shared" si="2"/>
        <v/>
      </c>
      <c r="AG56" s="191" t="str">
        <f t="shared" ref="AG56:AG60" si="65">+AE56</f>
        <v/>
      </c>
      <c r="AH56" s="193" t="str">
        <f t="shared" si="4"/>
        <v/>
      </c>
      <c r="AI56" s="191" t="str">
        <f t="shared" ref="AI56" si="66">IFERROR(IF(AND(X55="Impacto",X56="Impacto"),(AI55-(+AI55*AA56)),IF(X56="Impacto",($T$13-(+$T$13*AA56)),IF(X56="Probabilidad",AI55,""))),"")</f>
        <v/>
      </c>
      <c r="AJ56" s="194" t="str">
        <f t="shared" ref="AJ56:AJ57" si="67">IFERROR(IF(OR(AND(AF56="Muy Baja",AH56="Leve"),AND(AF56="Muy Baja",AH56="Menor"),AND(AF56="Baja",AH56="Leve")),"Bajo",IF(OR(AND(AF56="Muy baja",AH56="Moderado"),AND(AF56="Baja",AH56="Menor"),AND(AF56="Baja",AH56="Moderado"),AND(AF56="Media",AH56="Leve"),AND(AF56="Media",AH56="Menor"),AND(AF56="Media",AH56="Moderado"),AND(AF56="Alta",AH56="Leve"),AND(AF56="Alta",AH56="Menor")),"Moderado",IF(OR(AND(AF56="Muy Baja",AH56="Mayor"),AND(AF56="Baja",AH56="Mayor"),AND(AF56="Media",AH56="Mayor"),AND(AF56="Alta",AH56="Moderado"),AND(AF56="Alta",AH56="Mayor"),AND(AF56="Muy Alta",AH56="Leve"),AND(AF56="Muy Alta",AH56="Menor"),AND(AF56="Muy Alta",AH56="Moderado"),AND(AF56="Muy Alta",AH56="Mayor")),"Alto",IF(OR(AND(AF56="Muy Baja",AH56="Catastrófico"),AND(AF56="Baja",AH56="Catastrófico"),AND(AF56="Media",AH56="Catastrófico"),AND(AF56="Alta",AH56="Catastrófico"),AND(AF56="Muy Alta",AH56="Catastrófico")),"Extremo","")))),"")</f>
        <v/>
      </c>
      <c r="AK56" s="195"/>
      <c r="AL56" s="186"/>
      <c r="AM56" s="196"/>
      <c r="AN56" s="196"/>
      <c r="AO56" s="197"/>
      <c r="AP56" s="362"/>
      <c r="AQ56" s="362"/>
      <c r="AR56" s="362"/>
    </row>
    <row r="57" spans="1:44" x14ac:dyDescent="0.2">
      <c r="A57" s="379"/>
      <c r="B57" s="365"/>
      <c r="C57" s="365"/>
      <c r="D57" s="365"/>
      <c r="E57" s="365"/>
      <c r="F57" s="365"/>
      <c r="G57" s="337"/>
      <c r="H57" s="337"/>
      <c r="I57" s="337"/>
      <c r="J57" s="337"/>
      <c r="K57" s="337"/>
      <c r="L57" s="337"/>
      <c r="M57" s="337"/>
      <c r="N57" s="362"/>
      <c r="O57" s="347"/>
      <c r="P57" s="346"/>
      <c r="Q57" s="330"/>
      <c r="R57" s="346">
        <f>IF(NOT(ISERROR(MATCH(Q57,_xlfn.ANCHORARRAY(E68),0))),P70&amp;"Por favor no seleccionar los criterios de impacto",Q57)</f>
        <v>0</v>
      </c>
      <c r="S57" s="347"/>
      <c r="T57" s="346"/>
      <c r="U57" s="339"/>
      <c r="V57" s="222">
        <v>3</v>
      </c>
      <c r="W57" s="188"/>
      <c r="X57" s="189" t="str">
        <f>IF(OR(Y57="Preventivo",Y57="Detectivo"),"Probabilidad",IF(Y57="Correctivo","Impacto",""))</f>
        <v/>
      </c>
      <c r="Y57" s="190"/>
      <c r="Z57" s="190"/>
      <c r="AA57" s="191" t="str">
        <f t="shared" si="64"/>
        <v/>
      </c>
      <c r="AB57" s="190"/>
      <c r="AC57" s="190"/>
      <c r="AD57" s="190"/>
      <c r="AE57" s="192" t="str">
        <f>IFERROR(IF(AND(X56="Probabilidad",X57="Probabilidad"),(AG56-(+AG56*AA57)),IF(AND(X56="Impacto",X57="Probabilidad"),(AG55-(+AG55*AA57)),IF(X57="Impacto",AG56,""))),"")</f>
        <v/>
      </c>
      <c r="AF57" s="193" t="str">
        <f t="shared" si="2"/>
        <v/>
      </c>
      <c r="AG57" s="191" t="str">
        <f t="shared" si="65"/>
        <v/>
      </c>
      <c r="AH57" s="193" t="str">
        <f t="shared" si="4"/>
        <v/>
      </c>
      <c r="AI57" s="191" t="str">
        <f t="shared" ref="AI57" si="68">IFERROR(IF(AND(X56="Impacto",X57="Impacto"),(AI56-(+AI56*AA57)),IF(AND(X56="Probabilidad",X57="Impacto"),(AI55-(+AI55*AA57)),IF(X57="Probabilidad",AI56,""))),"")</f>
        <v/>
      </c>
      <c r="AJ57" s="194" t="str">
        <f t="shared" si="67"/>
        <v/>
      </c>
      <c r="AK57" s="195"/>
      <c r="AL57" s="186"/>
      <c r="AM57" s="196"/>
      <c r="AN57" s="196"/>
      <c r="AO57" s="197"/>
      <c r="AP57" s="362"/>
      <c r="AQ57" s="362"/>
      <c r="AR57" s="362"/>
    </row>
    <row r="58" spans="1:44" x14ac:dyDescent="0.2">
      <c r="A58" s="379"/>
      <c r="B58" s="365"/>
      <c r="C58" s="365"/>
      <c r="D58" s="365"/>
      <c r="E58" s="365"/>
      <c r="F58" s="365"/>
      <c r="G58" s="337"/>
      <c r="H58" s="337"/>
      <c r="I58" s="337"/>
      <c r="J58" s="337"/>
      <c r="K58" s="337"/>
      <c r="L58" s="337"/>
      <c r="M58" s="337"/>
      <c r="N58" s="362"/>
      <c r="O58" s="347"/>
      <c r="P58" s="346"/>
      <c r="Q58" s="330"/>
      <c r="R58" s="346">
        <f>IF(NOT(ISERROR(MATCH(Q58,_xlfn.ANCHORARRAY(E69),0))),P71&amp;"Por favor no seleccionar los criterios de impacto",Q58)</f>
        <v>0</v>
      </c>
      <c r="S58" s="347"/>
      <c r="T58" s="346"/>
      <c r="U58" s="339"/>
      <c r="V58" s="222">
        <v>4</v>
      </c>
      <c r="W58" s="187"/>
      <c r="X58" s="189" t="str">
        <f t="shared" ref="X58:X60" si="69">IF(OR(Y58="Preventivo",Y58="Detectivo"),"Probabilidad",IF(Y58="Correctivo","Impacto",""))</f>
        <v/>
      </c>
      <c r="Y58" s="190"/>
      <c r="Z58" s="190"/>
      <c r="AA58" s="191" t="str">
        <f t="shared" si="64"/>
        <v/>
      </c>
      <c r="AB58" s="190"/>
      <c r="AC58" s="190"/>
      <c r="AD58" s="190"/>
      <c r="AE58" s="192" t="str">
        <f t="shared" ref="AE58:AE60" si="70">IFERROR(IF(AND(X57="Probabilidad",X58="Probabilidad"),(AG57-(+AG57*AA58)),IF(AND(X57="Impacto",X58="Probabilidad"),(AG56-(+AG56*AA58)),IF(X58="Impacto",AG57,""))),"")</f>
        <v/>
      </c>
      <c r="AF58" s="193" t="str">
        <f t="shared" si="2"/>
        <v/>
      </c>
      <c r="AG58" s="191" t="str">
        <f t="shared" si="65"/>
        <v/>
      </c>
      <c r="AH58" s="193" t="str">
        <f t="shared" si="4"/>
        <v/>
      </c>
      <c r="AI58" s="191" t="str">
        <f t="shared" si="14"/>
        <v/>
      </c>
      <c r="AJ58" s="194" t="str">
        <f>IFERROR(IF(OR(AND(AF58="Muy Baja",AH58="Leve"),AND(AF58="Muy Baja",AH58="Menor"),AND(AF58="Baja",AH58="Leve")),"Bajo",IF(OR(AND(AF58="Muy baja",AH58="Moderado"),AND(AF58="Baja",AH58="Menor"),AND(AF58="Baja",AH58="Moderado"),AND(AF58="Media",AH58="Leve"),AND(AF58="Media",AH58="Menor"),AND(AF58="Media",AH58="Moderado"),AND(AF58="Alta",AH58="Leve"),AND(AF58="Alta",AH58="Menor")),"Moderado",IF(OR(AND(AF58="Muy Baja",AH58="Mayor"),AND(AF58="Baja",AH58="Mayor"),AND(AF58="Media",AH58="Mayor"),AND(AF58="Alta",AH58="Moderado"),AND(AF58="Alta",AH58="Mayor"),AND(AF58="Muy Alta",AH58="Leve"),AND(AF58="Muy Alta",AH58="Menor"),AND(AF58="Muy Alta",AH58="Moderado"),AND(AF58="Muy Alta",AH58="Mayor")),"Alto",IF(OR(AND(AF58="Muy Baja",AH58="Catastrófico"),AND(AF58="Baja",AH58="Catastrófico"),AND(AF58="Media",AH58="Catastrófico"),AND(AF58="Alta",AH58="Catastrófico"),AND(AF58="Muy Alta",AH58="Catastrófico")),"Extremo","")))),"")</f>
        <v/>
      </c>
      <c r="AK58" s="195"/>
      <c r="AL58" s="186"/>
      <c r="AM58" s="196"/>
      <c r="AN58" s="196"/>
      <c r="AO58" s="197"/>
      <c r="AP58" s="362"/>
      <c r="AQ58" s="362"/>
      <c r="AR58" s="362"/>
    </row>
    <row r="59" spans="1:44" x14ac:dyDescent="0.2">
      <c r="A59" s="379"/>
      <c r="B59" s="365"/>
      <c r="C59" s="365"/>
      <c r="D59" s="365"/>
      <c r="E59" s="365"/>
      <c r="F59" s="365"/>
      <c r="G59" s="337"/>
      <c r="H59" s="337"/>
      <c r="I59" s="337"/>
      <c r="J59" s="337"/>
      <c r="K59" s="337"/>
      <c r="L59" s="337"/>
      <c r="M59" s="337"/>
      <c r="N59" s="362"/>
      <c r="O59" s="347"/>
      <c r="P59" s="346"/>
      <c r="Q59" s="330"/>
      <c r="R59" s="346">
        <f>IF(NOT(ISERROR(MATCH(Q59,_xlfn.ANCHORARRAY(E70),0))),P72&amp;"Por favor no seleccionar los criterios de impacto",Q59)</f>
        <v>0</v>
      </c>
      <c r="S59" s="347"/>
      <c r="T59" s="346"/>
      <c r="U59" s="339"/>
      <c r="V59" s="222">
        <v>5</v>
      </c>
      <c r="W59" s="187"/>
      <c r="X59" s="189" t="str">
        <f t="shared" si="69"/>
        <v/>
      </c>
      <c r="Y59" s="190"/>
      <c r="Z59" s="190"/>
      <c r="AA59" s="191" t="str">
        <f t="shared" si="64"/>
        <v/>
      </c>
      <c r="AB59" s="190"/>
      <c r="AC59" s="190"/>
      <c r="AD59" s="190"/>
      <c r="AE59" s="192" t="str">
        <f t="shared" si="70"/>
        <v/>
      </c>
      <c r="AF59" s="193" t="str">
        <f t="shared" si="2"/>
        <v/>
      </c>
      <c r="AG59" s="191" t="str">
        <f t="shared" si="65"/>
        <v/>
      </c>
      <c r="AH59" s="193" t="str">
        <f t="shared" si="4"/>
        <v/>
      </c>
      <c r="AI59" s="191" t="str">
        <f t="shared" si="14"/>
        <v/>
      </c>
      <c r="AJ59" s="194" t="str">
        <f t="shared" ref="AJ59:AJ60" si="71">IFERROR(IF(OR(AND(AF59="Muy Baja",AH59="Leve"),AND(AF59="Muy Baja",AH59="Menor"),AND(AF59="Baja",AH59="Leve")),"Bajo",IF(OR(AND(AF59="Muy baja",AH59="Moderado"),AND(AF59="Baja",AH59="Menor"),AND(AF59="Baja",AH59="Moderado"),AND(AF59="Media",AH59="Leve"),AND(AF59="Media",AH59="Menor"),AND(AF59="Media",AH59="Moderado"),AND(AF59="Alta",AH59="Leve"),AND(AF59="Alta",AH59="Menor")),"Moderado",IF(OR(AND(AF59="Muy Baja",AH59="Mayor"),AND(AF59="Baja",AH59="Mayor"),AND(AF59="Media",AH59="Mayor"),AND(AF59="Alta",AH59="Moderado"),AND(AF59="Alta",AH59="Mayor"),AND(AF59="Muy Alta",AH59="Leve"),AND(AF59="Muy Alta",AH59="Menor"),AND(AF59="Muy Alta",AH59="Moderado"),AND(AF59="Muy Alta",AH59="Mayor")),"Alto",IF(OR(AND(AF59="Muy Baja",AH59="Catastrófico"),AND(AF59="Baja",AH59="Catastrófico"),AND(AF59="Media",AH59="Catastrófico"),AND(AF59="Alta",AH59="Catastrófico"),AND(AF59="Muy Alta",AH59="Catastrófico")),"Extremo","")))),"")</f>
        <v/>
      </c>
      <c r="AK59" s="195"/>
      <c r="AL59" s="186"/>
      <c r="AM59" s="196"/>
      <c r="AN59" s="196"/>
      <c r="AO59" s="197"/>
      <c r="AP59" s="362"/>
      <c r="AQ59" s="362"/>
      <c r="AR59" s="362"/>
    </row>
    <row r="60" spans="1:44" x14ac:dyDescent="0.2">
      <c r="A60" s="379"/>
      <c r="B60" s="365"/>
      <c r="C60" s="365"/>
      <c r="D60" s="365"/>
      <c r="E60" s="365"/>
      <c r="F60" s="365"/>
      <c r="G60" s="338"/>
      <c r="H60" s="338"/>
      <c r="I60" s="338"/>
      <c r="J60" s="338"/>
      <c r="K60" s="338"/>
      <c r="L60" s="338"/>
      <c r="M60" s="338"/>
      <c r="N60" s="362"/>
      <c r="O60" s="347"/>
      <c r="P60" s="346"/>
      <c r="Q60" s="330"/>
      <c r="R60" s="346">
        <f>IF(NOT(ISERROR(MATCH(Q60,_xlfn.ANCHORARRAY(E71),0))),Q73&amp;"Por favor no seleccionar los criterios de impacto",Q60)</f>
        <v>0</v>
      </c>
      <c r="S60" s="347"/>
      <c r="T60" s="346"/>
      <c r="U60" s="339"/>
      <c r="V60" s="222">
        <v>6</v>
      </c>
      <c r="W60" s="187"/>
      <c r="X60" s="189" t="str">
        <f t="shared" si="69"/>
        <v/>
      </c>
      <c r="Y60" s="190"/>
      <c r="Z60" s="190"/>
      <c r="AA60" s="191" t="str">
        <f t="shared" si="64"/>
        <v/>
      </c>
      <c r="AB60" s="190"/>
      <c r="AC60" s="190"/>
      <c r="AD60" s="190"/>
      <c r="AE60" s="192" t="str">
        <f t="shared" si="70"/>
        <v/>
      </c>
      <c r="AF60" s="193" t="str">
        <f t="shared" si="2"/>
        <v/>
      </c>
      <c r="AG60" s="191" t="str">
        <f t="shared" si="65"/>
        <v/>
      </c>
      <c r="AH60" s="193" t="str">
        <f t="shared" si="4"/>
        <v/>
      </c>
      <c r="AI60" s="191" t="str">
        <f t="shared" si="14"/>
        <v/>
      </c>
      <c r="AJ60" s="194" t="str">
        <f t="shared" si="71"/>
        <v/>
      </c>
      <c r="AK60" s="195"/>
      <c r="AL60" s="186"/>
      <c r="AM60" s="196"/>
      <c r="AN60" s="196"/>
      <c r="AO60" s="197"/>
      <c r="AP60" s="362"/>
      <c r="AQ60" s="362"/>
      <c r="AR60" s="362"/>
    </row>
    <row r="61" spans="1:44" x14ac:dyDescent="0.2">
      <c r="A61" s="379">
        <v>9</v>
      </c>
      <c r="B61" s="365"/>
      <c r="C61" s="365"/>
      <c r="D61" s="365"/>
      <c r="E61" s="365"/>
      <c r="F61" s="365"/>
      <c r="G61" s="336"/>
      <c r="H61" s="336"/>
      <c r="I61" s="229"/>
      <c r="J61" s="229"/>
      <c r="K61" s="229"/>
      <c r="L61" s="336"/>
      <c r="M61" s="336"/>
      <c r="N61" s="362"/>
      <c r="O61" s="347" t="str">
        <f>IF(N61&lt;=0,"",IF(N61&lt;=2,"Muy Baja",IF(N61&lt;=24,"Baja",IF(N61&lt;=500,"Media",IF(N61&lt;=5000,"Alta","Muy Alta")))))</f>
        <v/>
      </c>
      <c r="P61" s="346" t="str">
        <f>IF(O61="","",IF(O61="Muy Baja",0.2,IF(O61="Baja",0.4,IF(O61="Media",0.6,IF(O61="Alta",0.8,IF(O61="Muy Alta",1,))))))</f>
        <v/>
      </c>
      <c r="Q61" s="330"/>
      <c r="R61" s="346">
        <f>IF(NOT(ISERROR(MATCH(Q61,'Tabla Impacto'!$B$222:$B$224,0))),'Tabla Impacto'!$F$224&amp;"Por favor no seleccionar los criterios de impacto(Afectación Económica o presupuestal y Pérdida Reputacional)",Q61)</f>
        <v>0</v>
      </c>
      <c r="S61" s="347" t="str">
        <f>IF(OR(R61='Tabla Impacto'!$C$12,R61='Tabla Impacto'!$D$12),"Leve",IF(OR(R61='Tabla Impacto'!$C$13,R61='Tabla Impacto'!$D$13),"Menor",IF(OR(R61='Tabla Impacto'!$C$14,R61='Tabla Impacto'!$D$14),"Moderado",IF(OR(R61='Tabla Impacto'!$C$15,R61='Tabla Impacto'!$D$15),"Mayor",IF(OR(R61='Tabla Impacto'!$C$16,R61='Tabla Impacto'!$D$16),"Catastrófico","")))))</f>
        <v/>
      </c>
      <c r="T61" s="346" t="str">
        <f>IF(S61="","",IF(S61="Leve",0.2,IF(S61="Menor",0.4,IF(S61="Moderado",0.6,IF(S61="Mayor",0.8,IF(S61="Catastrófico",1,))))))</f>
        <v/>
      </c>
      <c r="U61" s="339" t="str">
        <f>IF(OR(AND(O61="Muy Baja",S61="Leve"),AND(O61="Muy Baja",S61="Menor"),AND(O61="Baja",S61="Leve")),"Bajo",IF(OR(AND(O61="Muy baja",S61="Moderado"),AND(O61="Baja",S61="Menor"),AND(O61="Baja",S61="Moderado"),AND(O61="Media",S61="Leve"),AND(O61="Media",S61="Menor"),AND(O61="Media",S61="Moderado"),AND(O61="Alta",S61="Leve"),AND(O61="Alta",S61="Menor")),"Moderado",IF(OR(AND(O61="Muy Baja",S61="Mayor"),AND(O61="Baja",S61="Mayor"),AND(O61="Media",S61="Mayor"),AND(O61="Alta",S61="Moderado"),AND(O61="Alta",S61="Mayor"),AND(O61="Muy Alta",S61="Leve"),AND(O61="Muy Alta",S61="Menor"),AND(O61="Muy Alta",S61="Moderado"),AND(O61="Muy Alta",S61="Mayor")),"Alto",IF(OR(AND(O61="Muy Baja",S61="Catastrófico"),AND(O61="Baja",S61="Catastrófico"),AND(O61="Media",S61="Catastrófico"),AND(O61="Alta",S61="Catastrófico"),AND(O61="Muy Alta",S61="Catastrófico")),"Extremo",""))))</f>
        <v/>
      </c>
      <c r="V61" s="222">
        <v>1</v>
      </c>
      <c r="W61" s="187"/>
      <c r="X61" s="189" t="str">
        <f>IF(OR(Y61="Preventivo",Y61="Detectivo"),"Probabilidad",IF(Y61="Correctivo","Impacto",""))</f>
        <v/>
      </c>
      <c r="Y61" s="190"/>
      <c r="Z61" s="190"/>
      <c r="AA61" s="191" t="str">
        <f>IF(AND(Y61="Preventivo",Z61="Automático"),"50%",IF(AND(Y61="Preventivo",Z61="Manual"),"40%",IF(AND(Y61="Detectivo",Z61="Automático"),"40%",IF(AND(Y61="Detectivo",Z61="Manual"),"30%",IF(AND(Y61="Correctivo",Z61="Automático"),"35%",IF(AND(Y61="Correctivo",Z61="Manual"),"25%",""))))))</f>
        <v/>
      </c>
      <c r="AB61" s="190"/>
      <c r="AC61" s="190"/>
      <c r="AD61" s="190"/>
      <c r="AE61" s="192" t="str">
        <f>IFERROR(IF(X61="Probabilidad",(P61-(+P61*AA61)),IF(X61="Impacto",P61,"")),"")</f>
        <v/>
      </c>
      <c r="AF61" s="193" t="str">
        <f>IFERROR(IF(AE61="","",IF(AE61&lt;=0.2,"Muy Baja",IF(AE61&lt;=0.4,"Baja",IF(AE61&lt;=0.6,"Media",IF(AE61&lt;=0.8,"Alta","Muy Alta"))))),"")</f>
        <v/>
      </c>
      <c r="AG61" s="191" t="str">
        <f>+AE61</f>
        <v/>
      </c>
      <c r="AH61" s="193" t="str">
        <f>IFERROR(IF(AI61="","",IF(AI61&lt;=0.2,"Leve",IF(AI61&lt;=0.4,"Menor",IF(AI61&lt;=0.6,"Moderado",IF(AI61&lt;=0.8,"Mayor","Catastrófico"))))),"")</f>
        <v/>
      </c>
      <c r="AI61" s="191" t="str">
        <f t="shared" ref="AI61" si="72">IFERROR(IF(X61="Impacto",(T61-(+T61*AA61)),IF(X61="Probabilidad",T61,"")),"")</f>
        <v/>
      </c>
      <c r="AJ61" s="194" t="str">
        <f>IFERROR(IF(OR(AND(AF61="Muy Baja",AH61="Leve"),AND(AF61="Muy Baja",AH61="Menor"),AND(AF61="Baja",AH61="Leve")),"Bajo",IF(OR(AND(AF61="Muy baja",AH61="Moderado"),AND(AF61="Baja",AH61="Menor"),AND(AF61="Baja",AH61="Moderado"),AND(AF61="Media",AH61="Leve"),AND(AF61="Media",AH61="Menor"),AND(AF61="Media",AH61="Moderado"),AND(AF61="Alta",AH61="Leve"),AND(AF61="Alta",AH61="Menor")),"Moderado",IF(OR(AND(AF61="Muy Baja",AH61="Mayor"),AND(AF61="Baja",AH61="Mayor"),AND(AF61="Media",AH61="Mayor"),AND(AF61="Alta",AH61="Moderado"),AND(AF61="Alta",AH61="Mayor"),AND(AF61="Muy Alta",AH61="Leve"),AND(AF61="Muy Alta",AH61="Menor"),AND(AF61="Muy Alta",AH61="Moderado"),AND(AF61="Muy Alta",AH61="Mayor")),"Alto",IF(OR(AND(AF61="Muy Baja",AH61="Catastrófico"),AND(AF61="Baja",AH61="Catastrófico"),AND(AF61="Media",AH61="Catastrófico"),AND(AF61="Alta",AH61="Catastrófico"),AND(AF61="Muy Alta",AH61="Catastrófico")),"Extremo","")))),"")</f>
        <v/>
      </c>
      <c r="AK61" s="195"/>
      <c r="AL61" s="186"/>
      <c r="AM61" s="196"/>
      <c r="AN61" s="196"/>
      <c r="AO61" s="197"/>
      <c r="AP61" s="362"/>
      <c r="AQ61" s="362"/>
      <c r="AR61" s="362"/>
    </row>
    <row r="62" spans="1:44" x14ac:dyDescent="0.2">
      <c r="A62" s="379"/>
      <c r="B62" s="365"/>
      <c r="C62" s="365"/>
      <c r="D62" s="365"/>
      <c r="E62" s="365"/>
      <c r="F62" s="365"/>
      <c r="G62" s="337"/>
      <c r="H62" s="337"/>
      <c r="I62" s="230"/>
      <c r="J62" s="230"/>
      <c r="K62" s="230"/>
      <c r="L62" s="337"/>
      <c r="M62" s="337"/>
      <c r="N62" s="362"/>
      <c r="O62" s="347"/>
      <c r="P62" s="346"/>
      <c r="Q62" s="330"/>
      <c r="R62" s="346">
        <f>IF(NOT(ISERROR(MATCH(Q62,_xlfn.ANCHORARRAY(F73),0))),Q75&amp;"Por favor no seleccionar los criterios de impacto",Q62)</f>
        <v>0</v>
      </c>
      <c r="S62" s="347"/>
      <c r="T62" s="346"/>
      <c r="U62" s="339"/>
      <c r="V62" s="222">
        <v>2</v>
      </c>
      <c r="W62" s="187"/>
      <c r="X62" s="189" t="str">
        <f>IF(OR(Y62="Preventivo",Y62="Detectivo"),"Probabilidad",IF(Y62="Correctivo","Impacto",""))</f>
        <v/>
      </c>
      <c r="Y62" s="190"/>
      <c r="Z62" s="190"/>
      <c r="AA62" s="191" t="str">
        <f t="shared" ref="AA62:AA66" si="73">IF(AND(Y62="Preventivo",Z62="Automático"),"50%",IF(AND(Y62="Preventivo",Z62="Manual"),"40%",IF(AND(Y62="Detectivo",Z62="Automático"),"40%",IF(AND(Y62="Detectivo",Z62="Manual"),"30%",IF(AND(Y62="Correctivo",Z62="Automático"),"35%",IF(AND(Y62="Correctivo",Z62="Manual"),"25%",""))))))</f>
        <v/>
      </c>
      <c r="AB62" s="190"/>
      <c r="AC62" s="190"/>
      <c r="AD62" s="190"/>
      <c r="AE62" s="192" t="str">
        <f>IFERROR(IF(AND(X61="Probabilidad",X62="Probabilidad"),(AG61-(+AG61*AA62)),IF(X62="Probabilidad",(P61-(+P61*AA62)),IF(X62="Impacto",AG61,""))),"")</f>
        <v/>
      </c>
      <c r="AF62" s="193" t="str">
        <f t="shared" si="2"/>
        <v/>
      </c>
      <c r="AG62" s="191" t="str">
        <f t="shared" ref="AG62:AG66" si="74">+AE62</f>
        <v/>
      </c>
      <c r="AH62" s="193" t="str">
        <f t="shared" si="4"/>
        <v/>
      </c>
      <c r="AI62" s="191" t="str">
        <f t="shared" ref="AI62" si="75">IFERROR(IF(AND(X61="Impacto",X62="Impacto"),(AI61-(+AI61*AA62)),IF(X62="Impacto",($T$13-(+$T$13*AA62)),IF(X62="Probabilidad",AI61,""))),"")</f>
        <v/>
      </c>
      <c r="AJ62" s="194" t="str">
        <f t="shared" ref="AJ62:AJ63" si="76">IFERROR(IF(OR(AND(AF62="Muy Baja",AH62="Leve"),AND(AF62="Muy Baja",AH62="Menor"),AND(AF62="Baja",AH62="Leve")),"Bajo",IF(OR(AND(AF62="Muy baja",AH62="Moderado"),AND(AF62="Baja",AH62="Menor"),AND(AF62="Baja",AH62="Moderado"),AND(AF62="Media",AH62="Leve"),AND(AF62="Media",AH62="Menor"),AND(AF62="Media",AH62="Moderado"),AND(AF62="Alta",AH62="Leve"),AND(AF62="Alta",AH62="Menor")),"Moderado",IF(OR(AND(AF62="Muy Baja",AH62="Mayor"),AND(AF62="Baja",AH62="Mayor"),AND(AF62="Media",AH62="Mayor"),AND(AF62="Alta",AH62="Moderado"),AND(AF62="Alta",AH62="Mayor"),AND(AF62="Muy Alta",AH62="Leve"),AND(AF62="Muy Alta",AH62="Menor"),AND(AF62="Muy Alta",AH62="Moderado"),AND(AF62="Muy Alta",AH62="Mayor")),"Alto",IF(OR(AND(AF62="Muy Baja",AH62="Catastrófico"),AND(AF62="Baja",AH62="Catastrófico"),AND(AF62="Media",AH62="Catastrófico"),AND(AF62="Alta",AH62="Catastrófico"),AND(AF62="Muy Alta",AH62="Catastrófico")),"Extremo","")))),"")</f>
        <v/>
      </c>
      <c r="AK62" s="195"/>
      <c r="AL62" s="186"/>
      <c r="AM62" s="196"/>
      <c r="AN62" s="196"/>
      <c r="AO62" s="197"/>
      <c r="AP62" s="362"/>
      <c r="AQ62" s="362"/>
      <c r="AR62" s="362"/>
    </row>
    <row r="63" spans="1:44" x14ac:dyDescent="0.2">
      <c r="A63" s="379"/>
      <c r="B63" s="365"/>
      <c r="C63" s="365"/>
      <c r="D63" s="365"/>
      <c r="E63" s="365"/>
      <c r="F63" s="365"/>
      <c r="G63" s="337"/>
      <c r="H63" s="337"/>
      <c r="I63" s="230"/>
      <c r="J63" s="230"/>
      <c r="K63" s="230"/>
      <c r="L63" s="337"/>
      <c r="M63" s="337"/>
      <c r="N63" s="362"/>
      <c r="O63" s="347"/>
      <c r="P63" s="346"/>
      <c r="Q63" s="330"/>
      <c r="R63" s="346">
        <f>IF(NOT(ISERROR(MATCH(Q63,_xlfn.ANCHORARRAY(F74),0))),Q76&amp;"Por favor no seleccionar los criterios de impacto",Q63)</f>
        <v>0</v>
      </c>
      <c r="S63" s="347"/>
      <c r="T63" s="346"/>
      <c r="U63" s="339"/>
      <c r="V63" s="222">
        <v>3</v>
      </c>
      <c r="W63" s="187"/>
      <c r="X63" s="189" t="str">
        <f>IF(OR(Y63="Preventivo",Y63="Detectivo"),"Probabilidad",IF(Y63="Correctivo","Impacto",""))</f>
        <v/>
      </c>
      <c r="Y63" s="190"/>
      <c r="Z63" s="190"/>
      <c r="AA63" s="191" t="str">
        <f t="shared" si="73"/>
        <v/>
      </c>
      <c r="AB63" s="190"/>
      <c r="AC63" s="190"/>
      <c r="AD63" s="190"/>
      <c r="AE63" s="192" t="str">
        <f>IFERROR(IF(AND(X62="Probabilidad",X63="Probabilidad"),(AG62-(+AG62*AA63)),IF(AND(X62="Impacto",X63="Probabilidad"),(AG61-(+AG61*AA63)),IF(X63="Impacto",AG62,""))),"")</f>
        <v/>
      </c>
      <c r="AF63" s="193" t="str">
        <f t="shared" si="2"/>
        <v/>
      </c>
      <c r="AG63" s="191" t="str">
        <f t="shared" si="74"/>
        <v/>
      </c>
      <c r="AH63" s="193" t="str">
        <f t="shared" si="4"/>
        <v/>
      </c>
      <c r="AI63" s="191" t="str">
        <f t="shared" ref="AI63" si="77">IFERROR(IF(AND(X62="Impacto",X63="Impacto"),(AI62-(+AI62*AA63)),IF(AND(X62="Probabilidad",X63="Impacto"),(AI61-(+AI61*AA63)),IF(X63="Probabilidad",AI62,""))),"")</f>
        <v/>
      </c>
      <c r="AJ63" s="194" t="str">
        <f t="shared" si="76"/>
        <v/>
      </c>
      <c r="AK63" s="195"/>
      <c r="AL63" s="186"/>
      <c r="AM63" s="196"/>
      <c r="AN63" s="196"/>
      <c r="AO63" s="197"/>
      <c r="AP63" s="362"/>
      <c r="AQ63" s="362"/>
      <c r="AR63" s="362"/>
    </row>
    <row r="64" spans="1:44" x14ac:dyDescent="0.2">
      <c r="A64" s="379"/>
      <c r="B64" s="365"/>
      <c r="C64" s="365"/>
      <c r="D64" s="365"/>
      <c r="E64" s="365"/>
      <c r="F64" s="365"/>
      <c r="G64" s="337"/>
      <c r="H64" s="337"/>
      <c r="I64" s="230"/>
      <c r="J64" s="230"/>
      <c r="K64" s="230"/>
      <c r="L64" s="337"/>
      <c r="M64" s="337"/>
      <c r="N64" s="362"/>
      <c r="O64" s="347"/>
      <c r="P64" s="346"/>
      <c r="Q64" s="330"/>
      <c r="R64" s="346">
        <f>IF(NOT(ISERROR(MATCH(Q64,_xlfn.ANCHORARRAY(F75),0))),Q77&amp;"Por favor no seleccionar los criterios de impacto",Q64)</f>
        <v>0</v>
      </c>
      <c r="S64" s="347"/>
      <c r="T64" s="346"/>
      <c r="U64" s="339"/>
      <c r="V64" s="222">
        <v>4</v>
      </c>
      <c r="W64" s="187"/>
      <c r="X64" s="189" t="str">
        <f t="shared" ref="X64:X66" si="78">IF(OR(Y64="Preventivo",Y64="Detectivo"),"Probabilidad",IF(Y64="Correctivo","Impacto",""))</f>
        <v/>
      </c>
      <c r="Y64" s="190"/>
      <c r="Z64" s="190"/>
      <c r="AA64" s="191" t="str">
        <f t="shared" si="73"/>
        <v/>
      </c>
      <c r="AB64" s="190"/>
      <c r="AC64" s="190"/>
      <c r="AD64" s="190"/>
      <c r="AE64" s="192" t="str">
        <f t="shared" ref="AE64:AE66" si="79">IFERROR(IF(AND(X63="Probabilidad",X64="Probabilidad"),(AG63-(+AG63*AA64)),IF(AND(X63="Impacto",X64="Probabilidad"),(AG62-(+AG62*AA64)),IF(X64="Impacto",AG63,""))),"")</f>
        <v/>
      </c>
      <c r="AF64" s="193" t="str">
        <f t="shared" si="2"/>
        <v/>
      </c>
      <c r="AG64" s="191" t="str">
        <f t="shared" si="74"/>
        <v/>
      </c>
      <c r="AH64" s="193" t="str">
        <f t="shared" si="4"/>
        <v/>
      </c>
      <c r="AI64" s="191" t="str">
        <f t="shared" si="14"/>
        <v/>
      </c>
      <c r="AJ64" s="194" t="str">
        <f>IFERROR(IF(OR(AND(AF64="Muy Baja",AH64="Leve"),AND(AF64="Muy Baja",AH64="Menor"),AND(AF64="Baja",AH64="Leve")),"Bajo",IF(OR(AND(AF64="Muy baja",AH64="Moderado"),AND(AF64="Baja",AH64="Menor"),AND(AF64="Baja",AH64="Moderado"),AND(AF64="Media",AH64="Leve"),AND(AF64="Media",AH64="Menor"),AND(AF64="Media",AH64="Moderado"),AND(AF64="Alta",AH64="Leve"),AND(AF64="Alta",AH64="Menor")),"Moderado",IF(OR(AND(AF64="Muy Baja",AH64="Mayor"),AND(AF64="Baja",AH64="Mayor"),AND(AF64="Media",AH64="Mayor"),AND(AF64="Alta",AH64="Moderado"),AND(AF64="Alta",AH64="Mayor"),AND(AF64="Muy Alta",AH64="Leve"),AND(AF64="Muy Alta",AH64="Menor"),AND(AF64="Muy Alta",AH64="Moderado"),AND(AF64="Muy Alta",AH64="Mayor")),"Alto",IF(OR(AND(AF64="Muy Baja",AH64="Catastrófico"),AND(AF64="Baja",AH64="Catastrófico"),AND(AF64="Media",AH64="Catastrófico"),AND(AF64="Alta",AH64="Catastrófico"),AND(AF64="Muy Alta",AH64="Catastrófico")),"Extremo","")))),"")</f>
        <v/>
      </c>
      <c r="AK64" s="195"/>
      <c r="AL64" s="186"/>
      <c r="AM64" s="196"/>
      <c r="AN64" s="196"/>
      <c r="AO64" s="197"/>
      <c r="AP64" s="362"/>
      <c r="AQ64" s="362"/>
      <c r="AR64" s="362"/>
    </row>
    <row r="65" spans="1:44" x14ac:dyDescent="0.2">
      <c r="A65" s="379"/>
      <c r="B65" s="365"/>
      <c r="C65" s="365"/>
      <c r="D65" s="365"/>
      <c r="E65" s="365"/>
      <c r="F65" s="365"/>
      <c r="G65" s="337"/>
      <c r="H65" s="337"/>
      <c r="I65" s="230"/>
      <c r="J65" s="230"/>
      <c r="K65" s="230"/>
      <c r="L65" s="337"/>
      <c r="M65" s="337"/>
      <c r="N65" s="362"/>
      <c r="O65" s="347"/>
      <c r="P65" s="346"/>
      <c r="Q65" s="330"/>
      <c r="R65" s="346">
        <f>IF(NOT(ISERROR(MATCH(Q65,_xlfn.ANCHORARRAY(F76),0))),Q78&amp;"Por favor no seleccionar los criterios de impacto",Q65)</f>
        <v>0</v>
      </c>
      <c r="S65" s="347"/>
      <c r="T65" s="346"/>
      <c r="U65" s="339"/>
      <c r="V65" s="222">
        <v>5</v>
      </c>
      <c r="W65" s="187"/>
      <c r="X65" s="189" t="str">
        <f t="shared" si="78"/>
        <v/>
      </c>
      <c r="Y65" s="190"/>
      <c r="Z65" s="190"/>
      <c r="AA65" s="191" t="str">
        <f t="shared" si="73"/>
        <v/>
      </c>
      <c r="AB65" s="190"/>
      <c r="AC65" s="190"/>
      <c r="AD65" s="190"/>
      <c r="AE65" s="192" t="str">
        <f t="shared" si="79"/>
        <v/>
      </c>
      <c r="AF65" s="193" t="str">
        <f t="shared" si="2"/>
        <v/>
      </c>
      <c r="AG65" s="191" t="str">
        <f t="shared" si="74"/>
        <v/>
      </c>
      <c r="AH65" s="193" t="str">
        <f t="shared" si="4"/>
        <v/>
      </c>
      <c r="AI65" s="191" t="str">
        <f t="shared" si="14"/>
        <v/>
      </c>
      <c r="AJ65" s="194" t="str">
        <f t="shared" ref="AJ65:AJ66" si="80">IFERROR(IF(OR(AND(AF65="Muy Baja",AH65="Leve"),AND(AF65="Muy Baja",AH65="Menor"),AND(AF65="Baja",AH65="Leve")),"Bajo",IF(OR(AND(AF65="Muy baja",AH65="Moderado"),AND(AF65="Baja",AH65="Menor"),AND(AF65="Baja",AH65="Moderado"),AND(AF65="Media",AH65="Leve"),AND(AF65="Media",AH65="Menor"),AND(AF65="Media",AH65="Moderado"),AND(AF65="Alta",AH65="Leve"),AND(AF65="Alta",AH65="Menor")),"Moderado",IF(OR(AND(AF65="Muy Baja",AH65="Mayor"),AND(AF65="Baja",AH65="Mayor"),AND(AF65="Media",AH65="Mayor"),AND(AF65="Alta",AH65="Moderado"),AND(AF65="Alta",AH65="Mayor"),AND(AF65="Muy Alta",AH65="Leve"),AND(AF65="Muy Alta",AH65="Menor"),AND(AF65="Muy Alta",AH65="Moderado"),AND(AF65="Muy Alta",AH65="Mayor")),"Alto",IF(OR(AND(AF65="Muy Baja",AH65="Catastrófico"),AND(AF65="Baja",AH65="Catastrófico"),AND(AF65="Media",AH65="Catastrófico"),AND(AF65="Alta",AH65="Catastrófico"),AND(AF65="Muy Alta",AH65="Catastrófico")),"Extremo","")))),"")</f>
        <v/>
      </c>
      <c r="AK65" s="195"/>
      <c r="AL65" s="186"/>
      <c r="AM65" s="196"/>
      <c r="AN65" s="196"/>
      <c r="AO65" s="197"/>
      <c r="AP65" s="362"/>
      <c r="AQ65" s="362"/>
      <c r="AR65" s="362"/>
    </row>
    <row r="66" spans="1:44" x14ac:dyDescent="0.2">
      <c r="A66" s="379"/>
      <c r="B66" s="365"/>
      <c r="C66" s="365"/>
      <c r="D66" s="365"/>
      <c r="E66" s="365"/>
      <c r="F66" s="365"/>
      <c r="G66" s="338"/>
      <c r="H66" s="338"/>
      <c r="I66" s="231"/>
      <c r="J66" s="231"/>
      <c r="K66" s="231"/>
      <c r="L66" s="338"/>
      <c r="M66" s="338"/>
      <c r="N66" s="362"/>
      <c r="O66" s="347"/>
      <c r="P66" s="346"/>
      <c r="Q66" s="330"/>
      <c r="R66" s="346">
        <f>IF(NOT(ISERROR(MATCH(Q66,_xlfn.ANCHORARRAY(F77),0))),Q79&amp;"Por favor no seleccionar los criterios de impacto",Q66)</f>
        <v>0</v>
      </c>
      <c r="S66" s="347"/>
      <c r="T66" s="346"/>
      <c r="U66" s="339"/>
      <c r="V66" s="222">
        <v>6</v>
      </c>
      <c r="W66" s="187"/>
      <c r="X66" s="189" t="str">
        <f t="shared" si="78"/>
        <v/>
      </c>
      <c r="Y66" s="190"/>
      <c r="Z66" s="190"/>
      <c r="AA66" s="191" t="str">
        <f t="shared" si="73"/>
        <v/>
      </c>
      <c r="AB66" s="190"/>
      <c r="AC66" s="190"/>
      <c r="AD66" s="190"/>
      <c r="AE66" s="192" t="str">
        <f t="shared" si="79"/>
        <v/>
      </c>
      <c r="AF66" s="193" t="str">
        <f t="shared" si="2"/>
        <v/>
      </c>
      <c r="AG66" s="191" t="str">
        <f t="shared" si="74"/>
        <v/>
      </c>
      <c r="AH66" s="193" t="str">
        <f t="shared" si="4"/>
        <v/>
      </c>
      <c r="AI66" s="191" t="str">
        <f t="shared" si="14"/>
        <v/>
      </c>
      <c r="AJ66" s="194" t="str">
        <f t="shared" si="80"/>
        <v/>
      </c>
      <c r="AK66" s="195"/>
      <c r="AL66" s="186"/>
      <c r="AM66" s="196"/>
      <c r="AN66" s="196"/>
      <c r="AO66" s="197"/>
      <c r="AP66" s="362"/>
      <c r="AQ66" s="362"/>
      <c r="AR66" s="362"/>
    </row>
    <row r="67" spans="1:44" x14ac:dyDescent="0.2">
      <c r="A67" s="379">
        <v>10</v>
      </c>
      <c r="B67" s="365"/>
      <c r="C67" s="365"/>
      <c r="D67" s="365"/>
      <c r="E67" s="365"/>
      <c r="F67" s="365"/>
      <c r="G67" s="336"/>
      <c r="H67" s="336"/>
      <c r="I67" s="229"/>
      <c r="J67" s="229"/>
      <c r="K67" s="229"/>
      <c r="L67" s="336"/>
      <c r="M67" s="336"/>
      <c r="N67" s="362"/>
      <c r="O67" s="347" t="str">
        <f>IF(N67&lt;=0,"",IF(N67&lt;=2,"Muy Baja",IF(N67&lt;=24,"Baja",IF(N67&lt;=500,"Media",IF(N67&lt;=5000,"Alta","Muy Alta")))))</f>
        <v/>
      </c>
      <c r="P67" s="346" t="str">
        <f>IF(O67="","",IF(O67="Muy Baja",0.2,IF(O67="Baja",0.4,IF(O67="Media",0.6,IF(O67="Alta",0.8,IF(O67="Muy Alta",1,))))))</f>
        <v/>
      </c>
      <c r="Q67" s="330"/>
      <c r="R67" s="346">
        <f>IF(NOT(ISERROR(MATCH(Q67,'Tabla Impacto'!$B$222:$B$224,0))),'Tabla Impacto'!$F$224&amp;"Por favor no seleccionar los criterios de impacto(Afectación Económica o presupuestal y Pérdida Reputacional)",Q67)</f>
        <v>0</v>
      </c>
      <c r="S67" s="347" t="str">
        <f>IF(OR(R67='Tabla Impacto'!$C$12,R67='Tabla Impacto'!$D$12),"Leve",IF(OR(R67='Tabla Impacto'!$C$13,R67='Tabla Impacto'!$D$13),"Menor",IF(OR(R67='Tabla Impacto'!$C$14,R67='Tabla Impacto'!$D$14),"Moderado",IF(OR(R67='Tabla Impacto'!$C$15,R67='Tabla Impacto'!$D$15),"Mayor",IF(OR(R67='Tabla Impacto'!$C$16,R67='Tabla Impacto'!$D$16),"Catastrófico","")))))</f>
        <v/>
      </c>
      <c r="T67" s="346" t="str">
        <f>IF(S67="","",IF(S67="Leve",0.2,IF(S67="Menor",0.4,IF(S67="Moderado",0.6,IF(S67="Mayor",0.8,IF(S67="Catastrófico",1,))))))</f>
        <v/>
      </c>
      <c r="U67" s="339" t="str">
        <f>IF(OR(AND(O67="Muy Baja",S67="Leve"),AND(O67="Muy Baja",S67="Menor"),AND(O67="Baja",S67="Leve")),"Bajo",IF(OR(AND(O67="Muy baja",S67="Moderado"),AND(O67="Baja",S67="Menor"),AND(O67="Baja",S67="Moderado"),AND(O67="Media",S67="Leve"),AND(O67="Media",S67="Menor"),AND(O67="Media",S67="Moderado"),AND(O67="Alta",S67="Leve"),AND(O67="Alta",S67="Menor")),"Moderado",IF(OR(AND(O67="Muy Baja",S67="Mayor"),AND(O67="Baja",S67="Mayor"),AND(O67="Media",S67="Mayor"),AND(O67="Alta",S67="Moderado"),AND(O67="Alta",S67="Mayor"),AND(O67="Muy Alta",S67="Leve"),AND(O67="Muy Alta",S67="Menor"),AND(O67="Muy Alta",S67="Moderado"),AND(O67="Muy Alta",S67="Mayor")),"Alto",IF(OR(AND(O67="Muy Baja",S67="Catastrófico"),AND(O67="Baja",S67="Catastrófico"),AND(O67="Media",S67="Catastrófico"),AND(O67="Alta",S67="Catastrófico"),AND(O67="Muy Alta",S67="Catastrófico")),"Extremo",""))))</f>
        <v/>
      </c>
      <c r="V67" s="222">
        <v>1</v>
      </c>
      <c r="W67" s="187"/>
      <c r="X67" s="189" t="str">
        <f>IF(OR(Y67="Preventivo",Y67="Detectivo"),"Probabilidad",IF(Y67="Correctivo","Impacto",""))</f>
        <v/>
      </c>
      <c r="Y67" s="190"/>
      <c r="Z67" s="190"/>
      <c r="AA67" s="191" t="str">
        <f>IF(AND(Y67="Preventivo",Z67="Automático"),"50%",IF(AND(Y67="Preventivo",Z67="Manual"),"40%",IF(AND(Y67="Detectivo",Z67="Automático"),"40%",IF(AND(Y67="Detectivo",Z67="Manual"),"30%",IF(AND(Y67="Correctivo",Z67="Automático"),"35%",IF(AND(Y67="Correctivo",Z67="Manual"),"25%",""))))))</f>
        <v/>
      </c>
      <c r="AB67" s="190"/>
      <c r="AC67" s="190"/>
      <c r="AD67" s="190"/>
      <c r="AE67" s="192" t="str">
        <f>IFERROR(IF(X67="Probabilidad",(P67-(+P67*AA67)),IF(X67="Impacto",P67,"")),"")</f>
        <v/>
      </c>
      <c r="AF67" s="193" t="str">
        <f>IFERROR(IF(AE67="","",IF(AE67&lt;=0.2,"Muy Baja",IF(AE67&lt;=0.4,"Baja",IF(AE67&lt;=0.6,"Media",IF(AE67&lt;=0.8,"Alta","Muy Alta"))))),"")</f>
        <v/>
      </c>
      <c r="AG67" s="191" t="str">
        <f>+AE67</f>
        <v/>
      </c>
      <c r="AH67" s="193" t="str">
        <f>IFERROR(IF(AI67="","",IF(AI67&lt;=0.2,"Leve",IF(AI67&lt;=0.4,"Menor",IF(AI67&lt;=0.6,"Moderado",IF(AI67&lt;=0.8,"Mayor","Catastrófico"))))),"")</f>
        <v/>
      </c>
      <c r="AI67" s="191" t="str">
        <f t="shared" ref="AI67" si="81">IFERROR(IF(X67="Impacto",(T67-(+T67*AA67)),IF(X67="Probabilidad",T67,"")),"")</f>
        <v/>
      </c>
      <c r="AJ67" s="194" t="str">
        <f>IFERROR(IF(OR(AND(AF67="Muy Baja",AH67="Leve"),AND(AF67="Muy Baja",AH67="Menor"),AND(AF67="Baja",AH67="Leve")),"Bajo",IF(OR(AND(AF67="Muy baja",AH67="Moderado"),AND(AF67="Baja",AH67="Menor"),AND(AF67="Baja",AH67="Moderado"),AND(AF67="Media",AH67="Leve"),AND(AF67="Media",AH67="Menor"),AND(AF67="Media",AH67="Moderado"),AND(AF67="Alta",AH67="Leve"),AND(AF67="Alta",AH67="Menor")),"Moderado",IF(OR(AND(AF67="Muy Baja",AH67="Mayor"),AND(AF67="Baja",AH67="Mayor"),AND(AF67="Media",AH67="Mayor"),AND(AF67="Alta",AH67="Moderado"),AND(AF67="Alta",AH67="Mayor"),AND(AF67="Muy Alta",AH67="Leve"),AND(AF67="Muy Alta",AH67="Menor"),AND(AF67="Muy Alta",AH67="Moderado"),AND(AF67="Muy Alta",AH67="Mayor")),"Alto",IF(OR(AND(AF67="Muy Baja",AH67="Catastrófico"),AND(AF67="Baja",AH67="Catastrófico"),AND(AF67="Media",AH67="Catastrófico"),AND(AF67="Alta",AH67="Catastrófico"),AND(AF67="Muy Alta",AH67="Catastrófico")),"Extremo","")))),"")</f>
        <v/>
      </c>
      <c r="AK67" s="195"/>
      <c r="AL67" s="186"/>
      <c r="AM67" s="196"/>
      <c r="AN67" s="196"/>
      <c r="AO67" s="197"/>
      <c r="AP67" s="362"/>
      <c r="AQ67" s="362"/>
      <c r="AR67" s="362"/>
    </row>
    <row r="68" spans="1:44" x14ac:dyDescent="0.2">
      <c r="A68" s="379"/>
      <c r="B68" s="365"/>
      <c r="C68" s="365"/>
      <c r="D68" s="365"/>
      <c r="E68" s="365"/>
      <c r="F68" s="365"/>
      <c r="G68" s="337"/>
      <c r="H68" s="337"/>
      <c r="I68" s="230"/>
      <c r="J68" s="230"/>
      <c r="K68" s="230"/>
      <c r="L68" s="337"/>
      <c r="M68" s="337"/>
      <c r="N68" s="362"/>
      <c r="O68" s="347"/>
      <c r="P68" s="346"/>
      <c r="Q68" s="330"/>
      <c r="R68" s="346">
        <f>IF(NOT(ISERROR(MATCH(Q68,_xlfn.ANCHORARRAY(F79),0))),Q81&amp;"Por favor no seleccionar los criterios de impacto",Q68)</f>
        <v>0</v>
      </c>
      <c r="S68" s="347"/>
      <c r="T68" s="346"/>
      <c r="U68" s="339"/>
      <c r="V68" s="222">
        <v>2</v>
      </c>
      <c r="W68" s="187"/>
      <c r="X68" s="189" t="str">
        <f>IF(OR(Y68="Preventivo",Y68="Detectivo"),"Probabilidad",IF(Y68="Correctivo","Impacto",""))</f>
        <v/>
      </c>
      <c r="Y68" s="190"/>
      <c r="Z68" s="190"/>
      <c r="AA68" s="191" t="str">
        <f t="shared" ref="AA68:AA72" si="82">IF(AND(Y68="Preventivo",Z68="Automático"),"50%",IF(AND(Y68="Preventivo",Z68="Manual"),"40%",IF(AND(Y68="Detectivo",Z68="Automático"),"40%",IF(AND(Y68="Detectivo",Z68="Manual"),"30%",IF(AND(Y68="Correctivo",Z68="Automático"),"35%",IF(AND(Y68="Correctivo",Z68="Manual"),"25%",""))))))</f>
        <v/>
      </c>
      <c r="AB68" s="190"/>
      <c r="AC68" s="190"/>
      <c r="AD68" s="190"/>
      <c r="AE68" s="192" t="str">
        <f>IFERROR(IF(AND(X67="Probabilidad",X68="Probabilidad"),(AG67-(+AG67*AA68)),IF(X68="Probabilidad",(P67-(+P67*AA68)),IF(X68="Impacto",AG67,""))),"")</f>
        <v/>
      </c>
      <c r="AF68" s="193" t="str">
        <f t="shared" si="2"/>
        <v/>
      </c>
      <c r="AG68" s="191" t="str">
        <f t="shared" ref="AG68:AG72" si="83">+AE68</f>
        <v/>
      </c>
      <c r="AH68" s="193" t="str">
        <f t="shared" si="4"/>
        <v/>
      </c>
      <c r="AI68" s="191" t="str">
        <f t="shared" ref="AI68" si="84">IFERROR(IF(AND(X67="Impacto",X68="Impacto"),(AI67-(+AI67*AA68)),IF(X68="Impacto",($T$13-(+$T$13*AA68)),IF(X68="Probabilidad",AI67,""))),"")</f>
        <v/>
      </c>
      <c r="AJ68" s="194" t="str">
        <f t="shared" ref="AJ68:AJ69" si="85">IFERROR(IF(OR(AND(AF68="Muy Baja",AH68="Leve"),AND(AF68="Muy Baja",AH68="Menor"),AND(AF68="Baja",AH68="Leve")),"Bajo",IF(OR(AND(AF68="Muy baja",AH68="Moderado"),AND(AF68="Baja",AH68="Menor"),AND(AF68="Baja",AH68="Moderado"),AND(AF68="Media",AH68="Leve"),AND(AF68="Media",AH68="Menor"),AND(AF68="Media",AH68="Moderado"),AND(AF68="Alta",AH68="Leve"),AND(AF68="Alta",AH68="Menor")),"Moderado",IF(OR(AND(AF68="Muy Baja",AH68="Mayor"),AND(AF68="Baja",AH68="Mayor"),AND(AF68="Media",AH68="Mayor"),AND(AF68="Alta",AH68="Moderado"),AND(AF68="Alta",AH68="Mayor"),AND(AF68="Muy Alta",AH68="Leve"),AND(AF68="Muy Alta",AH68="Menor"),AND(AF68="Muy Alta",AH68="Moderado"),AND(AF68="Muy Alta",AH68="Mayor")),"Alto",IF(OR(AND(AF68="Muy Baja",AH68="Catastrófico"),AND(AF68="Baja",AH68="Catastrófico"),AND(AF68="Media",AH68="Catastrófico"),AND(AF68="Alta",AH68="Catastrófico"),AND(AF68="Muy Alta",AH68="Catastrófico")),"Extremo","")))),"")</f>
        <v/>
      </c>
      <c r="AK68" s="195"/>
      <c r="AL68" s="186"/>
      <c r="AM68" s="196"/>
      <c r="AN68" s="196"/>
      <c r="AO68" s="197"/>
      <c r="AP68" s="362"/>
      <c r="AQ68" s="362"/>
      <c r="AR68" s="362"/>
    </row>
    <row r="69" spans="1:44" x14ac:dyDescent="0.2">
      <c r="A69" s="379"/>
      <c r="B69" s="365"/>
      <c r="C69" s="365"/>
      <c r="D69" s="365"/>
      <c r="E69" s="365"/>
      <c r="F69" s="365"/>
      <c r="G69" s="337"/>
      <c r="H69" s="337"/>
      <c r="I69" s="230"/>
      <c r="J69" s="230"/>
      <c r="K69" s="230"/>
      <c r="L69" s="337"/>
      <c r="M69" s="337"/>
      <c r="N69" s="362"/>
      <c r="O69" s="347"/>
      <c r="P69" s="346"/>
      <c r="Q69" s="330"/>
      <c r="R69" s="346">
        <f>IF(NOT(ISERROR(MATCH(Q69,_xlfn.ANCHORARRAY(F80),0))),Q82&amp;"Por favor no seleccionar los criterios de impacto",Q69)</f>
        <v>0</v>
      </c>
      <c r="S69" s="347"/>
      <c r="T69" s="346"/>
      <c r="U69" s="339"/>
      <c r="V69" s="222">
        <v>3</v>
      </c>
      <c r="W69" s="187"/>
      <c r="X69" s="189" t="str">
        <f>IF(OR(Y69="Preventivo",Y69="Detectivo"),"Probabilidad",IF(Y69="Correctivo","Impacto",""))</f>
        <v/>
      </c>
      <c r="Y69" s="190"/>
      <c r="Z69" s="190"/>
      <c r="AA69" s="191" t="str">
        <f t="shared" si="82"/>
        <v/>
      </c>
      <c r="AB69" s="190"/>
      <c r="AC69" s="190"/>
      <c r="AD69" s="190"/>
      <c r="AE69" s="192" t="str">
        <f>IFERROR(IF(AND(X68="Probabilidad",X69="Probabilidad"),(AG68-(+AG68*AA69)),IF(AND(X68="Impacto",X69="Probabilidad"),(AG67-(+AG67*AA69)),IF(X69="Impacto",AG68,""))),"")</f>
        <v/>
      </c>
      <c r="AF69" s="193" t="str">
        <f t="shared" si="2"/>
        <v/>
      </c>
      <c r="AG69" s="191" t="str">
        <f t="shared" si="83"/>
        <v/>
      </c>
      <c r="AH69" s="193" t="str">
        <f t="shared" si="4"/>
        <v/>
      </c>
      <c r="AI69" s="191" t="str">
        <f t="shared" ref="AI69" si="86">IFERROR(IF(AND(X68="Impacto",X69="Impacto"),(AI68-(+AI68*AA69)),IF(AND(X68="Probabilidad",X69="Impacto"),(AI67-(+AI67*AA69)),IF(X69="Probabilidad",AI68,""))),"")</f>
        <v/>
      </c>
      <c r="AJ69" s="194" t="str">
        <f t="shared" si="85"/>
        <v/>
      </c>
      <c r="AK69" s="195"/>
      <c r="AL69" s="186"/>
      <c r="AM69" s="196"/>
      <c r="AN69" s="196"/>
      <c r="AO69" s="197"/>
      <c r="AP69" s="362"/>
      <c r="AQ69" s="362"/>
      <c r="AR69" s="362"/>
    </row>
    <row r="70" spans="1:44" x14ac:dyDescent="0.2">
      <c r="A70" s="379"/>
      <c r="B70" s="365"/>
      <c r="C70" s="365"/>
      <c r="D70" s="365"/>
      <c r="E70" s="365"/>
      <c r="F70" s="365"/>
      <c r="G70" s="337"/>
      <c r="H70" s="337"/>
      <c r="I70" s="230"/>
      <c r="J70" s="230"/>
      <c r="K70" s="230"/>
      <c r="L70" s="337"/>
      <c r="M70" s="337"/>
      <c r="N70" s="362"/>
      <c r="O70" s="347"/>
      <c r="P70" s="346"/>
      <c r="Q70" s="330"/>
      <c r="R70" s="346">
        <f>IF(NOT(ISERROR(MATCH(Q70,_xlfn.ANCHORARRAY(F81),0))),Q83&amp;"Por favor no seleccionar los criterios de impacto",Q70)</f>
        <v>0</v>
      </c>
      <c r="S70" s="347"/>
      <c r="T70" s="346"/>
      <c r="U70" s="339"/>
      <c r="V70" s="222">
        <v>4</v>
      </c>
      <c r="W70" s="187"/>
      <c r="X70" s="189" t="str">
        <f t="shared" ref="X70:X72" si="87">IF(OR(Y70="Preventivo",Y70="Detectivo"),"Probabilidad",IF(Y70="Correctivo","Impacto",""))</f>
        <v/>
      </c>
      <c r="Y70" s="190"/>
      <c r="Z70" s="190"/>
      <c r="AA70" s="191" t="str">
        <f t="shared" si="82"/>
        <v/>
      </c>
      <c r="AB70" s="190"/>
      <c r="AC70" s="190"/>
      <c r="AD70" s="190"/>
      <c r="AE70" s="192" t="str">
        <f t="shared" ref="AE70:AE72" si="88">IFERROR(IF(AND(X69="Probabilidad",X70="Probabilidad"),(AG69-(+AG69*AA70)),IF(AND(X69="Impacto",X70="Probabilidad"),(AG68-(+AG68*AA70)),IF(X70="Impacto",AG69,""))),"")</f>
        <v/>
      </c>
      <c r="AF70" s="193" t="str">
        <f t="shared" si="2"/>
        <v/>
      </c>
      <c r="AG70" s="191" t="str">
        <f t="shared" si="83"/>
        <v/>
      </c>
      <c r="AH70" s="193" t="str">
        <f t="shared" si="4"/>
        <v/>
      </c>
      <c r="AI70" s="191" t="str">
        <f t="shared" si="14"/>
        <v/>
      </c>
      <c r="AJ70" s="194" t="str">
        <f>IFERROR(IF(OR(AND(AF70="Muy Baja",AH70="Leve"),AND(AF70="Muy Baja",AH70="Menor"),AND(AF70="Baja",AH70="Leve")),"Bajo",IF(OR(AND(AF70="Muy baja",AH70="Moderado"),AND(AF70="Baja",AH70="Menor"),AND(AF70="Baja",AH70="Moderado"),AND(AF70="Media",AH70="Leve"),AND(AF70="Media",AH70="Menor"),AND(AF70="Media",AH70="Moderado"),AND(AF70="Alta",AH70="Leve"),AND(AF70="Alta",AH70="Menor")),"Moderado",IF(OR(AND(AF70="Muy Baja",AH70="Mayor"),AND(AF70="Baja",AH70="Mayor"),AND(AF70="Media",AH70="Mayor"),AND(AF70="Alta",AH70="Moderado"),AND(AF70="Alta",AH70="Mayor"),AND(AF70="Muy Alta",AH70="Leve"),AND(AF70="Muy Alta",AH70="Menor"),AND(AF70="Muy Alta",AH70="Moderado"),AND(AF70="Muy Alta",AH70="Mayor")),"Alto",IF(OR(AND(AF70="Muy Baja",AH70="Catastrófico"),AND(AF70="Baja",AH70="Catastrófico"),AND(AF70="Media",AH70="Catastrófico"),AND(AF70="Alta",AH70="Catastrófico"),AND(AF70="Muy Alta",AH70="Catastrófico")),"Extremo","")))),"")</f>
        <v/>
      </c>
      <c r="AK70" s="195"/>
      <c r="AL70" s="186"/>
      <c r="AM70" s="196"/>
      <c r="AN70" s="196"/>
      <c r="AO70" s="197"/>
      <c r="AP70" s="362"/>
      <c r="AQ70" s="362"/>
      <c r="AR70" s="362"/>
    </row>
    <row r="71" spans="1:44" x14ac:dyDescent="0.2">
      <c r="A71" s="379"/>
      <c r="B71" s="365"/>
      <c r="C71" s="365"/>
      <c r="D71" s="365"/>
      <c r="E71" s="365"/>
      <c r="F71" s="365"/>
      <c r="G71" s="337"/>
      <c r="H71" s="337"/>
      <c r="I71" s="230"/>
      <c r="J71" s="230"/>
      <c r="K71" s="230"/>
      <c r="L71" s="337"/>
      <c r="M71" s="337"/>
      <c r="N71" s="362"/>
      <c r="O71" s="347"/>
      <c r="P71" s="346"/>
      <c r="Q71" s="330"/>
      <c r="R71" s="346">
        <f>IF(NOT(ISERROR(MATCH(Q71,_xlfn.ANCHORARRAY(F82),0))),Q84&amp;"Por favor no seleccionar los criterios de impacto",Q71)</f>
        <v>0</v>
      </c>
      <c r="S71" s="347"/>
      <c r="T71" s="346"/>
      <c r="U71" s="339"/>
      <c r="V71" s="222">
        <v>5</v>
      </c>
      <c r="W71" s="187"/>
      <c r="X71" s="189" t="str">
        <f t="shared" si="87"/>
        <v/>
      </c>
      <c r="Y71" s="190"/>
      <c r="Z71" s="190"/>
      <c r="AA71" s="191" t="str">
        <f t="shared" si="82"/>
        <v/>
      </c>
      <c r="AB71" s="190"/>
      <c r="AC71" s="190"/>
      <c r="AD71" s="190"/>
      <c r="AE71" s="192" t="str">
        <f t="shared" si="88"/>
        <v/>
      </c>
      <c r="AF71" s="193" t="str">
        <f t="shared" si="2"/>
        <v/>
      </c>
      <c r="AG71" s="191" t="str">
        <f t="shared" si="83"/>
        <v/>
      </c>
      <c r="AH71" s="193" t="str">
        <f t="shared" si="4"/>
        <v/>
      </c>
      <c r="AI71" s="191" t="str">
        <f t="shared" si="14"/>
        <v/>
      </c>
      <c r="AJ71" s="194" t="str">
        <f t="shared" ref="AJ71:AJ72" si="89">IFERROR(IF(OR(AND(AF71="Muy Baja",AH71="Leve"),AND(AF71="Muy Baja",AH71="Menor"),AND(AF71="Baja",AH71="Leve")),"Bajo",IF(OR(AND(AF71="Muy baja",AH71="Moderado"),AND(AF71="Baja",AH71="Menor"),AND(AF71="Baja",AH71="Moderado"),AND(AF71="Media",AH71="Leve"),AND(AF71="Media",AH71="Menor"),AND(AF71="Media",AH71="Moderado"),AND(AF71="Alta",AH71="Leve"),AND(AF71="Alta",AH71="Menor")),"Moderado",IF(OR(AND(AF71="Muy Baja",AH71="Mayor"),AND(AF71="Baja",AH71="Mayor"),AND(AF71="Media",AH71="Mayor"),AND(AF71="Alta",AH71="Moderado"),AND(AF71="Alta",AH71="Mayor"),AND(AF71="Muy Alta",AH71="Leve"),AND(AF71="Muy Alta",AH71="Menor"),AND(AF71="Muy Alta",AH71="Moderado"),AND(AF71="Muy Alta",AH71="Mayor")),"Alto",IF(OR(AND(AF71="Muy Baja",AH71="Catastrófico"),AND(AF71="Baja",AH71="Catastrófico"),AND(AF71="Media",AH71="Catastrófico"),AND(AF71="Alta",AH71="Catastrófico"),AND(AF71="Muy Alta",AH71="Catastrófico")),"Extremo","")))),"")</f>
        <v/>
      </c>
      <c r="AK71" s="195"/>
      <c r="AL71" s="186"/>
      <c r="AM71" s="196"/>
      <c r="AN71" s="196"/>
      <c r="AO71" s="197"/>
      <c r="AP71" s="362"/>
      <c r="AQ71" s="362"/>
      <c r="AR71" s="362"/>
    </row>
    <row r="72" spans="1:44" x14ac:dyDescent="0.2">
      <c r="A72" s="379"/>
      <c r="B72" s="365"/>
      <c r="C72" s="365"/>
      <c r="D72" s="365"/>
      <c r="E72" s="365"/>
      <c r="F72" s="365"/>
      <c r="G72" s="338"/>
      <c r="H72" s="338"/>
      <c r="I72" s="231"/>
      <c r="J72" s="231"/>
      <c r="K72" s="231"/>
      <c r="L72" s="338"/>
      <c r="M72" s="338"/>
      <c r="N72" s="362"/>
      <c r="O72" s="347"/>
      <c r="P72" s="346"/>
      <c r="Q72" s="330"/>
      <c r="R72" s="346">
        <f>IF(NOT(ISERROR(MATCH(Q72,_xlfn.ANCHORARRAY(F83),0))),Q85&amp;"Por favor no seleccionar los criterios de impacto",Q72)</f>
        <v>0</v>
      </c>
      <c r="S72" s="347"/>
      <c r="T72" s="346"/>
      <c r="U72" s="339"/>
      <c r="V72" s="222">
        <v>6</v>
      </c>
      <c r="W72" s="187"/>
      <c r="X72" s="189" t="str">
        <f t="shared" si="87"/>
        <v/>
      </c>
      <c r="Y72" s="190"/>
      <c r="Z72" s="190"/>
      <c r="AA72" s="191" t="str">
        <f t="shared" si="82"/>
        <v/>
      </c>
      <c r="AB72" s="190"/>
      <c r="AC72" s="190"/>
      <c r="AD72" s="190"/>
      <c r="AE72" s="192" t="str">
        <f t="shared" si="88"/>
        <v/>
      </c>
      <c r="AF72" s="193" t="str">
        <f t="shared" si="2"/>
        <v/>
      </c>
      <c r="AG72" s="191" t="str">
        <f t="shared" si="83"/>
        <v/>
      </c>
      <c r="AH72" s="193" t="str">
        <f t="shared" si="4"/>
        <v/>
      </c>
      <c r="AI72" s="191" t="str">
        <f t="shared" si="14"/>
        <v/>
      </c>
      <c r="AJ72" s="194" t="str">
        <f t="shared" si="89"/>
        <v/>
      </c>
      <c r="AK72" s="195"/>
      <c r="AL72" s="186"/>
      <c r="AM72" s="196"/>
      <c r="AN72" s="196"/>
      <c r="AO72" s="197"/>
      <c r="AP72" s="362"/>
      <c r="AQ72" s="362"/>
      <c r="AR72" s="362"/>
    </row>
    <row r="73" spans="1:44" ht="49.5" customHeight="1" x14ac:dyDescent="0.2">
      <c r="A73" s="224"/>
      <c r="B73" s="384" t="s">
        <v>311</v>
      </c>
      <c r="C73" s="385"/>
      <c r="D73" s="385"/>
      <c r="E73" s="385"/>
      <c r="F73" s="385"/>
      <c r="G73" s="385"/>
      <c r="H73" s="385"/>
      <c r="I73" s="385"/>
      <c r="J73" s="385"/>
      <c r="K73" s="385"/>
      <c r="L73" s="385"/>
      <c r="M73" s="385"/>
      <c r="N73" s="385"/>
      <c r="O73" s="385"/>
      <c r="P73" s="385"/>
      <c r="Q73" s="385"/>
      <c r="R73" s="385"/>
      <c r="S73" s="385"/>
      <c r="T73" s="385"/>
      <c r="U73" s="385"/>
      <c r="V73" s="385"/>
      <c r="W73" s="385"/>
      <c r="X73" s="385"/>
      <c r="Y73" s="385"/>
      <c r="Z73" s="385"/>
      <c r="AA73" s="385"/>
      <c r="AB73" s="385"/>
      <c r="AC73" s="385"/>
      <c r="AD73" s="385"/>
      <c r="AE73" s="385"/>
      <c r="AF73" s="385"/>
      <c r="AG73" s="385"/>
      <c r="AH73" s="385"/>
      <c r="AI73" s="385"/>
      <c r="AJ73" s="385"/>
      <c r="AK73" s="385"/>
      <c r="AL73" s="385"/>
      <c r="AM73" s="385"/>
      <c r="AN73" s="385"/>
      <c r="AO73" s="385"/>
      <c r="AP73" s="385"/>
    </row>
    <row r="75" spans="1:44" x14ac:dyDescent="0.2">
      <c r="A75" s="198"/>
      <c r="B75" s="214" t="s">
        <v>312</v>
      </c>
      <c r="C75" s="198"/>
      <c r="D75" s="198"/>
      <c r="E75" s="198"/>
      <c r="N75" s="198"/>
    </row>
  </sheetData>
  <dataConsolidate/>
  <mergeCells count="299">
    <mergeCell ref="A25:A30"/>
    <mergeCell ref="B25:B30"/>
    <mergeCell ref="C25:C30"/>
    <mergeCell ref="D25:D30"/>
    <mergeCell ref="A1:C4"/>
    <mergeCell ref="D1:V2"/>
    <mergeCell ref="D3:N3"/>
    <mergeCell ref="O3:V3"/>
    <mergeCell ref="D4:V4"/>
    <mergeCell ref="N25:N30"/>
    <mergeCell ref="O25:O30"/>
    <mergeCell ref="P25:P30"/>
    <mergeCell ref="F25:F30"/>
    <mergeCell ref="N19:N24"/>
    <mergeCell ref="O19:O24"/>
    <mergeCell ref="P19:P24"/>
    <mergeCell ref="G19:G24"/>
    <mergeCell ref="G25:G30"/>
    <mergeCell ref="L19:L24"/>
    <mergeCell ref="M19:M24"/>
    <mergeCell ref="A19:A24"/>
    <mergeCell ref="B19:B24"/>
    <mergeCell ref="C19:C24"/>
    <mergeCell ref="D19:D24"/>
    <mergeCell ref="Z6:AR6"/>
    <mergeCell ref="Z7:AR7"/>
    <mergeCell ref="Z8:AR8"/>
    <mergeCell ref="X1:AR2"/>
    <mergeCell ref="X3:AL3"/>
    <mergeCell ref="X4:AR4"/>
    <mergeCell ref="AM3:AR3"/>
    <mergeCell ref="A6:B6"/>
    <mergeCell ref="A7:B7"/>
    <mergeCell ref="A8:B8"/>
    <mergeCell ref="C6:V6"/>
    <mergeCell ref="W6:Y6"/>
    <mergeCell ref="C7:V7"/>
    <mergeCell ref="C8:V8"/>
    <mergeCell ref="U37:U42"/>
    <mergeCell ref="T43:T48"/>
    <mergeCell ref="U43:U48"/>
    <mergeCell ref="Q49:Q54"/>
    <mergeCell ref="R49:R54"/>
    <mergeCell ref="S49:S54"/>
    <mergeCell ref="F37:F42"/>
    <mergeCell ref="F43:F48"/>
    <mergeCell ref="G37:G42"/>
    <mergeCell ref="Q43:Q48"/>
    <mergeCell ref="R43:R48"/>
    <mergeCell ref="S43:S48"/>
    <mergeCell ref="N37:N42"/>
    <mergeCell ref="O37:O42"/>
    <mergeCell ref="G49:G54"/>
    <mergeCell ref="I49:I54"/>
    <mergeCell ref="J49:J54"/>
    <mergeCell ref="K49:K54"/>
    <mergeCell ref="L37:L42"/>
    <mergeCell ref="G43:G48"/>
    <mergeCell ref="I37:I42"/>
    <mergeCell ref="J37:J42"/>
    <mergeCell ref="K37:K42"/>
    <mergeCell ref="I43:I48"/>
    <mergeCell ref="E61:E66"/>
    <mergeCell ref="N61:N66"/>
    <mergeCell ref="O61:O66"/>
    <mergeCell ref="P61:P66"/>
    <mergeCell ref="P37:P42"/>
    <mergeCell ref="Q37:Q42"/>
    <mergeCell ref="N43:N48"/>
    <mergeCell ref="O43:O48"/>
    <mergeCell ref="P43:P48"/>
    <mergeCell ref="F49:F54"/>
    <mergeCell ref="F55:F60"/>
    <mergeCell ref="G55:G60"/>
    <mergeCell ref="I55:I60"/>
    <mergeCell ref="J55:J60"/>
    <mergeCell ref="K55:K60"/>
    <mergeCell ref="J43:J48"/>
    <mergeCell ref="K43:K48"/>
    <mergeCell ref="H37:H42"/>
    <mergeCell ref="H43:H48"/>
    <mergeCell ref="B73:AP73"/>
    <mergeCell ref="T61:T66"/>
    <mergeCell ref="U61:U66"/>
    <mergeCell ref="A67:A72"/>
    <mergeCell ref="B67:B72"/>
    <mergeCell ref="C67:C72"/>
    <mergeCell ref="D67:D72"/>
    <mergeCell ref="E67:E72"/>
    <mergeCell ref="N67:N72"/>
    <mergeCell ref="O67:O72"/>
    <mergeCell ref="P67:P72"/>
    <mergeCell ref="Q67:Q72"/>
    <mergeCell ref="R67:R72"/>
    <mergeCell ref="S67:S72"/>
    <mergeCell ref="T67:T72"/>
    <mergeCell ref="U67:U72"/>
    <mergeCell ref="Q61:Q66"/>
    <mergeCell ref="R61:R66"/>
    <mergeCell ref="S61:S66"/>
    <mergeCell ref="A61:A66"/>
    <mergeCell ref="B61:B66"/>
    <mergeCell ref="C61:C66"/>
    <mergeCell ref="D61:D66"/>
    <mergeCell ref="F61:F66"/>
    <mergeCell ref="F67:F72"/>
    <mergeCell ref="T49:T54"/>
    <mergeCell ref="U49:U54"/>
    <mergeCell ref="N55:N60"/>
    <mergeCell ref="O55:O60"/>
    <mergeCell ref="P55:P60"/>
    <mergeCell ref="Q55:Q60"/>
    <mergeCell ref="N49:N54"/>
    <mergeCell ref="O49:O54"/>
    <mergeCell ref="P49:P54"/>
    <mergeCell ref="R55:R60"/>
    <mergeCell ref="S55:S60"/>
    <mergeCell ref="T55:T60"/>
    <mergeCell ref="U55:U60"/>
    <mergeCell ref="G61:G66"/>
    <mergeCell ref="G67:G72"/>
    <mergeCell ref="H67:H72"/>
    <mergeCell ref="H49:H54"/>
    <mergeCell ref="H55:H60"/>
    <mergeCell ref="H61:H66"/>
    <mergeCell ref="B55:B60"/>
    <mergeCell ref="C55:C60"/>
    <mergeCell ref="D55:D60"/>
    <mergeCell ref="E55:E60"/>
    <mergeCell ref="A49:A54"/>
    <mergeCell ref="B49:B54"/>
    <mergeCell ref="C49:C54"/>
    <mergeCell ref="D49:D54"/>
    <mergeCell ref="E49:E54"/>
    <mergeCell ref="A55:A60"/>
    <mergeCell ref="A37:A42"/>
    <mergeCell ref="B37:B42"/>
    <mergeCell ref="C37:C42"/>
    <mergeCell ref="A43:A48"/>
    <mergeCell ref="B43:B48"/>
    <mergeCell ref="C43:C48"/>
    <mergeCell ref="D43:D48"/>
    <mergeCell ref="E43:E48"/>
    <mergeCell ref="D37:D42"/>
    <mergeCell ref="E37:E42"/>
    <mergeCell ref="A31:A36"/>
    <mergeCell ref="B31:B36"/>
    <mergeCell ref="C31:C36"/>
    <mergeCell ref="D31:D36"/>
    <mergeCell ref="E31:E36"/>
    <mergeCell ref="N31:N36"/>
    <mergeCell ref="O31:O36"/>
    <mergeCell ref="P31:P36"/>
    <mergeCell ref="F31:F36"/>
    <mergeCell ref="G31:G36"/>
    <mergeCell ref="I31:I36"/>
    <mergeCell ref="J31:J36"/>
    <mergeCell ref="K31:K36"/>
    <mergeCell ref="L31:L36"/>
    <mergeCell ref="M31:M36"/>
    <mergeCell ref="H31:H36"/>
    <mergeCell ref="U13:U18"/>
    <mergeCell ref="P13:P18"/>
    <mergeCell ref="Q13:Q18"/>
    <mergeCell ref="R13:R18"/>
    <mergeCell ref="S13:S18"/>
    <mergeCell ref="G13:G18"/>
    <mergeCell ref="A10:F10"/>
    <mergeCell ref="I13:I18"/>
    <mergeCell ref="T11:T12"/>
    <mergeCell ref="F11:F12"/>
    <mergeCell ref="N13:N18"/>
    <mergeCell ref="O13:O18"/>
    <mergeCell ref="A13:A18"/>
    <mergeCell ref="B13:B18"/>
    <mergeCell ref="A11:A12"/>
    <mergeCell ref="E11:E12"/>
    <mergeCell ref="D11:D12"/>
    <mergeCell ref="C11:C12"/>
    <mergeCell ref="AP37:AP42"/>
    <mergeCell ref="AQ37:AQ42"/>
    <mergeCell ref="AR37:AR42"/>
    <mergeCell ref="T13:T18"/>
    <mergeCell ref="N11:N12"/>
    <mergeCell ref="O11:O12"/>
    <mergeCell ref="U11:U12"/>
    <mergeCell ref="Q11:Q12"/>
    <mergeCell ref="R11:R12"/>
    <mergeCell ref="AP11:AP12"/>
    <mergeCell ref="AQ11:AQ12"/>
    <mergeCell ref="AR11:AR12"/>
    <mergeCell ref="AP13:AP18"/>
    <mergeCell ref="AQ13:AQ18"/>
    <mergeCell ref="AR13:AR18"/>
    <mergeCell ref="AK11:AK12"/>
    <mergeCell ref="AN11:AN12"/>
    <mergeCell ref="V11:V12"/>
    <mergeCell ref="AJ11:AJ12"/>
    <mergeCell ref="AI11:AI12"/>
    <mergeCell ref="AE11:AE12"/>
    <mergeCell ref="W11:W12"/>
    <mergeCell ref="AH11:AH12"/>
    <mergeCell ref="AF11:AF12"/>
    <mergeCell ref="AR61:AR66"/>
    <mergeCell ref="T25:T30"/>
    <mergeCell ref="U25:U30"/>
    <mergeCell ref="AP67:AP72"/>
    <mergeCell ref="AQ67:AQ72"/>
    <mergeCell ref="AR67:AR72"/>
    <mergeCell ref="AP43:AP48"/>
    <mergeCell ref="AQ43:AQ48"/>
    <mergeCell ref="AP19:AP24"/>
    <mergeCell ref="AQ19:AQ24"/>
    <mergeCell ref="AR19:AR24"/>
    <mergeCell ref="AR43:AR48"/>
    <mergeCell ref="AP49:AP54"/>
    <mergeCell ref="AQ49:AQ54"/>
    <mergeCell ref="AR49:AR54"/>
    <mergeCell ref="AP55:AP60"/>
    <mergeCell ref="AQ55:AQ60"/>
    <mergeCell ref="AR55:AR60"/>
    <mergeCell ref="AP25:AP30"/>
    <mergeCell ref="AQ25:AQ30"/>
    <mergeCell ref="AR25:AR30"/>
    <mergeCell ref="AP31:AP36"/>
    <mergeCell ref="AQ31:AQ36"/>
    <mergeCell ref="AR31:AR36"/>
    <mergeCell ref="S31:S36"/>
    <mergeCell ref="T31:T36"/>
    <mergeCell ref="R37:R42"/>
    <mergeCell ref="S37:S42"/>
    <mergeCell ref="T37:T42"/>
    <mergeCell ref="E19:E24"/>
    <mergeCell ref="E25:E30"/>
    <mergeCell ref="B11:B12"/>
    <mergeCell ref="F13:F18"/>
    <mergeCell ref="G11:G12"/>
    <mergeCell ref="H11:H12"/>
    <mergeCell ref="I11:I12"/>
    <mergeCell ref="J11:J12"/>
    <mergeCell ref="K11:K12"/>
    <mergeCell ref="H13:H18"/>
    <mergeCell ref="H19:H24"/>
    <mergeCell ref="H25:H30"/>
    <mergeCell ref="J13:J18"/>
    <mergeCell ref="K13:K18"/>
    <mergeCell ref="I19:I24"/>
    <mergeCell ref="J19:J24"/>
    <mergeCell ref="K19:K24"/>
    <mergeCell ref="I25:I30"/>
    <mergeCell ref="F19:F24"/>
    <mergeCell ref="J25:J30"/>
    <mergeCell ref="K25:K30"/>
    <mergeCell ref="G10:K10"/>
    <mergeCell ref="C13:C18"/>
    <mergeCell ref="D13:D18"/>
    <mergeCell ref="E13:E18"/>
    <mergeCell ref="L67:L72"/>
    <mergeCell ref="M67:M72"/>
    <mergeCell ref="AP10:AR10"/>
    <mergeCell ref="AF10:AJ10"/>
    <mergeCell ref="AK10:AO10"/>
    <mergeCell ref="M37:M42"/>
    <mergeCell ref="L43:L48"/>
    <mergeCell ref="M43:M48"/>
    <mergeCell ref="L49:L54"/>
    <mergeCell ref="M49:M54"/>
    <mergeCell ref="L55:L60"/>
    <mergeCell ref="M55:M60"/>
    <mergeCell ref="L61:L66"/>
    <mergeCell ref="M61:M66"/>
    <mergeCell ref="AP61:AP66"/>
    <mergeCell ref="AQ61:AQ66"/>
    <mergeCell ref="P11:P12"/>
    <mergeCell ref="S11:S12"/>
    <mergeCell ref="AL11:AL12"/>
    <mergeCell ref="AO11:AO12"/>
    <mergeCell ref="AM11:AM12"/>
    <mergeCell ref="Q31:Q36"/>
    <mergeCell ref="L10:M11"/>
    <mergeCell ref="N10:V10"/>
    <mergeCell ref="L13:L18"/>
    <mergeCell ref="M13:M18"/>
    <mergeCell ref="U31:U36"/>
    <mergeCell ref="R19:R24"/>
    <mergeCell ref="S19:S24"/>
    <mergeCell ref="T19:T24"/>
    <mergeCell ref="U19:U24"/>
    <mergeCell ref="AG11:AG12"/>
    <mergeCell ref="X11:X12"/>
    <mergeCell ref="Y11:AD11"/>
    <mergeCell ref="L25:L30"/>
    <mergeCell ref="M25:M30"/>
    <mergeCell ref="Q19:Q24"/>
    <mergeCell ref="W10:AE10"/>
    <mergeCell ref="Q25:Q30"/>
    <mergeCell ref="R25:R30"/>
    <mergeCell ref="S25:S30"/>
    <mergeCell ref="R31:R36"/>
  </mergeCells>
  <conditionalFormatting sqref="O13 O19">
    <cfRule type="cellIs" dxfId="700" priority="324" operator="equal">
      <formula>"Muy Alta"</formula>
    </cfRule>
    <cfRule type="cellIs" dxfId="699" priority="325" operator="equal">
      <formula>"Alta"</formula>
    </cfRule>
    <cfRule type="cellIs" dxfId="698" priority="326" operator="equal">
      <formula>"Media"</formula>
    </cfRule>
    <cfRule type="cellIs" dxfId="697" priority="327" operator="equal">
      <formula>"Baja"</formula>
    </cfRule>
    <cfRule type="cellIs" dxfId="696" priority="328" operator="equal">
      <formula>"Muy Baja"</formula>
    </cfRule>
  </conditionalFormatting>
  <conditionalFormatting sqref="S13 S19 S25 S31 S37 S43 S49 S55 S61 S67">
    <cfRule type="cellIs" dxfId="695" priority="319" operator="equal">
      <formula>"Catastrófico"</formula>
    </cfRule>
    <cfRule type="cellIs" dxfId="694" priority="320" operator="equal">
      <formula>"Mayor"</formula>
    </cfRule>
    <cfRule type="cellIs" dxfId="693" priority="321" operator="equal">
      <formula>"Moderado"</formula>
    </cfRule>
    <cfRule type="cellIs" dxfId="692" priority="322" operator="equal">
      <formula>"Menor"</formula>
    </cfRule>
    <cfRule type="cellIs" dxfId="691" priority="323" operator="equal">
      <formula>"Leve"</formula>
    </cfRule>
  </conditionalFormatting>
  <conditionalFormatting sqref="U13">
    <cfRule type="cellIs" dxfId="690" priority="315" operator="equal">
      <formula>"Extremo"</formula>
    </cfRule>
    <cfRule type="cellIs" dxfId="689" priority="316" operator="equal">
      <formula>"Alto"</formula>
    </cfRule>
    <cfRule type="cellIs" dxfId="688" priority="317" operator="equal">
      <formula>"Moderado"</formula>
    </cfRule>
    <cfRule type="cellIs" dxfId="687" priority="318" operator="equal">
      <formula>"Bajo"</formula>
    </cfRule>
  </conditionalFormatting>
  <conditionalFormatting sqref="AF13:AF18">
    <cfRule type="cellIs" dxfId="686" priority="310" operator="equal">
      <formula>"Muy Alta"</formula>
    </cfRule>
    <cfRule type="cellIs" dxfId="685" priority="311" operator="equal">
      <formula>"Alta"</formula>
    </cfRule>
    <cfRule type="cellIs" dxfId="684" priority="312" operator="equal">
      <formula>"Media"</formula>
    </cfRule>
    <cfRule type="cellIs" dxfId="683" priority="313" operator="equal">
      <formula>"Baja"</formula>
    </cfRule>
    <cfRule type="cellIs" dxfId="682" priority="314" operator="equal">
      <formula>"Muy Baja"</formula>
    </cfRule>
  </conditionalFormatting>
  <conditionalFormatting sqref="AH13:AH18">
    <cfRule type="cellIs" dxfId="681" priority="305" operator="equal">
      <formula>"Catastrófico"</formula>
    </cfRule>
    <cfRule type="cellIs" dxfId="680" priority="306" operator="equal">
      <formula>"Mayor"</formula>
    </cfRule>
    <cfRule type="cellIs" dxfId="679" priority="307" operator="equal">
      <formula>"Moderado"</formula>
    </cfRule>
    <cfRule type="cellIs" dxfId="678" priority="308" operator="equal">
      <formula>"Menor"</formula>
    </cfRule>
    <cfRule type="cellIs" dxfId="677" priority="309" operator="equal">
      <formula>"Leve"</formula>
    </cfRule>
  </conditionalFormatting>
  <conditionalFormatting sqref="AJ13:AJ18">
    <cfRule type="cellIs" dxfId="676" priority="301" operator="equal">
      <formula>"Extremo"</formula>
    </cfRule>
    <cfRule type="cellIs" dxfId="675" priority="302" operator="equal">
      <formula>"Alto"</formula>
    </cfRule>
    <cfRule type="cellIs" dxfId="674" priority="303" operator="equal">
      <formula>"Moderado"</formula>
    </cfRule>
    <cfRule type="cellIs" dxfId="673" priority="304" operator="equal">
      <formula>"Bajo"</formula>
    </cfRule>
  </conditionalFormatting>
  <conditionalFormatting sqref="O61">
    <cfRule type="cellIs" dxfId="672" priority="58" operator="equal">
      <formula>"Muy Alta"</formula>
    </cfRule>
    <cfRule type="cellIs" dxfId="671" priority="59" operator="equal">
      <formula>"Alta"</formula>
    </cfRule>
    <cfRule type="cellIs" dxfId="670" priority="60" operator="equal">
      <formula>"Media"</formula>
    </cfRule>
    <cfRule type="cellIs" dxfId="669" priority="61" operator="equal">
      <formula>"Baja"</formula>
    </cfRule>
    <cfRule type="cellIs" dxfId="668" priority="62" operator="equal">
      <formula>"Muy Baja"</formula>
    </cfRule>
  </conditionalFormatting>
  <conditionalFormatting sqref="U19">
    <cfRule type="cellIs" dxfId="667" priority="245" operator="equal">
      <formula>"Extremo"</formula>
    </cfRule>
    <cfRule type="cellIs" dxfId="666" priority="246" operator="equal">
      <formula>"Alto"</formula>
    </cfRule>
    <cfRule type="cellIs" dxfId="665" priority="247" operator="equal">
      <formula>"Moderado"</formula>
    </cfRule>
    <cfRule type="cellIs" dxfId="664" priority="248" operator="equal">
      <formula>"Bajo"</formula>
    </cfRule>
  </conditionalFormatting>
  <conditionalFormatting sqref="AF19:AF24">
    <cfRule type="cellIs" dxfId="663" priority="240" operator="equal">
      <formula>"Muy Alta"</formula>
    </cfRule>
    <cfRule type="cellIs" dxfId="662" priority="241" operator="equal">
      <formula>"Alta"</formula>
    </cfRule>
    <cfRule type="cellIs" dxfId="661" priority="242" operator="equal">
      <formula>"Media"</formula>
    </cfRule>
    <cfRule type="cellIs" dxfId="660" priority="243" operator="equal">
      <formula>"Baja"</formula>
    </cfRule>
    <cfRule type="cellIs" dxfId="659" priority="244" operator="equal">
      <formula>"Muy Baja"</formula>
    </cfRule>
  </conditionalFormatting>
  <conditionalFormatting sqref="AH19:AH24">
    <cfRule type="cellIs" dxfId="658" priority="235" operator="equal">
      <formula>"Catastrófico"</formula>
    </cfRule>
    <cfRule type="cellIs" dxfId="657" priority="236" operator="equal">
      <formula>"Mayor"</formula>
    </cfRule>
    <cfRule type="cellIs" dxfId="656" priority="237" operator="equal">
      <formula>"Moderado"</formula>
    </cfRule>
    <cfRule type="cellIs" dxfId="655" priority="238" operator="equal">
      <formula>"Menor"</formula>
    </cfRule>
    <cfRule type="cellIs" dxfId="654" priority="239" operator="equal">
      <formula>"Leve"</formula>
    </cfRule>
  </conditionalFormatting>
  <conditionalFormatting sqref="AJ19:AJ24">
    <cfRule type="cellIs" dxfId="653" priority="231" operator="equal">
      <formula>"Extremo"</formula>
    </cfRule>
    <cfRule type="cellIs" dxfId="652" priority="232" operator="equal">
      <formula>"Alto"</formula>
    </cfRule>
    <cfRule type="cellIs" dxfId="651" priority="233" operator="equal">
      <formula>"Moderado"</formula>
    </cfRule>
    <cfRule type="cellIs" dxfId="650" priority="234" operator="equal">
      <formula>"Bajo"</formula>
    </cfRule>
  </conditionalFormatting>
  <conditionalFormatting sqref="O25">
    <cfRule type="cellIs" dxfId="649" priority="226" operator="equal">
      <formula>"Muy Alta"</formula>
    </cfRule>
    <cfRule type="cellIs" dxfId="648" priority="227" operator="equal">
      <formula>"Alta"</formula>
    </cfRule>
    <cfRule type="cellIs" dxfId="647" priority="228" operator="equal">
      <formula>"Media"</formula>
    </cfRule>
    <cfRule type="cellIs" dxfId="646" priority="229" operator="equal">
      <formula>"Baja"</formula>
    </cfRule>
    <cfRule type="cellIs" dxfId="645" priority="230" operator="equal">
      <formula>"Muy Baja"</formula>
    </cfRule>
  </conditionalFormatting>
  <conditionalFormatting sqref="U25">
    <cfRule type="cellIs" dxfId="644" priority="217" operator="equal">
      <formula>"Extremo"</formula>
    </cfRule>
    <cfRule type="cellIs" dxfId="643" priority="218" operator="equal">
      <formula>"Alto"</formula>
    </cfRule>
    <cfRule type="cellIs" dxfId="642" priority="219" operator="equal">
      <formula>"Moderado"</formula>
    </cfRule>
    <cfRule type="cellIs" dxfId="641" priority="220" operator="equal">
      <formula>"Bajo"</formula>
    </cfRule>
  </conditionalFormatting>
  <conditionalFormatting sqref="AF25:AF30">
    <cfRule type="cellIs" dxfId="640" priority="212" operator="equal">
      <formula>"Muy Alta"</formula>
    </cfRule>
    <cfRule type="cellIs" dxfId="639" priority="213" operator="equal">
      <formula>"Alta"</formula>
    </cfRule>
    <cfRule type="cellIs" dxfId="638" priority="214" operator="equal">
      <formula>"Media"</formula>
    </cfRule>
    <cfRule type="cellIs" dxfId="637" priority="215" operator="equal">
      <formula>"Baja"</formula>
    </cfRule>
    <cfRule type="cellIs" dxfId="636" priority="216" operator="equal">
      <formula>"Muy Baja"</formula>
    </cfRule>
  </conditionalFormatting>
  <conditionalFormatting sqref="AH25:AH30">
    <cfRule type="cellIs" dxfId="635" priority="207" operator="equal">
      <formula>"Catastrófico"</formula>
    </cfRule>
    <cfRule type="cellIs" dxfId="634" priority="208" operator="equal">
      <formula>"Mayor"</formula>
    </cfRule>
    <cfRule type="cellIs" dxfId="633" priority="209" operator="equal">
      <formula>"Moderado"</formula>
    </cfRule>
    <cfRule type="cellIs" dxfId="632" priority="210" operator="equal">
      <formula>"Menor"</formula>
    </cfRule>
    <cfRule type="cellIs" dxfId="631" priority="211" operator="equal">
      <formula>"Leve"</formula>
    </cfRule>
  </conditionalFormatting>
  <conditionalFormatting sqref="AJ25:AJ30">
    <cfRule type="cellIs" dxfId="630" priority="203" operator="equal">
      <formula>"Extremo"</formula>
    </cfRule>
    <cfRule type="cellIs" dxfId="629" priority="204" operator="equal">
      <formula>"Alto"</formula>
    </cfRule>
    <cfRule type="cellIs" dxfId="628" priority="205" operator="equal">
      <formula>"Moderado"</formula>
    </cfRule>
    <cfRule type="cellIs" dxfId="627" priority="206" operator="equal">
      <formula>"Bajo"</formula>
    </cfRule>
  </conditionalFormatting>
  <conditionalFormatting sqref="O31">
    <cfRule type="cellIs" dxfId="626" priority="198" operator="equal">
      <formula>"Muy Alta"</formula>
    </cfRule>
    <cfRule type="cellIs" dxfId="625" priority="199" operator="equal">
      <formula>"Alta"</formula>
    </cfRule>
    <cfRule type="cellIs" dxfId="624" priority="200" operator="equal">
      <formula>"Media"</formula>
    </cfRule>
    <cfRule type="cellIs" dxfId="623" priority="201" operator="equal">
      <formula>"Baja"</formula>
    </cfRule>
    <cfRule type="cellIs" dxfId="622" priority="202" operator="equal">
      <formula>"Muy Baja"</formula>
    </cfRule>
  </conditionalFormatting>
  <conditionalFormatting sqref="U31">
    <cfRule type="cellIs" dxfId="621" priority="189" operator="equal">
      <formula>"Extremo"</formula>
    </cfRule>
    <cfRule type="cellIs" dxfId="620" priority="190" operator="equal">
      <formula>"Alto"</formula>
    </cfRule>
    <cfRule type="cellIs" dxfId="619" priority="191" operator="equal">
      <formula>"Moderado"</formula>
    </cfRule>
    <cfRule type="cellIs" dxfId="618" priority="192" operator="equal">
      <formula>"Bajo"</formula>
    </cfRule>
  </conditionalFormatting>
  <conditionalFormatting sqref="AF31:AF36">
    <cfRule type="cellIs" dxfId="617" priority="184" operator="equal">
      <formula>"Muy Alta"</formula>
    </cfRule>
    <cfRule type="cellIs" dxfId="616" priority="185" operator="equal">
      <formula>"Alta"</formula>
    </cfRule>
    <cfRule type="cellIs" dxfId="615" priority="186" operator="equal">
      <formula>"Media"</formula>
    </cfRule>
    <cfRule type="cellIs" dxfId="614" priority="187" operator="equal">
      <formula>"Baja"</formula>
    </cfRule>
    <cfRule type="cellIs" dxfId="613" priority="188" operator="equal">
      <formula>"Muy Baja"</formula>
    </cfRule>
  </conditionalFormatting>
  <conditionalFormatting sqref="AH31:AH36">
    <cfRule type="cellIs" dxfId="612" priority="179" operator="equal">
      <formula>"Catastrófico"</formula>
    </cfRule>
    <cfRule type="cellIs" dxfId="611" priority="180" operator="equal">
      <formula>"Mayor"</formula>
    </cfRule>
    <cfRule type="cellIs" dxfId="610" priority="181" operator="equal">
      <formula>"Moderado"</formula>
    </cfRule>
    <cfRule type="cellIs" dxfId="609" priority="182" operator="equal">
      <formula>"Menor"</formula>
    </cfRule>
    <cfRule type="cellIs" dxfId="608" priority="183" operator="equal">
      <formula>"Leve"</formula>
    </cfRule>
  </conditionalFormatting>
  <conditionalFormatting sqref="AJ31:AJ36">
    <cfRule type="cellIs" dxfId="607" priority="175" operator="equal">
      <formula>"Extremo"</formula>
    </cfRule>
    <cfRule type="cellIs" dxfId="606" priority="176" operator="equal">
      <formula>"Alto"</formula>
    </cfRule>
    <cfRule type="cellIs" dxfId="605" priority="177" operator="equal">
      <formula>"Moderado"</formula>
    </cfRule>
    <cfRule type="cellIs" dxfId="604" priority="178" operator="equal">
      <formula>"Bajo"</formula>
    </cfRule>
  </conditionalFormatting>
  <conditionalFormatting sqref="O37">
    <cfRule type="cellIs" dxfId="603" priority="170" operator="equal">
      <formula>"Muy Alta"</formula>
    </cfRule>
    <cfRule type="cellIs" dxfId="602" priority="171" operator="equal">
      <formula>"Alta"</formula>
    </cfRule>
    <cfRule type="cellIs" dxfId="601" priority="172" operator="equal">
      <formula>"Media"</formula>
    </cfRule>
    <cfRule type="cellIs" dxfId="600" priority="173" operator="equal">
      <formula>"Baja"</formula>
    </cfRule>
    <cfRule type="cellIs" dxfId="599" priority="174" operator="equal">
      <formula>"Muy Baja"</formula>
    </cfRule>
  </conditionalFormatting>
  <conditionalFormatting sqref="U37">
    <cfRule type="cellIs" dxfId="598" priority="161" operator="equal">
      <formula>"Extremo"</formula>
    </cfRule>
    <cfRule type="cellIs" dxfId="597" priority="162" operator="equal">
      <formula>"Alto"</formula>
    </cfRule>
    <cfRule type="cellIs" dxfId="596" priority="163" operator="equal">
      <formula>"Moderado"</formula>
    </cfRule>
    <cfRule type="cellIs" dxfId="595" priority="164" operator="equal">
      <formula>"Bajo"</formula>
    </cfRule>
  </conditionalFormatting>
  <conditionalFormatting sqref="AF37:AF42">
    <cfRule type="cellIs" dxfId="594" priority="156" operator="equal">
      <formula>"Muy Alta"</formula>
    </cfRule>
    <cfRule type="cellIs" dxfId="593" priority="157" operator="equal">
      <formula>"Alta"</formula>
    </cfRule>
    <cfRule type="cellIs" dxfId="592" priority="158" operator="equal">
      <formula>"Media"</formula>
    </cfRule>
    <cfRule type="cellIs" dxfId="591" priority="159" operator="equal">
      <formula>"Baja"</formula>
    </cfRule>
    <cfRule type="cellIs" dxfId="590" priority="160" operator="equal">
      <formula>"Muy Baja"</formula>
    </cfRule>
  </conditionalFormatting>
  <conditionalFormatting sqref="AH37:AH42">
    <cfRule type="cellIs" dxfId="589" priority="151" operator="equal">
      <formula>"Catastrófico"</formula>
    </cfRule>
    <cfRule type="cellIs" dxfId="588" priority="152" operator="equal">
      <formula>"Mayor"</formula>
    </cfRule>
    <cfRule type="cellIs" dxfId="587" priority="153" operator="equal">
      <formula>"Moderado"</formula>
    </cfRule>
    <cfRule type="cellIs" dxfId="586" priority="154" operator="equal">
      <formula>"Menor"</formula>
    </cfRule>
    <cfRule type="cellIs" dxfId="585" priority="155" operator="equal">
      <formula>"Leve"</formula>
    </cfRule>
  </conditionalFormatting>
  <conditionalFormatting sqref="AJ37:AJ42">
    <cfRule type="cellIs" dxfId="584" priority="147" operator="equal">
      <formula>"Extremo"</formula>
    </cfRule>
    <cfRule type="cellIs" dxfId="583" priority="148" operator="equal">
      <formula>"Alto"</formula>
    </cfRule>
    <cfRule type="cellIs" dxfId="582" priority="149" operator="equal">
      <formula>"Moderado"</formula>
    </cfRule>
    <cfRule type="cellIs" dxfId="581" priority="150" operator="equal">
      <formula>"Bajo"</formula>
    </cfRule>
  </conditionalFormatting>
  <conditionalFormatting sqref="O43">
    <cfRule type="cellIs" dxfId="580" priority="142" operator="equal">
      <formula>"Muy Alta"</formula>
    </cfRule>
    <cfRule type="cellIs" dxfId="579" priority="143" operator="equal">
      <formula>"Alta"</formula>
    </cfRule>
    <cfRule type="cellIs" dxfId="578" priority="144" operator="equal">
      <formula>"Media"</formula>
    </cfRule>
    <cfRule type="cellIs" dxfId="577" priority="145" operator="equal">
      <formula>"Baja"</formula>
    </cfRule>
    <cfRule type="cellIs" dxfId="576" priority="146" operator="equal">
      <formula>"Muy Baja"</formula>
    </cfRule>
  </conditionalFormatting>
  <conditionalFormatting sqref="U43">
    <cfRule type="cellIs" dxfId="575" priority="133" operator="equal">
      <formula>"Extremo"</formula>
    </cfRule>
    <cfRule type="cellIs" dxfId="574" priority="134" operator="equal">
      <formula>"Alto"</formula>
    </cfRule>
    <cfRule type="cellIs" dxfId="573" priority="135" operator="equal">
      <formula>"Moderado"</formula>
    </cfRule>
    <cfRule type="cellIs" dxfId="572" priority="136" operator="equal">
      <formula>"Bajo"</formula>
    </cfRule>
  </conditionalFormatting>
  <conditionalFormatting sqref="AF43:AF48">
    <cfRule type="cellIs" dxfId="571" priority="128" operator="equal">
      <formula>"Muy Alta"</formula>
    </cfRule>
    <cfRule type="cellIs" dxfId="570" priority="129" operator="equal">
      <formula>"Alta"</formula>
    </cfRule>
    <cfRule type="cellIs" dxfId="569" priority="130" operator="equal">
      <formula>"Media"</formula>
    </cfRule>
    <cfRule type="cellIs" dxfId="568" priority="131" operator="equal">
      <formula>"Baja"</formula>
    </cfRule>
    <cfRule type="cellIs" dxfId="567" priority="132" operator="equal">
      <formula>"Muy Baja"</formula>
    </cfRule>
  </conditionalFormatting>
  <conditionalFormatting sqref="AH43:AH48">
    <cfRule type="cellIs" dxfId="566" priority="123" operator="equal">
      <formula>"Catastrófico"</formula>
    </cfRule>
    <cfRule type="cellIs" dxfId="565" priority="124" operator="equal">
      <formula>"Mayor"</formula>
    </cfRule>
    <cfRule type="cellIs" dxfId="564" priority="125" operator="equal">
      <formula>"Moderado"</formula>
    </cfRule>
    <cfRule type="cellIs" dxfId="563" priority="126" operator="equal">
      <formula>"Menor"</formula>
    </cfRule>
    <cfRule type="cellIs" dxfId="562" priority="127" operator="equal">
      <formula>"Leve"</formula>
    </cfRule>
  </conditionalFormatting>
  <conditionalFormatting sqref="AJ43:AJ48">
    <cfRule type="cellIs" dxfId="561" priority="119" operator="equal">
      <formula>"Extremo"</formula>
    </cfRule>
    <cfRule type="cellIs" dxfId="560" priority="120" operator="equal">
      <formula>"Alto"</formula>
    </cfRule>
    <cfRule type="cellIs" dxfId="559" priority="121" operator="equal">
      <formula>"Moderado"</formula>
    </cfRule>
    <cfRule type="cellIs" dxfId="558" priority="122" operator="equal">
      <formula>"Bajo"</formula>
    </cfRule>
  </conditionalFormatting>
  <conditionalFormatting sqref="O49">
    <cfRule type="cellIs" dxfId="557" priority="114" operator="equal">
      <formula>"Muy Alta"</formula>
    </cfRule>
    <cfRule type="cellIs" dxfId="556" priority="115" operator="equal">
      <formula>"Alta"</formula>
    </cfRule>
    <cfRule type="cellIs" dxfId="555" priority="116" operator="equal">
      <formula>"Media"</formula>
    </cfRule>
    <cfRule type="cellIs" dxfId="554" priority="117" operator="equal">
      <formula>"Baja"</formula>
    </cfRule>
    <cfRule type="cellIs" dxfId="553" priority="118" operator="equal">
      <formula>"Muy Baja"</formula>
    </cfRule>
  </conditionalFormatting>
  <conditionalFormatting sqref="U49">
    <cfRule type="cellIs" dxfId="552" priority="105" operator="equal">
      <formula>"Extremo"</formula>
    </cfRule>
    <cfRule type="cellIs" dxfId="551" priority="106" operator="equal">
      <formula>"Alto"</formula>
    </cfRule>
    <cfRule type="cellIs" dxfId="550" priority="107" operator="equal">
      <formula>"Moderado"</formula>
    </cfRule>
    <cfRule type="cellIs" dxfId="549" priority="108" operator="equal">
      <formula>"Bajo"</formula>
    </cfRule>
  </conditionalFormatting>
  <conditionalFormatting sqref="AF49:AF54">
    <cfRule type="cellIs" dxfId="548" priority="100" operator="equal">
      <formula>"Muy Alta"</formula>
    </cfRule>
    <cfRule type="cellIs" dxfId="547" priority="101" operator="equal">
      <formula>"Alta"</formula>
    </cfRule>
    <cfRule type="cellIs" dxfId="546" priority="102" operator="equal">
      <formula>"Media"</formula>
    </cfRule>
    <cfRule type="cellIs" dxfId="545" priority="103" operator="equal">
      <formula>"Baja"</formula>
    </cfRule>
    <cfRule type="cellIs" dxfId="544" priority="104" operator="equal">
      <formula>"Muy Baja"</formula>
    </cfRule>
  </conditionalFormatting>
  <conditionalFormatting sqref="AH49:AH54">
    <cfRule type="cellIs" dxfId="543" priority="95" operator="equal">
      <formula>"Catastrófico"</formula>
    </cfRule>
    <cfRule type="cellIs" dxfId="542" priority="96" operator="equal">
      <formula>"Mayor"</formula>
    </cfRule>
    <cfRule type="cellIs" dxfId="541" priority="97" operator="equal">
      <formula>"Moderado"</formula>
    </cfRule>
    <cfRule type="cellIs" dxfId="540" priority="98" operator="equal">
      <formula>"Menor"</formula>
    </cfRule>
    <cfRule type="cellIs" dxfId="539" priority="99" operator="equal">
      <formula>"Leve"</formula>
    </cfRule>
  </conditionalFormatting>
  <conditionalFormatting sqref="AJ49:AJ54">
    <cfRule type="cellIs" dxfId="538" priority="91" operator="equal">
      <formula>"Extremo"</formula>
    </cfRule>
    <cfRule type="cellIs" dxfId="537" priority="92" operator="equal">
      <formula>"Alto"</formula>
    </cfRule>
    <cfRule type="cellIs" dxfId="536" priority="93" operator="equal">
      <formula>"Moderado"</formula>
    </cfRule>
    <cfRule type="cellIs" dxfId="535" priority="94" operator="equal">
      <formula>"Bajo"</formula>
    </cfRule>
  </conditionalFormatting>
  <conditionalFormatting sqref="U55">
    <cfRule type="cellIs" dxfId="534" priority="77" operator="equal">
      <formula>"Extremo"</formula>
    </cfRule>
    <cfRule type="cellIs" dxfId="533" priority="78" operator="equal">
      <formula>"Alto"</formula>
    </cfRule>
    <cfRule type="cellIs" dxfId="532" priority="79" operator="equal">
      <formula>"Moderado"</formula>
    </cfRule>
    <cfRule type="cellIs" dxfId="531" priority="80" operator="equal">
      <formula>"Bajo"</formula>
    </cfRule>
  </conditionalFormatting>
  <conditionalFormatting sqref="AF55:AF60">
    <cfRule type="cellIs" dxfId="530" priority="72" operator="equal">
      <formula>"Muy Alta"</formula>
    </cfRule>
    <cfRule type="cellIs" dxfId="529" priority="73" operator="equal">
      <formula>"Alta"</formula>
    </cfRule>
    <cfRule type="cellIs" dxfId="528" priority="74" operator="equal">
      <formula>"Media"</formula>
    </cfRule>
    <cfRule type="cellIs" dxfId="527" priority="75" operator="equal">
      <formula>"Baja"</formula>
    </cfRule>
    <cfRule type="cellIs" dxfId="526" priority="76" operator="equal">
      <formula>"Muy Baja"</formula>
    </cfRule>
  </conditionalFormatting>
  <conditionalFormatting sqref="AH55:AH60">
    <cfRule type="cellIs" dxfId="525" priority="67" operator="equal">
      <formula>"Catastrófico"</formula>
    </cfRule>
    <cfRule type="cellIs" dxfId="524" priority="68" operator="equal">
      <formula>"Mayor"</formula>
    </cfRule>
    <cfRule type="cellIs" dxfId="523" priority="69" operator="equal">
      <formula>"Moderado"</formula>
    </cfRule>
    <cfRule type="cellIs" dxfId="522" priority="70" operator="equal">
      <formula>"Menor"</formula>
    </cfRule>
    <cfRule type="cellIs" dxfId="521" priority="71" operator="equal">
      <formula>"Leve"</formula>
    </cfRule>
  </conditionalFormatting>
  <conditionalFormatting sqref="AJ55:AJ60">
    <cfRule type="cellIs" dxfId="520" priority="63" operator="equal">
      <formula>"Extremo"</formula>
    </cfRule>
    <cfRule type="cellIs" dxfId="519" priority="64" operator="equal">
      <formula>"Alto"</formula>
    </cfRule>
    <cfRule type="cellIs" dxfId="518" priority="65" operator="equal">
      <formula>"Moderado"</formula>
    </cfRule>
    <cfRule type="cellIs" dxfId="517" priority="66" operator="equal">
      <formula>"Bajo"</formula>
    </cfRule>
  </conditionalFormatting>
  <conditionalFormatting sqref="U61">
    <cfRule type="cellIs" dxfId="516" priority="49" operator="equal">
      <formula>"Extremo"</formula>
    </cfRule>
    <cfRule type="cellIs" dxfId="515" priority="50" operator="equal">
      <formula>"Alto"</formula>
    </cfRule>
    <cfRule type="cellIs" dxfId="514" priority="51" operator="equal">
      <formula>"Moderado"</formula>
    </cfRule>
    <cfRule type="cellIs" dxfId="513" priority="52" operator="equal">
      <formula>"Bajo"</formula>
    </cfRule>
  </conditionalFormatting>
  <conditionalFormatting sqref="AF61:AF66">
    <cfRule type="cellIs" dxfId="512" priority="44" operator="equal">
      <formula>"Muy Alta"</formula>
    </cfRule>
    <cfRule type="cellIs" dxfId="511" priority="45" operator="equal">
      <formula>"Alta"</formula>
    </cfRule>
    <cfRule type="cellIs" dxfId="510" priority="46" operator="equal">
      <formula>"Media"</formula>
    </cfRule>
    <cfRule type="cellIs" dxfId="509" priority="47" operator="equal">
      <formula>"Baja"</formula>
    </cfRule>
    <cfRule type="cellIs" dxfId="508" priority="48" operator="equal">
      <formula>"Muy Baja"</formula>
    </cfRule>
  </conditionalFormatting>
  <conditionalFormatting sqref="AH61:AH66">
    <cfRule type="cellIs" dxfId="507" priority="39" operator="equal">
      <formula>"Catastrófico"</formula>
    </cfRule>
    <cfRule type="cellIs" dxfId="506" priority="40" operator="equal">
      <formula>"Mayor"</formula>
    </cfRule>
    <cfRule type="cellIs" dxfId="505" priority="41" operator="equal">
      <formula>"Moderado"</formula>
    </cfRule>
    <cfRule type="cellIs" dxfId="504" priority="42" operator="equal">
      <formula>"Menor"</formula>
    </cfRule>
    <cfRule type="cellIs" dxfId="503" priority="43" operator="equal">
      <formula>"Leve"</formula>
    </cfRule>
  </conditionalFormatting>
  <conditionalFormatting sqref="AJ61:AJ66">
    <cfRule type="cellIs" dxfId="502" priority="35" operator="equal">
      <formula>"Extremo"</formula>
    </cfRule>
    <cfRule type="cellIs" dxfId="501" priority="36" operator="equal">
      <formula>"Alto"</formula>
    </cfRule>
    <cfRule type="cellIs" dxfId="500" priority="37" operator="equal">
      <formula>"Moderado"</formula>
    </cfRule>
    <cfRule type="cellIs" dxfId="499" priority="38" operator="equal">
      <formula>"Bajo"</formula>
    </cfRule>
  </conditionalFormatting>
  <conditionalFormatting sqref="O67">
    <cfRule type="cellIs" dxfId="498" priority="30" operator="equal">
      <formula>"Muy Alta"</formula>
    </cfRule>
    <cfRule type="cellIs" dxfId="497" priority="31" operator="equal">
      <formula>"Alta"</formula>
    </cfRule>
    <cfRule type="cellIs" dxfId="496" priority="32" operator="equal">
      <formula>"Media"</formula>
    </cfRule>
    <cfRule type="cellIs" dxfId="495" priority="33" operator="equal">
      <formula>"Baja"</formula>
    </cfRule>
    <cfRule type="cellIs" dxfId="494" priority="34" operator="equal">
      <formula>"Muy Baja"</formula>
    </cfRule>
  </conditionalFormatting>
  <conditionalFormatting sqref="U67">
    <cfRule type="cellIs" dxfId="493" priority="21" operator="equal">
      <formula>"Extremo"</formula>
    </cfRule>
    <cfRule type="cellIs" dxfId="492" priority="22" operator="equal">
      <formula>"Alto"</formula>
    </cfRule>
    <cfRule type="cellIs" dxfId="491" priority="23" operator="equal">
      <formula>"Moderado"</formula>
    </cfRule>
    <cfRule type="cellIs" dxfId="490" priority="24" operator="equal">
      <formula>"Bajo"</formula>
    </cfRule>
  </conditionalFormatting>
  <conditionalFormatting sqref="AF67:AF72">
    <cfRule type="cellIs" dxfId="489" priority="16" operator="equal">
      <formula>"Muy Alta"</formula>
    </cfRule>
    <cfRule type="cellIs" dxfId="488" priority="17" operator="equal">
      <formula>"Alta"</formula>
    </cfRule>
    <cfRule type="cellIs" dxfId="487" priority="18" operator="equal">
      <formula>"Media"</formula>
    </cfRule>
    <cfRule type="cellIs" dxfId="486" priority="19" operator="equal">
      <formula>"Baja"</formula>
    </cfRule>
    <cfRule type="cellIs" dxfId="485" priority="20" operator="equal">
      <formula>"Muy Baja"</formula>
    </cfRule>
  </conditionalFormatting>
  <conditionalFormatting sqref="AH67:AH72">
    <cfRule type="cellIs" dxfId="484" priority="11" operator="equal">
      <formula>"Catastrófico"</formula>
    </cfRule>
    <cfRule type="cellIs" dxfId="483" priority="12" operator="equal">
      <formula>"Mayor"</formula>
    </cfRule>
    <cfRule type="cellIs" dxfId="482" priority="13" operator="equal">
      <formula>"Moderado"</formula>
    </cfRule>
    <cfRule type="cellIs" dxfId="481" priority="14" operator="equal">
      <formula>"Menor"</formula>
    </cfRule>
    <cfRule type="cellIs" dxfId="480" priority="15" operator="equal">
      <formula>"Leve"</formula>
    </cfRule>
  </conditionalFormatting>
  <conditionalFormatting sqref="AJ67:AJ72">
    <cfRule type="cellIs" dxfId="479" priority="7" operator="equal">
      <formula>"Extremo"</formula>
    </cfRule>
    <cfRule type="cellIs" dxfId="478" priority="8" operator="equal">
      <formula>"Alto"</formula>
    </cfRule>
    <cfRule type="cellIs" dxfId="477" priority="9" operator="equal">
      <formula>"Moderado"</formula>
    </cfRule>
    <cfRule type="cellIs" dxfId="476" priority="10" operator="equal">
      <formula>"Bajo"</formula>
    </cfRule>
  </conditionalFormatting>
  <conditionalFormatting sqref="R13:R72">
    <cfRule type="containsText" dxfId="475" priority="6" operator="containsText" text="❌">
      <formula>NOT(ISERROR(SEARCH("❌",R13)))</formula>
    </cfRule>
  </conditionalFormatting>
  <conditionalFormatting sqref="O55">
    <cfRule type="cellIs" dxfId="474" priority="1" operator="equal">
      <formula>"Muy Alta"</formula>
    </cfRule>
    <cfRule type="cellIs" dxfId="473" priority="2" operator="equal">
      <formula>"Alta"</formula>
    </cfRule>
    <cfRule type="cellIs" dxfId="472" priority="3" operator="equal">
      <formula>"Media"</formula>
    </cfRule>
    <cfRule type="cellIs" dxfId="471" priority="4" operator="equal">
      <formula>"Baja"</formula>
    </cfRule>
    <cfRule type="cellIs" dxfId="470" priority="5" operator="equal">
      <formula>"Muy Baja"</formula>
    </cfRule>
  </conditionalFormatting>
  <dataValidations count="1">
    <dataValidation allowBlank="1" showInputMessage="1" showErrorMessage="1" sqref="AP19:AQ24" xr:uid="{4F1FBA43-D1F9-4986-883C-F8BF15612BF1}"/>
  </dataValidations>
  <pageMargins left="0.70866141732283472" right="0.70866141732283472" top="0.74803149606299213" bottom="0.74803149606299213" header="0.31496062992125984" footer="0.31496062992125984"/>
  <pageSetup scale="31" orientation="landscape" r:id="rId1"/>
  <headerFooter>
    <oddFooter>&amp;LAvenida Calle 26 No. 69-76,Edificio Elemento ,   Torre Aire , Piso 3, CP-111071
PBX:(+57) 601-3779555 - Información: Línea 195
Sede Operativa - Atención al Ciudadano: Calle 22D No. 120-40 
www.umv.gov.co&amp;CDESI-FM-018
Página &amp;P de &amp;N</oddFooter>
  </headerFooter>
  <rowBreaks count="2" manualBreakCount="2">
    <brk id="24" max="40" man="1"/>
    <brk id="30" max="37" man="1"/>
  </rowBreaks>
  <colBreaks count="1" manualBreakCount="1">
    <brk id="22" max="23" man="1"/>
  </colBreaks>
  <ignoredErrors>
    <ignoredError sqref="AI15" formula="1"/>
  </ignoredErrors>
  <drawing r:id="rId2"/>
  <legacyDrawing r:id="rId3"/>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300-000001000000}">
          <x14:formula1>
            <xm:f>'Tabla Valoración controles'!$D$4:$D$6</xm:f>
          </x14:formula1>
          <xm:sqref>Y13:Y72</xm:sqref>
        </x14:dataValidation>
        <x14:dataValidation type="list" allowBlank="1" showInputMessage="1" showErrorMessage="1" xr:uid="{00000000-0002-0000-0300-000002000000}">
          <x14:formula1>
            <xm:f>'Tabla Valoración controles'!$D$7:$D$8</xm:f>
          </x14:formula1>
          <xm:sqref>Z13:Z72</xm:sqref>
        </x14:dataValidation>
        <x14:dataValidation type="list" allowBlank="1" showInputMessage="1" showErrorMessage="1" xr:uid="{00000000-0002-0000-0300-000003000000}">
          <x14:formula1>
            <xm:f>'Tabla Valoración controles'!$D$9:$D$10</xm:f>
          </x14:formula1>
          <xm:sqref>AB13:AB72</xm:sqref>
        </x14:dataValidation>
        <x14:dataValidation type="list" allowBlank="1" showInputMessage="1" showErrorMessage="1" xr:uid="{00000000-0002-0000-0300-000004000000}">
          <x14:formula1>
            <xm:f>'Tabla Valoración controles'!$D$11:$D$12</xm:f>
          </x14:formula1>
          <xm:sqref>AC13:AC72</xm:sqref>
        </x14:dataValidation>
        <x14:dataValidation type="list" allowBlank="1" showInputMessage="1" showErrorMessage="1" xr:uid="{00000000-0002-0000-0300-000005000000}">
          <x14:formula1>
            <xm:f>'Tabla Valoración controles'!$D$13:$D$14</xm:f>
          </x14:formula1>
          <xm:sqref>AD13:AD72</xm:sqref>
        </x14:dataValidation>
        <x14:dataValidation type="list" allowBlank="1" showInputMessage="1" showErrorMessage="1" xr:uid="{00000000-0002-0000-0300-000006000000}">
          <x14:formula1>
            <xm:f>Listas!$E$2:$E$4</xm:f>
          </x14:formula1>
          <xm:sqref>B13:B72</xm:sqref>
        </x14:dataValidation>
        <x14:dataValidation type="list" allowBlank="1" showInputMessage="1" showErrorMessage="1" xr:uid="{00000000-0002-0000-0300-000007000000}">
          <x14:formula1>
            <xm:f>Listas!$B$2:$B$5</xm:f>
          </x14:formula1>
          <xm:sqref>AK13:AK72</xm:sqref>
        </x14:dataValidation>
        <x14:dataValidation type="list" allowBlank="1" showInputMessage="1" showErrorMessage="1" xr:uid="{00000000-0002-0000-0300-000008000000}">
          <x14:formula1>
            <xm:f>'Tabla Impacto'!$F$211:$F$222</xm:f>
          </x14:formula1>
          <xm:sqref>Q13:Q72</xm:sqref>
        </x14:dataValidation>
        <x14:dataValidation type="custom" allowBlank="1" showInputMessage="1" showErrorMessage="1" error="Recuerde que las acciones se generan bajo la medida de mitigar el riesgo" xr:uid="{00000000-0002-0000-0300-000009000000}">
          <x14:formula1>
            <xm:f>IF(OR(AK31=Listas!$B$2,AK31=Listas!$B$3,AK31=Listas!$B$4),ISBLANK(AK31),ISTEXT(AK31))</xm:f>
          </x14:formula1>
          <xm:sqref>AL31:AL72</xm:sqref>
        </x14:dataValidation>
        <x14:dataValidation type="custom" allowBlank="1" showInputMessage="1" showErrorMessage="1" error="Recuerde que las acciones se generan bajo la medida de mitigar el riesgo" xr:uid="{00000000-0002-0000-0300-00000A000000}">
          <x14:formula1>
            <xm:f>IF(OR(AK13=Listas!$B$2,AK13=Listas!$B$3,AK13=Listas!$B$4),ISBLANK(AK13),ISTEXT(AK13))</xm:f>
          </x14:formula1>
          <xm:sqref>AM47:AM72 AN31:AN72 AN13:AN18</xm:sqref>
        </x14:dataValidation>
        <x14:dataValidation type="custom" allowBlank="1" showInputMessage="1" showErrorMessage="1" error="Recuerde que las acciones se generan bajo la medida de mitigar el riesgo" xr:uid="{00000000-0002-0000-0300-00000B000000}">
          <x14:formula1>
            <xm:f>IF(OR(AK36=Listas!$B$2,AK36=Listas!$B$3,AK36=Listas!$B$4),ISBLANK(AK36),ISTEXT(AK36))</xm:f>
          </x14:formula1>
          <xm:sqref>AO36:AO72</xm:sqref>
        </x14:dataValidation>
        <x14:dataValidation type="custom" allowBlank="1" showInputMessage="1" showErrorMessage="1" error="Recuerde que las acciones se generan bajo la medida de mitigar el riesgo" xr:uid="{00000000-0002-0000-0300-00000F000000}">
          <x14:formula1>
            <xm:f>IF(OR(#REF!=Listas!$B$2,#REF!=Listas!$B$3,#REF!=Listas!$B$4),ISBLANK(#REF!),ISTEXT(#REF!))</xm:f>
          </x14:formula1>
          <xm:sqref>AP31:AR31 AP67:AR67 AP61:AR61 AP55:AR55 AP49:AR49 AP43:AR43 AP37:AR37</xm:sqref>
        </x14:dataValidation>
        <x14:dataValidation type="list" allowBlank="1" showInputMessage="1" showErrorMessage="1" xr:uid="{00000000-0002-0000-0300-00000C000000}">
          <x14:formula1>
            <xm:f>Listas!$B$12:$B$16</xm:f>
          </x14:formula1>
          <xm:sqref>F13:F72</xm:sqref>
        </x14:dataValidation>
        <x14:dataValidation type="list" allowBlank="1" showInputMessage="1" showErrorMessage="1" xr:uid="{56974EBC-92AA-46D7-A563-12DC1F3E81D0}">
          <x14:formula1>
            <xm:f>Listas!$F$8:$F$9</xm:f>
          </x14:formula1>
          <xm:sqref>G13:G72</xm:sqref>
        </x14:dataValidation>
        <x14:dataValidation type="list" allowBlank="1" showInputMessage="1" showErrorMessage="1" xr:uid="{00000000-0002-0000-0300-000010000000}">
          <x14:formula1>
            <xm:f>Intructivo!$C$300:$C$316</xm:f>
          </x14:formula1>
          <xm:sqref>C6:V6</xm:sqref>
        </x14:dataValidation>
        <x14:dataValidation type="list" allowBlank="1" showInputMessage="1" showErrorMessage="1" xr:uid="{03058C6C-7F42-42BB-9770-ED87FDA682A3}">
          <x14:formula1>
            <xm:f>Listas!$H$8:$H$12</xm:f>
          </x14:formula1>
          <xm:sqref>L13:L72</xm:sqref>
        </x14:dataValidation>
        <x14:dataValidation type="list" allowBlank="1" showInputMessage="1" showErrorMessage="1" xr:uid="{ED0225A5-353B-484A-9502-C16753E9C895}">
          <x14:formula1>
            <xm:f>Listas!$H$14:$H$18</xm:f>
          </x14:formula1>
          <xm:sqref>M13:M72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topLeftCell="A2" zoomScale="40" zoomScaleNormal="40" workbookViewId="0">
      <selection activeCell="Z14" sqref="Z14:AA15"/>
    </sheetView>
  </sheetViews>
  <sheetFormatPr baseColWidth="10" defaultColWidth="11.5" defaultRowHeight="15" x14ac:dyDescent="0.2"/>
  <cols>
    <col min="2" max="39" width="5.6640625" customWidth="1"/>
    <col min="41" max="46" width="5.6640625" customWidth="1"/>
  </cols>
  <sheetData>
    <row r="1" spans="1:99" x14ac:dyDescent="0.2">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row>
    <row r="2" spans="1:99" ht="18" customHeight="1" x14ac:dyDescent="0.2">
      <c r="A2" s="66"/>
      <c r="B2" s="439" t="s">
        <v>313</v>
      </c>
      <c r="C2" s="439"/>
      <c r="D2" s="439"/>
      <c r="E2" s="439"/>
      <c r="F2" s="439"/>
      <c r="G2" s="439"/>
      <c r="H2" s="439"/>
      <c r="I2" s="439"/>
      <c r="J2" s="476" t="s">
        <v>15</v>
      </c>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row>
    <row r="3" spans="1:99" ht="18.75" customHeight="1" x14ac:dyDescent="0.2">
      <c r="A3" s="66"/>
      <c r="B3" s="439"/>
      <c r="C3" s="439"/>
      <c r="D3" s="439"/>
      <c r="E3" s="439"/>
      <c r="F3" s="439"/>
      <c r="G3" s="439"/>
      <c r="H3" s="439"/>
      <c r="I3" s="439"/>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6"/>
      <c r="AJ3" s="476"/>
      <c r="AK3" s="476"/>
      <c r="AL3" s="476"/>
      <c r="AM3" s="47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row>
    <row r="4" spans="1:99" ht="15" customHeight="1" x14ac:dyDescent="0.2">
      <c r="A4" s="66"/>
      <c r="B4" s="439"/>
      <c r="C4" s="439"/>
      <c r="D4" s="439"/>
      <c r="E4" s="439"/>
      <c r="F4" s="439"/>
      <c r="G4" s="439"/>
      <c r="H4" s="439"/>
      <c r="I4" s="439"/>
      <c r="J4" s="476"/>
      <c r="K4" s="476"/>
      <c r="L4" s="476"/>
      <c r="M4" s="476"/>
      <c r="N4" s="476"/>
      <c r="O4" s="476"/>
      <c r="P4" s="476"/>
      <c r="Q4" s="476"/>
      <c r="R4" s="476"/>
      <c r="S4" s="476"/>
      <c r="T4" s="476"/>
      <c r="U4" s="476"/>
      <c r="V4" s="476"/>
      <c r="W4" s="476"/>
      <c r="X4" s="476"/>
      <c r="Y4" s="476"/>
      <c r="Z4" s="476"/>
      <c r="AA4" s="476"/>
      <c r="AB4" s="476"/>
      <c r="AC4" s="476"/>
      <c r="AD4" s="476"/>
      <c r="AE4" s="476"/>
      <c r="AF4" s="476"/>
      <c r="AG4" s="476"/>
      <c r="AH4" s="476"/>
      <c r="AI4" s="476"/>
      <c r="AJ4" s="476"/>
      <c r="AK4" s="476"/>
      <c r="AL4" s="476"/>
      <c r="AM4" s="47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row>
    <row r="5" spans="1:99" ht="16" thickBot="1" x14ac:dyDescent="0.25">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row>
    <row r="6" spans="1:99" ht="15" customHeight="1" x14ac:dyDescent="0.2">
      <c r="A6" s="66"/>
      <c r="B6" s="487" t="s">
        <v>314</v>
      </c>
      <c r="C6" s="487"/>
      <c r="D6" s="488"/>
      <c r="E6" s="477" t="s">
        <v>315</v>
      </c>
      <c r="F6" s="478"/>
      <c r="G6" s="478"/>
      <c r="H6" s="478"/>
      <c r="I6" s="479"/>
      <c r="J6" s="473" t="str">
        <f>IF(AND('Riesgos de Gestión'!$O$13="Muy Alta",'Riesgos de Gestión'!$S$13="Leve"),CONCATENATE("R",'Riesgos de Gestión'!$A$13),"")</f>
        <v/>
      </c>
      <c r="K6" s="474"/>
      <c r="L6" s="474" t="str">
        <f>IF(AND('Riesgos de Gestión'!$O$19="Muy Alta",'Riesgos de Gestión'!$S$19="Leve"),CONCATENATE("R",'Riesgos de Gestión'!$A$19),"")</f>
        <v/>
      </c>
      <c r="M6" s="474"/>
      <c r="N6" s="474" t="str">
        <f>IF(AND('Riesgos de Gestión'!$O$25="Muy Alta",'Riesgos de Gestión'!$S$25="Leve"),CONCATENATE("R",'Riesgos de Gestión'!$A$25),"")</f>
        <v/>
      </c>
      <c r="O6" s="475"/>
      <c r="P6" s="473" t="str">
        <f>IF(AND('Riesgos de Gestión'!$O$13="Muy Alta",'Riesgos de Gestión'!$S$13="Menor"),CONCATENATE("R",'Riesgos de Gestión'!$A$13),"")</f>
        <v/>
      </c>
      <c r="Q6" s="474"/>
      <c r="R6" s="474" t="str">
        <f>IF(AND('Riesgos de Gestión'!$O$19="Muy Alta",'Riesgos de Gestión'!$S$19="Menor"),CONCATENATE("R",'Riesgos de Gestión'!$A$19),"")</f>
        <v/>
      </c>
      <c r="S6" s="474"/>
      <c r="T6" s="474" t="str">
        <f>IF(AND('Riesgos de Gestión'!$O$25="Muy Alta",'Riesgos de Gestión'!$S$25="Menor"),CONCATENATE("R",'Riesgos de Gestión'!$A$25),"")</f>
        <v/>
      </c>
      <c r="U6" s="475"/>
      <c r="V6" s="473" t="str">
        <f>IF(AND('Riesgos de Gestión'!$O$13="Muy Alta",'Riesgos de Gestión'!$S$13="Moderado"),CONCATENATE("R",'Riesgos de Gestión'!$A$13),"")</f>
        <v/>
      </c>
      <c r="W6" s="474"/>
      <c r="X6" s="474" t="str">
        <f>IF(AND('Riesgos de Gestión'!$O$19="Muy Alta",'Riesgos de Gestión'!$S$19="Moderado"),CONCATENATE("R",'Riesgos de Gestión'!$A$19),"")</f>
        <v/>
      </c>
      <c r="Y6" s="474"/>
      <c r="Z6" s="474" t="str">
        <f>IF(AND('Riesgos de Gestión'!$O$25="Muy Alta",'Riesgos de Gestión'!$S$25="Moderado"),CONCATENATE("R",'Riesgos de Gestión'!$A$25),"")</f>
        <v/>
      </c>
      <c r="AA6" s="475"/>
      <c r="AB6" s="473" t="str">
        <f>IF(AND('Riesgos de Gestión'!$O$13="Muy Alta",'Riesgos de Gestión'!$S$13="Mayor"),CONCATENATE("R",'Riesgos de Gestión'!$A$13),"")</f>
        <v/>
      </c>
      <c r="AC6" s="474"/>
      <c r="AD6" s="474" t="str">
        <f>IF(AND('Riesgos de Gestión'!$O$19="Muy Alta",'Riesgos de Gestión'!$S$19="Mayor"),CONCATENATE("R",'Riesgos de Gestión'!$A$19),"")</f>
        <v/>
      </c>
      <c r="AE6" s="474"/>
      <c r="AF6" s="474" t="str">
        <f>IF(AND('Riesgos de Gestión'!$O$25="Muy Alta",'Riesgos de Gestión'!$S$25="Mayor"),CONCATENATE("R",'Riesgos de Gestión'!$A$25),"")</f>
        <v/>
      </c>
      <c r="AG6" s="475"/>
      <c r="AH6" s="464" t="str">
        <f>IF(AND('Riesgos de Gestión'!$O$13="Muy Alta",'Riesgos de Gestión'!$S$13="Catastrófico"),CONCATENATE("R",'Riesgos de Gestión'!$A$13),"")</f>
        <v/>
      </c>
      <c r="AI6" s="465"/>
      <c r="AJ6" s="465" t="str">
        <f>IF(AND('Riesgos de Gestión'!$O$19="Muy Alta",'Riesgos de Gestión'!$S$19="Catastrófico"),CONCATENATE("R",'Riesgos de Gestión'!$A$19),"")</f>
        <v/>
      </c>
      <c r="AK6" s="465"/>
      <c r="AL6" s="465" t="str">
        <f>IF(AND('Riesgos de Gestión'!$O$25="Muy Alta",'Riesgos de Gestión'!$S$25="Catastrófico"),CONCATENATE("R",'Riesgos de Gestión'!$A$25),"")</f>
        <v/>
      </c>
      <c r="AM6" s="466"/>
      <c r="AO6" s="489" t="s">
        <v>316</v>
      </c>
      <c r="AP6" s="490"/>
      <c r="AQ6" s="490"/>
      <c r="AR6" s="490"/>
      <c r="AS6" s="490"/>
      <c r="AT6" s="491"/>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row>
    <row r="7" spans="1:99" ht="15" customHeight="1" x14ac:dyDescent="0.2">
      <c r="A7" s="66"/>
      <c r="B7" s="487"/>
      <c r="C7" s="487"/>
      <c r="D7" s="488"/>
      <c r="E7" s="480"/>
      <c r="F7" s="481"/>
      <c r="G7" s="481"/>
      <c r="H7" s="481"/>
      <c r="I7" s="482"/>
      <c r="J7" s="467"/>
      <c r="K7" s="468"/>
      <c r="L7" s="468"/>
      <c r="M7" s="468"/>
      <c r="N7" s="468"/>
      <c r="O7" s="469"/>
      <c r="P7" s="467"/>
      <c r="Q7" s="468"/>
      <c r="R7" s="468"/>
      <c r="S7" s="468"/>
      <c r="T7" s="468"/>
      <c r="U7" s="469"/>
      <c r="V7" s="467"/>
      <c r="W7" s="468"/>
      <c r="X7" s="468"/>
      <c r="Y7" s="468"/>
      <c r="Z7" s="468"/>
      <c r="AA7" s="469"/>
      <c r="AB7" s="467"/>
      <c r="AC7" s="468"/>
      <c r="AD7" s="468"/>
      <c r="AE7" s="468"/>
      <c r="AF7" s="468"/>
      <c r="AG7" s="469"/>
      <c r="AH7" s="458"/>
      <c r="AI7" s="459"/>
      <c r="AJ7" s="459"/>
      <c r="AK7" s="459"/>
      <c r="AL7" s="459"/>
      <c r="AM7" s="460"/>
      <c r="AN7" s="66"/>
      <c r="AO7" s="492"/>
      <c r="AP7" s="493"/>
      <c r="AQ7" s="493"/>
      <c r="AR7" s="493"/>
      <c r="AS7" s="493"/>
      <c r="AT7" s="494"/>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row>
    <row r="8" spans="1:99" ht="15" customHeight="1" x14ac:dyDescent="0.2">
      <c r="A8" s="66"/>
      <c r="B8" s="487"/>
      <c r="C8" s="487"/>
      <c r="D8" s="488"/>
      <c r="E8" s="480"/>
      <c r="F8" s="481"/>
      <c r="G8" s="481"/>
      <c r="H8" s="481"/>
      <c r="I8" s="482"/>
      <c r="J8" s="467" t="str">
        <f>IF(AND('Riesgos de Gestión'!$O$31="Muy Alta",'Riesgos de Gestión'!$S$31="Leve"),CONCATENATE("R",'Riesgos de Gestión'!$A$31),"")</f>
        <v/>
      </c>
      <c r="K8" s="468"/>
      <c r="L8" s="468" t="str">
        <f>IF(AND('Riesgos de Gestión'!$O$37="Muy Alta",'Riesgos de Gestión'!$S$37="Leve"),CONCATENATE("R",'Riesgos de Gestión'!$A$37),"")</f>
        <v/>
      </c>
      <c r="M8" s="468"/>
      <c r="N8" s="468" t="str">
        <f>IF(AND('Riesgos de Gestión'!$O$43="Muy Alta",'Riesgos de Gestión'!$S$43="Leve"),CONCATENATE("R",'Riesgos de Gestión'!$A$43),"")</f>
        <v/>
      </c>
      <c r="O8" s="469"/>
      <c r="P8" s="467" t="str">
        <f>IF(AND('Riesgos de Gestión'!$O$31="Muy Alta",'Riesgos de Gestión'!$S$31="Menor"),CONCATENATE("R",'Riesgos de Gestión'!$A$31),"")</f>
        <v/>
      </c>
      <c r="Q8" s="468"/>
      <c r="R8" s="468" t="str">
        <f>IF(AND('Riesgos de Gestión'!$O$37="Muy Alta",'Riesgos de Gestión'!$S$37="Menor"),CONCATENATE("R",'Riesgos de Gestión'!$A$37),"")</f>
        <v/>
      </c>
      <c r="S8" s="468"/>
      <c r="T8" s="468" t="str">
        <f>IF(AND('Riesgos de Gestión'!$O$43="Muy Alta",'Riesgos de Gestión'!$S$43="Menor"),CONCATENATE("R",'Riesgos de Gestión'!$A$43),"")</f>
        <v/>
      </c>
      <c r="U8" s="469"/>
      <c r="V8" s="467" t="str">
        <f>IF(AND('Riesgos de Gestión'!$O$31="Muy Alta",'Riesgos de Gestión'!$S$31="Moderado"),CONCATENATE("R",'Riesgos de Gestión'!$A$31),"")</f>
        <v/>
      </c>
      <c r="W8" s="468"/>
      <c r="X8" s="468" t="str">
        <f>IF(AND('Riesgos de Gestión'!$O$37="Muy Alta",'Riesgos de Gestión'!$S$37="Moderado"),CONCATENATE("R",'Riesgos de Gestión'!$A$37),"")</f>
        <v/>
      </c>
      <c r="Y8" s="468"/>
      <c r="Z8" s="468" t="str">
        <f>IF(AND('Riesgos de Gestión'!$O$43="Muy Alta",'Riesgos de Gestión'!$S$43="Moderado"),CONCATENATE("R",'Riesgos de Gestión'!$A$43),"")</f>
        <v/>
      </c>
      <c r="AA8" s="469"/>
      <c r="AB8" s="467" t="str">
        <f>IF(AND('Riesgos de Gestión'!$O$31="Muy Alta",'Riesgos de Gestión'!$S$31="Mayor"),CONCATENATE("R",'Riesgos de Gestión'!$A$31),"")</f>
        <v/>
      </c>
      <c r="AC8" s="468"/>
      <c r="AD8" s="468" t="str">
        <f>IF(AND('Riesgos de Gestión'!$O$37="Muy Alta",'Riesgos de Gestión'!$S$37="Mayor"),CONCATENATE("R",'Riesgos de Gestión'!$A$37),"")</f>
        <v/>
      </c>
      <c r="AE8" s="468"/>
      <c r="AF8" s="468" t="str">
        <f>IF(AND('Riesgos de Gestión'!$O$43="Muy Alta",'Riesgos de Gestión'!$S$43="Mayor"),CONCATENATE("R",'Riesgos de Gestión'!$A$43),"")</f>
        <v/>
      </c>
      <c r="AG8" s="469"/>
      <c r="AH8" s="458" t="str">
        <f>IF(AND('Riesgos de Gestión'!$O$31="Muy Alta",'Riesgos de Gestión'!$S$31="Catastrófico"),CONCATENATE("R",'Riesgos de Gestión'!$A$31),"")</f>
        <v/>
      </c>
      <c r="AI8" s="459"/>
      <c r="AJ8" s="459" t="str">
        <f>IF(AND('Riesgos de Gestión'!$O$37="Muy Alta",'Riesgos de Gestión'!$S$37="Catastrófico"),CONCATENATE("R",'Riesgos de Gestión'!$A$37),"")</f>
        <v/>
      </c>
      <c r="AK8" s="459"/>
      <c r="AL8" s="459" t="str">
        <f>IF(AND('Riesgos de Gestión'!$O$43="Muy Alta",'Riesgos de Gestión'!$S$43="Catastrófico"),CONCATENATE("R",'Riesgos de Gestión'!$A$43),"")</f>
        <v/>
      </c>
      <c r="AM8" s="460"/>
      <c r="AN8" s="66"/>
      <c r="AO8" s="492"/>
      <c r="AP8" s="493"/>
      <c r="AQ8" s="493"/>
      <c r="AR8" s="493"/>
      <c r="AS8" s="493"/>
      <c r="AT8" s="494"/>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row>
    <row r="9" spans="1:99" ht="15" customHeight="1" x14ac:dyDescent="0.2">
      <c r="A9" s="66"/>
      <c r="B9" s="487"/>
      <c r="C9" s="487"/>
      <c r="D9" s="488"/>
      <c r="E9" s="480"/>
      <c r="F9" s="481"/>
      <c r="G9" s="481"/>
      <c r="H9" s="481"/>
      <c r="I9" s="482"/>
      <c r="J9" s="467"/>
      <c r="K9" s="468"/>
      <c r="L9" s="468"/>
      <c r="M9" s="468"/>
      <c r="N9" s="468"/>
      <c r="O9" s="469"/>
      <c r="P9" s="467"/>
      <c r="Q9" s="468"/>
      <c r="R9" s="468"/>
      <c r="S9" s="468"/>
      <c r="T9" s="468"/>
      <c r="U9" s="469"/>
      <c r="V9" s="467"/>
      <c r="W9" s="468"/>
      <c r="X9" s="468"/>
      <c r="Y9" s="468"/>
      <c r="Z9" s="468"/>
      <c r="AA9" s="469"/>
      <c r="AB9" s="467"/>
      <c r="AC9" s="468"/>
      <c r="AD9" s="468"/>
      <c r="AE9" s="468"/>
      <c r="AF9" s="468"/>
      <c r="AG9" s="469"/>
      <c r="AH9" s="458"/>
      <c r="AI9" s="459"/>
      <c r="AJ9" s="459"/>
      <c r="AK9" s="459"/>
      <c r="AL9" s="459"/>
      <c r="AM9" s="460"/>
      <c r="AN9" s="66"/>
      <c r="AO9" s="492"/>
      <c r="AP9" s="493"/>
      <c r="AQ9" s="493"/>
      <c r="AR9" s="493"/>
      <c r="AS9" s="493"/>
      <c r="AT9" s="494"/>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row>
    <row r="10" spans="1:99" ht="15" customHeight="1" x14ac:dyDescent="0.2">
      <c r="A10" s="66"/>
      <c r="B10" s="487"/>
      <c r="C10" s="487"/>
      <c r="D10" s="488"/>
      <c r="E10" s="480"/>
      <c r="F10" s="481"/>
      <c r="G10" s="481"/>
      <c r="H10" s="481"/>
      <c r="I10" s="482"/>
      <c r="J10" s="467" t="str">
        <f>IF(AND('Riesgos de Gestión'!$O$49="Muy Alta",'Riesgos de Gestión'!$S$49="Leve"),CONCATENATE("R",'Riesgos de Gestión'!$A$49),"")</f>
        <v/>
      </c>
      <c r="K10" s="468"/>
      <c r="L10" s="468" t="str">
        <f>IF(AND('Riesgos de Gestión'!$O$55="Muy Alta",'Riesgos de Gestión'!$S$55="Leve"),CONCATENATE("R",'Riesgos de Gestión'!$A$55),"")</f>
        <v/>
      </c>
      <c r="M10" s="468"/>
      <c r="N10" s="468" t="str">
        <f>IF(AND('Riesgos de Gestión'!$O$61="Muy Alta",'Riesgos de Gestión'!$S$61="Leve"),CONCATENATE("R",'Riesgos de Gestión'!$A$61),"")</f>
        <v/>
      </c>
      <c r="O10" s="469"/>
      <c r="P10" s="467" t="str">
        <f>IF(AND('Riesgos de Gestión'!$O$49="Muy Alta",'Riesgos de Gestión'!$S$49="Menor"),CONCATENATE("R",'Riesgos de Gestión'!$A$49),"")</f>
        <v/>
      </c>
      <c r="Q10" s="468"/>
      <c r="R10" s="468" t="str">
        <f>IF(AND('Riesgos de Gestión'!$O$55="Muy Alta",'Riesgos de Gestión'!$S$55="Menor"),CONCATENATE("R",'Riesgos de Gestión'!$A$55),"")</f>
        <v/>
      </c>
      <c r="S10" s="468"/>
      <c r="T10" s="468" t="str">
        <f>IF(AND('Riesgos de Gestión'!$O$61="Muy Alta",'Riesgos de Gestión'!$S$61="Menor"),CONCATENATE("R",'Riesgos de Gestión'!$A$61),"")</f>
        <v/>
      </c>
      <c r="U10" s="469"/>
      <c r="V10" s="467" t="str">
        <f>IF(AND('Riesgos de Gestión'!$O$49="Muy Alta",'Riesgos de Gestión'!$S$49="Moderado"),CONCATENATE("R",'Riesgos de Gestión'!$A$49),"")</f>
        <v/>
      </c>
      <c r="W10" s="468"/>
      <c r="X10" s="468" t="str">
        <f>IF(AND('Riesgos de Gestión'!$O$55="Muy Alta",'Riesgos de Gestión'!$S$55="Moderado"),CONCATENATE("R",'Riesgos de Gestión'!$A$55),"")</f>
        <v/>
      </c>
      <c r="Y10" s="468"/>
      <c r="Z10" s="468" t="str">
        <f>IF(AND('Riesgos de Gestión'!$O$61="Muy Alta",'Riesgos de Gestión'!$S$61="Moderado"),CONCATENATE("R",'Riesgos de Gestión'!$A$61),"")</f>
        <v/>
      </c>
      <c r="AA10" s="469"/>
      <c r="AB10" s="467" t="str">
        <f>IF(AND('Riesgos de Gestión'!$O$49="Muy Alta",'Riesgos de Gestión'!$S$49="Mayor"),CONCATENATE("R",'Riesgos de Gestión'!$A$49),"")</f>
        <v/>
      </c>
      <c r="AC10" s="468"/>
      <c r="AD10" s="468" t="str">
        <f>IF(AND('Riesgos de Gestión'!$O$55="Muy Alta",'Riesgos de Gestión'!$S$55="Mayor"),CONCATENATE("R",'Riesgos de Gestión'!$A$55),"")</f>
        <v/>
      </c>
      <c r="AE10" s="468"/>
      <c r="AF10" s="468" t="str">
        <f>IF(AND('Riesgos de Gestión'!$O$61="Muy Alta",'Riesgos de Gestión'!$S$61="Mayor"),CONCATENATE("R",'Riesgos de Gestión'!$A$61),"")</f>
        <v/>
      </c>
      <c r="AG10" s="469"/>
      <c r="AH10" s="458" t="str">
        <f>IF(AND('Riesgos de Gestión'!$O$49="Muy Alta",'Riesgos de Gestión'!$S$49="Catastrófico"),CONCATENATE("R",'Riesgos de Gestión'!$A$49),"")</f>
        <v/>
      </c>
      <c r="AI10" s="459"/>
      <c r="AJ10" s="459" t="str">
        <f>IF(AND('Riesgos de Gestión'!$O$55="Muy Alta",'Riesgos de Gestión'!$S$55="Catastrófico"),CONCATENATE("R",'Riesgos de Gestión'!$A$55),"")</f>
        <v/>
      </c>
      <c r="AK10" s="459"/>
      <c r="AL10" s="459" t="str">
        <f>IF(AND('Riesgos de Gestión'!$O$61="Muy Alta",'Riesgos de Gestión'!$S$61="Catastrófico"),CONCATENATE("R",'Riesgos de Gestión'!$A$61),"")</f>
        <v/>
      </c>
      <c r="AM10" s="460"/>
      <c r="AN10" s="66"/>
      <c r="AO10" s="492"/>
      <c r="AP10" s="493"/>
      <c r="AQ10" s="493"/>
      <c r="AR10" s="493"/>
      <c r="AS10" s="493"/>
      <c r="AT10" s="494"/>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row>
    <row r="11" spans="1:99" ht="15" customHeight="1" x14ac:dyDescent="0.2">
      <c r="A11" s="66"/>
      <c r="B11" s="487"/>
      <c r="C11" s="487"/>
      <c r="D11" s="488"/>
      <c r="E11" s="480"/>
      <c r="F11" s="481"/>
      <c r="G11" s="481"/>
      <c r="H11" s="481"/>
      <c r="I11" s="482"/>
      <c r="J11" s="467"/>
      <c r="K11" s="468"/>
      <c r="L11" s="468"/>
      <c r="M11" s="468"/>
      <c r="N11" s="468"/>
      <c r="O11" s="469"/>
      <c r="P11" s="467"/>
      <c r="Q11" s="468"/>
      <c r="R11" s="468"/>
      <c r="S11" s="468"/>
      <c r="T11" s="468"/>
      <c r="U11" s="469"/>
      <c r="V11" s="467"/>
      <c r="W11" s="468"/>
      <c r="X11" s="468"/>
      <c r="Y11" s="468"/>
      <c r="Z11" s="468"/>
      <c r="AA11" s="469"/>
      <c r="AB11" s="467"/>
      <c r="AC11" s="468"/>
      <c r="AD11" s="468"/>
      <c r="AE11" s="468"/>
      <c r="AF11" s="468"/>
      <c r="AG11" s="469"/>
      <c r="AH11" s="458"/>
      <c r="AI11" s="459"/>
      <c r="AJ11" s="459"/>
      <c r="AK11" s="459"/>
      <c r="AL11" s="459"/>
      <c r="AM11" s="460"/>
      <c r="AN11" s="66"/>
      <c r="AO11" s="492"/>
      <c r="AP11" s="493"/>
      <c r="AQ11" s="493"/>
      <c r="AR11" s="493"/>
      <c r="AS11" s="493"/>
      <c r="AT11" s="494"/>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row>
    <row r="12" spans="1:99" ht="15" customHeight="1" x14ac:dyDescent="0.2">
      <c r="A12" s="66"/>
      <c r="B12" s="487"/>
      <c r="C12" s="487"/>
      <c r="D12" s="488"/>
      <c r="E12" s="480"/>
      <c r="F12" s="481"/>
      <c r="G12" s="481"/>
      <c r="H12" s="481"/>
      <c r="I12" s="482"/>
      <c r="J12" s="467" t="str">
        <f>IF(AND('Riesgos de Gestión'!$O$67="Muy Alta",'Riesgos de Gestión'!$S$67="Leve"),CONCATENATE("R",'Riesgos de Gestión'!$A$67),"")</f>
        <v/>
      </c>
      <c r="K12" s="468"/>
      <c r="L12" s="468" t="str">
        <f>IF(AND('Riesgos de Gestión'!$P$73="Muy Alta",'Riesgos de Gestión'!$T$73="Leve"),CONCATENATE("R",'Riesgos de Gestión'!$A$73),"")</f>
        <v/>
      </c>
      <c r="M12" s="468"/>
      <c r="N12" s="468" t="str">
        <f>IF(AND('Riesgos de Gestión'!$P$79="Muy Alta",'Riesgos de Gestión'!$T$79="Leve"),CONCATENATE("R",'Riesgos de Gestión'!$A$79),"")</f>
        <v/>
      </c>
      <c r="O12" s="469"/>
      <c r="P12" s="467" t="str">
        <f>IF(AND('Riesgos de Gestión'!$O$67="Muy Alta",'Riesgos de Gestión'!$S$67="Menor"),CONCATENATE("R",'Riesgos de Gestión'!$A$67),"")</f>
        <v/>
      </c>
      <c r="Q12" s="468"/>
      <c r="R12" s="468" t="str">
        <f>IF(AND('Riesgos de Gestión'!$P$73="Muy Alta",'Riesgos de Gestión'!$T$73="Menor"),CONCATENATE("R",'Riesgos de Gestión'!$A$73),"")</f>
        <v/>
      </c>
      <c r="S12" s="468"/>
      <c r="T12" s="468" t="str">
        <f>IF(AND('Riesgos de Gestión'!$P$79="Muy Alta",'Riesgos de Gestión'!$T$79="Menor"),CONCATENATE("R",'Riesgos de Gestión'!$A$79),"")</f>
        <v/>
      </c>
      <c r="U12" s="469"/>
      <c r="V12" s="467" t="str">
        <f>IF(AND('Riesgos de Gestión'!$O$67="Muy Alta",'Riesgos de Gestión'!$S$67="Moderado"),CONCATENATE("R",'Riesgos de Gestión'!$A$67),"")</f>
        <v/>
      </c>
      <c r="W12" s="468"/>
      <c r="X12" s="468" t="str">
        <f>IF(AND('Riesgos de Gestión'!$P$73="Muy Alta",'Riesgos de Gestión'!$T$73="Moderado"),CONCATENATE("R",'Riesgos de Gestión'!$A$73),"")</f>
        <v/>
      </c>
      <c r="Y12" s="468"/>
      <c r="Z12" s="468" t="str">
        <f>IF(AND('Riesgos de Gestión'!$P$79="Muy Alta",'Riesgos de Gestión'!$T$79="Moderado"),CONCATENATE("R",'Riesgos de Gestión'!$A$79),"")</f>
        <v/>
      </c>
      <c r="AA12" s="469"/>
      <c r="AB12" s="467" t="str">
        <f>IF(AND('Riesgos de Gestión'!$O$67="Muy Alta",'Riesgos de Gestión'!$S$67="Mayor"),CONCATENATE("R",'Riesgos de Gestión'!$A$67),"")</f>
        <v/>
      </c>
      <c r="AC12" s="468"/>
      <c r="AD12" s="468" t="str">
        <f>IF(AND('Riesgos de Gestión'!$P$73="Muy Alta",'Riesgos de Gestión'!$T$73="Mayor"),CONCATENATE("R",'Riesgos de Gestión'!$A$73),"")</f>
        <v/>
      </c>
      <c r="AE12" s="468"/>
      <c r="AF12" s="468" t="str">
        <f>IF(AND('Riesgos de Gestión'!$P$79="Muy Alta",'Riesgos de Gestión'!$T$79="Mayor"),CONCATENATE("R",'Riesgos de Gestión'!$A$79),"")</f>
        <v/>
      </c>
      <c r="AG12" s="469"/>
      <c r="AH12" s="458" t="str">
        <f>IF(AND('Riesgos de Gestión'!$O$67="Muy Alta",'Riesgos de Gestión'!$S$67="Catastrófico"),CONCATENATE("R",'Riesgos de Gestión'!$A$67),"")</f>
        <v/>
      </c>
      <c r="AI12" s="459"/>
      <c r="AJ12" s="459" t="str">
        <f>IF(AND('Riesgos de Gestión'!$P$73="Muy Alta",'Riesgos de Gestión'!$T$73="Catastrófico"),CONCATENATE("R",'Riesgos de Gestión'!$A$73),"")</f>
        <v/>
      </c>
      <c r="AK12" s="459"/>
      <c r="AL12" s="459" t="str">
        <f>IF(AND('Riesgos de Gestión'!$P$79="Muy Alta",'Riesgos de Gestión'!$T$79="Catastrófico"),CONCATENATE("R",'Riesgos de Gestión'!$A$79),"")</f>
        <v/>
      </c>
      <c r="AM12" s="460"/>
      <c r="AN12" s="66"/>
      <c r="AO12" s="492"/>
      <c r="AP12" s="493"/>
      <c r="AQ12" s="493"/>
      <c r="AR12" s="493"/>
      <c r="AS12" s="493"/>
      <c r="AT12" s="494"/>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row>
    <row r="13" spans="1:99" ht="15.75" customHeight="1" thickBot="1" x14ac:dyDescent="0.25">
      <c r="A13" s="66"/>
      <c r="B13" s="487"/>
      <c r="C13" s="487"/>
      <c r="D13" s="488"/>
      <c r="E13" s="483"/>
      <c r="F13" s="484"/>
      <c r="G13" s="484"/>
      <c r="H13" s="484"/>
      <c r="I13" s="485"/>
      <c r="J13" s="467"/>
      <c r="K13" s="468"/>
      <c r="L13" s="468"/>
      <c r="M13" s="468"/>
      <c r="N13" s="468"/>
      <c r="O13" s="469"/>
      <c r="P13" s="467"/>
      <c r="Q13" s="468"/>
      <c r="R13" s="468"/>
      <c r="S13" s="468"/>
      <c r="T13" s="468"/>
      <c r="U13" s="469"/>
      <c r="V13" s="467"/>
      <c r="W13" s="468"/>
      <c r="X13" s="468"/>
      <c r="Y13" s="468"/>
      <c r="Z13" s="468"/>
      <c r="AA13" s="469"/>
      <c r="AB13" s="467"/>
      <c r="AC13" s="468"/>
      <c r="AD13" s="468"/>
      <c r="AE13" s="468"/>
      <c r="AF13" s="468"/>
      <c r="AG13" s="469"/>
      <c r="AH13" s="461"/>
      <c r="AI13" s="462"/>
      <c r="AJ13" s="462"/>
      <c r="AK13" s="462"/>
      <c r="AL13" s="462"/>
      <c r="AM13" s="463"/>
      <c r="AN13" s="66"/>
      <c r="AO13" s="495"/>
      <c r="AP13" s="496"/>
      <c r="AQ13" s="496"/>
      <c r="AR13" s="496"/>
      <c r="AS13" s="496"/>
      <c r="AT13" s="497"/>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row>
    <row r="14" spans="1:99" ht="15" customHeight="1" x14ac:dyDescent="0.2">
      <c r="A14" s="66"/>
      <c r="B14" s="487"/>
      <c r="C14" s="487"/>
      <c r="D14" s="488"/>
      <c r="E14" s="477" t="s">
        <v>317</v>
      </c>
      <c r="F14" s="478"/>
      <c r="G14" s="478"/>
      <c r="H14" s="478"/>
      <c r="I14" s="478"/>
      <c r="J14" s="455" t="str">
        <f>IF(AND('Riesgos de Gestión'!$O$13="Alta",'Riesgos de Gestión'!$S$13="Leve"),CONCATENATE("R",'Riesgos de Gestión'!$A$13),"")</f>
        <v/>
      </c>
      <c r="K14" s="456"/>
      <c r="L14" s="456" t="str">
        <f>IF(AND('Riesgos de Gestión'!$O$19="Alta",'Riesgos de Gestión'!$S$19="Leve"),CONCATENATE("R",'Riesgos de Gestión'!$A$19),"")</f>
        <v/>
      </c>
      <c r="M14" s="456"/>
      <c r="N14" s="456" t="str">
        <f>IF(AND('Riesgos de Gestión'!$O$25="Alta",'Riesgos de Gestión'!$S$25="Leve"),CONCATENATE("R",'Riesgos de Gestión'!$A$25),"")</f>
        <v/>
      </c>
      <c r="O14" s="457"/>
      <c r="P14" s="455" t="str">
        <f>IF(AND('Riesgos de Gestión'!$O$13="Alta",'Riesgos de Gestión'!$S$13="Menor"),CONCATENATE("R",'Riesgos de Gestión'!$A$13),"")</f>
        <v/>
      </c>
      <c r="Q14" s="456"/>
      <c r="R14" s="456" t="str">
        <f>IF(AND('Riesgos de Gestión'!$O$19="Alta",'Riesgos de Gestión'!$S$19="Menor"),CONCATENATE("R",'Riesgos de Gestión'!$A$19),"")</f>
        <v/>
      </c>
      <c r="S14" s="456"/>
      <c r="T14" s="456" t="str">
        <f>IF(AND('Riesgos de Gestión'!$O$25="Alta",'Riesgos de Gestión'!$S$25="Menor"),CONCATENATE("R",'Riesgos de Gestión'!$A$25),"")</f>
        <v/>
      </c>
      <c r="U14" s="457"/>
      <c r="V14" s="473" t="str">
        <f>IF(AND('Riesgos de Gestión'!$O$13="Alta",'Riesgos de Gestión'!$S$13="Moderado"),CONCATENATE("R",'Riesgos de Gestión'!$A$13),"")</f>
        <v/>
      </c>
      <c r="W14" s="474"/>
      <c r="X14" s="474" t="str">
        <f>IF(AND('Riesgos de Gestión'!$O$19="Alta",'Riesgos de Gestión'!$S$19="Moderado"),CONCATENATE("R",'Riesgos de Gestión'!$A$19),"")</f>
        <v>R2</v>
      </c>
      <c r="Y14" s="474"/>
      <c r="Z14" s="474" t="str">
        <f>IF(AND('Riesgos de Gestión'!$O$25="Alta",'Riesgos de Gestión'!$S$25="Moderado"),CONCATENATE("R",'Riesgos de Gestión'!$A$25),"")</f>
        <v/>
      </c>
      <c r="AA14" s="475"/>
      <c r="AB14" s="473" t="str">
        <f>IF(AND('Riesgos de Gestión'!$O$13="Alta",'Riesgos de Gestión'!$S$13="Mayor"),CONCATENATE("R",'Riesgos de Gestión'!$A$13),"")</f>
        <v/>
      </c>
      <c r="AC14" s="474"/>
      <c r="AD14" s="474" t="str">
        <f>IF(AND('Riesgos de Gestión'!$O$19="Alta",'Riesgos de Gestión'!$S$19="Mayor"),CONCATENATE("R",'Riesgos de Gestión'!$A$19),"")</f>
        <v/>
      </c>
      <c r="AE14" s="474"/>
      <c r="AF14" s="474" t="str">
        <f>IF(AND('Riesgos de Gestión'!$O$25="Alta",'Riesgos de Gestión'!$S$25="Mayor"),CONCATENATE("R",'Riesgos de Gestión'!$A$25),"")</f>
        <v/>
      </c>
      <c r="AG14" s="475"/>
      <c r="AH14" s="464" t="str">
        <f>IF(AND('Riesgos de Gestión'!$O$13="Alta",'Riesgos de Gestión'!$S$13="Catastrófico"),CONCATENATE("R",'Riesgos de Gestión'!$A$13),"")</f>
        <v/>
      </c>
      <c r="AI14" s="465"/>
      <c r="AJ14" s="465" t="str">
        <f>IF(AND('Riesgos de Gestión'!$O$19="Alta",'Riesgos de Gestión'!$S$19="Catastrófico"),CONCATENATE("R",'Riesgos de Gestión'!$A$19),"")</f>
        <v/>
      </c>
      <c r="AK14" s="465"/>
      <c r="AL14" s="465" t="str">
        <f>IF(AND('Riesgos de Gestión'!$O$25="Alta",'Riesgos de Gestión'!$S$25="Catastrófico"),CONCATENATE("R",'Riesgos de Gestión'!$A$25),"")</f>
        <v/>
      </c>
      <c r="AM14" s="466"/>
      <c r="AN14" s="66"/>
      <c r="AO14" s="498" t="s">
        <v>318</v>
      </c>
      <c r="AP14" s="499"/>
      <c r="AQ14" s="499"/>
      <c r="AR14" s="499"/>
      <c r="AS14" s="499"/>
      <c r="AT14" s="500"/>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row>
    <row r="15" spans="1:99" ht="15" customHeight="1" x14ac:dyDescent="0.2">
      <c r="A15" s="66"/>
      <c r="B15" s="487"/>
      <c r="C15" s="487"/>
      <c r="D15" s="488"/>
      <c r="E15" s="480"/>
      <c r="F15" s="481"/>
      <c r="G15" s="481"/>
      <c r="H15" s="481"/>
      <c r="I15" s="481"/>
      <c r="J15" s="449"/>
      <c r="K15" s="450"/>
      <c r="L15" s="450"/>
      <c r="M15" s="450"/>
      <c r="N15" s="450"/>
      <c r="O15" s="451"/>
      <c r="P15" s="449"/>
      <c r="Q15" s="450"/>
      <c r="R15" s="450"/>
      <c r="S15" s="450"/>
      <c r="T15" s="450"/>
      <c r="U15" s="451"/>
      <c r="V15" s="467"/>
      <c r="W15" s="468"/>
      <c r="X15" s="468"/>
      <c r="Y15" s="468"/>
      <c r="Z15" s="468"/>
      <c r="AA15" s="469"/>
      <c r="AB15" s="467"/>
      <c r="AC15" s="468"/>
      <c r="AD15" s="468"/>
      <c r="AE15" s="468"/>
      <c r="AF15" s="468"/>
      <c r="AG15" s="469"/>
      <c r="AH15" s="458"/>
      <c r="AI15" s="459"/>
      <c r="AJ15" s="459"/>
      <c r="AK15" s="459"/>
      <c r="AL15" s="459"/>
      <c r="AM15" s="460"/>
      <c r="AN15" s="66"/>
      <c r="AO15" s="501"/>
      <c r="AP15" s="502"/>
      <c r="AQ15" s="502"/>
      <c r="AR15" s="502"/>
      <c r="AS15" s="502"/>
      <c r="AT15" s="503"/>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row>
    <row r="16" spans="1:99" ht="15" customHeight="1" x14ac:dyDescent="0.2">
      <c r="A16" s="66"/>
      <c r="B16" s="487"/>
      <c r="C16" s="487"/>
      <c r="D16" s="488"/>
      <c r="E16" s="480"/>
      <c r="F16" s="481"/>
      <c r="G16" s="481"/>
      <c r="H16" s="481"/>
      <c r="I16" s="481"/>
      <c r="J16" s="449" t="str">
        <f>IF(AND('Riesgos de Gestión'!$O$31="Alta",'Riesgos de Gestión'!$S$31="Leve"),CONCATENATE("R",'Riesgos de Gestión'!$A$31),"")</f>
        <v/>
      </c>
      <c r="K16" s="450"/>
      <c r="L16" s="450" t="str">
        <f>IF(AND('Riesgos de Gestión'!$O$37="Alta",'Riesgos de Gestión'!$S$37="Leve"),CONCATENATE("R",'Riesgos de Gestión'!$A$37),"")</f>
        <v/>
      </c>
      <c r="M16" s="450"/>
      <c r="N16" s="450" t="str">
        <f>IF(AND('Riesgos de Gestión'!$O$43="Alta",'Riesgos de Gestión'!$S$43="Leve"),CONCATENATE("R",'Riesgos de Gestión'!$A$43),"")</f>
        <v/>
      </c>
      <c r="O16" s="451"/>
      <c r="P16" s="449" t="str">
        <f>IF(AND('Riesgos de Gestión'!$O$31="Alta",'Riesgos de Gestión'!$S$31="Menor"),CONCATENATE("R",'Riesgos de Gestión'!$A$31),"")</f>
        <v/>
      </c>
      <c r="Q16" s="450"/>
      <c r="R16" s="450" t="str">
        <f>IF(AND('Riesgos de Gestión'!$O$37="Alta",'Riesgos de Gestión'!$S$37="Menor"),CONCATENATE("R",'Riesgos de Gestión'!$A$37),"")</f>
        <v/>
      </c>
      <c r="S16" s="450"/>
      <c r="T16" s="450" t="str">
        <f>IF(AND('Riesgos de Gestión'!$O$43="Alta",'Riesgos de Gestión'!$S$43="Menor"),CONCATENATE("R",'Riesgos de Gestión'!$A$43),"")</f>
        <v/>
      </c>
      <c r="U16" s="451"/>
      <c r="V16" s="467" t="str">
        <f>IF(AND('Riesgos de Gestión'!$O$31="Alta",'Riesgos de Gestión'!$S$31="Moderado"),CONCATENATE("R",'Riesgos de Gestión'!$A$31),"")</f>
        <v/>
      </c>
      <c r="W16" s="468"/>
      <c r="X16" s="468" t="str">
        <f>IF(AND('Riesgos de Gestión'!$O$37="Alta",'Riesgos de Gestión'!$S$37="Moderado"),CONCATENATE("R",'Riesgos de Gestión'!$A$37),"")</f>
        <v/>
      </c>
      <c r="Y16" s="468"/>
      <c r="Z16" s="468" t="str">
        <f>IF(AND('Riesgos de Gestión'!$O$43="Alta",'Riesgos de Gestión'!$S$43="Moderado"),CONCATENATE("R",'Riesgos de Gestión'!$A$43),"")</f>
        <v/>
      </c>
      <c r="AA16" s="469"/>
      <c r="AB16" s="467" t="str">
        <f>IF(AND('Riesgos de Gestión'!$O$31="Alta",'Riesgos de Gestión'!$S$31="Mayor"),CONCATENATE("R",'Riesgos de Gestión'!$A$31),"")</f>
        <v/>
      </c>
      <c r="AC16" s="468"/>
      <c r="AD16" s="468" t="str">
        <f>IF(AND('Riesgos de Gestión'!$O$37="Alta",'Riesgos de Gestión'!$S$37="Mayor"),CONCATENATE("R",'Riesgos de Gestión'!$A$37),"")</f>
        <v/>
      </c>
      <c r="AE16" s="468"/>
      <c r="AF16" s="468" t="str">
        <f>IF(AND('Riesgos de Gestión'!$O$43="Alta",'Riesgos de Gestión'!$S$43="Mayor"),CONCATENATE("R",'Riesgos de Gestión'!$A$43),"")</f>
        <v/>
      </c>
      <c r="AG16" s="469"/>
      <c r="AH16" s="458" t="str">
        <f>IF(AND('Riesgos de Gestión'!$O$31="Alta",'Riesgos de Gestión'!$S$31="Catastrófico"),CONCATENATE("R",'Riesgos de Gestión'!$A$31),"")</f>
        <v/>
      </c>
      <c r="AI16" s="459"/>
      <c r="AJ16" s="459" t="str">
        <f>IF(AND('Riesgos de Gestión'!$O$37="Alta",'Riesgos de Gestión'!$S$37="Catastrófico"),CONCATENATE("R",'Riesgos de Gestión'!$A$37),"")</f>
        <v/>
      </c>
      <c r="AK16" s="459"/>
      <c r="AL16" s="459" t="str">
        <f>IF(AND('Riesgos de Gestión'!$O$43="Alta",'Riesgos de Gestión'!$S$43="Catastrófico"),CONCATENATE("R",'Riesgos de Gestión'!$A$43),"")</f>
        <v/>
      </c>
      <c r="AM16" s="460"/>
      <c r="AN16" s="66"/>
      <c r="AO16" s="501"/>
      <c r="AP16" s="502"/>
      <c r="AQ16" s="502"/>
      <c r="AR16" s="502"/>
      <c r="AS16" s="502"/>
      <c r="AT16" s="503"/>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row>
    <row r="17" spans="1:80" ht="15" customHeight="1" x14ac:dyDescent="0.2">
      <c r="A17" s="66"/>
      <c r="B17" s="487"/>
      <c r="C17" s="487"/>
      <c r="D17" s="488"/>
      <c r="E17" s="480"/>
      <c r="F17" s="481"/>
      <c r="G17" s="481"/>
      <c r="H17" s="481"/>
      <c r="I17" s="481"/>
      <c r="J17" s="449"/>
      <c r="K17" s="450"/>
      <c r="L17" s="450"/>
      <c r="M17" s="450"/>
      <c r="N17" s="450"/>
      <c r="O17" s="451"/>
      <c r="P17" s="449"/>
      <c r="Q17" s="450"/>
      <c r="R17" s="450"/>
      <c r="S17" s="450"/>
      <c r="T17" s="450"/>
      <c r="U17" s="451"/>
      <c r="V17" s="467"/>
      <c r="W17" s="468"/>
      <c r="X17" s="468"/>
      <c r="Y17" s="468"/>
      <c r="Z17" s="468"/>
      <c r="AA17" s="469"/>
      <c r="AB17" s="467"/>
      <c r="AC17" s="468"/>
      <c r="AD17" s="468"/>
      <c r="AE17" s="468"/>
      <c r="AF17" s="468"/>
      <c r="AG17" s="469"/>
      <c r="AH17" s="458"/>
      <c r="AI17" s="459"/>
      <c r="AJ17" s="459"/>
      <c r="AK17" s="459"/>
      <c r="AL17" s="459"/>
      <c r="AM17" s="460"/>
      <c r="AN17" s="66"/>
      <c r="AO17" s="501"/>
      <c r="AP17" s="502"/>
      <c r="AQ17" s="502"/>
      <c r="AR17" s="502"/>
      <c r="AS17" s="502"/>
      <c r="AT17" s="503"/>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row>
    <row r="18" spans="1:80" ht="15" customHeight="1" x14ac:dyDescent="0.2">
      <c r="A18" s="66"/>
      <c r="B18" s="487"/>
      <c r="C18" s="487"/>
      <c r="D18" s="488"/>
      <c r="E18" s="480"/>
      <c r="F18" s="481"/>
      <c r="G18" s="481"/>
      <c r="H18" s="481"/>
      <c r="I18" s="481"/>
      <c r="J18" s="449" t="str">
        <f>IF(AND('Riesgos de Gestión'!$O$49="Alta",'Riesgos de Gestión'!$S$49="Leve"),CONCATENATE("R",'Riesgos de Gestión'!$A$49),"")</f>
        <v/>
      </c>
      <c r="K18" s="450"/>
      <c r="L18" s="450" t="str">
        <f>IF(AND('Riesgos de Gestión'!$O$55="Alta",'Riesgos de Gestión'!$S$55="Leve"),CONCATENATE("R",'Riesgos de Gestión'!$A$55),"")</f>
        <v/>
      </c>
      <c r="M18" s="450"/>
      <c r="N18" s="450" t="str">
        <f>IF(AND('Riesgos de Gestión'!$O$61="Alta",'Riesgos de Gestión'!$S$61="Leve"),CONCATENATE("R",'Riesgos de Gestión'!$A$61),"")</f>
        <v/>
      </c>
      <c r="O18" s="451"/>
      <c r="P18" s="449" t="str">
        <f>IF(AND('Riesgos de Gestión'!$O$49="Alta",'Riesgos de Gestión'!$S$49="Menor"),CONCATENATE("R",'Riesgos de Gestión'!$A$49),"")</f>
        <v/>
      </c>
      <c r="Q18" s="450"/>
      <c r="R18" s="450" t="str">
        <f>IF(AND('Riesgos de Gestión'!$O$55="Alta",'Riesgos de Gestión'!$S$55="Menor"),CONCATENATE("R",'Riesgos de Gestión'!$A$55),"")</f>
        <v/>
      </c>
      <c r="S18" s="450"/>
      <c r="T18" s="450" t="str">
        <f>IF(AND('Riesgos de Gestión'!$O$61="Alta",'Riesgos de Gestión'!$S$61="Menor"),CONCATENATE("R",'Riesgos de Gestión'!$A$61),"")</f>
        <v/>
      </c>
      <c r="U18" s="451"/>
      <c r="V18" s="467" t="str">
        <f>IF(AND('Riesgos de Gestión'!$O$49="Alta",'Riesgos de Gestión'!$S$49="Moderado"),CONCATENATE("R",'Riesgos de Gestión'!$A$49),"")</f>
        <v/>
      </c>
      <c r="W18" s="468"/>
      <c r="X18" s="468" t="str">
        <f>IF(AND('Riesgos de Gestión'!$O$55="Alta",'Riesgos de Gestión'!$S$55="Moderado"),CONCATENATE("R",'Riesgos de Gestión'!$A$55),"")</f>
        <v/>
      </c>
      <c r="Y18" s="468"/>
      <c r="Z18" s="468" t="str">
        <f>IF(AND('Riesgos de Gestión'!$O$61="Alta",'Riesgos de Gestión'!$S$61="Moderado"),CONCATENATE("R",'Riesgos de Gestión'!$A$61),"")</f>
        <v/>
      </c>
      <c r="AA18" s="469"/>
      <c r="AB18" s="467" t="str">
        <f>IF(AND('Riesgos de Gestión'!$O$49="Alta",'Riesgos de Gestión'!$S$49="Mayor"),CONCATENATE("R",'Riesgos de Gestión'!$A$49),"")</f>
        <v/>
      </c>
      <c r="AC18" s="468"/>
      <c r="AD18" s="468" t="str">
        <f>IF(AND('Riesgos de Gestión'!$O$55="Alta",'Riesgos de Gestión'!$S$55="Mayor"),CONCATENATE("R",'Riesgos de Gestión'!$A$55),"")</f>
        <v/>
      </c>
      <c r="AE18" s="468"/>
      <c r="AF18" s="468" t="str">
        <f>IF(AND('Riesgos de Gestión'!$O$61="Alta",'Riesgos de Gestión'!$S$61="Mayor"),CONCATENATE("R",'Riesgos de Gestión'!$A$61),"")</f>
        <v/>
      </c>
      <c r="AG18" s="469"/>
      <c r="AH18" s="458" t="str">
        <f>IF(AND('Riesgos de Gestión'!$O$49="Alta",'Riesgos de Gestión'!$S$49="Catastrófico"),CONCATENATE("R",'Riesgos de Gestión'!$A$49),"")</f>
        <v/>
      </c>
      <c r="AI18" s="459"/>
      <c r="AJ18" s="459" t="str">
        <f>IF(AND('Riesgos de Gestión'!$O$55="Alta",'Riesgos de Gestión'!$S$55="Catastrófico"),CONCATENATE("R",'Riesgos de Gestión'!$A$55),"")</f>
        <v/>
      </c>
      <c r="AK18" s="459"/>
      <c r="AL18" s="459" t="str">
        <f>IF(AND('Riesgos de Gestión'!$O$61="Alta",'Riesgos de Gestión'!$S$61="Catastrófico"),CONCATENATE("R",'Riesgos de Gestión'!$A$61),"")</f>
        <v/>
      </c>
      <c r="AM18" s="460"/>
      <c r="AN18" s="66"/>
      <c r="AO18" s="501"/>
      <c r="AP18" s="502"/>
      <c r="AQ18" s="502"/>
      <c r="AR18" s="502"/>
      <c r="AS18" s="502"/>
      <c r="AT18" s="503"/>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row>
    <row r="19" spans="1:80" ht="15" customHeight="1" x14ac:dyDescent="0.2">
      <c r="A19" s="66"/>
      <c r="B19" s="487"/>
      <c r="C19" s="487"/>
      <c r="D19" s="488"/>
      <c r="E19" s="480"/>
      <c r="F19" s="481"/>
      <c r="G19" s="481"/>
      <c r="H19" s="481"/>
      <c r="I19" s="481"/>
      <c r="J19" s="449"/>
      <c r="K19" s="450"/>
      <c r="L19" s="450"/>
      <c r="M19" s="450"/>
      <c r="N19" s="450"/>
      <c r="O19" s="451"/>
      <c r="P19" s="449"/>
      <c r="Q19" s="450"/>
      <c r="R19" s="450"/>
      <c r="S19" s="450"/>
      <c r="T19" s="450"/>
      <c r="U19" s="451"/>
      <c r="V19" s="467"/>
      <c r="W19" s="468"/>
      <c r="X19" s="468"/>
      <c r="Y19" s="468"/>
      <c r="Z19" s="468"/>
      <c r="AA19" s="469"/>
      <c r="AB19" s="467"/>
      <c r="AC19" s="468"/>
      <c r="AD19" s="468"/>
      <c r="AE19" s="468"/>
      <c r="AF19" s="468"/>
      <c r="AG19" s="469"/>
      <c r="AH19" s="458"/>
      <c r="AI19" s="459"/>
      <c r="AJ19" s="459"/>
      <c r="AK19" s="459"/>
      <c r="AL19" s="459"/>
      <c r="AM19" s="460"/>
      <c r="AN19" s="66"/>
      <c r="AO19" s="501"/>
      <c r="AP19" s="502"/>
      <c r="AQ19" s="502"/>
      <c r="AR19" s="502"/>
      <c r="AS19" s="502"/>
      <c r="AT19" s="503"/>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row>
    <row r="20" spans="1:80" ht="15" customHeight="1" x14ac:dyDescent="0.2">
      <c r="A20" s="66"/>
      <c r="B20" s="487"/>
      <c r="C20" s="487"/>
      <c r="D20" s="488"/>
      <c r="E20" s="480"/>
      <c r="F20" s="481"/>
      <c r="G20" s="481"/>
      <c r="H20" s="481"/>
      <c r="I20" s="481"/>
      <c r="J20" s="449" t="str">
        <f>IF(AND('Riesgos de Gestión'!$O$67="Alta",'Riesgos de Gestión'!$S$67="Leve"),CONCATENATE("R",'Riesgos de Gestión'!$A$67),"")</f>
        <v/>
      </c>
      <c r="K20" s="450"/>
      <c r="L20" s="450" t="str">
        <f>IF(AND('Riesgos de Gestión'!$P$73="Alta",'Riesgos de Gestión'!$T$73="Leve"),CONCATENATE("R",'Riesgos de Gestión'!$A$73),"")</f>
        <v/>
      </c>
      <c r="M20" s="450"/>
      <c r="N20" s="450" t="str">
        <f>IF(AND('Riesgos de Gestión'!$P$79="Alta",'Riesgos de Gestión'!$T$79="Leve"),CONCATENATE("R",'Riesgos de Gestión'!$A$79),"")</f>
        <v/>
      </c>
      <c r="O20" s="451"/>
      <c r="P20" s="449" t="str">
        <f>IF(AND('Riesgos de Gestión'!$O$67="Alta",'Riesgos de Gestión'!$S$67="Menor"),CONCATENATE("R",'Riesgos de Gestión'!$A$67),"")</f>
        <v/>
      </c>
      <c r="Q20" s="450"/>
      <c r="R20" s="450" t="str">
        <f>IF(AND('Riesgos de Gestión'!$P$73="Alta",'Riesgos de Gestión'!$T$73="Menor"),CONCATENATE("R",'Riesgos de Gestión'!$A$73),"")</f>
        <v/>
      </c>
      <c r="S20" s="450"/>
      <c r="T20" s="450" t="str">
        <f>IF(AND('Riesgos de Gestión'!$P$79="Alta",'Riesgos de Gestión'!$T$79="Menor"),CONCATENATE("R",'Riesgos de Gestión'!$A$79),"")</f>
        <v/>
      </c>
      <c r="U20" s="451"/>
      <c r="V20" s="467" t="str">
        <f>IF(AND('Riesgos de Gestión'!$O$67="Alta",'Riesgos de Gestión'!$S$67="Moderado"),CONCATENATE("R",'Riesgos de Gestión'!$A$67),"")</f>
        <v/>
      </c>
      <c r="W20" s="468"/>
      <c r="X20" s="468" t="str">
        <f>IF(AND('Riesgos de Gestión'!$P$73="Alta",'Riesgos de Gestión'!$T$73="Moderado"),CONCATENATE("R",'Riesgos de Gestión'!$A$73),"")</f>
        <v/>
      </c>
      <c r="Y20" s="468"/>
      <c r="Z20" s="468" t="str">
        <f>IF(AND('Riesgos de Gestión'!$P$79="Alta",'Riesgos de Gestión'!$T$79="Moderado"),CONCATENATE("R",'Riesgos de Gestión'!$A$79),"")</f>
        <v/>
      </c>
      <c r="AA20" s="469"/>
      <c r="AB20" s="467" t="str">
        <f>IF(AND('Riesgos de Gestión'!$O$67="Alta",'Riesgos de Gestión'!$S$67="Mayor"),CONCATENATE("R",'Riesgos de Gestión'!$A$67),"")</f>
        <v/>
      </c>
      <c r="AC20" s="468"/>
      <c r="AD20" s="468" t="str">
        <f>IF(AND('Riesgos de Gestión'!$P$73="Alta",'Riesgos de Gestión'!$T$73="Mayor"),CONCATENATE("R",'Riesgos de Gestión'!$A$73),"")</f>
        <v/>
      </c>
      <c r="AE20" s="468"/>
      <c r="AF20" s="468" t="str">
        <f>IF(AND('Riesgos de Gestión'!$P$79="Alta",'Riesgos de Gestión'!$T$79="Mayor"),CONCATENATE("R",'Riesgos de Gestión'!$A$79),"")</f>
        <v/>
      </c>
      <c r="AG20" s="469"/>
      <c r="AH20" s="458" t="str">
        <f>IF(AND('Riesgos de Gestión'!$O$67="Alta",'Riesgos de Gestión'!$S$67="Catastrófico"),CONCATENATE("R",'Riesgos de Gestión'!$A$67),"")</f>
        <v/>
      </c>
      <c r="AI20" s="459"/>
      <c r="AJ20" s="459" t="str">
        <f>IF(AND('Riesgos de Gestión'!$P$73="Alta",'Riesgos de Gestión'!$T$73="Catastrófico"),CONCATENATE("R",'Riesgos de Gestión'!$A$73),"")</f>
        <v/>
      </c>
      <c r="AK20" s="459"/>
      <c r="AL20" s="459" t="str">
        <f>IF(AND('Riesgos de Gestión'!$P$79="Alta",'Riesgos de Gestión'!$T$79="Catastrófico"),CONCATENATE("R",'Riesgos de Gestión'!$A$79),"")</f>
        <v/>
      </c>
      <c r="AM20" s="460"/>
      <c r="AN20" s="66"/>
      <c r="AO20" s="501"/>
      <c r="AP20" s="502"/>
      <c r="AQ20" s="502"/>
      <c r="AR20" s="502"/>
      <c r="AS20" s="502"/>
      <c r="AT20" s="503"/>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row>
    <row r="21" spans="1:80" ht="15.75" customHeight="1" thickBot="1" x14ac:dyDescent="0.25">
      <c r="A21" s="66"/>
      <c r="B21" s="487"/>
      <c r="C21" s="487"/>
      <c r="D21" s="488"/>
      <c r="E21" s="483"/>
      <c r="F21" s="484"/>
      <c r="G21" s="484"/>
      <c r="H21" s="484"/>
      <c r="I21" s="484"/>
      <c r="J21" s="452"/>
      <c r="K21" s="453"/>
      <c r="L21" s="453"/>
      <c r="M21" s="453"/>
      <c r="N21" s="453"/>
      <c r="O21" s="454"/>
      <c r="P21" s="452"/>
      <c r="Q21" s="453"/>
      <c r="R21" s="453"/>
      <c r="S21" s="453"/>
      <c r="T21" s="453"/>
      <c r="U21" s="454"/>
      <c r="V21" s="470"/>
      <c r="W21" s="471"/>
      <c r="X21" s="471"/>
      <c r="Y21" s="471"/>
      <c r="Z21" s="471"/>
      <c r="AA21" s="472"/>
      <c r="AB21" s="470"/>
      <c r="AC21" s="471"/>
      <c r="AD21" s="471"/>
      <c r="AE21" s="471"/>
      <c r="AF21" s="471"/>
      <c r="AG21" s="472"/>
      <c r="AH21" s="461"/>
      <c r="AI21" s="462"/>
      <c r="AJ21" s="462"/>
      <c r="AK21" s="462"/>
      <c r="AL21" s="462"/>
      <c r="AM21" s="463"/>
      <c r="AN21" s="66"/>
      <c r="AO21" s="504"/>
      <c r="AP21" s="505"/>
      <c r="AQ21" s="505"/>
      <c r="AR21" s="505"/>
      <c r="AS21" s="505"/>
      <c r="AT21" s="50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row>
    <row r="22" spans="1:80" x14ac:dyDescent="0.2">
      <c r="A22" s="66"/>
      <c r="B22" s="487"/>
      <c r="C22" s="487"/>
      <c r="D22" s="488"/>
      <c r="E22" s="477" t="s">
        <v>319</v>
      </c>
      <c r="F22" s="478"/>
      <c r="G22" s="478"/>
      <c r="H22" s="478"/>
      <c r="I22" s="479"/>
      <c r="J22" s="455" t="str">
        <f>IF(AND('Riesgos de Gestión'!$O$13="Media",'Riesgos de Gestión'!$S$13="Leve"),CONCATENATE("R",'Riesgos de Gestión'!$A$13),"")</f>
        <v/>
      </c>
      <c r="K22" s="456"/>
      <c r="L22" s="456" t="str">
        <f>IF(AND('Riesgos de Gestión'!$O$19="Media",'Riesgos de Gestión'!$S$19="Leve"),CONCATENATE("R",'Riesgos de Gestión'!$A$19),"")</f>
        <v/>
      </c>
      <c r="M22" s="456"/>
      <c r="N22" s="456" t="str">
        <f>IF(AND('Riesgos de Gestión'!$O$25="Media",'Riesgos de Gestión'!$S$25="Leve"),CONCATENATE("R",'Riesgos de Gestión'!$A$25),"")</f>
        <v/>
      </c>
      <c r="O22" s="457"/>
      <c r="P22" s="455" t="str">
        <f>IF(AND('Riesgos de Gestión'!$O$13="Media",'Riesgos de Gestión'!$S$13="Menor"),CONCATENATE("R",'Riesgos de Gestión'!$A$13),"")</f>
        <v/>
      </c>
      <c r="Q22" s="456"/>
      <c r="R22" s="456" t="str">
        <f>IF(AND('Riesgos de Gestión'!$O$19="Media",'Riesgos de Gestión'!$S$19="Menor"),CONCATENATE("R",'Riesgos de Gestión'!$A$19),"")</f>
        <v/>
      </c>
      <c r="S22" s="456"/>
      <c r="T22" s="456" t="str">
        <f>IF(AND('Riesgos de Gestión'!$O$25="Media",'Riesgos de Gestión'!$S$25="Menor"),CONCATENATE("R",'Riesgos de Gestión'!$A$25),"")</f>
        <v>R3</v>
      </c>
      <c r="U22" s="457"/>
      <c r="V22" s="455" t="str">
        <f>IF(AND('Riesgos de Gestión'!$O$13="Media",'Riesgos de Gestión'!$S$13="Moderado"),CONCATENATE("R",'Riesgos de Gestión'!$A$13),"")</f>
        <v>R1</v>
      </c>
      <c r="W22" s="456"/>
      <c r="X22" s="456" t="str">
        <f>IF(AND('Riesgos de Gestión'!$O$19="Media",'Riesgos de Gestión'!$S$19="Moderado"),CONCATENATE("R",'Riesgos de Gestión'!$A$19),"")</f>
        <v/>
      </c>
      <c r="Y22" s="456"/>
      <c r="Z22" s="456" t="str">
        <f>IF(AND('Riesgos de Gestión'!$O$25="Media",'Riesgos de Gestión'!$S$25="Moderado"),CONCATENATE("R",'Riesgos de Gestión'!$A$25),"")</f>
        <v/>
      </c>
      <c r="AA22" s="457"/>
      <c r="AB22" s="473" t="str">
        <f>IF(AND('Riesgos de Gestión'!$O$13="Media",'Riesgos de Gestión'!$S$13="Mayor"),CONCATENATE("R",'Riesgos de Gestión'!$A$13),"")</f>
        <v/>
      </c>
      <c r="AC22" s="474"/>
      <c r="AD22" s="474" t="str">
        <f>IF(AND('Riesgos de Gestión'!$O$19="Media",'Riesgos de Gestión'!$S$19="Mayor"),CONCATENATE("R",'Riesgos de Gestión'!$A$19),"")</f>
        <v/>
      </c>
      <c r="AE22" s="474"/>
      <c r="AF22" s="474" t="str">
        <f>IF(AND('Riesgos de Gestión'!$O$25="Media",'Riesgos de Gestión'!$S$25="Mayor"),CONCATENATE("R",'Riesgos de Gestión'!$A$25),"")</f>
        <v/>
      </c>
      <c r="AG22" s="475"/>
      <c r="AH22" s="464" t="str">
        <f>IF(AND('Riesgos de Gestión'!$O$13="Media",'Riesgos de Gestión'!$S$13="Catastrófico"),CONCATENATE("R",'Riesgos de Gestión'!$A$13),"")</f>
        <v/>
      </c>
      <c r="AI22" s="465"/>
      <c r="AJ22" s="465" t="str">
        <f>IF(AND('Riesgos de Gestión'!$O$19="Media",'Riesgos de Gestión'!$S$19="Catastrófico"),CONCATENATE("R",'Riesgos de Gestión'!$A$19),"")</f>
        <v/>
      </c>
      <c r="AK22" s="465"/>
      <c r="AL22" s="465" t="str">
        <f>IF(AND('Riesgos de Gestión'!$O$25="Media",'Riesgos de Gestión'!$S$25="Catastrófico"),CONCATENATE("R",'Riesgos de Gestión'!$A$25),"")</f>
        <v/>
      </c>
      <c r="AM22" s="466"/>
      <c r="AN22" s="66"/>
      <c r="AO22" s="507" t="s">
        <v>320</v>
      </c>
      <c r="AP22" s="508"/>
      <c r="AQ22" s="508"/>
      <c r="AR22" s="508"/>
      <c r="AS22" s="508"/>
      <c r="AT22" s="509"/>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row>
    <row r="23" spans="1:80" x14ac:dyDescent="0.2">
      <c r="A23" s="66"/>
      <c r="B23" s="487"/>
      <c r="C23" s="487"/>
      <c r="D23" s="488"/>
      <c r="E23" s="480"/>
      <c r="F23" s="481"/>
      <c r="G23" s="481"/>
      <c r="H23" s="481"/>
      <c r="I23" s="482"/>
      <c r="J23" s="449"/>
      <c r="K23" s="450"/>
      <c r="L23" s="450"/>
      <c r="M23" s="450"/>
      <c r="N23" s="450"/>
      <c r="O23" s="451"/>
      <c r="P23" s="449"/>
      <c r="Q23" s="450"/>
      <c r="R23" s="450"/>
      <c r="S23" s="450"/>
      <c r="T23" s="450"/>
      <c r="U23" s="451"/>
      <c r="V23" s="449"/>
      <c r="W23" s="450"/>
      <c r="X23" s="450"/>
      <c r="Y23" s="450"/>
      <c r="Z23" s="450"/>
      <c r="AA23" s="451"/>
      <c r="AB23" s="467"/>
      <c r="AC23" s="468"/>
      <c r="AD23" s="468"/>
      <c r="AE23" s="468"/>
      <c r="AF23" s="468"/>
      <c r="AG23" s="469"/>
      <c r="AH23" s="458"/>
      <c r="AI23" s="459"/>
      <c r="AJ23" s="459"/>
      <c r="AK23" s="459"/>
      <c r="AL23" s="459"/>
      <c r="AM23" s="460"/>
      <c r="AN23" s="66"/>
      <c r="AO23" s="510"/>
      <c r="AP23" s="511"/>
      <c r="AQ23" s="511"/>
      <c r="AR23" s="511"/>
      <c r="AS23" s="511"/>
      <c r="AT23" s="512"/>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row>
    <row r="24" spans="1:80" x14ac:dyDescent="0.2">
      <c r="A24" s="66"/>
      <c r="B24" s="487"/>
      <c r="C24" s="487"/>
      <c r="D24" s="488"/>
      <c r="E24" s="480"/>
      <c r="F24" s="481"/>
      <c r="G24" s="481"/>
      <c r="H24" s="481"/>
      <c r="I24" s="482"/>
      <c r="J24" s="449" t="str">
        <f>IF(AND('Riesgos de Gestión'!$O$31="Media",'Riesgos de Gestión'!$S$31="Leve"),CONCATENATE("R",'Riesgos de Gestión'!$A$31),"")</f>
        <v/>
      </c>
      <c r="K24" s="450"/>
      <c r="L24" s="450" t="str">
        <f>IF(AND('Riesgos de Gestión'!$O$37="Media",'Riesgos de Gestión'!$S$37="Leve"),CONCATENATE("R",'Riesgos de Gestión'!$A$37),"")</f>
        <v/>
      </c>
      <c r="M24" s="450"/>
      <c r="N24" s="450" t="str">
        <f>IF(AND('Riesgos de Gestión'!$O$43="Media",'Riesgos de Gestión'!$S$43="Leve"),CONCATENATE("R",'Riesgos de Gestión'!$A$43),"")</f>
        <v/>
      </c>
      <c r="O24" s="451"/>
      <c r="P24" s="449" t="str">
        <f>IF(AND('Riesgos de Gestión'!$O$31="Media",'Riesgos de Gestión'!$S$31="Menor"),CONCATENATE("R",'Riesgos de Gestión'!$A$31),"")</f>
        <v/>
      </c>
      <c r="Q24" s="450"/>
      <c r="R24" s="450" t="str">
        <f>IF(AND('Riesgos de Gestión'!$O$37="Media",'Riesgos de Gestión'!$S$37="Menor"),CONCATENATE("R",'Riesgos de Gestión'!$A$37),"")</f>
        <v/>
      </c>
      <c r="S24" s="450"/>
      <c r="T24" s="450" t="str">
        <f>IF(AND('Riesgos de Gestión'!$O$43="Media",'Riesgos de Gestión'!$S$43="Menor"),CONCATENATE("R",'Riesgos de Gestión'!$A$43),"")</f>
        <v/>
      </c>
      <c r="U24" s="451"/>
      <c r="V24" s="449" t="str">
        <f>IF(AND('Riesgos de Gestión'!$O$31="Media",'Riesgos de Gestión'!$S$31="Moderado"),CONCATENATE("R",'Riesgos de Gestión'!$A$31),"")</f>
        <v/>
      </c>
      <c r="W24" s="450"/>
      <c r="X24" s="450" t="str">
        <f>IF(AND('Riesgos de Gestión'!$O$37="Media",'Riesgos de Gestión'!$S$37="Moderado"),CONCATENATE("R",'Riesgos de Gestión'!$A$37),"")</f>
        <v/>
      </c>
      <c r="Y24" s="450"/>
      <c r="Z24" s="450" t="str">
        <f>IF(AND('Riesgos de Gestión'!$O$43="Media",'Riesgos de Gestión'!$S$43="Moderado"),CONCATENATE("R",'Riesgos de Gestión'!$A$43),"")</f>
        <v/>
      </c>
      <c r="AA24" s="451"/>
      <c r="AB24" s="467" t="str">
        <f>IF(AND('Riesgos de Gestión'!$O$31="Media",'Riesgos de Gestión'!$S$31="Mayor"),CONCATENATE("R",'Riesgos de Gestión'!$A$31),"")</f>
        <v/>
      </c>
      <c r="AC24" s="468"/>
      <c r="AD24" s="468" t="str">
        <f>IF(AND('Riesgos de Gestión'!$O$37="Media",'Riesgos de Gestión'!$S$37="Mayor"),CONCATENATE("R",'Riesgos de Gestión'!$A$37),"")</f>
        <v/>
      </c>
      <c r="AE24" s="468"/>
      <c r="AF24" s="468" t="str">
        <f>IF(AND('Riesgos de Gestión'!$O$43="Media",'Riesgos de Gestión'!$S$43="Mayor"),CONCATENATE("R",'Riesgos de Gestión'!$A$43),"")</f>
        <v/>
      </c>
      <c r="AG24" s="469"/>
      <c r="AH24" s="458" t="str">
        <f>IF(AND('Riesgos de Gestión'!$O$31="Media",'Riesgos de Gestión'!$S$31="Catastrófico"),CONCATENATE("R",'Riesgos de Gestión'!$A$31),"")</f>
        <v/>
      </c>
      <c r="AI24" s="459"/>
      <c r="AJ24" s="459" t="str">
        <f>IF(AND('Riesgos de Gestión'!$O$37="Media",'Riesgos de Gestión'!$S$37="Catastrófico"),CONCATENATE("R",'Riesgos de Gestión'!$A$37),"")</f>
        <v/>
      </c>
      <c r="AK24" s="459"/>
      <c r="AL24" s="459" t="str">
        <f>IF(AND('Riesgos de Gestión'!$O$43="Media",'Riesgos de Gestión'!$S$43="Catastrófico"),CONCATENATE("R",'Riesgos de Gestión'!$A$43),"")</f>
        <v/>
      </c>
      <c r="AM24" s="460"/>
      <c r="AN24" s="66"/>
      <c r="AO24" s="510"/>
      <c r="AP24" s="511"/>
      <c r="AQ24" s="511"/>
      <c r="AR24" s="511"/>
      <c r="AS24" s="511"/>
      <c r="AT24" s="512"/>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row>
    <row r="25" spans="1:80" x14ac:dyDescent="0.2">
      <c r="A25" s="66"/>
      <c r="B25" s="487"/>
      <c r="C25" s="487"/>
      <c r="D25" s="488"/>
      <c r="E25" s="480"/>
      <c r="F25" s="481"/>
      <c r="G25" s="481"/>
      <c r="H25" s="481"/>
      <c r="I25" s="482"/>
      <c r="J25" s="449"/>
      <c r="K25" s="450"/>
      <c r="L25" s="450"/>
      <c r="M25" s="450"/>
      <c r="N25" s="450"/>
      <c r="O25" s="451"/>
      <c r="P25" s="449"/>
      <c r="Q25" s="450"/>
      <c r="R25" s="450"/>
      <c r="S25" s="450"/>
      <c r="T25" s="450"/>
      <c r="U25" s="451"/>
      <c r="V25" s="449"/>
      <c r="W25" s="450"/>
      <c r="X25" s="450"/>
      <c r="Y25" s="450"/>
      <c r="Z25" s="450"/>
      <c r="AA25" s="451"/>
      <c r="AB25" s="467"/>
      <c r="AC25" s="468"/>
      <c r="AD25" s="468"/>
      <c r="AE25" s="468"/>
      <c r="AF25" s="468"/>
      <c r="AG25" s="469"/>
      <c r="AH25" s="458"/>
      <c r="AI25" s="459"/>
      <c r="AJ25" s="459"/>
      <c r="AK25" s="459"/>
      <c r="AL25" s="459"/>
      <c r="AM25" s="460"/>
      <c r="AN25" s="66"/>
      <c r="AO25" s="510"/>
      <c r="AP25" s="511"/>
      <c r="AQ25" s="511"/>
      <c r="AR25" s="511"/>
      <c r="AS25" s="511"/>
      <c r="AT25" s="512"/>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row>
    <row r="26" spans="1:80" x14ac:dyDescent="0.2">
      <c r="A26" s="66"/>
      <c r="B26" s="487"/>
      <c r="C26" s="487"/>
      <c r="D26" s="488"/>
      <c r="E26" s="480"/>
      <c r="F26" s="481"/>
      <c r="G26" s="481"/>
      <c r="H26" s="481"/>
      <c r="I26" s="482"/>
      <c r="J26" s="449" t="str">
        <f>IF(AND('Riesgos de Gestión'!$O$49="Media",'Riesgos de Gestión'!$S$49="Leve"),CONCATENATE("R",'Riesgos de Gestión'!$A$49),"")</f>
        <v/>
      </c>
      <c r="K26" s="450"/>
      <c r="L26" s="450" t="str">
        <f>IF(AND('Riesgos de Gestión'!$O$55="Media",'Riesgos de Gestión'!$S$55="Leve"),CONCATENATE("R",'Riesgos de Gestión'!$A$55),"")</f>
        <v/>
      </c>
      <c r="M26" s="450"/>
      <c r="N26" s="450" t="str">
        <f>IF(AND('Riesgos de Gestión'!$O$61="Media",'Riesgos de Gestión'!$S$61="Leve"),CONCATENATE("R",'Riesgos de Gestión'!$A$61),"")</f>
        <v/>
      </c>
      <c r="O26" s="451"/>
      <c r="P26" s="449" t="str">
        <f>IF(AND('Riesgos de Gestión'!$O$49="Media",'Riesgos de Gestión'!$S$49="Menor"),CONCATENATE("R",'Riesgos de Gestión'!$A$49),"")</f>
        <v/>
      </c>
      <c r="Q26" s="450"/>
      <c r="R26" s="450" t="str">
        <f>IF(AND('Riesgos de Gestión'!$O$55="Media",'Riesgos de Gestión'!$S$55="Menor"),CONCATENATE("R",'Riesgos de Gestión'!$A$55),"")</f>
        <v/>
      </c>
      <c r="S26" s="450"/>
      <c r="T26" s="450" t="str">
        <f>IF(AND('Riesgos de Gestión'!$O$61="Media",'Riesgos de Gestión'!$S$61="Menor"),CONCATENATE("R",'Riesgos de Gestión'!$A$61),"")</f>
        <v/>
      </c>
      <c r="U26" s="451"/>
      <c r="V26" s="449" t="str">
        <f>IF(AND('Riesgos de Gestión'!$O$49="Media",'Riesgos de Gestión'!$S$49="Moderado"),CONCATENATE("R",'Riesgos de Gestión'!$A$49),"")</f>
        <v/>
      </c>
      <c r="W26" s="450"/>
      <c r="X26" s="450" t="str">
        <f>IF(AND('Riesgos de Gestión'!$O$55="Media",'Riesgos de Gestión'!$S$55="Moderado"),CONCATENATE("R",'Riesgos de Gestión'!$A$55),"")</f>
        <v/>
      </c>
      <c r="Y26" s="450"/>
      <c r="Z26" s="450" t="str">
        <f>IF(AND('Riesgos de Gestión'!$O$61="Media",'Riesgos de Gestión'!$S$61="Moderado"),CONCATENATE("R",'Riesgos de Gestión'!$A$61),"")</f>
        <v/>
      </c>
      <c r="AA26" s="451"/>
      <c r="AB26" s="467" t="str">
        <f>IF(AND('Riesgos de Gestión'!$O$49="Media",'Riesgos de Gestión'!$S$49="Mayor"),CONCATENATE("R",'Riesgos de Gestión'!$A$49),"")</f>
        <v/>
      </c>
      <c r="AC26" s="468"/>
      <c r="AD26" s="468" t="str">
        <f>IF(AND('Riesgos de Gestión'!$O$55="Media",'Riesgos de Gestión'!$S$55="Mayor"),CONCATENATE("R",'Riesgos de Gestión'!$A$55),"")</f>
        <v/>
      </c>
      <c r="AE26" s="468"/>
      <c r="AF26" s="468" t="str">
        <f>IF(AND('Riesgos de Gestión'!$O$61="Media",'Riesgos de Gestión'!$S$61="Mayor"),CONCATENATE("R",'Riesgos de Gestión'!$A$61),"")</f>
        <v/>
      </c>
      <c r="AG26" s="469"/>
      <c r="AH26" s="458" t="str">
        <f>IF(AND('Riesgos de Gestión'!$O$49="Media",'Riesgos de Gestión'!$S$49="Catastrófico"),CONCATENATE("R",'Riesgos de Gestión'!$A$49),"")</f>
        <v/>
      </c>
      <c r="AI26" s="459"/>
      <c r="AJ26" s="459" t="str">
        <f>IF(AND('Riesgos de Gestión'!$O$55="Media",'Riesgos de Gestión'!$S$55="Catastrófico"),CONCATENATE("R",'Riesgos de Gestión'!$A$55),"")</f>
        <v/>
      </c>
      <c r="AK26" s="459"/>
      <c r="AL26" s="459" t="str">
        <f>IF(AND('Riesgos de Gestión'!$O$61="Media",'Riesgos de Gestión'!$S$61="Catastrófico"),CONCATENATE("R",'Riesgos de Gestión'!$A$61),"")</f>
        <v/>
      </c>
      <c r="AM26" s="460"/>
      <c r="AN26" s="66"/>
      <c r="AO26" s="510"/>
      <c r="AP26" s="511"/>
      <c r="AQ26" s="511"/>
      <c r="AR26" s="511"/>
      <c r="AS26" s="511"/>
      <c r="AT26" s="512"/>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row>
    <row r="27" spans="1:80" x14ac:dyDescent="0.2">
      <c r="A27" s="66"/>
      <c r="B27" s="487"/>
      <c r="C27" s="487"/>
      <c r="D27" s="488"/>
      <c r="E27" s="480"/>
      <c r="F27" s="481"/>
      <c r="G27" s="481"/>
      <c r="H27" s="481"/>
      <c r="I27" s="482"/>
      <c r="J27" s="449"/>
      <c r="K27" s="450"/>
      <c r="L27" s="450"/>
      <c r="M27" s="450"/>
      <c r="N27" s="450"/>
      <c r="O27" s="451"/>
      <c r="P27" s="449"/>
      <c r="Q27" s="450"/>
      <c r="R27" s="450"/>
      <c r="S27" s="450"/>
      <c r="T27" s="450"/>
      <c r="U27" s="451"/>
      <c r="V27" s="449"/>
      <c r="W27" s="450"/>
      <c r="X27" s="450"/>
      <c r="Y27" s="450"/>
      <c r="Z27" s="450"/>
      <c r="AA27" s="451"/>
      <c r="AB27" s="467"/>
      <c r="AC27" s="468"/>
      <c r="AD27" s="468"/>
      <c r="AE27" s="468"/>
      <c r="AF27" s="468"/>
      <c r="AG27" s="469"/>
      <c r="AH27" s="458"/>
      <c r="AI27" s="459"/>
      <c r="AJ27" s="459"/>
      <c r="AK27" s="459"/>
      <c r="AL27" s="459"/>
      <c r="AM27" s="460"/>
      <c r="AN27" s="66"/>
      <c r="AO27" s="510"/>
      <c r="AP27" s="511"/>
      <c r="AQ27" s="511"/>
      <c r="AR27" s="511"/>
      <c r="AS27" s="511"/>
      <c r="AT27" s="512"/>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row>
    <row r="28" spans="1:80" x14ac:dyDescent="0.2">
      <c r="A28" s="66"/>
      <c r="B28" s="487"/>
      <c r="C28" s="487"/>
      <c r="D28" s="488"/>
      <c r="E28" s="480"/>
      <c r="F28" s="481"/>
      <c r="G28" s="481"/>
      <c r="H28" s="481"/>
      <c r="I28" s="482"/>
      <c r="J28" s="449" t="str">
        <f>IF(AND('Riesgos de Gestión'!$O$67="Media",'Riesgos de Gestión'!$S$67="Leve"),CONCATENATE("R",'Riesgos de Gestión'!$A$67),"")</f>
        <v/>
      </c>
      <c r="K28" s="450"/>
      <c r="L28" s="450" t="str">
        <f>IF(AND('Riesgos de Gestión'!$P$73="Media",'Riesgos de Gestión'!$T$73="Leve"),CONCATENATE("R",'Riesgos de Gestión'!$A$73),"")</f>
        <v/>
      </c>
      <c r="M28" s="450"/>
      <c r="N28" s="450" t="str">
        <f>IF(AND('Riesgos de Gestión'!$P$79="Media",'Riesgos de Gestión'!$T$79="Leve"),CONCATENATE("R",'Riesgos de Gestión'!$A$79),"")</f>
        <v/>
      </c>
      <c r="O28" s="451"/>
      <c r="P28" s="449" t="str">
        <f>IF(AND('Riesgos de Gestión'!$O$67="Media",'Riesgos de Gestión'!$S$67="Menor"),CONCATENATE("R",'Riesgos de Gestión'!$A$67),"")</f>
        <v/>
      </c>
      <c r="Q28" s="450"/>
      <c r="R28" s="450" t="str">
        <f>IF(AND('Riesgos de Gestión'!$P$73="Media",'Riesgos de Gestión'!$T$73="Menor"),CONCATENATE("R",'Riesgos de Gestión'!$A$73),"")</f>
        <v/>
      </c>
      <c r="S28" s="450"/>
      <c r="T28" s="450" t="str">
        <f>IF(AND('Riesgos de Gestión'!$P$79="Media",'Riesgos de Gestión'!$T$79="Menor"),CONCATENATE("R",'Riesgos de Gestión'!$A$79),"")</f>
        <v/>
      </c>
      <c r="U28" s="451"/>
      <c r="V28" s="449" t="str">
        <f>IF(AND('Riesgos de Gestión'!$O$67="Media",'Riesgos de Gestión'!$S$67="Moderado"),CONCATENATE("R",'Riesgos de Gestión'!$A$67),"")</f>
        <v/>
      </c>
      <c r="W28" s="450"/>
      <c r="X28" s="450" t="str">
        <f>IF(AND('Riesgos de Gestión'!$P$73="Media",'Riesgos de Gestión'!$T$73="Moderado"),CONCATENATE("R",'Riesgos de Gestión'!$A$73),"")</f>
        <v/>
      </c>
      <c r="Y28" s="450"/>
      <c r="Z28" s="450" t="str">
        <f>IF(AND('Riesgos de Gestión'!$P$79="Media",'Riesgos de Gestión'!$T$79="Moderado"),CONCATENATE("R",'Riesgos de Gestión'!$A$79),"")</f>
        <v/>
      </c>
      <c r="AA28" s="451"/>
      <c r="AB28" s="467" t="str">
        <f>IF(AND('Riesgos de Gestión'!$O$67="Media",'Riesgos de Gestión'!$S$67="Mayor"),CONCATENATE("R",'Riesgos de Gestión'!$A$67),"")</f>
        <v/>
      </c>
      <c r="AC28" s="468"/>
      <c r="AD28" s="468" t="str">
        <f>IF(AND('Riesgos de Gestión'!$P$73="Media",'Riesgos de Gestión'!$T$73="Mayor"),CONCATENATE("R",'Riesgos de Gestión'!$A$73),"")</f>
        <v/>
      </c>
      <c r="AE28" s="468"/>
      <c r="AF28" s="468" t="str">
        <f>IF(AND('Riesgos de Gestión'!$P$79="Media",'Riesgos de Gestión'!$T$79="Mayor"),CONCATENATE("R",'Riesgos de Gestión'!$A$79),"")</f>
        <v/>
      </c>
      <c r="AG28" s="469"/>
      <c r="AH28" s="458" t="str">
        <f>IF(AND('Riesgos de Gestión'!$O$67="Media",'Riesgos de Gestión'!$S$67="Catastrófico"),CONCATENATE("R",'Riesgos de Gestión'!$A$67),"")</f>
        <v/>
      </c>
      <c r="AI28" s="459"/>
      <c r="AJ28" s="459" t="str">
        <f>IF(AND('Riesgos de Gestión'!$P$73="Media",'Riesgos de Gestión'!$T$73="Catastrófico"),CONCATENATE("R",'Riesgos de Gestión'!$A$73),"")</f>
        <v/>
      </c>
      <c r="AK28" s="459"/>
      <c r="AL28" s="459" t="str">
        <f>IF(AND('Riesgos de Gestión'!$P$79="Media",'Riesgos de Gestión'!$T$79="Catastrófico"),CONCATENATE("R",'Riesgos de Gestión'!$A$79),"")</f>
        <v/>
      </c>
      <c r="AM28" s="460"/>
      <c r="AN28" s="66"/>
      <c r="AO28" s="510"/>
      <c r="AP28" s="511"/>
      <c r="AQ28" s="511"/>
      <c r="AR28" s="511"/>
      <c r="AS28" s="511"/>
      <c r="AT28" s="512"/>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row>
    <row r="29" spans="1:80" ht="16" thickBot="1" x14ac:dyDescent="0.25">
      <c r="A29" s="66"/>
      <c r="B29" s="487"/>
      <c r="C29" s="487"/>
      <c r="D29" s="488"/>
      <c r="E29" s="483"/>
      <c r="F29" s="484"/>
      <c r="G29" s="484"/>
      <c r="H29" s="484"/>
      <c r="I29" s="485"/>
      <c r="J29" s="449"/>
      <c r="K29" s="450"/>
      <c r="L29" s="450"/>
      <c r="M29" s="450"/>
      <c r="N29" s="450"/>
      <c r="O29" s="451"/>
      <c r="P29" s="452"/>
      <c r="Q29" s="453"/>
      <c r="R29" s="453"/>
      <c r="S29" s="453"/>
      <c r="T29" s="453"/>
      <c r="U29" s="454"/>
      <c r="V29" s="452"/>
      <c r="W29" s="453"/>
      <c r="X29" s="453"/>
      <c r="Y29" s="453"/>
      <c r="Z29" s="453"/>
      <c r="AA29" s="454"/>
      <c r="AB29" s="470"/>
      <c r="AC29" s="471"/>
      <c r="AD29" s="471"/>
      <c r="AE29" s="471"/>
      <c r="AF29" s="471"/>
      <c r="AG29" s="472"/>
      <c r="AH29" s="461"/>
      <c r="AI29" s="462"/>
      <c r="AJ29" s="462"/>
      <c r="AK29" s="462"/>
      <c r="AL29" s="462"/>
      <c r="AM29" s="463"/>
      <c r="AN29" s="66"/>
      <c r="AO29" s="513"/>
      <c r="AP29" s="514"/>
      <c r="AQ29" s="514"/>
      <c r="AR29" s="514"/>
      <c r="AS29" s="514"/>
      <c r="AT29" s="515"/>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row>
    <row r="30" spans="1:80" x14ac:dyDescent="0.2">
      <c r="A30" s="66"/>
      <c r="B30" s="487"/>
      <c r="C30" s="487"/>
      <c r="D30" s="488"/>
      <c r="E30" s="477" t="s">
        <v>321</v>
      </c>
      <c r="F30" s="478"/>
      <c r="G30" s="478"/>
      <c r="H30" s="478"/>
      <c r="I30" s="478"/>
      <c r="J30" s="446" t="str">
        <f>IF(AND('Riesgos de Gestión'!$O$13="Baja",'Riesgos de Gestión'!$S$13="Leve"),CONCATENATE("R",'Riesgos de Gestión'!$A$13),"")</f>
        <v/>
      </c>
      <c r="K30" s="447"/>
      <c r="L30" s="447" t="str">
        <f>IF(AND('Riesgos de Gestión'!$O$19="Baja",'Riesgos de Gestión'!$S$19="Leve"),CONCATENATE("R",'Riesgos de Gestión'!$A$19),"")</f>
        <v/>
      </c>
      <c r="M30" s="447"/>
      <c r="N30" s="447" t="str">
        <f>IF(AND('Riesgos de Gestión'!$O$25="Baja",'Riesgos de Gestión'!$S$25="Leve"),CONCATENATE("R",'Riesgos de Gestión'!$A$25),"")</f>
        <v/>
      </c>
      <c r="O30" s="448"/>
      <c r="P30" s="456" t="str">
        <f>IF(AND('Riesgos de Gestión'!$O$13="Baja",'Riesgos de Gestión'!$S$13="Menor"),CONCATENATE("R",'Riesgos de Gestión'!$A$13),"")</f>
        <v/>
      </c>
      <c r="Q30" s="456"/>
      <c r="R30" s="456" t="str">
        <f>IF(AND('Riesgos de Gestión'!$O$19="Baja",'Riesgos de Gestión'!$S$19="Menor"),CONCATENATE("R",'Riesgos de Gestión'!$A$19),"")</f>
        <v/>
      </c>
      <c r="S30" s="456"/>
      <c r="T30" s="456" t="str">
        <f>IF(AND('Riesgos de Gestión'!$O$25="Baja",'Riesgos de Gestión'!$S$25="Menor"),CONCATENATE("R",'Riesgos de Gestión'!$A$25),"")</f>
        <v/>
      </c>
      <c r="U30" s="457"/>
      <c r="V30" s="455" t="str">
        <f>IF(AND('Riesgos de Gestión'!$O$13="Baja",'Riesgos de Gestión'!$S$13="Moderado"),CONCATENATE("R",'Riesgos de Gestión'!$A$13),"")</f>
        <v/>
      </c>
      <c r="W30" s="456"/>
      <c r="X30" s="456" t="str">
        <f>IF(AND('Riesgos de Gestión'!$O$19="Baja",'Riesgos de Gestión'!$S$19="Moderado"),CONCATENATE("R",'Riesgos de Gestión'!$A$19),"")</f>
        <v/>
      </c>
      <c r="Y30" s="456"/>
      <c r="Z30" s="456" t="str">
        <f>IF(AND('Riesgos de Gestión'!$O$25="Baja",'Riesgos de Gestión'!$S$25="Moderado"),CONCATENATE("R",'Riesgos de Gestión'!$A$25),"")</f>
        <v/>
      </c>
      <c r="AA30" s="457"/>
      <c r="AB30" s="473" t="str">
        <f>IF(AND('Riesgos de Gestión'!$O$13="Baja",'Riesgos de Gestión'!$S$13="Mayor"),CONCATENATE("R",'Riesgos de Gestión'!$A$13),"")</f>
        <v/>
      </c>
      <c r="AC30" s="474"/>
      <c r="AD30" s="474" t="str">
        <f>IF(AND('Riesgos de Gestión'!$O$19="Baja",'Riesgos de Gestión'!$S$19="Mayor"),CONCATENATE("R",'Riesgos de Gestión'!$A$19),"")</f>
        <v/>
      </c>
      <c r="AE30" s="474"/>
      <c r="AF30" s="474" t="str">
        <f>IF(AND('Riesgos de Gestión'!$O$25="Baja",'Riesgos de Gestión'!$S$25="Mayor"),CONCATENATE("R",'Riesgos de Gestión'!$A$25),"")</f>
        <v/>
      </c>
      <c r="AG30" s="475"/>
      <c r="AH30" s="464" t="str">
        <f>IF(AND('Riesgos de Gestión'!$O$13="Baja",'Riesgos de Gestión'!$S$13="Catastrófico"),CONCATENATE("R",'Riesgos de Gestión'!$A$13),"")</f>
        <v/>
      </c>
      <c r="AI30" s="465"/>
      <c r="AJ30" s="465" t="str">
        <f>IF(AND('Riesgos de Gestión'!$O$19="Baja",'Riesgos de Gestión'!$S$19="Catastrófico"),CONCATENATE("R",'Riesgos de Gestión'!$A$19),"")</f>
        <v/>
      </c>
      <c r="AK30" s="465"/>
      <c r="AL30" s="465" t="str">
        <f>IF(AND('Riesgos de Gestión'!$O$25="Baja",'Riesgos de Gestión'!$S$25="Catastrófico"),CONCATENATE("R",'Riesgos de Gestión'!$A$25),"")</f>
        <v/>
      </c>
      <c r="AM30" s="466"/>
      <c r="AN30" s="66"/>
      <c r="AO30" s="516" t="s">
        <v>322</v>
      </c>
      <c r="AP30" s="517"/>
      <c r="AQ30" s="517"/>
      <c r="AR30" s="517"/>
      <c r="AS30" s="517"/>
      <c r="AT30" s="518"/>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row>
    <row r="31" spans="1:80" x14ac:dyDescent="0.2">
      <c r="A31" s="66"/>
      <c r="B31" s="487"/>
      <c r="C31" s="487"/>
      <c r="D31" s="488"/>
      <c r="E31" s="480"/>
      <c r="F31" s="481"/>
      <c r="G31" s="481"/>
      <c r="H31" s="481"/>
      <c r="I31" s="481"/>
      <c r="J31" s="440"/>
      <c r="K31" s="441"/>
      <c r="L31" s="441"/>
      <c r="M31" s="441"/>
      <c r="N31" s="441"/>
      <c r="O31" s="442"/>
      <c r="P31" s="450"/>
      <c r="Q31" s="450"/>
      <c r="R31" s="450"/>
      <c r="S31" s="450"/>
      <c r="T31" s="450"/>
      <c r="U31" s="451"/>
      <c r="V31" s="449"/>
      <c r="W31" s="450"/>
      <c r="X31" s="450"/>
      <c r="Y31" s="450"/>
      <c r="Z31" s="450"/>
      <c r="AA31" s="451"/>
      <c r="AB31" s="467"/>
      <c r="AC31" s="468"/>
      <c r="AD31" s="468"/>
      <c r="AE31" s="468"/>
      <c r="AF31" s="468"/>
      <c r="AG31" s="469"/>
      <c r="AH31" s="458"/>
      <c r="AI31" s="459"/>
      <c r="AJ31" s="459"/>
      <c r="AK31" s="459"/>
      <c r="AL31" s="459"/>
      <c r="AM31" s="460"/>
      <c r="AN31" s="66"/>
      <c r="AO31" s="519"/>
      <c r="AP31" s="520"/>
      <c r="AQ31" s="520"/>
      <c r="AR31" s="520"/>
      <c r="AS31" s="520"/>
      <c r="AT31" s="521"/>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row>
    <row r="32" spans="1:80" x14ac:dyDescent="0.2">
      <c r="A32" s="66"/>
      <c r="B32" s="487"/>
      <c r="C32" s="487"/>
      <c r="D32" s="488"/>
      <c r="E32" s="480"/>
      <c r="F32" s="481"/>
      <c r="G32" s="481"/>
      <c r="H32" s="481"/>
      <c r="I32" s="481"/>
      <c r="J32" s="440" t="str">
        <f>IF(AND('Riesgos de Gestión'!$O$31="Baja",'Riesgos de Gestión'!$S$31="Leve"),CONCATENATE("R",'Riesgos de Gestión'!$A$31),"")</f>
        <v/>
      </c>
      <c r="K32" s="441"/>
      <c r="L32" s="441" t="str">
        <f>IF(AND('Riesgos de Gestión'!$O$37="Baja",'Riesgos de Gestión'!$S$37="Leve"),CONCATENATE("R",'Riesgos de Gestión'!$A$37),"")</f>
        <v/>
      </c>
      <c r="M32" s="441"/>
      <c r="N32" s="441" t="str">
        <f>IF(AND('Riesgos de Gestión'!$O$43="Baja",'Riesgos de Gestión'!$S$43="Leve"),CONCATENATE("R",'Riesgos de Gestión'!$A$43),"")</f>
        <v/>
      </c>
      <c r="O32" s="442"/>
      <c r="P32" s="450" t="str">
        <f>IF(AND('Riesgos de Gestión'!$O$31="Baja",'Riesgos de Gestión'!$S$31="Menor"),CONCATENATE("R",'Riesgos de Gestión'!$A$31),"")</f>
        <v/>
      </c>
      <c r="Q32" s="450"/>
      <c r="R32" s="450" t="str">
        <f>IF(AND('Riesgos de Gestión'!$O$37="Baja",'Riesgos de Gestión'!$S$37="Menor"),CONCATENATE("R",'Riesgos de Gestión'!$A$37),"")</f>
        <v/>
      </c>
      <c r="S32" s="450"/>
      <c r="T32" s="450" t="str">
        <f>IF(AND('Riesgos de Gestión'!$O$43="Baja",'Riesgos de Gestión'!$S$43="Menor"),CONCATENATE("R",'Riesgos de Gestión'!$A$43),"")</f>
        <v/>
      </c>
      <c r="U32" s="451"/>
      <c r="V32" s="449" t="str">
        <f>IF(AND('Riesgos de Gestión'!$O$31="Baja",'Riesgos de Gestión'!$S$31="Moderado"),CONCATENATE("R",'Riesgos de Gestión'!$A$31),"")</f>
        <v/>
      </c>
      <c r="W32" s="450"/>
      <c r="X32" s="450" t="str">
        <f>IF(AND('Riesgos de Gestión'!$O$37="Baja",'Riesgos de Gestión'!$S$37="Moderado"),CONCATENATE("R",'Riesgos de Gestión'!$A$37),"")</f>
        <v/>
      </c>
      <c r="Y32" s="450"/>
      <c r="Z32" s="450" t="str">
        <f>IF(AND('Riesgos de Gestión'!$O$43="Baja",'Riesgos de Gestión'!$S$43="Moderado"),CONCATENATE("R",'Riesgos de Gestión'!$A$43),"")</f>
        <v/>
      </c>
      <c r="AA32" s="451"/>
      <c r="AB32" s="467" t="str">
        <f>IF(AND('Riesgos de Gestión'!$O$31="Baja",'Riesgos de Gestión'!$S$31="Mayor"),CONCATENATE("R",'Riesgos de Gestión'!$A$31),"")</f>
        <v/>
      </c>
      <c r="AC32" s="468"/>
      <c r="AD32" s="468" t="str">
        <f>IF(AND('Riesgos de Gestión'!$O$37="Baja",'Riesgos de Gestión'!$S$37="Mayor"),CONCATENATE("R",'Riesgos de Gestión'!$A$37),"")</f>
        <v/>
      </c>
      <c r="AE32" s="468"/>
      <c r="AF32" s="468" t="str">
        <f>IF(AND('Riesgos de Gestión'!$O$43="Baja",'Riesgos de Gestión'!$S$43="Mayor"),CONCATENATE("R",'Riesgos de Gestión'!$A$43),"")</f>
        <v/>
      </c>
      <c r="AG32" s="469"/>
      <c r="AH32" s="458" t="str">
        <f>IF(AND('Riesgos de Gestión'!$O$31="Baja",'Riesgos de Gestión'!$S$31="Catastrófico"),CONCATENATE("R",'Riesgos de Gestión'!$A$31),"")</f>
        <v/>
      </c>
      <c r="AI32" s="459"/>
      <c r="AJ32" s="459" t="str">
        <f>IF(AND('Riesgos de Gestión'!$O$37="Baja",'Riesgos de Gestión'!$S$37="Catastrófico"),CONCATENATE("R",'Riesgos de Gestión'!$A$37),"")</f>
        <v/>
      </c>
      <c r="AK32" s="459"/>
      <c r="AL32" s="459" t="str">
        <f>IF(AND('Riesgos de Gestión'!$O$43="Baja",'Riesgos de Gestión'!$S$43="Catastrófico"),CONCATENATE("R",'Riesgos de Gestión'!$A$43),"")</f>
        <v/>
      </c>
      <c r="AM32" s="460"/>
      <c r="AN32" s="66"/>
      <c r="AO32" s="519"/>
      <c r="AP32" s="520"/>
      <c r="AQ32" s="520"/>
      <c r="AR32" s="520"/>
      <c r="AS32" s="520"/>
      <c r="AT32" s="521"/>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row>
    <row r="33" spans="1:80" x14ac:dyDescent="0.2">
      <c r="A33" s="66"/>
      <c r="B33" s="487"/>
      <c r="C33" s="487"/>
      <c r="D33" s="488"/>
      <c r="E33" s="480"/>
      <c r="F33" s="481"/>
      <c r="G33" s="481"/>
      <c r="H33" s="481"/>
      <c r="I33" s="481"/>
      <c r="J33" s="440"/>
      <c r="K33" s="441"/>
      <c r="L33" s="441"/>
      <c r="M33" s="441"/>
      <c r="N33" s="441"/>
      <c r="O33" s="442"/>
      <c r="P33" s="450"/>
      <c r="Q33" s="450"/>
      <c r="R33" s="450"/>
      <c r="S33" s="450"/>
      <c r="T33" s="450"/>
      <c r="U33" s="451"/>
      <c r="V33" s="449"/>
      <c r="W33" s="450"/>
      <c r="X33" s="450"/>
      <c r="Y33" s="450"/>
      <c r="Z33" s="450"/>
      <c r="AA33" s="451"/>
      <c r="AB33" s="467"/>
      <c r="AC33" s="468"/>
      <c r="AD33" s="468"/>
      <c r="AE33" s="468"/>
      <c r="AF33" s="468"/>
      <c r="AG33" s="469"/>
      <c r="AH33" s="458"/>
      <c r="AI33" s="459"/>
      <c r="AJ33" s="459"/>
      <c r="AK33" s="459"/>
      <c r="AL33" s="459"/>
      <c r="AM33" s="460"/>
      <c r="AN33" s="66"/>
      <c r="AO33" s="519"/>
      <c r="AP33" s="520"/>
      <c r="AQ33" s="520"/>
      <c r="AR33" s="520"/>
      <c r="AS33" s="520"/>
      <c r="AT33" s="521"/>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row>
    <row r="34" spans="1:80" x14ac:dyDescent="0.2">
      <c r="A34" s="66"/>
      <c r="B34" s="487"/>
      <c r="C34" s="487"/>
      <c r="D34" s="488"/>
      <c r="E34" s="480"/>
      <c r="F34" s="481"/>
      <c r="G34" s="481"/>
      <c r="H34" s="481"/>
      <c r="I34" s="481"/>
      <c r="J34" s="440" t="str">
        <f>IF(AND('Riesgos de Gestión'!$O$49="Baja",'Riesgos de Gestión'!$S$49="Leve"),CONCATENATE("R",'Riesgos de Gestión'!$A$49),"")</f>
        <v/>
      </c>
      <c r="K34" s="441"/>
      <c r="L34" s="441" t="str">
        <f>IF(AND('Riesgos de Gestión'!$O$55="Baja",'Riesgos de Gestión'!$S$55="Leve"),CONCATENATE("R",'Riesgos de Gestión'!$A$55),"")</f>
        <v/>
      </c>
      <c r="M34" s="441"/>
      <c r="N34" s="441" t="str">
        <f>IF(AND('Riesgos de Gestión'!$O$61="Baja",'Riesgos de Gestión'!$S$61="Leve"),CONCATENATE("R",'Riesgos de Gestión'!$A$61),"")</f>
        <v/>
      </c>
      <c r="O34" s="442"/>
      <c r="P34" s="450" t="str">
        <f>IF(AND('Riesgos de Gestión'!$O$49="Baja",'Riesgos de Gestión'!$S$49="Menor"),CONCATENATE("R",'Riesgos de Gestión'!$A$49),"")</f>
        <v/>
      </c>
      <c r="Q34" s="450"/>
      <c r="R34" s="450" t="str">
        <f>IF(AND('Riesgos de Gestión'!$O$55="Baja",'Riesgos de Gestión'!$S$55="Menor"),CONCATENATE("R",'Riesgos de Gestión'!$A$55),"")</f>
        <v/>
      </c>
      <c r="S34" s="450"/>
      <c r="T34" s="450" t="str">
        <f>IF(AND('Riesgos de Gestión'!$O$61="Baja",'Riesgos de Gestión'!$S$61="Menor"),CONCATENATE("R",'Riesgos de Gestión'!$A$61),"")</f>
        <v/>
      </c>
      <c r="U34" s="451"/>
      <c r="V34" s="449" t="str">
        <f>IF(AND('Riesgos de Gestión'!$O$49="Baja",'Riesgos de Gestión'!$S$49="Moderado"),CONCATENATE("R",'Riesgos de Gestión'!$A$49),"")</f>
        <v/>
      </c>
      <c r="W34" s="450"/>
      <c r="X34" s="450" t="str">
        <f>IF(AND('Riesgos de Gestión'!$O$55="Baja",'Riesgos de Gestión'!$S$55="Moderado"),CONCATENATE("R",'Riesgos de Gestión'!$A$55),"")</f>
        <v/>
      </c>
      <c r="Y34" s="450"/>
      <c r="Z34" s="450" t="str">
        <f>IF(AND('Riesgos de Gestión'!$O$61="Baja",'Riesgos de Gestión'!$S$61="Moderado"),CONCATENATE("R",'Riesgos de Gestión'!$A$61),"")</f>
        <v/>
      </c>
      <c r="AA34" s="451"/>
      <c r="AB34" s="467" t="str">
        <f>IF(AND('Riesgos de Gestión'!$O$49="Baja",'Riesgos de Gestión'!$S$49="Mayor"),CONCATENATE("R",'Riesgos de Gestión'!$A$49),"")</f>
        <v/>
      </c>
      <c r="AC34" s="468"/>
      <c r="AD34" s="468" t="str">
        <f>IF(AND('Riesgos de Gestión'!$O$55="Baja",'Riesgos de Gestión'!$S$55="Mayor"),CONCATENATE("R",'Riesgos de Gestión'!$A$55),"")</f>
        <v/>
      </c>
      <c r="AE34" s="468"/>
      <c r="AF34" s="468" t="str">
        <f>IF(AND('Riesgos de Gestión'!$O$61="Baja",'Riesgos de Gestión'!$S$61="Mayor"),CONCATENATE("R",'Riesgos de Gestión'!$A$61),"")</f>
        <v/>
      </c>
      <c r="AG34" s="469"/>
      <c r="AH34" s="458" t="str">
        <f>IF(AND('Riesgos de Gestión'!$O$49="Baja",'Riesgos de Gestión'!$S$49="Catastrófico"),CONCATENATE("R",'Riesgos de Gestión'!$A$49),"")</f>
        <v/>
      </c>
      <c r="AI34" s="459"/>
      <c r="AJ34" s="459" t="str">
        <f>IF(AND('Riesgos de Gestión'!$O$55="Baja",'Riesgos de Gestión'!$S$55="Catastrófico"),CONCATENATE("R",'Riesgos de Gestión'!$A$55),"")</f>
        <v/>
      </c>
      <c r="AK34" s="459"/>
      <c r="AL34" s="459" t="str">
        <f>IF(AND('Riesgos de Gestión'!$O$61="Baja",'Riesgos de Gestión'!$S$61="Catastrófico"),CONCATENATE("R",'Riesgos de Gestión'!$A$61),"")</f>
        <v/>
      </c>
      <c r="AM34" s="460"/>
      <c r="AN34" s="66"/>
      <c r="AO34" s="519"/>
      <c r="AP34" s="520"/>
      <c r="AQ34" s="520"/>
      <c r="AR34" s="520"/>
      <c r="AS34" s="520"/>
      <c r="AT34" s="521"/>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row>
    <row r="35" spans="1:80" x14ac:dyDescent="0.2">
      <c r="A35" s="66"/>
      <c r="B35" s="487"/>
      <c r="C35" s="487"/>
      <c r="D35" s="488"/>
      <c r="E35" s="480"/>
      <c r="F35" s="481"/>
      <c r="G35" s="481"/>
      <c r="H35" s="481"/>
      <c r="I35" s="481"/>
      <c r="J35" s="440"/>
      <c r="K35" s="441"/>
      <c r="L35" s="441"/>
      <c r="M35" s="441"/>
      <c r="N35" s="441"/>
      <c r="O35" s="442"/>
      <c r="P35" s="450"/>
      <c r="Q35" s="450"/>
      <c r="R35" s="450"/>
      <c r="S35" s="450"/>
      <c r="T35" s="450"/>
      <c r="U35" s="451"/>
      <c r="V35" s="449"/>
      <c r="W35" s="450"/>
      <c r="X35" s="450"/>
      <c r="Y35" s="450"/>
      <c r="Z35" s="450"/>
      <c r="AA35" s="451"/>
      <c r="AB35" s="467"/>
      <c r="AC35" s="468"/>
      <c r="AD35" s="468"/>
      <c r="AE35" s="468"/>
      <c r="AF35" s="468"/>
      <c r="AG35" s="469"/>
      <c r="AH35" s="458"/>
      <c r="AI35" s="459"/>
      <c r="AJ35" s="459"/>
      <c r="AK35" s="459"/>
      <c r="AL35" s="459"/>
      <c r="AM35" s="460"/>
      <c r="AN35" s="66"/>
      <c r="AO35" s="519"/>
      <c r="AP35" s="520"/>
      <c r="AQ35" s="520"/>
      <c r="AR35" s="520"/>
      <c r="AS35" s="520"/>
      <c r="AT35" s="521"/>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row>
    <row r="36" spans="1:80" x14ac:dyDescent="0.2">
      <c r="A36" s="66"/>
      <c r="B36" s="487"/>
      <c r="C36" s="487"/>
      <c r="D36" s="488"/>
      <c r="E36" s="480"/>
      <c r="F36" s="481"/>
      <c r="G36" s="481"/>
      <c r="H36" s="481"/>
      <c r="I36" s="481"/>
      <c r="J36" s="440" t="str">
        <f>IF(AND('Riesgos de Gestión'!$O$67="Baja",'Riesgos de Gestión'!$S$67="Leve"),CONCATENATE("R",'Riesgos de Gestión'!$A$67),"")</f>
        <v/>
      </c>
      <c r="K36" s="441"/>
      <c r="L36" s="441" t="str">
        <f>IF(AND('Riesgos de Gestión'!$P$73="Baja",'Riesgos de Gestión'!$T$73="Leve"),CONCATENATE("R",'Riesgos de Gestión'!$A$73),"")</f>
        <v/>
      </c>
      <c r="M36" s="441"/>
      <c r="N36" s="441" t="str">
        <f>IF(AND('Riesgos de Gestión'!$P$79="Baja",'Riesgos de Gestión'!$T$79="Leve"),CONCATENATE("R",'Riesgos de Gestión'!$A$79),"")</f>
        <v/>
      </c>
      <c r="O36" s="442"/>
      <c r="P36" s="450" t="str">
        <f>IF(AND('Riesgos de Gestión'!$O$67="Baja",'Riesgos de Gestión'!$S$67="Menor"),CONCATENATE("R",'Riesgos de Gestión'!$A$67),"")</f>
        <v/>
      </c>
      <c r="Q36" s="450"/>
      <c r="R36" s="450" t="str">
        <f>IF(AND('Riesgos de Gestión'!$P$73="Baja",'Riesgos de Gestión'!$T$73="Menor"),CONCATENATE("R",'Riesgos de Gestión'!$A$73),"")</f>
        <v/>
      </c>
      <c r="S36" s="450"/>
      <c r="T36" s="450" t="str">
        <f>IF(AND('Riesgos de Gestión'!$P$79="Baja",'Riesgos de Gestión'!$T$79="Menor"),CONCATENATE("R",'Riesgos de Gestión'!$A$79),"")</f>
        <v/>
      </c>
      <c r="U36" s="451"/>
      <c r="V36" s="449" t="str">
        <f>IF(AND('Riesgos de Gestión'!$O$67="Baja",'Riesgos de Gestión'!$S$67="Moderado"),CONCATENATE("R",'Riesgos de Gestión'!$A$67),"")</f>
        <v/>
      </c>
      <c r="W36" s="450"/>
      <c r="X36" s="450" t="str">
        <f>IF(AND('Riesgos de Gestión'!$P$73="Baja",'Riesgos de Gestión'!$T$73="Moderado"),CONCATENATE("R",'Riesgos de Gestión'!$A$73),"")</f>
        <v/>
      </c>
      <c r="Y36" s="450"/>
      <c r="Z36" s="450" t="str">
        <f>IF(AND('Riesgos de Gestión'!$P$79="Baja",'Riesgos de Gestión'!$T$79="Moderado"),CONCATENATE("R",'Riesgos de Gestión'!$A$79),"")</f>
        <v/>
      </c>
      <c r="AA36" s="451"/>
      <c r="AB36" s="467" t="str">
        <f>IF(AND('Riesgos de Gestión'!$O$67="Baja",'Riesgos de Gestión'!$S$67="Mayor"),CONCATENATE("R",'Riesgos de Gestión'!$A$67),"")</f>
        <v/>
      </c>
      <c r="AC36" s="468"/>
      <c r="AD36" s="468" t="str">
        <f>IF(AND('Riesgos de Gestión'!$P$73="Baja",'Riesgos de Gestión'!$T$73="Mayor"),CONCATENATE("R",'Riesgos de Gestión'!$A$73),"")</f>
        <v/>
      </c>
      <c r="AE36" s="468"/>
      <c r="AF36" s="468" t="str">
        <f>IF(AND('Riesgos de Gestión'!$P$79="Baja",'Riesgos de Gestión'!$T$79="Mayor"),CONCATENATE("R",'Riesgos de Gestión'!$A$79),"")</f>
        <v/>
      </c>
      <c r="AG36" s="469"/>
      <c r="AH36" s="458" t="str">
        <f>IF(AND('Riesgos de Gestión'!$O$67="Baja",'Riesgos de Gestión'!$S$67="Catastrófico"),CONCATENATE("R",'Riesgos de Gestión'!$A$67),"")</f>
        <v/>
      </c>
      <c r="AI36" s="459"/>
      <c r="AJ36" s="459" t="str">
        <f>IF(AND('Riesgos de Gestión'!$P$73="Baja",'Riesgos de Gestión'!$T$73="Catastrófico"),CONCATENATE("R",'Riesgos de Gestión'!$A$73),"")</f>
        <v/>
      </c>
      <c r="AK36" s="459"/>
      <c r="AL36" s="459" t="str">
        <f>IF(AND('Riesgos de Gestión'!$P$79="Baja",'Riesgos de Gestión'!$T$79="Catastrófico"),CONCATENATE("R",'Riesgos de Gestión'!$A$79),"")</f>
        <v/>
      </c>
      <c r="AM36" s="460"/>
      <c r="AN36" s="66"/>
      <c r="AO36" s="519"/>
      <c r="AP36" s="520"/>
      <c r="AQ36" s="520"/>
      <c r="AR36" s="520"/>
      <c r="AS36" s="520"/>
      <c r="AT36" s="521"/>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row>
    <row r="37" spans="1:80" ht="16" thickBot="1" x14ac:dyDescent="0.25">
      <c r="A37" s="66"/>
      <c r="B37" s="487"/>
      <c r="C37" s="487"/>
      <c r="D37" s="488"/>
      <c r="E37" s="483"/>
      <c r="F37" s="484"/>
      <c r="G37" s="484"/>
      <c r="H37" s="484"/>
      <c r="I37" s="484"/>
      <c r="J37" s="443"/>
      <c r="K37" s="444"/>
      <c r="L37" s="444"/>
      <c r="M37" s="444"/>
      <c r="N37" s="444"/>
      <c r="O37" s="445"/>
      <c r="P37" s="453"/>
      <c r="Q37" s="453"/>
      <c r="R37" s="453"/>
      <c r="S37" s="453"/>
      <c r="T37" s="453"/>
      <c r="U37" s="454"/>
      <c r="V37" s="452"/>
      <c r="W37" s="453"/>
      <c r="X37" s="453"/>
      <c r="Y37" s="453"/>
      <c r="Z37" s="453"/>
      <c r="AA37" s="454"/>
      <c r="AB37" s="470"/>
      <c r="AC37" s="471"/>
      <c r="AD37" s="471"/>
      <c r="AE37" s="471"/>
      <c r="AF37" s="471"/>
      <c r="AG37" s="472"/>
      <c r="AH37" s="461"/>
      <c r="AI37" s="462"/>
      <c r="AJ37" s="462"/>
      <c r="AK37" s="462"/>
      <c r="AL37" s="462"/>
      <c r="AM37" s="463"/>
      <c r="AN37" s="66"/>
      <c r="AO37" s="522"/>
      <c r="AP37" s="523"/>
      <c r="AQ37" s="523"/>
      <c r="AR37" s="523"/>
      <c r="AS37" s="523"/>
      <c r="AT37" s="524"/>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row>
    <row r="38" spans="1:80" x14ac:dyDescent="0.2">
      <c r="A38" s="66"/>
      <c r="B38" s="487"/>
      <c r="C38" s="487"/>
      <c r="D38" s="488"/>
      <c r="E38" s="477" t="s">
        <v>323</v>
      </c>
      <c r="F38" s="478"/>
      <c r="G38" s="478"/>
      <c r="H38" s="478"/>
      <c r="I38" s="479"/>
      <c r="J38" s="446" t="str">
        <f>IF(AND('Riesgos de Gestión'!$O$13="Muy Baja",'Riesgos de Gestión'!$S$13="Leve"),CONCATENATE("R",'Riesgos de Gestión'!$A$13),"")</f>
        <v/>
      </c>
      <c r="K38" s="447"/>
      <c r="L38" s="447" t="str">
        <f>IF(AND('Riesgos de Gestión'!$O$19="Muy Baja",'Riesgos de Gestión'!$S$19="Leve"),CONCATENATE("R",'Riesgos de Gestión'!$A$19),"")</f>
        <v/>
      </c>
      <c r="M38" s="447"/>
      <c r="N38" s="447" t="str">
        <f>IF(AND('Riesgos de Gestión'!$O$25="Muy Baja",'Riesgos de Gestión'!$S$25="Leve"),CONCATENATE("R",'Riesgos de Gestión'!$A$25),"")</f>
        <v/>
      </c>
      <c r="O38" s="448"/>
      <c r="P38" s="446" t="str">
        <f>IF(AND('Riesgos de Gestión'!$O$13="Muy Baja",'Riesgos de Gestión'!$S$13="Menor"),CONCATENATE("R",'Riesgos de Gestión'!$A$13),"")</f>
        <v/>
      </c>
      <c r="Q38" s="447"/>
      <c r="R38" s="447" t="str">
        <f>IF(AND('Riesgos de Gestión'!$O$19="Muy Baja",'Riesgos de Gestión'!$S$19="Menor"),CONCATENATE("R",'Riesgos de Gestión'!$A$19),"")</f>
        <v/>
      </c>
      <c r="S38" s="447"/>
      <c r="T38" s="447" t="str">
        <f>IF(AND('Riesgos de Gestión'!$O$25="Muy Baja",'Riesgos de Gestión'!$S$25="Menor"),CONCATENATE("R",'Riesgos de Gestión'!$A$25),"")</f>
        <v/>
      </c>
      <c r="U38" s="448"/>
      <c r="V38" s="455" t="str">
        <f>IF(AND('Riesgos de Gestión'!$O$13="Muy Baja",'Riesgos de Gestión'!$S$13="Moderado"),CONCATENATE("R",'Riesgos de Gestión'!$A$13),"")</f>
        <v/>
      </c>
      <c r="W38" s="456"/>
      <c r="X38" s="456" t="str">
        <f>IF(AND('Riesgos de Gestión'!$O$19="Muy Baja",'Riesgos de Gestión'!$S$19="Moderado"),CONCATENATE("R",'Riesgos de Gestión'!$A$19),"")</f>
        <v/>
      </c>
      <c r="Y38" s="456"/>
      <c r="Z38" s="456" t="str">
        <f>IF(AND('Riesgos de Gestión'!$O$25="Muy Baja",'Riesgos de Gestión'!$S$25="Moderado"),CONCATENATE("R",'Riesgos de Gestión'!$A$25),"")</f>
        <v/>
      </c>
      <c r="AA38" s="457"/>
      <c r="AB38" s="473" t="str">
        <f>IF(AND('Riesgos de Gestión'!$O$13="Muy Baja",'Riesgos de Gestión'!$S$13="Mayor"),CONCATENATE("R",'Riesgos de Gestión'!$A$13),"")</f>
        <v/>
      </c>
      <c r="AC38" s="474"/>
      <c r="AD38" s="474" t="str">
        <f>IF(AND('Riesgos de Gestión'!$O$19="Muy Baja",'Riesgos de Gestión'!$S$19="Mayor"),CONCATENATE("R",'Riesgos de Gestión'!$A$19),"")</f>
        <v/>
      </c>
      <c r="AE38" s="474"/>
      <c r="AF38" s="474" t="str">
        <f>IF(AND('Riesgos de Gestión'!$O$25="Muy Baja",'Riesgos de Gestión'!$S$25="Mayor"),CONCATENATE("R",'Riesgos de Gestión'!$A$25),"")</f>
        <v/>
      </c>
      <c r="AG38" s="475"/>
      <c r="AH38" s="464" t="str">
        <f>IF(AND('Riesgos de Gestión'!$O$13="Muy Baja",'Riesgos de Gestión'!$S$13="Catastrófico"),CONCATENATE("R",'Riesgos de Gestión'!$A$13),"")</f>
        <v/>
      </c>
      <c r="AI38" s="465"/>
      <c r="AJ38" s="465" t="str">
        <f>IF(AND('Riesgos de Gestión'!$O$19="Muy Baja",'Riesgos de Gestión'!$S$19="Catastrófico"),CONCATENATE("R",'Riesgos de Gestión'!$A$19),"")</f>
        <v/>
      </c>
      <c r="AK38" s="465"/>
      <c r="AL38" s="465" t="str">
        <f>IF(AND('Riesgos de Gestión'!$O$25="Muy Baja",'Riesgos de Gestión'!$S$25="Catastrófico"),CONCATENATE("R",'Riesgos de Gestión'!$A$25),"")</f>
        <v/>
      </c>
      <c r="AM38" s="4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row>
    <row r="39" spans="1:80" x14ac:dyDescent="0.2">
      <c r="A39" s="66"/>
      <c r="B39" s="487"/>
      <c r="C39" s="487"/>
      <c r="D39" s="488"/>
      <c r="E39" s="480"/>
      <c r="F39" s="481"/>
      <c r="G39" s="481"/>
      <c r="H39" s="481"/>
      <c r="I39" s="482"/>
      <c r="J39" s="440"/>
      <c r="K39" s="441"/>
      <c r="L39" s="441"/>
      <c r="M39" s="441"/>
      <c r="N39" s="441"/>
      <c r="O39" s="442"/>
      <c r="P39" s="440"/>
      <c r="Q39" s="441"/>
      <c r="R39" s="441"/>
      <c r="S39" s="441"/>
      <c r="T39" s="441"/>
      <c r="U39" s="442"/>
      <c r="V39" s="449"/>
      <c r="W39" s="450"/>
      <c r="X39" s="450"/>
      <c r="Y39" s="450"/>
      <c r="Z39" s="450"/>
      <c r="AA39" s="451"/>
      <c r="AB39" s="467"/>
      <c r="AC39" s="468"/>
      <c r="AD39" s="468"/>
      <c r="AE39" s="468"/>
      <c r="AF39" s="468"/>
      <c r="AG39" s="469"/>
      <c r="AH39" s="458"/>
      <c r="AI39" s="459"/>
      <c r="AJ39" s="459"/>
      <c r="AK39" s="459"/>
      <c r="AL39" s="459"/>
      <c r="AM39" s="460"/>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row>
    <row r="40" spans="1:80" x14ac:dyDescent="0.2">
      <c r="A40" s="66"/>
      <c r="B40" s="487"/>
      <c r="C40" s="487"/>
      <c r="D40" s="488"/>
      <c r="E40" s="480"/>
      <c r="F40" s="481"/>
      <c r="G40" s="481"/>
      <c r="H40" s="481"/>
      <c r="I40" s="482"/>
      <c r="J40" s="440" t="str">
        <f>IF(AND('Riesgos de Gestión'!$O$31="Muy Baja",'Riesgos de Gestión'!$S$31="Leve"),CONCATENATE("R",'Riesgos de Gestión'!$A$31),"")</f>
        <v/>
      </c>
      <c r="K40" s="441"/>
      <c r="L40" s="441" t="str">
        <f>IF(AND('Riesgos de Gestión'!$O$37="Muy Baja",'Riesgos de Gestión'!$S$37="Leve"),CONCATENATE("R",'Riesgos de Gestión'!$A$37),"")</f>
        <v/>
      </c>
      <c r="M40" s="441"/>
      <c r="N40" s="441" t="str">
        <f>IF(AND('Riesgos de Gestión'!$O$43="Muy Baja",'Riesgos de Gestión'!$S$43="Leve"),CONCATENATE("R",'Riesgos de Gestión'!$A$43),"")</f>
        <v/>
      </c>
      <c r="O40" s="442"/>
      <c r="P40" s="440" t="str">
        <f>IF(AND('Riesgos de Gestión'!$O$31="Muy Baja",'Riesgos de Gestión'!$S$31="Menor"),CONCATENATE("R",'Riesgos de Gestión'!$A$31),"")</f>
        <v/>
      </c>
      <c r="Q40" s="441"/>
      <c r="R40" s="441" t="str">
        <f>IF(AND('Riesgos de Gestión'!$O$37="Muy Baja",'Riesgos de Gestión'!$S$37="Menor"),CONCATENATE("R",'Riesgos de Gestión'!$A$37),"")</f>
        <v/>
      </c>
      <c r="S40" s="441"/>
      <c r="T40" s="441" t="str">
        <f>IF(AND('Riesgos de Gestión'!$O$43="Muy Baja",'Riesgos de Gestión'!$S$43="Menor"),CONCATENATE("R",'Riesgos de Gestión'!$A$43),"")</f>
        <v/>
      </c>
      <c r="U40" s="442"/>
      <c r="V40" s="449" t="str">
        <f>IF(AND('Riesgos de Gestión'!$O$31="Muy Baja",'Riesgos de Gestión'!$S$31="Moderado"),CONCATENATE("R",'Riesgos de Gestión'!$A$31),"")</f>
        <v/>
      </c>
      <c r="W40" s="450"/>
      <c r="X40" s="450" t="str">
        <f>IF(AND('Riesgos de Gestión'!$O$37="Muy Baja",'Riesgos de Gestión'!$S$37="Moderado"),CONCATENATE("R",'Riesgos de Gestión'!$A$37),"")</f>
        <v/>
      </c>
      <c r="Y40" s="450"/>
      <c r="Z40" s="450" t="str">
        <f>IF(AND('Riesgos de Gestión'!$O$43="Muy Baja",'Riesgos de Gestión'!$S$43="Moderado"),CONCATENATE("R",'Riesgos de Gestión'!$A$43),"")</f>
        <v/>
      </c>
      <c r="AA40" s="451"/>
      <c r="AB40" s="467" t="str">
        <f>IF(AND('Riesgos de Gestión'!$O$31="Muy Baja",'Riesgos de Gestión'!$S$31="Mayor"),CONCATENATE("R",'Riesgos de Gestión'!$A$31),"")</f>
        <v/>
      </c>
      <c r="AC40" s="468"/>
      <c r="AD40" s="468" t="str">
        <f>IF(AND('Riesgos de Gestión'!$O$37="Muy Baja",'Riesgos de Gestión'!$S$37="Mayor"),CONCATENATE("R",'Riesgos de Gestión'!$A$37),"")</f>
        <v/>
      </c>
      <c r="AE40" s="468"/>
      <c r="AF40" s="468" t="str">
        <f>IF(AND('Riesgos de Gestión'!$O$43="Muy Baja",'Riesgos de Gestión'!$S$43="Mayor"),CONCATENATE("R",'Riesgos de Gestión'!$A$43),"")</f>
        <v/>
      </c>
      <c r="AG40" s="469"/>
      <c r="AH40" s="458" t="str">
        <f>IF(AND('Riesgos de Gestión'!$O$31="Muy Baja",'Riesgos de Gestión'!$S$31="Catastrófico"),CONCATENATE("R",'Riesgos de Gestión'!$A$31),"")</f>
        <v/>
      </c>
      <c r="AI40" s="459"/>
      <c r="AJ40" s="459" t="str">
        <f>IF(AND('Riesgos de Gestión'!$O$37="Muy Baja",'Riesgos de Gestión'!$S$37="Catastrófico"),CONCATENATE("R",'Riesgos de Gestión'!$A$37),"")</f>
        <v/>
      </c>
      <c r="AK40" s="459"/>
      <c r="AL40" s="459" t="str">
        <f>IF(AND('Riesgos de Gestión'!$O$43="Muy Baja",'Riesgos de Gestión'!$S$43="Catastrófico"),CONCATENATE("R",'Riesgos de Gestión'!$A$43),"")</f>
        <v/>
      </c>
      <c r="AM40" s="460"/>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row>
    <row r="41" spans="1:80" x14ac:dyDescent="0.2">
      <c r="A41" s="66"/>
      <c r="B41" s="487"/>
      <c r="C41" s="487"/>
      <c r="D41" s="488"/>
      <c r="E41" s="480"/>
      <c r="F41" s="481"/>
      <c r="G41" s="481"/>
      <c r="H41" s="481"/>
      <c r="I41" s="482"/>
      <c r="J41" s="440"/>
      <c r="K41" s="441"/>
      <c r="L41" s="441"/>
      <c r="M41" s="441"/>
      <c r="N41" s="441"/>
      <c r="O41" s="442"/>
      <c r="P41" s="440"/>
      <c r="Q41" s="441"/>
      <c r="R41" s="441"/>
      <c r="S41" s="441"/>
      <c r="T41" s="441"/>
      <c r="U41" s="442"/>
      <c r="V41" s="449"/>
      <c r="W41" s="450"/>
      <c r="X41" s="450"/>
      <c r="Y41" s="450"/>
      <c r="Z41" s="450"/>
      <c r="AA41" s="451"/>
      <c r="AB41" s="467"/>
      <c r="AC41" s="468"/>
      <c r="AD41" s="468"/>
      <c r="AE41" s="468"/>
      <c r="AF41" s="468"/>
      <c r="AG41" s="469"/>
      <c r="AH41" s="458"/>
      <c r="AI41" s="459"/>
      <c r="AJ41" s="459"/>
      <c r="AK41" s="459"/>
      <c r="AL41" s="459"/>
      <c r="AM41" s="460"/>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row>
    <row r="42" spans="1:80" x14ac:dyDescent="0.2">
      <c r="A42" s="66"/>
      <c r="B42" s="487"/>
      <c r="C42" s="487"/>
      <c r="D42" s="488"/>
      <c r="E42" s="480"/>
      <c r="F42" s="481"/>
      <c r="G42" s="481"/>
      <c r="H42" s="481"/>
      <c r="I42" s="482"/>
      <c r="J42" s="440" t="str">
        <f>IF(AND('Riesgos de Gestión'!$O$49="Muy Baja",'Riesgos de Gestión'!$S$49="Leve"),CONCATENATE("R",'Riesgos de Gestión'!$A$49),"")</f>
        <v/>
      </c>
      <c r="K42" s="441"/>
      <c r="L42" s="441" t="str">
        <f>IF(AND('Riesgos de Gestión'!$O$55="Muy Baja",'Riesgos de Gestión'!$S$55="Leve"),CONCATENATE("R",'Riesgos de Gestión'!$A$55),"")</f>
        <v/>
      </c>
      <c r="M42" s="441"/>
      <c r="N42" s="441" t="str">
        <f>IF(AND('Riesgos de Gestión'!$O$61="Muy Baja",'Riesgos de Gestión'!$S$61="Leve"),CONCATENATE("R",'Riesgos de Gestión'!$A$61),"")</f>
        <v/>
      </c>
      <c r="O42" s="442"/>
      <c r="P42" s="440" t="str">
        <f>IF(AND('Riesgos de Gestión'!$O$49="Muy Baja",'Riesgos de Gestión'!$S$49="Menor"),CONCATENATE("R",'Riesgos de Gestión'!$A$49),"")</f>
        <v/>
      </c>
      <c r="Q42" s="441"/>
      <c r="R42" s="441" t="str">
        <f>IF(AND('Riesgos de Gestión'!$O$55="Muy Baja",'Riesgos de Gestión'!$S$55="Menor"),CONCATENATE("R",'Riesgos de Gestión'!$A$55),"")</f>
        <v/>
      </c>
      <c r="S42" s="441"/>
      <c r="T42" s="441" t="str">
        <f>IF(AND('Riesgos de Gestión'!$O$61="Muy Baja",'Riesgos de Gestión'!$S$61="Menor"),CONCATENATE("R",'Riesgos de Gestión'!$A$61),"")</f>
        <v/>
      </c>
      <c r="U42" s="442"/>
      <c r="V42" s="449" t="str">
        <f>IF(AND('Riesgos de Gestión'!$O$49="Muy Baja",'Riesgos de Gestión'!$S$49="Moderado"),CONCATENATE("R",'Riesgos de Gestión'!$A$49),"")</f>
        <v/>
      </c>
      <c r="W42" s="450"/>
      <c r="X42" s="450" t="str">
        <f>IF(AND('Riesgos de Gestión'!$O$55="Muy Baja",'Riesgos de Gestión'!$S$55="Moderado"),CONCATENATE("R",'Riesgos de Gestión'!$A$55),"")</f>
        <v/>
      </c>
      <c r="Y42" s="450"/>
      <c r="Z42" s="450" t="str">
        <f>IF(AND('Riesgos de Gestión'!$O$61="Muy Baja",'Riesgos de Gestión'!$S$61="Moderado"),CONCATENATE("R",'Riesgos de Gestión'!$A$61),"")</f>
        <v/>
      </c>
      <c r="AA42" s="451"/>
      <c r="AB42" s="467" t="str">
        <f>IF(AND('Riesgos de Gestión'!$O$49="Muy Baja",'Riesgos de Gestión'!$S$49="Mayor"),CONCATENATE("R",'Riesgos de Gestión'!$A$49),"")</f>
        <v/>
      </c>
      <c r="AC42" s="468"/>
      <c r="AD42" s="468" t="str">
        <f>IF(AND('Riesgos de Gestión'!$O$55="Muy Baja",'Riesgos de Gestión'!$S$55="Mayor"),CONCATENATE("R",'Riesgos de Gestión'!$A$55),"")</f>
        <v/>
      </c>
      <c r="AE42" s="468"/>
      <c r="AF42" s="468" t="str">
        <f>IF(AND('Riesgos de Gestión'!$O$61="Muy Baja",'Riesgos de Gestión'!$S$61="Mayor"),CONCATENATE("R",'Riesgos de Gestión'!$A$61),"")</f>
        <v/>
      </c>
      <c r="AG42" s="469"/>
      <c r="AH42" s="458" t="str">
        <f>IF(AND('Riesgos de Gestión'!$O$49="Muy Baja",'Riesgos de Gestión'!$S$49="Catastrófico"),CONCATENATE("R",'Riesgos de Gestión'!$A$49),"")</f>
        <v/>
      </c>
      <c r="AI42" s="459"/>
      <c r="AJ42" s="459" t="str">
        <f>IF(AND('Riesgos de Gestión'!$O$55="Muy Baja",'Riesgos de Gestión'!$S$55="Catastrófico"),CONCATENATE("R",'Riesgos de Gestión'!$A$55),"")</f>
        <v/>
      </c>
      <c r="AK42" s="459"/>
      <c r="AL42" s="459" t="str">
        <f>IF(AND('Riesgos de Gestión'!$O$61="Muy Baja",'Riesgos de Gestión'!$S$61="Catastrófico"),CONCATENATE("R",'Riesgos de Gestión'!$A$61),"")</f>
        <v/>
      </c>
      <c r="AM42" s="460"/>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row>
    <row r="43" spans="1:80" x14ac:dyDescent="0.2">
      <c r="A43" s="66"/>
      <c r="B43" s="487"/>
      <c r="C43" s="487"/>
      <c r="D43" s="488"/>
      <c r="E43" s="480"/>
      <c r="F43" s="481"/>
      <c r="G43" s="481"/>
      <c r="H43" s="481"/>
      <c r="I43" s="482"/>
      <c r="J43" s="440"/>
      <c r="K43" s="441"/>
      <c r="L43" s="441"/>
      <c r="M43" s="441"/>
      <c r="N43" s="441"/>
      <c r="O43" s="442"/>
      <c r="P43" s="440"/>
      <c r="Q43" s="441"/>
      <c r="R43" s="441"/>
      <c r="S43" s="441"/>
      <c r="T43" s="441"/>
      <c r="U43" s="442"/>
      <c r="V43" s="449"/>
      <c r="W43" s="450"/>
      <c r="X43" s="450"/>
      <c r="Y43" s="450"/>
      <c r="Z43" s="450"/>
      <c r="AA43" s="451"/>
      <c r="AB43" s="467"/>
      <c r="AC43" s="468"/>
      <c r="AD43" s="468"/>
      <c r="AE43" s="468"/>
      <c r="AF43" s="468"/>
      <c r="AG43" s="469"/>
      <c r="AH43" s="458"/>
      <c r="AI43" s="459"/>
      <c r="AJ43" s="459"/>
      <c r="AK43" s="459"/>
      <c r="AL43" s="459"/>
      <c r="AM43" s="460"/>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row>
    <row r="44" spans="1:80" x14ac:dyDescent="0.2">
      <c r="A44" s="66"/>
      <c r="B44" s="487"/>
      <c r="C44" s="487"/>
      <c r="D44" s="488"/>
      <c r="E44" s="480"/>
      <c r="F44" s="481"/>
      <c r="G44" s="481"/>
      <c r="H44" s="481"/>
      <c r="I44" s="482"/>
      <c r="J44" s="440" t="str">
        <f>IF(AND('Riesgos de Gestión'!$O$67="Muy Baja",'Riesgos de Gestión'!$S$67="Leve"),CONCATENATE("R",'Riesgos de Gestión'!$A$67),"")</f>
        <v/>
      </c>
      <c r="K44" s="441"/>
      <c r="L44" s="441" t="str">
        <f>IF(AND('Riesgos de Gestión'!$P$73="Muy Baja",'Riesgos de Gestión'!$T$73="Leve"),CONCATENATE("R",'Riesgos de Gestión'!$A$73),"")</f>
        <v/>
      </c>
      <c r="M44" s="441"/>
      <c r="N44" s="441" t="str">
        <f>IF(AND('Riesgos de Gestión'!$P$79="Muy Baja",'Riesgos de Gestión'!$T$79="Leve"),CONCATENATE("R",'Riesgos de Gestión'!$A$79),"")</f>
        <v/>
      </c>
      <c r="O44" s="442"/>
      <c r="P44" s="440" t="str">
        <f>IF(AND('Riesgos de Gestión'!$O$67="Muy Baja",'Riesgos de Gestión'!$S$67="Menor"),CONCATENATE("R",'Riesgos de Gestión'!$A$67),"")</f>
        <v/>
      </c>
      <c r="Q44" s="441"/>
      <c r="R44" s="441" t="str">
        <f>IF(AND('Riesgos de Gestión'!$P$73="Muy Baja",'Riesgos de Gestión'!$T$73="Menor"),CONCATENATE("R",'Riesgos de Gestión'!$A$73),"")</f>
        <v/>
      </c>
      <c r="S44" s="441"/>
      <c r="T44" s="441" t="str">
        <f>IF(AND('Riesgos de Gestión'!$P$79="Muy Baja",'Riesgos de Gestión'!$T$79="Menor"),CONCATENATE("R",'Riesgos de Gestión'!$A$79),"")</f>
        <v/>
      </c>
      <c r="U44" s="442"/>
      <c r="V44" s="449" t="str">
        <f>IF(AND('Riesgos de Gestión'!$O$67="Muy Baja",'Riesgos de Gestión'!$S$67="Moderado"),CONCATENATE("R",'Riesgos de Gestión'!$A$67),"")</f>
        <v/>
      </c>
      <c r="W44" s="450"/>
      <c r="X44" s="450" t="str">
        <f>IF(AND('Riesgos de Gestión'!$P$73="Muy Baja",'Riesgos de Gestión'!$T$73="Moderado"),CONCATENATE("R",'Riesgos de Gestión'!$A$73),"")</f>
        <v/>
      </c>
      <c r="Y44" s="450"/>
      <c r="Z44" s="450" t="str">
        <f>IF(AND('Riesgos de Gestión'!$P$79="Muy Baja",'Riesgos de Gestión'!$T$79="Moderado"),CONCATENATE("R",'Riesgos de Gestión'!$A$79),"")</f>
        <v/>
      </c>
      <c r="AA44" s="451"/>
      <c r="AB44" s="467" t="str">
        <f>IF(AND('Riesgos de Gestión'!$O$67="Muy Baja",'Riesgos de Gestión'!$S$67="Mayor"),CONCATENATE("R",'Riesgos de Gestión'!$A$67),"")</f>
        <v/>
      </c>
      <c r="AC44" s="468"/>
      <c r="AD44" s="468" t="str">
        <f>IF(AND('Riesgos de Gestión'!$P$73="Muy Baja",'Riesgos de Gestión'!$T$73="Mayor"),CONCATENATE("R",'Riesgos de Gestión'!$A$73),"")</f>
        <v/>
      </c>
      <c r="AE44" s="468"/>
      <c r="AF44" s="468" t="str">
        <f>IF(AND('Riesgos de Gestión'!$P$79="Muy Baja",'Riesgos de Gestión'!$T$79="Mayor"),CONCATENATE("R",'Riesgos de Gestión'!$A$79),"")</f>
        <v/>
      </c>
      <c r="AG44" s="469"/>
      <c r="AH44" s="458" t="str">
        <f>IF(AND('Riesgos de Gestión'!$O$67="Muy Baja",'Riesgos de Gestión'!$S$67="Catastrófico"),CONCATENATE("R",'Riesgos de Gestión'!$A$67),"")</f>
        <v/>
      </c>
      <c r="AI44" s="459"/>
      <c r="AJ44" s="459" t="str">
        <f>IF(AND('Riesgos de Gestión'!$P$73="Muy Baja",'Riesgos de Gestión'!$T$73="Catastrófico"),CONCATENATE("R",'Riesgos de Gestión'!$A$73),"")</f>
        <v/>
      </c>
      <c r="AK44" s="459"/>
      <c r="AL44" s="459" t="str">
        <f>IF(AND('Riesgos de Gestión'!$P$79="Muy Baja",'Riesgos de Gestión'!$T$79="Catastrófico"),CONCATENATE("R",'Riesgos de Gestión'!$A$79),"")</f>
        <v/>
      </c>
      <c r="AM44" s="460"/>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row>
    <row r="45" spans="1:80" ht="16" thickBot="1" x14ac:dyDescent="0.25">
      <c r="A45" s="66"/>
      <c r="B45" s="487"/>
      <c r="C45" s="487"/>
      <c r="D45" s="488"/>
      <c r="E45" s="483"/>
      <c r="F45" s="484"/>
      <c r="G45" s="484"/>
      <c r="H45" s="484"/>
      <c r="I45" s="485"/>
      <c r="J45" s="443"/>
      <c r="K45" s="444"/>
      <c r="L45" s="444"/>
      <c r="M45" s="444"/>
      <c r="N45" s="444"/>
      <c r="O45" s="445"/>
      <c r="P45" s="443"/>
      <c r="Q45" s="444"/>
      <c r="R45" s="444"/>
      <c r="S45" s="444"/>
      <c r="T45" s="444"/>
      <c r="U45" s="445"/>
      <c r="V45" s="452"/>
      <c r="W45" s="453"/>
      <c r="X45" s="453"/>
      <c r="Y45" s="453"/>
      <c r="Z45" s="453"/>
      <c r="AA45" s="454"/>
      <c r="AB45" s="470"/>
      <c r="AC45" s="471"/>
      <c r="AD45" s="471"/>
      <c r="AE45" s="471"/>
      <c r="AF45" s="471"/>
      <c r="AG45" s="472"/>
      <c r="AH45" s="461"/>
      <c r="AI45" s="462"/>
      <c r="AJ45" s="462"/>
      <c r="AK45" s="462"/>
      <c r="AL45" s="462"/>
      <c r="AM45" s="463"/>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row>
    <row r="46" spans="1:80" x14ac:dyDescent="0.2">
      <c r="A46" s="66"/>
      <c r="B46" s="66"/>
      <c r="C46" s="66"/>
      <c r="D46" s="66"/>
      <c r="E46" s="66"/>
      <c r="F46" s="66"/>
      <c r="G46" s="66"/>
      <c r="H46" s="66"/>
      <c r="I46" s="66"/>
      <c r="J46" s="477" t="s">
        <v>324</v>
      </c>
      <c r="K46" s="478"/>
      <c r="L46" s="478"/>
      <c r="M46" s="478"/>
      <c r="N46" s="478"/>
      <c r="O46" s="479"/>
      <c r="P46" s="477" t="s">
        <v>325</v>
      </c>
      <c r="Q46" s="478"/>
      <c r="R46" s="478"/>
      <c r="S46" s="478"/>
      <c r="T46" s="478"/>
      <c r="U46" s="479"/>
      <c r="V46" s="477" t="s">
        <v>326</v>
      </c>
      <c r="W46" s="478"/>
      <c r="X46" s="478"/>
      <c r="Y46" s="478"/>
      <c r="Z46" s="478"/>
      <c r="AA46" s="479"/>
      <c r="AB46" s="477" t="s">
        <v>327</v>
      </c>
      <c r="AC46" s="486"/>
      <c r="AD46" s="478"/>
      <c r="AE46" s="478"/>
      <c r="AF46" s="478"/>
      <c r="AG46" s="479"/>
      <c r="AH46" s="477" t="s">
        <v>328</v>
      </c>
      <c r="AI46" s="478"/>
      <c r="AJ46" s="478"/>
      <c r="AK46" s="478"/>
      <c r="AL46" s="478"/>
      <c r="AM46" s="479"/>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row>
    <row r="47" spans="1:80" x14ac:dyDescent="0.2">
      <c r="A47" s="66"/>
      <c r="B47" s="66"/>
      <c r="C47" s="66"/>
      <c r="D47" s="66"/>
      <c r="E47" s="66"/>
      <c r="F47" s="66"/>
      <c r="G47" s="66"/>
      <c r="H47" s="66"/>
      <c r="I47" s="66"/>
      <c r="J47" s="480"/>
      <c r="K47" s="481"/>
      <c r="L47" s="481"/>
      <c r="M47" s="481"/>
      <c r="N47" s="481"/>
      <c r="O47" s="482"/>
      <c r="P47" s="480"/>
      <c r="Q47" s="481"/>
      <c r="R47" s="481"/>
      <c r="S47" s="481"/>
      <c r="T47" s="481"/>
      <c r="U47" s="482"/>
      <c r="V47" s="480"/>
      <c r="W47" s="481"/>
      <c r="X47" s="481"/>
      <c r="Y47" s="481"/>
      <c r="Z47" s="481"/>
      <c r="AA47" s="482"/>
      <c r="AB47" s="480"/>
      <c r="AC47" s="481"/>
      <c r="AD47" s="481"/>
      <c r="AE47" s="481"/>
      <c r="AF47" s="481"/>
      <c r="AG47" s="482"/>
      <c r="AH47" s="480"/>
      <c r="AI47" s="481"/>
      <c r="AJ47" s="481"/>
      <c r="AK47" s="481"/>
      <c r="AL47" s="481"/>
      <c r="AM47" s="482"/>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row>
    <row r="48" spans="1:80" x14ac:dyDescent="0.2">
      <c r="A48" s="66"/>
      <c r="B48" s="66"/>
      <c r="C48" s="66"/>
      <c r="D48" s="66"/>
      <c r="E48" s="66"/>
      <c r="F48" s="66"/>
      <c r="G48" s="66"/>
      <c r="H48" s="66"/>
      <c r="I48" s="66"/>
      <c r="J48" s="480"/>
      <c r="K48" s="481"/>
      <c r="L48" s="481"/>
      <c r="M48" s="481"/>
      <c r="N48" s="481"/>
      <c r="O48" s="482"/>
      <c r="P48" s="480"/>
      <c r="Q48" s="481"/>
      <c r="R48" s="481"/>
      <c r="S48" s="481"/>
      <c r="T48" s="481"/>
      <c r="U48" s="482"/>
      <c r="V48" s="480"/>
      <c r="W48" s="481"/>
      <c r="X48" s="481"/>
      <c r="Y48" s="481"/>
      <c r="Z48" s="481"/>
      <c r="AA48" s="482"/>
      <c r="AB48" s="480"/>
      <c r="AC48" s="481"/>
      <c r="AD48" s="481"/>
      <c r="AE48" s="481"/>
      <c r="AF48" s="481"/>
      <c r="AG48" s="482"/>
      <c r="AH48" s="480"/>
      <c r="AI48" s="481"/>
      <c r="AJ48" s="481"/>
      <c r="AK48" s="481"/>
      <c r="AL48" s="481"/>
      <c r="AM48" s="482"/>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row>
    <row r="49" spans="1:80" x14ac:dyDescent="0.2">
      <c r="A49" s="66"/>
      <c r="B49" s="66"/>
      <c r="C49" s="66"/>
      <c r="D49" s="66"/>
      <c r="E49" s="66"/>
      <c r="F49" s="66"/>
      <c r="G49" s="66"/>
      <c r="H49" s="66"/>
      <c r="I49" s="66"/>
      <c r="J49" s="480"/>
      <c r="K49" s="481"/>
      <c r="L49" s="481"/>
      <c r="M49" s="481"/>
      <c r="N49" s="481"/>
      <c r="O49" s="482"/>
      <c r="P49" s="480"/>
      <c r="Q49" s="481"/>
      <c r="R49" s="481"/>
      <c r="S49" s="481"/>
      <c r="T49" s="481"/>
      <c r="U49" s="482"/>
      <c r="V49" s="480"/>
      <c r="W49" s="481"/>
      <c r="X49" s="481"/>
      <c r="Y49" s="481"/>
      <c r="Z49" s="481"/>
      <c r="AA49" s="482"/>
      <c r="AB49" s="480"/>
      <c r="AC49" s="481"/>
      <c r="AD49" s="481"/>
      <c r="AE49" s="481"/>
      <c r="AF49" s="481"/>
      <c r="AG49" s="482"/>
      <c r="AH49" s="480"/>
      <c r="AI49" s="481"/>
      <c r="AJ49" s="481"/>
      <c r="AK49" s="481"/>
      <c r="AL49" s="481"/>
      <c r="AM49" s="482"/>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row>
    <row r="50" spans="1:80" x14ac:dyDescent="0.2">
      <c r="A50" s="66"/>
      <c r="B50" s="66"/>
      <c r="C50" s="66"/>
      <c r="D50" s="66"/>
      <c r="E50" s="66"/>
      <c r="F50" s="66"/>
      <c r="G50" s="66"/>
      <c r="H50" s="66"/>
      <c r="I50" s="66"/>
      <c r="J50" s="480"/>
      <c r="K50" s="481"/>
      <c r="L50" s="481"/>
      <c r="M50" s="481"/>
      <c r="N50" s="481"/>
      <c r="O50" s="482"/>
      <c r="P50" s="480"/>
      <c r="Q50" s="481"/>
      <c r="R50" s="481"/>
      <c r="S50" s="481"/>
      <c r="T50" s="481"/>
      <c r="U50" s="482"/>
      <c r="V50" s="480"/>
      <c r="W50" s="481"/>
      <c r="X50" s="481"/>
      <c r="Y50" s="481"/>
      <c r="Z50" s="481"/>
      <c r="AA50" s="482"/>
      <c r="AB50" s="480"/>
      <c r="AC50" s="481"/>
      <c r="AD50" s="481"/>
      <c r="AE50" s="481"/>
      <c r="AF50" s="481"/>
      <c r="AG50" s="482"/>
      <c r="AH50" s="480"/>
      <c r="AI50" s="481"/>
      <c r="AJ50" s="481"/>
      <c r="AK50" s="481"/>
      <c r="AL50" s="481"/>
      <c r="AM50" s="482"/>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row>
    <row r="51" spans="1:80" ht="16" thickBot="1" x14ac:dyDescent="0.25">
      <c r="A51" s="66"/>
      <c r="B51" s="66"/>
      <c r="C51" s="66"/>
      <c r="D51" s="66"/>
      <c r="E51" s="66"/>
      <c r="F51" s="66"/>
      <c r="G51" s="66"/>
      <c r="H51" s="66"/>
      <c r="I51" s="66"/>
      <c r="J51" s="483"/>
      <c r="K51" s="484"/>
      <c r="L51" s="484"/>
      <c r="M51" s="484"/>
      <c r="N51" s="484"/>
      <c r="O51" s="485"/>
      <c r="P51" s="483"/>
      <c r="Q51" s="484"/>
      <c r="R51" s="484"/>
      <c r="S51" s="484"/>
      <c r="T51" s="484"/>
      <c r="U51" s="485"/>
      <c r="V51" s="483"/>
      <c r="W51" s="484"/>
      <c r="X51" s="484"/>
      <c r="Y51" s="484"/>
      <c r="Z51" s="484"/>
      <c r="AA51" s="485"/>
      <c r="AB51" s="483"/>
      <c r="AC51" s="484"/>
      <c r="AD51" s="484"/>
      <c r="AE51" s="484"/>
      <c r="AF51" s="484"/>
      <c r="AG51" s="485"/>
      <c r="AH51" s="483"/>
      <c r="AI51" s="484"/>
      <c r="AJ51" s="484"/>
      <c r="AK51" s="484"/>
      <c r="AL51" s="484"/>
      <c r="AM51" s="485"/>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row>
    <row r="52" spans="1:80" x14ac:dyDescent="0.2">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row>
    <row r="53" spans="1:80" ht="15" customHeight="1" x14ac:dyDescent="0.2">
      <c r="A53" s="66"/>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row>
    <row r="54" spans="1:80" ht="15" customHeight="1" x14ac:dyDescent="0.2">
      <c r="A54" s="66"/>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row>
    <row r="55" spans="1:80" x14ac:dyDescent="0.2">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row>
    <row r="56" spans="1:80" x14ac:dyDescent="0.2">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row>
    <row r="57" spans="1:80" x14ac:dyDescent="0.2">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row>
    <row r="58" spans="1:80" x14ac:dyDescent="0.2">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row>
    <row r="59" spans="1:80" x14ac:dyDescent="0.2">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row>
    <row r="60" spans="1:80" x14ac:dyDescent="0.2">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row>
    <row r="61" spans="1:80" x14ac:dyDescent="0.2">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row>
    <row r="62" spans="1:80" x14ac:dyDescent="0.2">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row>
    <row r="63" spans="1:80" x14ac:dyDescent="0.2">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row>
    <row r="64" spans="1:80" x14ac:dyDescent="0.2">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row>
    <row r="65" spans="1:80" x14ac:dyDescent="0.2">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row>
    <row r="66" spans="1:80" x14ac:dyDescent="0.2">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row>
    <row r="67" spans="1:80" x14ac:dyDescent="0.2">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row>
    <row r="68" spans="1:80" x14ac:dyDescent="0.2">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row>
    <row r="69" spans="1:80" x14ac:dyDescent="0.2">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row>
    <row r="70" spans="1:80" x14ac:dyDescent="0.2">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row>
    <row r="71" spans="1:80" x14ac:dyDescent="0.2">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row>
    <row r="72" spans="1:80" x14ac:dyDescent="0.2">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row>
    <row r="73" spans="1:80" x14ac:dyDescent="0.2">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row>
    <row r="74" spans="1:80" x14ac:dyDescent="0.2">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row>
    <row r="75" spans="1:80" x14ac:dyDescent="0.2">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row>
    <row r="76" spans="1:80" x14ac:dyDescent="0.2">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row>
    <row r="77" spans="1:80" x14ac:dyDescent="0.2">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row>
    <row r="78" spans="1:80" x14ac:dyDescent="0.2">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row>
    <row r="79" spans="1:80" x14ac:dyDescent="0.2">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row>
    <row r="80" spans="1:80" x14ac:dyDescent="0.2">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row>
    <row r="81" spans="1:63" x14ac:dyDescent="0.2">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c r="BI81" s="66"/>
      <c r="BJ81" s="66"/>
      <c r="BK81" s="66"/>
    </row>
    <row r="82" spans="1:63" x14ac:dyDescent="0.2">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row>
    <row r="83" spans="1:63" x14ac:dyDescent="0.2">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row>
    <row r="84" spans="1:63" x14ac:dyDescent="0.2">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row>
    <row r="85" spans="1:63" x14ac:dyDescent="0.2">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row>
    <row r="86" spans="1:63" x14ac:dyDescent="0.2">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row>
    <row r="87" spans="1:63" x14ac:dyDescent="0.2">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row>
    <row r="88" spans="1:63" x14ac:dyDescent="0.2">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c r="BI88" s="66"/>
      <c r="BJ88" s="66"/>
      <c r="BK88" s="66"/>
    </row>
    <row r="89" spans="1:63" x14ac:dyDescent="0.2">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row>
    <row r="90" spans="1:63" x14ac:dyDescent="0.2">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c r="BI90" s="66"/>
      <c r="BJ90" s="66"/>
      <c r="BK90" s="66"/>
    </row>
    <row r="91" spans="1:63" x14ac:dyDescent="0.2">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row>
    <row r="92" spans="1:63" x14ac:dyDescent="0.2">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c r="BI92" s="66"/>
      <c r="BJ92" s="66"/>
      <c r="BK92" s="66"/>
    </row>
    <row r="93" spans="1:63" x14ac:dyDescent="0.2">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row>
    <row r="94" spans="1:63" x14ac:dyDescent="0.2">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c r="BI94" s="66"/>
      <c r="BJ94" s="66"/>
      <c r="BK94" s="66"/>
    </row>
    <row r="95" spans="1:63" x14ac:dyDescent="0.2">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row>
    <row r="96" spans="1:63" x14ac:dyDescent="0.2">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row>
    <row r="97" spans="1:63" x14ac:dyDescent="0.2">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row>
    <row r="98" spans="1:63" x14ac:dyDescent="0.2">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row>
    <row r="99" spans="1:63" x14ac:dyDescent="0.2">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c r="BI99" s="66"/>
      <c r="BJ99" s="66"/>
      <c r="BK99" s="66"/>
    </row>
    <row r="100" spans="1:63" x14ac:dyDescent="0.2">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row>
    <row r="101" spans="1:63" x14ac:dyDescent="0.2">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row>
    <row r="102" spans="1:63" x14ac:dyDescent="0.2">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row>
    <row r="103" spans="1:63" x14ac:dyDescent="0.2">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row>
    <row r="104" spans="1:63" x14ac:dyDescent="0.2">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row>
    <row r="105" spans="1:63" x14ac:dyDescent="0.2">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c r="BJ105" s="66"/>
      <c r="BK105" s="66"/>
    </row>
    <row r="106" spans="1:63"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row>
    <row r="107" spans="1:63" x14ac:dyDescent="0.2">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I107" s="66"/>
      <c r="BJ107" s="66"/>
      <c r="BK107" s="66"/>
    </row>
    <row r="108" spans="1:63" x14ac:dyDescent="0.2">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I108" s="66"/>
      <c r="BJ108" s="66"/>
      <c r="BK108" s="66"/>
    </row>
    <row r="109" spans="1:63" x14ac:dyDescent="0.2">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row>
    <row r="110" spans="1:63" x14ac:dyDescent="0.2">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c r="BI110" s="66"/>
      <c r="BJ110" s="66"/>
      <c r="BK110" s="66"/>
    </row>
    <row r="111" spans="1:63" x14ac:dyDescent="0.2">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c r="BI111" s="66"/>
      <c r="BJ111" s="66"/>
      <c r="BK111" s="66"/>
    </row>
    <row r="112" spans="1:63" x14ac:dyDescent="0.2">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I112" s="66"/>
      <c r="BJ112" s="66"/>
      <c r="BK112" s="66"/>
    </row>
    <row r="113" spans="1:63" x14ac:dyDescent="0.2">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c r="BI113" s="66"/>
      <c r="BJ113" s="66"/>
      <c r="BK113" s="66"/>
    </row>
    <row r="114" spans="1:63" x14ac:dyDescent="0.2">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66"/>
      <c r="BJ114" s="66"/>
      <c r="BK114" s="66"/>
    </row>
    <row r="115" spans="1:63" x14ac:dyDescent="0.2">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c r="BJ115" s="66"/>
      <c r="BK115" s="66"/>
    </row>
    <row r="116" spans="1:63" x14ac:dyDescent="0.2">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row>
    <row r="117" spans="1:63" x14ac:dyDescent="0.2">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row>
    <row r="118" spans="1:63" x14ac:dyDescent="0.2">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c r="BI118" s="66"/>
      <c r="BJ118" s="66"/>
      <c r="BK118" s="66"/>
    </row>
    <row r="119" spans="1:63" x14ac:dyDescent="0.2">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row>
    <row r="120" spans="1:63" x14ac:dyDescent="0.2">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row>
    <row r="121" spans="1:63" x14ac:dyDescent="0.2">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row>
    <row r="122" spans="1:63" x14ac:dyDescent="0.2">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row>
    <row r="123" spans="1:63" x14ac:dyDescent="0.2">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I123" s="66"/>
      <c r="BJ123" s="66"/>
      <c r="BK123" s="66"/>
    </row>
    <row r="124" spans="1:63" x14ac:dyDescent="0.2">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I124" s="66"/>
      <c r="BJ124" s="66"/>
      <c r="BK124" s="66"/>
    </row>
    <row r="125" spans="1:63" x14ac:dyDescent="0.2">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c r="BI125" s="66"/>
      <c r="BJ125" s="66"/>
      <c r="BK125" s="66"/>
    </row>
    <row r="126" spans="1:63" x14ac:dyDescent="0.2">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row>
    <row r="127" spans="1:63" x14ac:dyDescent="0.2">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c r="BI127" s="66"/>
      <c r="BJ127" s="66"/>
      <c r="BK127" s="66"/>
    </row>
    <row r="128" spans="1:63" x14ac:dyDescent="0.2">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row>
    <row r="129" spans="2:63" x14ac:dyDescent="0.2">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row>
    <row r="130" spans="2:63" x14ac:dyDescent="0.2">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row>
    <row r="131" spans="2:63" x14ac:dyDescent="0.2">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c r="BI131" s="66"/>
      <c r="BJ131" s="66"/>
      <c r="BK131" s="66"/>
    </row>
    <row r="132" spans="2:63" x14ac:dyDescent="0.2">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c r="BI132" s="66"/>
      <c r="BJ132" s="66"/>
      <c r="BK132" s="66"/>
    </row>
    <row r="133" spans="2:63" x14ac:dyDescent="0.2">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c r="BI133" s="66"/>
      <c r="BJ133" s="66"/>
      <c r="BK133" s="66"/>
    </row>
    <row r="134" spans="2:63" x14ac:dyDescent="0.2">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c r="BI134" s="66"/>
      <c r="BJ134" s="66"/>
      <c r="BK134" s="66"/>
    </row>
    <row r="135" spans="2:63" x14ac:dyDescent="0.2">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c r="BI135" s="66"/>
      <c r="BJ135" s="66"/>
      <c r="BK135" s="66"/>
    </row>
    <row r="136" spans="2:63" x14ac:dyDescent="0.2">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c r="BI136" s="66"/>
      <c r="BJ136" s="66"/>
      <c r="BK136" s="66"/>
    </row>
    <row r="137" spans="2:63" x14ac:dyDescent="0.2">
      <c r="B137" s="66"/>
      <c r="C137" s="66"/>
      <c r="D137" s="66"/>
      <c r="E137" s="66"/>
      <c r="F137" s="66"/>
      <c r="G137" s="66"/>
      <c r="H137" s="66"/>
      <c r="I137" s="66"/>
    </row>
    <row r="138" spans="2:63" x14ac:dyDescent="0.2">
      <c r="B138" s="66"/>
      <c r="C138" s="66"/>
      <c r="D138" s="66"/>
      <c r="E138" s="66"/>
      <c r="F138" s="66"/>
      <c r="G138" s="66"/>
      <c r="H138" s="66"/>
      <c r="I138" s="66"/>
    </row>
    <row r="139" spans="2:63" x14ac:dyDescent="0.2">
      <c r="B139" s="66"/>
      <c r="C139" s="66"/>
      <c r="D139" s="66"/>
      <c r="E139" s="66"/>
      <c r="F139" s="66"/>
      <c r="G139" s="66"/>
      <c r="H139" s="66"/>
      <c r="I139" s="66"/>
    </row>
    <row r="140" spans="2:63" x14ac:dyDescent="0.2">
      <c r="B140" s="66"/>
      <c r="C140" s="66"/>
      <c r="D140" s="66"/>
      <c r="E140" s="66"/>
      <c r="F140" s="66"/>
      <c r="G140" s="66"/>
      <c r="H140" s="66"/>
      <c r="I140" s="66"/>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zoomScale="40" zoomScaleNormal="40" workbookViewId="0">
      <selection activeCell="V27" sqref="V27:AA35"/>
    </sheetView>
  </sheetViews>
  <sheetFormatPr baseColWidth="10" defaultColWidth="11.5" defaultRowHeight="15" x14ac:dyDescent="0.2"/>
  <cols>
    <col min="2" max="18" width="5.6640625" customWidth="1"/>
    <col min="19" max="19" width="8.5" customWidth="1"/>
    <col min="20" max="23" width="5.6640625" customWidth="1"/>
    <col min="24" max="24" width="8.5" customWidth="1"/>
    <col min="25" max="26" width="5.6640625" customWidth="1"/>
    <col min="27" max="27" width="10.6640625" customWidth="1"/>
    <col min="28" max="28" width="5.6640625" customWidth="1"/>
    <col min="29" max="29" width="7.5" customWidth="1"/>
    <col min="30" max="33" width="5.6640625" customWidth="1"/>
    <col min="34" max="34" width="8.5" customWidth="1"/>
    <col min="35" max="39" width="5.6640625" customWidth="1"/>
    <col min="41" max="46" width="5.6640625" customWidth="1"/>
  </cols>
  <sheetData>
    <row r="1" spans="1:91" x14ac:dyDescent="0.2">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row>
    <row r="2" spans="1:91" ht="18" customHeight="1" x14ac:dyDescent="0.2">
      <c r="A2" s="66"/>
      <c r="B2" s="554" t="s">
        <v>329</v>
      </c>
      <c r="C2" s="555"/>
      <c r="D2" s="555"/>
      <c r="E2" s="555"/>
      <c r="F2" s="555"/>
      <c r="G2" s="555"/>
      <c r="H2" s="555"/>
      <c r="I2" s="555"/>
      <c r="J2" s="476" t="s">
        <v>15</v>
      </c>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row>
    <row r="3" spans="1:91" ht="18.75" customHeight="1" x14ac:dyDescent="0.2">
      <c r="A3" s="66"/>
      <c r="B3" s="555"/>
      <c r="C3" s="555"/>
      <c r="D3" s="555"/>
      <c r="E3" s="555"/>
      <c r="F3" s="555"/>
      <c r="G3" s="555"/>
      <c r="H3" s="555"/>
      <c r="I3" s="555"/>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6"/>
      <c r="AJ3" s="476"/>
      <c r="AK3" s="476"/>
      <c r="AL3" s="476"/>
      <c r="AM3" s="47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row>
    <row r="4" spans="1:91" ht="15" customHeight="1" x14ac:dyDescent="0.2">
      <c r="A4" s="66"/>
      <c r="B4" s="555"/>
      <c r="C4" s="555"/>
      <c r="D4" s="555"/>
      <c r="E4" s="555"/>
      <c r="F4" s="555"/>
      <c r="G4" s="555"/>
      <c r="H4" s="555"/>
      <c r="I4" s="555"/>
      <c r="J4" s="476"/>
      <c r="K4" s="476"/>
      <c r="L4" s="476"/>
      <c r="M4" s="476"/>
      <c r="N4" s="476"/>
      <c r="O4" s="476"/>
      <c r="P4" s="476"/>
      <c r="Q4" s="476"/>
      <c r="R4" s="476"/>
      <c r="S4" s="476"/>
      <c r="T4" s="476"/>
      <c r="U4" s="476"/>
      <c r="V4" s="476"/>
      <c r="W4" s="476"/>
      <c r="X4" s="476"/>
      <c r="Y4" s="476"/>
      <c r="Z4" s="476"/>
      <c r="AA4" s="476"/>
      <c r="AB4" s="476"/>
      <c r="AC4" s="476"/>
      <c r="AD4" s="476"/>
      <c r="AE4" s="476"/>
      <c r="AF4" s="476"/>
      <c r="AG4" s="476"/>
      <c r="AH4" s="476"/>
      <c r="AI4" s="476"/>
      <c r="AJ4" s="476"/>
      <c r="AK4" s="476"/>
      <c r="AL4" s="476"/>
      <c r="AM4" s="47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row>
    <row r="5" spans="1:91" ht="16" thickBot="1" x14ac:dyDescent="0.25">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row>
    <row r="6" spans="1:91" ht="15" customHeight="1" x14ac:dyDescent="0.2">
      <c r="A6" s="66"/>
      <c r="B6" s="487" t="s">
        <v>314</v>
      </c>
      <c r="C6" s="487"/>
      <c r="D6" s="488"/>
      <c r="E6" s="525" t="s">
        <v>315</v>
      </c>
      <c r="F6" s="526"/>
      <c r="G6" s="526"/>
      <c r="H6" s="526"/>
      <c r="I6" s="527"/>
      <c r="J6" s="29" t="str">
        <f>IF(AND('Riesgos de Gestión'!$AF$13="Muy Alta",'Riesgos de Gestión'!$AH$13="Leve"),CONCATENATE("R1C",'Riesgos de Gestión'!$V$13),"")</f>
        <v/>
      </c>
      <c r="K6" s="30" t="str">
        <f>IF(AND('Riesgos de Gestión'!$AF$14="Muy Alta",'Riesgos de Gestión'!$AH$14="Leve"),CONCATENATE("R1C",'Riesgos de Gestión'!$V$14),"")</f>
        <v/>
      </c>
      <c r="L6" s="30" t="str">
        <f>IF(AND('Riesgos de Gestión'!$AF$15="Muy Alta",'Riesgos de Gestión'!$AH$15="Leve"),CONCATENATE("R1C",'Riesgos de Gestión'!$V$15),"")</f>
        <v/>
      </c>
      <c r="M6" s="30" t="str">
        <f>IF(AND('Riesgos de Gestión'!$AF$16="Muy Alta",'Riesgos de Gestión'!$AH$16="Leve"),CONCATENATE("R1C",'Riesgos de Gestión'!$V$16),"")</f>
        <v/>
      </c>
      <c r="N6" s="30" t="str">
        <f>IF(AND('Riesgos de Gestión'!$AF$17="Muy Alta",'Riesgos de Gestión'!$AH$17="Leve"),CONCATENATE("R1C",'Riesgos de Gestión'!$V$17),"")</f>
        <v/>
      </c>
      <c r="O6" s="31" t="str">
        <f>IF(AND('Riesgos de Gestión'!$AF$18="Muy Alta",'Riesgos de Gestión'!$AH$18="Leve"),CONCATENATE("R1C",'Riesgos de Gestión'!$V$18),"")</f>
        <v/>
      </c>
      <c r="P6" s="29" t="str">
        <f>IF(AND('Riesgos de Gestión'!$AF$13="Muy Alta",'Riesgos de Gestión'!$AH$13="Menor"),CONCATENATE("R1C",'Riesgos de Gestión'!$V$13),"")</f>
        <v/>
      </c>
      <c r="Q6" s="30" t="str">
        <f>IF(AND('Riesgos de Gestión'!$AF$14="Muy Alta",'Riesgos de Gestión'!$AH$14="Menor"),CONCATENATE("R1C",'Riesgos de Gestión'!$V$14),"")</f>
        <v/>
      </c>
      <c r="R6" s="30" t="str">
        <f>IF(AND('Riesgos de Gestión'!$AF$15="Muy Alta",'Riesgos de Gestión'!$AH$15="Menor"),CONCATENATE("R1C",'Riesgos de Gestión'!$V$15),"")</f>
        <v/>
      </c>
      <c r="S6" s="30" t="str">
        <f>IF(AND('Riesgos de Gestión'!$AF$16="Muy Alta",'Riesgos de Gestión'!$AH$16="Menor"),CONCATENATE("R1C",'Riesgos de Gestión'!$V$16),"")</f>
        <v/>
      </c>
      <c r="T6" s="30" t="str">
        <f>IF(AND('Riesgos de Gestión'!$AF$17="Muy Alta",'Riesgos de Gestión'!$AH$17="Menor"),CONCATENATE("R1C",'Riesgos de Gestión'!$V$17),"")</f>
        <v/>
      </c>
      <c r="U6" s="31" t="str">
        <f>IF(AND('Riesgos de Gestión'!$AF$18="Muy Alta",'Riesgos de Gestión'!$AH$18="Menor"),CONCATENATE("R1C",'Riesgos de Gestión'!$V$18),"")</f>
        <v/>
      </c>
      <c r="V6" s="29" t="str">
        <f>IF(AND('Riesgos de Gestión'!$AF$13="Muy Alta",'Riesgos de Gestión'!$AH$13="Moderado"),CONCATENATE("R1C",'Riesgos de Gestión'!$V$13),"")</f>
        <v/>
      </c>
      <c r="W6" s="30" t="str">
        <f>IF(AND('Riesgos de Gestión'!$AF$14="Muy Alta",'Riesgos de Gestión'!$AH$14="Moderado"),CONCATENATE("R1C",'Riesgos de Gestión'!$V$14),"")</f>
        <v/>
      </c>
      <c r="X6" s="30" t="str">
        <f>IF(AND('Riesgos de Gestión'!$AF$15="Muy Alta",'Riesgos de Gestión'!$AH$15="Moderado"),CONCATENATE("R1C",'Riesgos de Gestión'!$V$15),"")</f>
        <v/>
      </c>
      <c r="Y6" s="30" t="str">
        <f>IF(AND('Riesgos de Gestión'!$AF$16="Muy Alta",'Riesgos de Gestión'!$AH$16="Moderado"),CONCATENATE("R1C",'Riesgos de Gestión'!$V$16),"")</f>
        <v/>
      </c>
      <c r="Z6" s="30" t="str">
        <f>IF(AND('Riesgos de Gestión'!$AF$17="Muy Alta",'Riesgos de Gestión'!$AH$17="Moderado"),CONCATENATE("R1C",'Riesgos de Gestión'!$V$17),"")</f>
        <v/>
      </c>
      <c r="AA6" s="31" t="str">
        <f>IF(AND('Riesgos de Gestión'!$AF$18="Muy Alta",'Riesgos de Gestión'!$AH$18="Moderado"),CONCATENATE("R1C",'Riesgos de Gestión'!$V$18),"")</f>
        <v/>
      </c>
      <c r="AB6" s="29" t="str">
        <f>IF(AND('Riesgos de Gestión'!$AF$13="Muy Alta",'Riesgos de Gestión'!$AH$13="Mayor"),CONCATENATE("R1C",'Riesgos de Gestión'!$V$13),"")</f>
        <v/>
      </c>
      <c r="AC6" s="30" t="str">
        <f>IF(AND('Riesgos de Gestión'!$AF$14="Muy Alta",'Riesgos de Gestión'!$AH$14="Mayor"),CONCATENATE("R1C",'Riesgos de Gestión'!$V$14),"")</f>
        <v/>
      </c>
      <c r="AD6" s="30" t="str">
        <f>IF(AND('Riesgos de Gestión'!$AF$15="Muy Alta",'Riesgos de Gestión'!$AH$15="Mayor"),CONCATENATE("R1C",'Riesgos de Gestión'!$V$15),"")</f>
        <v/>
      </c>
      <c r="AE6" s="30" t="str">
        <f>IF(AND('Riesgos de Gestión'!$AF$16="Muy Alta",'Riesgos de Gestión'!$AH$16="Mayor"),CONCATENATE("R1C",'Riesgos de Gestión'!$V$16),"")</f>
        <v/>
      </c>
      <c r="AF6" s="30" t="str">
        <f>IF(AND('Riesgos de Gestión'!$AF$17="Muy Alta",'Riesgos de Gestión'!$AH$17="Mayor"),CONCATENATE("R1C",'Riesgos de Gestión'!$V$17),"")</f>
        <v/>
      </c>
      <c r="AG6" s="31" t="str">
        <f>IF(AND('Riesgos de Gestión'!$AF$18="Muy Alta",'Riesgos de Gestión'!$AH$18="Mayor"),CONCATENATE("R1C",'Riesgos de Gestión'!$V$18),"")</f>
        <v/>
      </c>
      <c r="AH6" s="32" t="str">
        <f>IF(AND('Riesgos de Gestión'!$AF$13="Muy Alta",'Riesgos de Gestión'!$AH$13="Catastrófico"),CONCATENATE("R1C",'Riesgos de Gestión'!$V$13),"")</f>
        <v/>
      </c>
      <c r="AI6" s="33" t="str">
        <f>IF(AND('Riesgos de Gestión'!$AF$14="Muy Alta",'Riesgos de Gestión'!$AH$14="Catastrófico"),CONCATENATE("R1C",'Riesgos de Gestión'!$V$14),"")</f>
        <v/>
      </c>
      <c r="AJ6" s="33" t="str">
        <f>IF(AND('Riesgos de Gestión'!$AF$15="Muy Alta",'Riesgos de Gestión'!$AH$15="Catastrófico"),CONCATENATE("R1C",'Riesgos de Gestión'!$V$15),"")</f>
        <v/>
      </c>
      <c r="AK6" s="33" t="str">
        <f>IF(AND('Riesgos de Gestión'!$AF$16="Muy Alta",'Riesgos de Gestión'!$AH$16="Catastrófico"),CONCATENATE("R1C",'Riesgos de Gestión'!$V$16),"")</f>
        <v/>
      </c>
      <c r="AL6" s="33" t="str">
        <f>IF(AND('Riesgos de Gestión'!$AF$17="Muy Alta",'Riesgos de Gestión'!$AH$17="Catastrófico"),CONCATENATE("R1C",'Riesgos de Gestión'!$V$17),"")</f>
        <v/>
      </c>
      <c r="AM6" s="34" t="str">
        <f>IF(AND('Riesgos de Gestión'!$AF$18="Muy Alta",'Riesgos de Gestión'!$AH$18="Catastrófico"),CONCATENATE("R1C",'Riesgos de Gestión'!$V$18),"")</f>
        <v/>
      </c>
      <c r="AN6" s="66"/>
      <c r="AO6" s="545" t="s">
        <v>316</v>
      </c>
      <c r="AP6" s="546"/>
      <c r="AQ6" s="546"/>
      <c r="AR6" s="546"/>
      <c r="AS6" s="546"/>
      <c r="AT6" s="547"/>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row>
    <row r="7" spans="1:91" ht="15" customHeight="1" x14ac:dyDescent="0.2">
      <c r="A7" s="66"/>
      <c r="B7" s="487"/>
      <c r="C7" s="487"/>
      <c r="D7" s="488"/>
      <c r="E7" s="528"/>
      <c r="F7" s="529"/>
      <c r="G7" s="529"/>
      <c r="H7" s="529"/>
      <c r="I7" s="530"/>
      <c r="J7" s="35" t="str">
        <f>IF(AND('Riesgos de Gestión'!$AF$19="Muy Alta",'Riesgos de Gestión'!$AH$19="Leve"),CONCATENATE("R2C",'Riesgos de Gestión'!$V$19),"")</f>
        <v/>
      </c>
      <c r="K7" s="36" t="str">
        <f>IF(AND('Riesgos de Gestión'!$AF$20="Muy Alta",'Riesgos de Gestión'!$AH$20="Leve"),CONCATENATE("R2C",'Riesgos de Gestión'!$V$20),"")</f>
        <v/>
      </c>
      <c r="L7" s="36" t="str">
        <f>IF(AND('Riesgos de Gestión'!$AF$21="Muy Alta",'Riesgos de Gestión'!$AH$21="Leve"),CONCATENATE("R2C",'Riesgos de Gestión'!$V$21),"")</f>
        <v/>
      </c>
      <c r="M7" s="36" t="str">
        <f>IF(AND('Riesgos de Gestión'!$AF$22="Muy Alta",'Riesgos de Gestión'!$AH$22="Leve"),CONCATENATE("R2C",'Riesgos de Gestión'!$V$22),"")</f>
        <v/>
      </c>
      <c r="N7" s="36" t="str">
        <f>IF(AND('Riesgos de Gestión'!$AF$23="Muy Alta",'Riesgos de Gestión'!$AH$23="Leve"),CONCATENATE("R2C",'Riesgos de Gestión'!$V$23),"")</f>
        <v/>
      </c>
      <c r="O7" s="37" t="str">
        <f>IF(AND('Riesgos de Gestión'!$AF$24="Muy Alta",'Riesgos de Gestión'!$AH$24="Leve"),CONCATENATE("R2C",'Riesgos de Gestión'!$V$24),"")</f>
        <v/>
      </c>
      <c r="P7" s="35" t="str">
        <f>IF(AND('Riesgos de Gestión'!$AF$19="Muy Alta",'Riesgos de Gestión'!$AH$19="Menor"),CONCATENATE("R2C",'Riesgos de Gestión'!$V$19),"")</f>
        <v/>
      </c>
      <c r="Q7" s="36" t="str">
        <f>IF(AND('Riesgos de Gestión'!$AF$20="Muy Alta",'Riesgos de Gestión'!$AH$20="Menor"),CONCATENATE("R2C",'Riesgos de Gestión'!$V$20),"")</f>
        <v/>
      </c>
      <c r="R7" s="36" t="str">
        <f>IF(AND('Riesgos de Gestión'!$AF$21="Muy Alta",'Riesgos de Gestión'!$AH$21="Menor"),CONCATENATE("R2C",'Riesgos de Gestión'!$V$21),"")</f>
        <v/>
      </c>
      <c r="S7" s="36" t="str">
        <f>IF(AND('Riesgos de Gestión'!$AF$22="Muy Alta",'Riesgos de Gestión'!$AH$22="Menor"),CONCATENATE("R2C",'Riesgos de Gestión'!$V$22),"")</f>
        <v/>
      </c>
      <c r="T7" s="36" t="str">
        <f>IF(AND('Riesgos de Gestión'!$AF$23="Muy Alta",'Riesgos de Gestión'!$AH$23="Menor"),CONCATENATE("R2C",'Riesgos de Gestión'!$V$23),"")</f>
        <v/>
      </c>
      <c r="U7" s="37" t="str">
        <f>IF(AND('Riesgos de Gestión'!$AF$24="Muy Alta",'Riesgos de Gestión'!$AH$24="Menor"),CONCATENATE("R2C",'Riesgos de Gestión'!$V$24),"")</f>
        <v/>
      </c>
      <c r="V7" s="35" t="str">
        <f>IF(AND('Riesgos de Gestión'!$AF$19="Muy Alta",'Riesgos de Gestión'!$AH$19="Moderado"),CONCATENATE("R2C",'Riesgos de Gestión'!$V$19),"")</f>
        <v/>
      </c>
      <c r="W7" s="36" t="str">
        <f>IF(AND('Riesgos de Gestión'!$AF$20="Muy Alta",'Riesgos de Gestión'!$AH$20="Moderado"),CONCATENATE("R2C",'Riesgos de Gestión'!$V$20),"")</f>
        <v/>
      </c>
      <c r="X7" s="36" t="str">
        <f>IF(AND('Riesgos de Gestión'!$AF$21="Muy Alta",'Riesgos de Gestión'!$AH$21="Moderado"),CONCATENATE("R2C",'Riesgos de Gestión'!$V$21),"")</f>
        <v/>
      </c>
      <c r="Y7" s="36" t="str">
        <f>IF(AND('Riesgos de Gestión'!$AF$22="Muy Alta",'Riesgos de Gestión'!$AH$22="Moderado"),CONCATENATE("R2C",'Riesgos de Gestión'!$V$22),"")</f>
        <v/>
      </c>
      <c r="Z7" s="36" t="str">
        <f>IF(AND('Riesgos de Gestión'!$AF$23="Muy Alta",'Riesgos de Gestión'!$AH$23="Moderado"),CONCATENATE("R2C",'Riesgos de Gestión'!$V$23),"")</f>
        <v/>
      </c>
      <c r="AA7" s="37" t="str">
        <f>IF(AND('Riesgos de Gestión'!$AF$24="Muy Alta",'Riesgos de Gestión'!$AH$24="Moderado"),CONCATENATE("R2C",'Riesgos de Gestión'!$V$24),"")</f>
        <v/>
      </c>
      <c r="AB7" s="35" t="str">
        <f>IF(AND('Riesgos de Gestión'!$AF$19="Muy Alta",'Riesgos de Gestión'!$AH$19="Mayor"),CONCATENATE("R2C",'Riesgos de Gestión'!$V$19),"")</f>
        <v/>
      </c>
      <c r="AC7" s="36" t="str">
        <f>IF(AND('Riesgos de Gestión'!$AF$20="Muy Alta",'Riesgos de Gestión'!$AH$20="Mayor"),CONCATENATE("R2C",'Riesgos de Gestión'!$V$20),"")</f>
        <v/>
      </c>
      <c r="AD7" s="36" t="str">
        <f>IF(AND('Riesgos de Gestión'!$AF$21="Muy Alta",'Riesgos de Gestión'!$AH$21="Mayor"),CONCATENATE("R2C",'Riesgos de Gestión'!$V$21),"")</f>
        <v/>
      </c>
      <c r="AE7" s="36" t="str">
        <f>IF(AND('Riesgos de Gestión'!$AF$22="Muy Alta",'Riesgos de Gestión'!$AH$22="Mayor"),CONCATENATE("R2C",'Riesgos de Gestión'!$V$22),"")</f>
        <v/>
      </c>
      <c r="AF7" s="36" t="str">
        <f>IF(AND('Riesgos de Gestión'!$AF$23="Muy Alta",'Riesgos de Gestión'!$AH$23="Mayor"),CONCATENATE("R2C",'Riesgos de Gestión'!$V$23),"")</f>
        <v/>
      </c>
      <c r="AG7" s="37" t="str">
        <f>IF(AND('Riesgos de Gestión'!$AF$24="Muy Alta",'Riesgos de Gestión'!$AH$24="Mayor"),CONCATENATE("R2C",'Riesgos de Gestión'!$V$24),"")</f>
        <v/>
      </c>
      <c r="AH7" s="38" t="str">
        <f>IF(AND('Riesgos de Gestión'!$AF$19="Muy Alta",'Riesgos de Gestión'!$AH$19="Catastrófico"),CONCATENATE("R2C",'Riesgos de Gestión'!$V$19),"")</f>
        <v/>
      </c>
      <c r="AI7" s="39" t="str">
        <f>IF(AND('Riesgos de Gestión'!$AF$20="Muy Alta",'Riesgos de Gestión'!$AH$20="Catastrófico"),CONCATENATE("R2C",'Riesgos de Gestión'!$V$20),"")</f>
        <v/>
      </c>
      <c r="AJ7" s="39" t="str">
        <f>IF(AND('Riesgos de Gestión'!$AF$21="Muy Alta",'Riesgos de Gestión'!$AH$21="Catastrófico"),CONCATENATE("R2C",'Riesgos de Gestión'!$V$21),"")</f>
        <v/>
      </c>
      <c r="AK7" s="39" t="str">
        <f>IF(AND('Riesgos de Gestión'!$AF$22="Muy Alta",'Riesgos de Gestión'!$AH$22="Catastrófico"),CONCATENATE("R2C",'Riesgos de Gestión'!$V$22),"")</f>
        <v/>
      </c>
      <c r="AL7" s="39" t="str">
        <f>IF(AND('Riesgos de Gestión'!$AF$23="Muy Alta",'Riesgos de Gestión'!$AH$23="Catastrófico"),CONCATENATE("R2C",'Riesgos de Gestión'!$V$23),"")</f>
        <v/>
      </c>
      <c r="AM7" s="40" t="str">
        <f>IF(AND('Riesgos de Gestión'!$AF$24="Muy Alta",'Riesgos de Gestión'!$AH$24="Catastrófico"),CONCATENATE("R2C",'Riesgos de Gestión'!$V$24),"")</f>
        <v/>
      </c>
      <c r="AN7" s="66"/>
      <c r="AO7" s="548"/>
      <c r="AP7" s="549"/>
      <c r="AQ7" s="549"/>
      <c r="AR7" s="549"/>
      <c r="AS7" s="549"/>
      <c r="AT7" s="550"/>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row>
    <row r="8" spans="1:91" ht="15" customHeight="1" x14ac:dyDescent="0.2">
      <c r="A8" s="66"/>
      <c r="B8" s="487"/>
      <c r="C8" s="487"/>
      <c r="D8" s="488"/>
      <c r="E8" s="528"/>
      <c r="F8" s="529"/>
      <c r="G8" s="529"/>
      <c r="H8" s="529"/>
      <c r="I8" s="530"/>
      <c r="J8" s="35" t="str">
        <f>IF(AND('Riesgos de Gestión'!$AF$25="Muy Alta",'Riesgos de Gestión'!$AH$25="Leve"),CONCATENATE("R3C",'Riesgos de Gestión'!$V$25),"")</f>
        <v/>
      </c>
      <c r="K8" s="36" t="str">
        <f>IF(AND('Riesgos de Gestión'!$AF$26="Muy Alta",'Riesgos de Gestión'!$AH$26="Leve"),CONCATENATE("R3C",'Riesgos de Gestión'!$V$26),"")</f>
        <v/>
      </c>
      <c r="L8" s="36" t="str">
        <f>IF(AND('Riesgos de Gestión'!$AF$27="Muy Alta",'Riesgos de Gestión'!$AH$27="Leve"),CONCATENATE("R3C",'Riesgos de Gestión'!$V$27),"")</f>
        <v/>
      </c>
      <c r="M8" s="36" t="str">
        <f>IF(AND('Riesgos de Gestión'!$AF$28="Muy Alta",'Riesgos de Gestión'!$AH$28="Leve"),CONCATENATE("R3C",'Riesgos de Gestión'!$V$28),"")</f>
        <v/>
      </c>
      <c r="N8" s="36" t="str">
        <f>IF(AND('Riesgos de Gestión'!$AF$29="Muy Alta",'Riesgos de Gestión'!$AH$29="Leve"),CONCATENATE("R3C",'Riesgos de Gestión'!$V$29),"")</f>
        <v/>
      </c>
      <c r="O8" s="37" t="str">
        <f>IF(AND('Riesgos de Gestión'!$AF$30="Muy Alta",'Riesgos de Gestión'!$AH$30="Leve"),CONCATENATE("R3C",'Riesgos de Gestión'!$V$30),"")</f>
        <v/>
      </c>
      <c r="P8" s="35" t="str">
        <f>IF(AND('Riesgos de Gestión'!$AF$25="Muy Alta",'Riesgos de Gestión'!$AH$25="Menor"),CONCATENATE("R3C",'Riesgos de Gestión'!$V$25),"")</f>
        <v/>
      </c>
      <c r="Q8" s="36" t="str">
        <f>IF(AND('Riesgos de Gestión'!$AF$26="Muy Alta",'Riesgos de Gestión'!$AH$26="Menor"),CONCATENATE("R3C",'Riesgos de Gestión'!$V$26),"")</f>
        <v/>
      </c>
      <c r="R8" s="36" t="str">
        <f>IF(AND('Riesgos de Gestión'!$AF$27="Muy Alta",'Riesgos de Gestión'!$AH$27="Menor"),CONCATENATE("R3C",'Riesgos de Gestión'!$V$27),"")</f>
        <v/>
      </c>
      <c r="S8" s="36" t="str">
        <f>IF(AND('Riesgos de Gestión'!$AF$28="Muy Alta",'Riesgos de Gestión'!$AH$28="Menor"),CONCATENATE("R3C",'Riesgos de Gestión'!$V$28),"")</f>
        <v/>
      </c>
      <c r="T8" s="36" t="str">
        <f>IF(AND('Riesgos de Gestión'!$AF$29="Muy Alta",'Riesgos de Gestión'!$AH$29="Menor"),CONCATENATE("R3C",'Riesgos de Gestión'!$V$29),"")</f>
        <v/>
      </c>
      <c r="U8" s="37" t="str">
        <f>IF(AND('Riesgos de Gestión'!$AF$30="Muy Alta",'Riesgos de Gestión'!$AH$30="Menor"),CONCATENATE("R3C",'Riesgos de Gestión'!$V$30),"")</f>
        <v/>
      </c>
      <c r="V8" s="35" t="str">
        <f>IF(AND('Riesgos de Gestión'!$AF$25="Muy Alta",'Riesgos de Gestión'!$AH$25="Moderado"),CONCATENATE("R3C",'Riesgos de Gestión'!$V$25),"")</f>
        <v/>
      </c>
      <c r="W8" s="36" t="str">
        <f>IF(AND('Riesgos de Gestión'!$AF$26="Muy Alta",'Riesgos de Gestión'!$AH$26="Moderado"),CONCATENATE("R3C",'Riesgos de Gestión'!$V$26),"")</f>
        <v/>
      </c>
      <c r="X8" s="36" t="str">
        <f>IF(AND('Riesgos de Gestión'!$AF$27="Muy Alta",'Riesgos de Gestión'!$AH$27="Moderado"),CONCATENATE("R3C",'Riesgos de Gestión'!$V$27),"")</f>
        <v/>
      </c>
      <c r="Y8" s="36" t="str">
        <f>IF(AND('Riesgos de Gestión'!$AF$28="Muy Alta",'Riesgos de Gestión'!$AH$28="Moderado"),CONCATENATE("R3C",'Riesgos de Gestión'!$V$28),"")</f>
        <v/>
      </c>
      <c r="Z8" s="36" t="str">
        <f>IF(AND('Riesgos de Gestión'!$AF$29="Muy Alta",'Riesgos de Gestión'!$AH$29="Moderado"),CONCATENATE("R3C",'Riesgos de Gestión'!$V$29),"")</f>
        <v/>
      </c>
      <c r="AA8" s="37" t="str">
        <f>IF(AND('Riesgos de Gestión'!$AF$30="Muy Alta",'Riesgos de Gestión'!$AH$30="Moderado"),CONCATENATE("R3C",'Riesgos de Gestión'!$V$30),"")</f>
        <v/>
      </c>
      <c r="AB8" s="35" t="str">
        <f>IF(AND('Riesgos de Gestión'!$AF$25="Muy Alta",'Riesgos de Gestión'!$AH$25="Mayor"),CONCATENATE("R3C",'Riesgos de Gestión'!$V$25),"")</f>
        <v/>
      </c>
      <c r="AC8" s="36" t="str">
        <f>IF(AND('Riesgos de Gestión'!$AF$26="Muy Alta",'Riesgos de Gestión'!$AH$26="Mayor"),CONCATENATE("R3C",'Riesgos de Gestión'!$V$26),"")</f>
        <v/>
      </c>
      <c r="AD8" s="36" t="str">
        <f>IF(AND('Riesgos de Gestión'!$AF$27="Muy Alta",'Riesgos de Gestión'!$AH$27="Mayor"),CONCATENATE("R3C",'Riesgos de Gestión'!$V$27),"")</f>
        <v/>
      </c>
      <c r="AE8" s="36" t="str">
        <f>IF(AND('Riesgos de Gestión'!$AF$28="Muy Alta",'Riesgos de Gestión'!$AH$28="Mayor"),CONCATENATE("R3C",'Riesgos de Gestión'!$V$28),"")</f>
        <v/>
      </c>
      <c r="AF8" s="36" t="str">
        <f>IF(AND('Riesgos de Gestión'!$AF$29="Muy Alta",'Riesgos de Gestión'!$AH$29="Mayor"),CONCATENATE("R3C",'Riesgos de Gestión'!$V$29),"")</f>
        <v/>
      </c>
      <c r="AG8" s="37" t="str">
        <f>IF(AND('Riesgos de Gestión'!$AF$30="Muy Alta",'Riesgos de Gestión'!$AH$30="Mayor"),CONCATENATE("R3C",'Riesgos de Gestión'!$V$30),"")</f>
        <v/>
      </c>
      <c r="AH8" s="38" t="str">
        <f>IF(AND('Riesgos de Gestión'!$AF$25="Muy Alta",'Riesgos de Gestión'!$AH$25="Catastrófico"),CONCATENATE("R3C",'Riesgos de Gestión'!$V$25),"")</f>
        <v/>
      </c>
      <c r="AI8" s="39" t="str">
        <f>IF(AND('Riesgos de Gestión'!$AF$26="Muy Alta",'Riesgos de Gestión'!$AH$26="Catastrófico"),CONCATENATE("R3C",'Riesgos de Gestión'!$V$26),"")</f>
        <v/>
      </c>
      <c r="AJ8" s="39" t="str">
        <f>IF(AND('Riesgos de Gestión'!$AF$27="Muy Alta",'Riesgos de Gestión'!$AH$27="Catastrófico"),CONCATENATE("R3C",'Riesgos de Gestión'!$V$27),"")</f>
        <v/>
      </c>
      <c r="AK8" s="39" t="str">
        <f>IF(AND('Riesgos de Gestión'!$AF$28="Muy Alta",'Riesgos de Gestión'!$AH$28="Catastrófico"),CONCATENATE("R3C",'Riesgos de Gestión'!$V$28),"")</f>
        <v/>
      </c>
      <c r="AL8" s="39" t="str">
        <f>IF(AND('Riesgos de Gestión'!$AF$29="Muy Alta",'Riesgos de Gestión'!$AH$29="Catastrófico"),CONCATENATE("R3C",'Riesgos de Gestión'!$V$29),"")</f>
        <v/>
      </c>
      <c r="AM8" s="40" t="str">
        <f>IF(AND('Riesgos de Gestión'!$AF$30="Muy Alta",'Riesgos de Gestión'!$AH$30="Catastrófico"),CONCATENATE("R3C",'Riesgos de Gestión'!$V$30),"")</f>
        <v/>
      </c>
      <c r="AN8" s="66"/>
      <c r="AO8" s="548"/>
      <c r="AP8" s="549"/>
      <c r="AQ8" s="549"/>
      <c r="AR8" s="549"/>
      <c r="AS8" s="549"/>
      <c r="AT8" s="550"/>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row>
    <row r="9" spans="1:91" ht="15" customHeight="1" x14ac:dyDescent="0.2">
      <c r="A9" s="66"/>
      <c r="B9" s="487"/>
      <c r="C9" s="487"/>
      <c r="D9" s="488"/>
      <c r="E9" s="528"/>
      <c r="F9" s="529"/>
      <c r="G9" s="529"/>
      <c r="H9" s="529"/>
      <c r="I9" s="530"/>
      <c r="J9" s="35" t="str">
        <f>IF(AND('Riesgos de Gestión'!$AF$31="Muy Alta",'Riesgos de Gestión'!$AH$31="Leve"),CONCATENATE("R4C",'Riesgos de Gestión'!$V$31),"")</f>
        <v/>
      </c>
      <c r="K9" s="36" t="str">
        <f>IF(AND('Riesgos de Gestión'!$AF$32="Muy Alta",'Riesgos de Gestión'!$AH$32="Leve"),CONCATENATE("R4C",'Riesgos de Gestión'!$V$32),"")</f>
        <v/>
      </c>
      <c r="L9" s="36" t="str">
        <f>IF(AND('Riesgos de Gestión'!$AF$33="Muy Alta",'Riesgos de Gestión'!$AH$33="Leve"),CONCATENATE("R4C",'Riesgos de Gestión'!$V$33),"")</f>
        <v/>
      </c>
      <c r="M9" s="36" t="str">
        <f>IF(AND('Riesgos de Gestión'!$AF$34="Muy Alta",'Riesgos de Gestión'!$AH$34="Leve"),CONCATENATE("R4C",'Riesgos de Gestión'!$V$34),"")</f>
        <v/>
      </c>
      <c r="N9" s="36" t="str">
        <f>IF(AND('Riesgos de Gestión'!$AF$35="Muy Alta",'Riesgos de Gestión'!$AH$35="Leve"),CONCATENATE("R4C",'Riesgos de Gestión'!$V$35),"")</f>
        <v/>
      </c>
      <c r="O9" s="37" t="str">
        <f>IF(AND('Riesgos de Gestión'!$AF$36="Muy Alta",'Riesgos de Gestión'!$AH$36="Leve"),CONCATENATE("R4C",'Riesgos de Gestión'!$V$36),"")</f>
        <v/>
      </c>
      <c r="P9" s="35" t="str">
        <f>IF(AND('Riesgos de Gestión'!$AF$31="Muy Alta",'Riesgos de Gestión'!$AH$31="Menor"),CONCATENATE("R4C",'Riesgos de Gestión'!$V$31),"")</f>
        <v/>
      </c>
      <c r="Q9" s="36" t="str">
        <f>IF(AND('Riesgos de Gestión'!$AF$32="Muy Alta",'Riesgos de Gestión'!$AH$32="Menor"),CONCATENATE("R4C",'Riesgos de Gestión'!$V$32),"")</f>
        <v/>
      </c>
      <c r="R9" s="36" t="str">
        <f>IF(AND('Riesgos de Gestión'!$AF$33="Muy Alta",'Riesgos de Gestión'!$AH$33="Menor"),CONCATENATE("R4C",'Riesgos de Gestión'!$V$33),"")</f>
        <v/>
      </c>
      <c r="S9" s="36" t="str">
        <f>IF(AND('Riesgos de Gestión'!$AF$34="Muy Alta",'Riesgos de Gestión'!$AH$34="Menor"),CONCATENATE("R4C",'Riesgos de Gestión'!$V$34),"")</f>
        <v/>
      </c>
      <c r="T9" s="36" t="str">
        <f>IF(AND('Riesgos de Gestión'!$AF$35="Muy Alta",'Riesgos de Gestión'!$AH$35="Menor"),CONCATENATE("R4C",'Riesgos de Gestión'!$V$35),"")</f>
        <v/>
      </c>
      <c r="U9" s="37" t="str">
        <f>IF(AND('Riesgos de Gestión'!$AF$36="Muy Alta",'Riesgos de Gestión'!$AH$36="Menor"),CONCATENATE("R4C",'Riesgos de Gestión'!$V$36),"")</f>
        <v/>
      </c>
      <c r="V9" s="35" t="str">
        <f>IF(AND('Riesgos de Gestión'!$AF$31="Muy Alta",'Riesgos de Gestión'!$AH$31="Moderado"),CONCATENATE("R4C",'Riesgos de Gestión'!$V$31),"")</f>
        <v/>
      </c>
      <c r="W9" s="36" t="str">
        <f>IF(AND('Riesgos de Gestión'!$AF$32="Muy Alta",'Riesgos de Gestión'!$AH$32="Moderado"),CONCATENATE("R4C",'Riesgos de Gestión'!$V$32),"")</f>
        <v/>
      </c>
      <c r="X9" s="36" t="str">
        <f>IF(AND('Riesgos de Gestión'!$AF$33="Muy Alta",'Riesgos de Gestión'!$AH$33="Moderado"),CONCATENATE("R4C",'Riesgos de Gestión'!$V$33),"")</f>
        <v/>
      </c>
      <c r="Y9" s="36" t="str">
        <f>IF(AND('Riesgos de Gestión'!$AF$34="Muy Alta",'Riesgos de Gestión'!$AH$34="Moderado"),CONCATENATE("R4C",'Riesgos de Gestión'!$V$34),"")</f>
        <v/>
      </c>
      <c r="Z9" s="36" t="str">
        <f>IF(AND('Riesgos de Gestión'!$AF$35="Muy Alta",'Riesgos de Gestión'!$AH$35="Moderado"),CONCATENATE("R4C",'Riesgos de Gestión'!$V$35),"")</f>
        <v/>
      </c>
      <c r="AA9" s="37" t="str">
        <f>IF(AND('Riesgos de Gestión'!$AF$36="Muy Alta",'Riesgos de Gestión'!$AH$36="Moderado"),CONCATENATE("R4C",'Riesgos de Gestión'!$V$36),"")</f>
        <v/>
      </c>
      <c r="AB9" s="35" t="str">
        <f>IF(AND('Riesgos de Gestión'!$AF$31="Muy Alta",'Riesgos de Gestión'!$AH$31="Mayor"),CONCATENATE("R4C",'Riesgos de Gestión'!$V$31),"")</f>
        <v/>
      </c>
      <c r="AC9" s="36" t="str">
        <f>IF(AND('Riesgos de Gestión'!$AF$32="Muy Alta",'Riesgos de Gestión'!$AH$32="Mayor"),CONCATENATE("R4C",'Riesgos de Gestión'!$V$32),"")</f>
        <v/>
      </c>
      <c r="AD9" s="36" t="str">
        <f>IF(AND('Riesgos de Gestión'!$AF$33="Muy Alta",'Riesgos de Gestión'!$AH$33="Mayor"),CONCATENATE("R4C",'Riesgos de Gestión'!$V$33),"")</f>
        <v/>
      </c>
      <c r="AE9" s="36" t="str">
        <f>IF(AND('Riesgos de Gestión'!$AF$34="Muy Alta",'Riesgos de Gestión'!$AH$34="Mayor"),CONCATENATE("R4C",'Riesgos de Gestión'!$V$34),"")</f>
        <v/>
      </c>
      <c r="AF9" s="36" t="str">
        <f>IF(AND('Riesgos de Gestión'!$AF$35="Muy Alta",'Riesgos de Gestión'!$AH$35="Mayor"),CONCATENATE("R4C",'Riesgos de Gestión'!$V$35),"")</f>
        <v/>
      </c>
      <c r="AG9" s="37" t="str">
        <f>IF(AND('Riesgos de Gestión'!$AF$36="Muy Alta",'Riesgos de Gestión'!$AH$36="Mayor"),CONCATENATE("R4C",'Riesgos de Gestión'!$V$36),"")</f>
        <v/>
      </c>
      <c r="AH9" s="38" t="str">
        <f>IF(AND('Riesgos de Gestión'!$AF$31="Muy Alta",'Riesgos de Gestión'!$AH$31="Catastrófico"),CONCATENATE("R4C",'Riesgos de Gestión'!$V$31),"")</f>
        <v/>
      </c>
      <c r="AI9" s="39" t="str">
        <f>IF(AND('Riesgos de Gestión'!$AF$32="Muy Alta",'Riesgos de Gestión'!$AH$32="Catastrófico"),CONCATENATE("R4C",'Riesgos de Gestión'!$V$32),"")</f>
        <v/>
      </c>
      <c r="AJ9" s="39" t="str">
        <f>IF(AND('Riesgos de Gestión'!$AF$33="Muy Alta",'Riesgos de Gestión'!$AH$33="Catastrófico"),CONCATENATE("R4C",'Riesgos de Gestión'!$V$33),"")</f>
        <v/>
      </c>
      <c r="AK9" s="39" t="str">
        <f>IF(AND('Riesgos de Gestión'!$AF$34="Muy Alta",'Riesgos de Gestión'!$AH$34="Catastrófico"),CONCATENATE("R4C",'Riesgos de Gestión'!$V$34),"")</f>
        <v/>
      </c>
      <c r="AL9" s="39" t="str">
        <f>IF(AND('Riesgos de Gestión'!$AF$35="Muy Alta",'Riesgos de Gestión'!$AH$35="Catastrófico"),CONCATENATE("R4C",'Riesgos de Gestión'!$V$35),"")</f>
        <v/>
      </c>
      <c r="AM9" s="40" t="str">
        <f>IF(AND('Riesgos de Gestión'!$AF$36="Muy Alta",'Riesgos de Gestión'!$AH$36="Catastrófico"),CONCATENATE("R4C",'Riesgos de Gestión'!$V$36),"")</f>
        <v/>
      </c>
      <c r="AN9" s="66"/>
      <c r="AO9" s="548"/>
      <c r="AP9" s="549"/>
      <c r="AQ9" s="549"/>
      <c r="AR9" s="549"/>
      <c r="AS9" s="549"/>
      <c r="AT9" s="550"/>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row>
    <row r="10" spans="1:91" ht="15" customHeight="1" x14ac:dyDescent="0.2">
      <c r="A10" s="66"/>
      <c r="B10" s="487"/>
      <c r="C10" s="487"/>
      <c r="D10" s="488"/>
      <c r="E10" s="528"/>
      <c r="F10" s="529"/>
      <c r="G10" s="529"/>
      <c r="H10" s="529"/>
      <c r="I10" s="530"/>
      <c r="J10" s="35" t="str">
        <f>IF(AND('Riesgos de Gestión'!$AF$37="Muy Alta",'Riesgos de Gestión'!$AH$37="Leve"),CONCATENATE("R5C",'Riesgos de Gestión'!$V$37),"")</f>
        <v/>
      </c>
      <c r="K10" s="36" t="str">
        <f>IF(AND('Riesgos de Gestión'!$AF$38="Muy Alta",'Riesgos de Gestión'!$AH$38="Leve"),CONCATENATE("R5C",'Riesgos de Gestión'!$V$38),"")</f>
        <v/>
      </c>
      <c r="L10" s="36" t="str">
        <f>IF(AND('Riesgos de Gestión'!$AF$39="Muy Alta",'Riesgos de Gestión'!$AH$39="Leve"),CONCATENATE("R5C",'Riesgos de Gestión'!$V$39),"")</f>
        <v/>
      </c>
      <c r="M10" s="36" t="str">
        <f>IF(AND('Riesgos de Gestión'!$AF$40="Muy Alta",'Riesgos de Gestión'!$AH$40="Leve"),CONCATENATE("R5C",'Riesgos de Gestión'!$V$40),"")</f>
        <v/>
      </c>
      <c r="N10" s="36" t="str">
        <f>IF(AND('Riesgos de Gestión'!$AF$41="Muy Alta",'Riesgos de Gestión'!$AH$41="Leve"),CONCATENATE("R5C",'Riesgos de Gestión'!$V$41),"")</f>
        <v/>
      </c>
      <c r="O10" s="37" t="str">
        <f>IF(AND('Riesgos de Gestión'!$AF$42="Muy Alta",'Riesgos de Gestión'!$AH$42="Leve"),CONCATENATE("R5C",'Riesgos de Gestión'!$V$42),"")</f>
        <v/>
      </c>
      <c r="P10" s="35" t="str">
        <f>IF(AND('Riesgos de Gestión'!$AF$37="Muy Alta",'Riesgos de Gestión'!$AH$37="Menor"),CONCATENATE("R5C",'Riesgos de Gestión'!$V$37),"")</f>
        <v/>
      </c>
      <c r="Q10" s="36" t="str">
        <f>IF(AND('Riesgos de Gestión'!$AF$38="Muy Alta",'Riesgos de Gestión'!$AH$38="Menor"),CONCATENATE("R5C",'Riesgos de Gestión'!$V$38),"")</f>
        <v/>
      </c>
      <c r="R10" s="36" t="str">
        <f>IF(AND('Riesgos de Gestión'!$AF$39="Muy Alta",'Riesgos de Gestión'!$AH$39="Menor"),CONCATENATE("R5C",'Riesgos de Gestión'!$V$39),"")</f>
        <v/>
      </c>
      <c r="S10" s="36" t="str">
        <f>IF(AND('Riesgos de Gestión'!$AF$40="Muy Alta",'Riesgos de Gestión'!$AH$40="Menor"),CONCATENATE("R5C",'Riesgos de Gestión'!$V$40),"")</f>
        <v/>
      </c>
      <c r="T10" s="36" t="str">
        <f>IF(AND('Riesgos de Gestión'!$AF$41="Muy Alta",'Riesgos de Gestión'!$AH$41="Menor"),CONCATENATE("R5C",'Riesgos de Gestión'!$V$41),"")</f>
        <v/>
      </c>
      <c r="U10" s="37" t="str">
        <f>IF(AND('Riesgos de Gestión'!$AF$42="Muy Alta",'Riesgos de Gestión'!$AH$42="Menor"),CONCATENATE("R5C",'Riesgos de Gestión'!$V$42),"")</f>
        <v/>
      </c>
      <c r="V10" s="35" t="str">
        <f>IF(AND('Riesgos de Gestión'!$AF$37="Muy Alta",'Riesgos de Gestión'!$AH$37="Moderado"),CONCATENATE("R5C",'Riesgos de Gestión'!$V$37),"")</f>
        <v/>
      </c>
      <c r="W10" s="36" t="str">
        <f>IF(AND('Riesgos de Gestión'!$AF$38="Muy Alta",'Riesgos de Gestión'!$AH$38="Moderado"),CONCATENATE("R5C",'Riesgos de Gestión'!$V$38),"")</f>
        <v/>
      </c>
      <c r="X10" s="36" t="str">
        <f>IF(AND('Riesgos de Gestión'!$AF$39="Muy Alta",'Riesgos de Gestión'!$AH$39="Moderado"),CONCATENATE("R5C",'Riesgos de Gestión'!$V$39),"")</f>
        <v/>
      </c>
      <c r="Y10" s="36" t="str">
        <f>IF(AND('Riesgos de Gestión'!$AF$40="Muy Alta",'Riesgos de Gestión'!$AH$40="Moderado"),CONCATENATE("R5C",'Riesgos de Gestión'!$V$40),"")</f>
        <v/>
      </c>
      <c r="Z10" s="36" t="str">
        <f>IF(AND('Riesgos de Gestión'!$AF$41="Muy Alta",'Riesgos de Gestión'!$AH$41="Moderado"),CONCATENATE("R5C",'Riesgos de Gestión'!$V$41),"")</f>
        <v/>
      </c>
      <c r="AA10" s="37" t="str">
        <f>IF(AND('Riesgos de Gestión'!$AF$42="Muy Alta",'Riesgos de Gestión'!$AH$42="Moderado"),CONCATENATE("R5C",'Riesgos de Gestión'!$V$42),"")</f>
        <v/>
      </c>
      <c r="AB10" s="35" t="str">
        <f>IF(AND('Riesgos de Gestión'!$AF$37="Muy Alta",'Riesgos de Gestión'!$AH$37="Mayor"),CONCATENATE("R5C",'Riesgos de Gestión'!$V$37),"")</f>
        <v/>
      </c>
      <c r="AC10" s="36" t="str">
        <f>IF(AND('Riesgos de Gestión'!$AF$38="Muy Alta",'Riesgos de Gestión'!$AH$38="Mayor"),CONCATENATE("R5C",'Riesgos de Gestión'!$V$38),"")</f>
        <v/>
      </c>
      <c r="AD10" s="36" t="str">
        <f>IF(AND('Riesgos de Gestión'!$AF$39="Muy Alta",'Riesgos de Gestión'!$AH$39="Mayor"),CONCATENATE("R5C",'Riesgos de Gestión'!$V$39),"")</f>
        <v/>
      </c>
      <c r="AE10" s="36" t="str">
        <f>IF(AND('Riesgos de Gestión'!$AF$40="Muy Alta",'Riesgos de Gestión'!$AH$40="Mayor"),CONCATENATE("R5C",'Riesgos de Gestión'!$V$40),"")</f>
        <v/>
      </c>
      <c r="AF10" s="36" t="str">
        <f>IF(AND('Riesgos de Gestión'!$AF$41="Muy Alta",'Riesgos de Gestión'!$AH$41="Mayor"),CONCATENATE("R5C",'Riesgos de Gestión'!$V$41),"")</f>
        <v/>
      </c>
      <c r="AG10" s="37" t="str">
        <f>IF(AND('Riesgos de Gestión'!$AF$42="Muy Alta",'Riesgos de Gestión'!$AH$42="Mayor"),CONCATENATE("R5C",'Riesgos de Gestión'!$V$42),"")</f>
        <v/>
      </c>
      <c r="AH10" s="38" t="str">
        <f>IF(AND('Riesgos de Gestión'!$AF$37="Muy Alta",'Riesgos de Gestión'!$AH$37="Catastrófico"),CONCATENATE("R5C",'Riesgos de Gestión'!$V$37),"")</f>
        <v/>
      </c>
      <c r="AI10" s="39" t="str">
        <f>IF(AND('Riesgos de Gestión'!$AF$38="Muy Alta",'Riesgos de Gestión'!$AH$38="Catastrófico"),CONCATENATE("R5C",'Riesgos de Gestión'!$V$38),"")</f>
        <v/>
      </c>
      <c r="AJ10" s="39" t="str">
        <f>IF(AND('Riesgos de Gestión'!$AF$39="Muy Alta",'Riesgos de Gestión'!$AH$39="Catastrófico"),CONCATENATE("R5C",'Riesgos de Gestión'!$V$39),"")</f>
        <v/>
      </c>
      <c r="AK10" s="39" t="str">
        <f>IF(AND('Riesgos de Gestión'!$AF$40="Muy Alta",'Riesgos de Gestión'!$AH$40="Catastrófico"),CONCATENATE("R5C",'Riesgos de Gestión'!$V$40),"")</f>
        <v/>
      </c>
      <c r="AL10" s="39" t="str">
        <f>IF(AND('Riesgos de Gestión'!$AF$41="Muy Alta",'Riesgos de Gestión'!$AH$41="Catastrófico"),CONCATENATE("R5C",'Riesgos de Gestión'!$V$41),"")</f>
        <v/>
      </c>
      <c r="AM10" s="40" t="str">
        <f>IF(AND('Riesgos de Gestión'!$AF$42="Muy Alta",'Riesgos de Gestión'!$AH$42="Catastrófico"),CONCATENATE("R5C",'Riesgos de Gestión'!$V$42),"")</f>
        <v/>
      </c>
      <c r="AN10" s="66"/>
      <c r="AO10" s="548"/>
      <c r="AP10" s="549"/>
      <c r="AQ10" s="549"/>
      <c r="AR10" s="549"/>
      <c r="AS10" s="549"/>
      <c r="AT10" s="550"/>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row>
    <row r="11" spans="1:91" ht="15" customHeight="1" x14ac:dyDescent="0.2">
      <c r="A11" s="66"/>
      <c r="B11" s="487"/>
      <c r="C11" s="487"/>
      <c r="D11" s="488"/>
      <c r="E11" s="528"/>
      <c r="F11" s="529"/>
      <c r="G11" s="529"/>
      <c r="H11" s="529"/>
      <c r="I11" s="530"/>
      <c r="J11" s="35" t="str">
        <f>IF(AND('Riesgos de Gestión'!$AF$43="Muy Alta",'Riesgos de Gestión'!$AH$43="Leve"),CONCATENATE("R6C",'Riesgos de Gestión'!$V$43),"")</f>
        <v/>
      </c>
      <c r="K11" s="36" t="str">
        <f>IF(AND('Riesgos de Gestión'!$AF$44="Muy Alta",'Riesgos de Gestión'!$AH$44="Leve"),CONCATENATE("R6C",'Riesgos de Gestión'!$V$44),"")</f>
        <v/>
      </c>
      <c r="L11" s="36" t="str">
        <f>IF(AND('Riesgos de Gestión'!$AF$45="Muy Alta",'Riesgos de Gestión'!$AH$45="Leve"),CONCATENATE("R6C",'Riesgos de Gestión'!$V$45),"")</f>
        <v/>
      </c>
      <c r="M11" s="36" t="str">
        <f>IF(AND('Riesgos de Gestión'!$AF$46="Muy Alta",'Riesgos de Gestión'!$AH$46="Leve"),CONCATENATE("R6C",'Riesgos de Gestión'!$V$46),"")</f>
        <v/>
      </c>
      <c r="N11" s="36" t="str">
        <f>IF(AND('Riesgos de Gestión'!$AF$47="Muy Alta",'Riesgos de Gestión'!$AH$47="Leve"),CONCATENATE("R6C",'Riesgos de Gestión'!$V$47),"")</f>
        <v/>
      </c>
      <c r="O11" s="37" t="str">
        <f>IF(AND('Riesgos de Gestión'!$AF$48="Muy Alta",'Riesgos de Gestión'!$AH$48="Leve"),CONCATENATE("R6C",'Riesgos de Gestión'!$V$48),"")</f>
        <v/>
      </c>
      <c r="P11" s="35" t="str">
        <f>IF(AND('Riesgos de Gestión'!$AF$43="Muy Alta",'Riesgos de Gestión'!$AH$43="Menor"),CONCATENATE("R6C",'Riesgos de Gestión'!$V$43),"")</f>
        <v/>
      </c>
      <c r="Q11" s="36" t="str">
        <f>IF(AND('Riesgos de Gestión'!$AF$44="Muy Alta",'Riesgos de Gestión'!$AH$44="Menor"),CONCATENATE("R6C",'Riesgos de Gestión'!$V$44),"")</f>
        <v/>
      </c>
      <c r="R11" s="36" t="str">
        <f>IF(AND('Riesgos de Gestión'!$AF$45="Muy Alta",'Riesgos de Gestión'!$AH$45="Menor"),CONCATENATE("R6C",'Riesgos de Gestión'!$V$45),"")</f>
        <v/>
      </c>
      <c r="S11" s="36" t="str">
        <f>IF(AND('Riesgos de Gestión'!$AF$46="Muy Alta",'Riesgos de Gestión'!$AH$46="Menor"),CONCATENATE("R6C",'Riesgos de Gestión'!$V$46),"")</f>
        <v/>
      </c>
      <c r="T11" s="36" t="str">
        <f>IF(AND('Riesgos de Gestión'!$AF$47="Muy Alta",'Riesgos de Gestión'!$AH$47="Menor"),CONCATENATE("R6C",'Riesgos de Gestión'!$V$47),"")</f>
        <v/>
      </c>
      <c r="U11" s="37" t="str">
        <f>IF(AND('Riesgos de Gestión'!$AF$48="Muy Alta",'Riesgos de Gestión'!$AH$48="Menor"),CONCATENATE("R6C",'Riesgos de Gestión'!$V$48),"")</f>
        <v/>
      </c>
      <c r="V11" s="35" t="str">
        <f>IF(AND('Riesgos de Gestión'!$AF$43="Muy Alta",'Riesgos de Gestión'!$AH$43="Moderado"),CONCATENATE("R6C",'Riesgos de Gestión'!$V$43),"")</f>
        <v/>
      </c>
      <c r="W11" s="36" t="str">
        <f>IF(AND('Riesgos de Gestión'!$AF$44="Muy Alta",'Riesgos de Gestión'!$AH$44="Moderado"),CONCATENATE("R6C",'Riesgos de Gestión'!$V$44),"")</f>
        <v/>
      </c>
      <c r="X11" s="36" t="str">
        <f>IF(AND('Riesgos de Gestión'!$AF$45="Muy Alta",'Riesgos de Gestión'!$AH$45="Moderado"),CONCATENATE("R6C",'Riesgos de Gestión'!$V$45),"")</f>
        <v/>
      </c>
      <c r="Y11" s="36" t="str">
        <f>IF(AND('Riesgos de Gestión'!$AF$46="Muy Alta",'Riesgos de Gestión'!$AH$46="Moderado"),CONCATENATE("R6C",'Riesgos de Gestión'!$V$46),"")</f>
        <v/>
      </c>
      <c r="Z11" s="36" t="str">
        <f>IF(AND('Riesgos de Gestión'!$AF$47="Muy Alta",'Riesgos de Gestión'!$AH$47="Moderado"),CONCATENATE("R6C",'Riesgos de Gestión'!$V$47),"")</f>
        <v/>
      </c>
      <c r="AA11" s="37" t="str">
        <f>IF(AND('Riesgos de Gestión'!$AF$48="Muy Alta",'Riesgos de Gestión'!$AH$48="Moderado"),CONCATENATE("R6C",'Riesgos de Gestión'!$V$48),"")</f>
        <v/>
      </c>
      <c r="AB11" s="35" t="str">
        <f>IF(AND('Riesgos de Gestión'!$AF$43="Muy Alta",'Riesgos de Gestión'!$AH$43="Mayor"),CONCATENATE("R6C",'Riesgos de Gestión'!$V$43),"")</f>
        <v/>
      </c>
      <c r="AC11" s="36" t="str">
        <f>IF(AND('Riesgos de Gestión'!$AF$44="Muy Alta",'Riesgos de Gestión'!$AH$44="Mayor"),CONCATENATE("R6C",'Riesgos de Gestión'!$V$44),"")</f>
        <v/>
      </c>
      <c r="AD11" s="36" t="str">
        <f>IF(AND('Riesgos de Gestión'!$AF$45="Muy Alta",'Riesgos de Gestión'!$AH$45="Mayor"),CONCATENATE("R6C",'Riesgos de Gestión'!$V$45),"")</f>
        <v/>
      </c>
      <c r="AE11" s="36" t="str">
        <f>IF(AND('Riesgos de Gestión'!$AF$46="Muy Alta",'Riesgos de Gestión'!$AH$46="Mayor"),CONCATENATE("R6C",'Riesgos de Gestión'!$V$46),"")</f>
        <v/>
      </c>
      <c r="AF11" s="36" t="str">
        <f>IF(AND('Riesgos de Gestión'!$AF$47="Muy Alta",'Riesgos de Gestión'!$AH$47="Mayor"),CONCATENATE("R6C",'Riesgos de Gestión'!$V$47),"")</f>
        <v/>
      </c>
      <c r="AG11" s="37" t="str">
        <f>IF(AND('Riesgos de Gestión'!$AF$48="Muy Alta",'Riesgos de Gestión'!$AH$48="Mayor"),CONCATENATE("R6C",'Riesgos de Gestión'!$V$48),"")</f>
        <v/>
      </c>
      <c r="AH11" s="38" t="str">
        <f>IF(AND('Riesgos de Gestión'!$AF$43="Muy Alta",'Riesgos de Gestión'!$AH$43="Catastrófico"),CONCATENATE("R6C",'Riesgos de Gestión'!$V$43),"")</f>
        <v/>
      </c>
      <c r="AI11" s="39" t="str">
        <f>IF(AND('Riesgos de Gestión'!$AF$44="Muy Alta",'Riesgos de Gestión'!$AH$44="Catastrófico"),CONCATENATE("R6C",'Riesgos de Gestión'!$V$44),"")</f>
        <v/>
      </c>
      <c r="AJ11" s="39" t="str">
        <f>IF(AND('Riesgos de Gestión'!$AF$45="Muy Alta",'Riesgos de Gestión'!$AH$45="Catastrófico"),CONCATENATE("R6C",'Riesgos de Gestión'!$V$45),"")</f>
        <v/>
      </c>
      <c r="AK11" s="39" t="str">
        <f>IF(AND('Riesgos de Gestión'!$AF$46="Muy Alta",'Riesgos de Gestión'!$AH$46="Catastrófico"),CONCATENATE("R6C",'Riesgos de Gestión'!$V$46),"")</f>
        <v/>
      </c>
      <c r="AL11" s="39" t="str">
        <f>IF(AND('Riesgos de Gestión'!$AF$47="Muy Alta",'Riesgos de Gestión'!$AH$47="Catastrófico"),CONCATENATE("R6C",'Riesgos de Gestión'!$V$47),"")</f>
        <v/>
      </c>
      <c r="AM11" s="40" t="str">
        <f>IF(AND('Riesgos de Gestión'!$AF$48="Muy Alta",'Riesgos de Gestión'!$AH$48="Catastrófico"),CONCATENATE("R6C",'Riesgos de Gestión'!$V$48),"")</f>
        <v/>
      </c>
      <c r="AN11" s="66"/>
      <c r="AO11" s="548"/>
      <c r="AP11" s="549"/>
      <c r="AQ11" s="549"/>
      <c r="AR11" s="549"/>
      <c r="AS11" s="549"/>
      <c r="AT11" s="550"/>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row>
    <row r="12" spans="1:91" ht="15" customHeight="1" x14ac:dyDescent="0.2">
      <c r="A12" s="66"/>
      <c r="B12" s="487"/>
      <c r="C12" s="487"/>
      <c r="D12" s="488"/>
      <c r="E12" s="528"/>
      <c r="F12" s="529"/>
      <c r="G12" s="529"/>
      <c r="H12" s="529"/>
      <c r="I12" s="530"/>
      <c r="J12" s="35" t="str">
        <f>IF(AND('Riesgos de Gestión'!$AF$49="Muy Alta",'Riesgos de Gestión'!$AH$49="Leve"),CONCATENATE("R7C",'Riesgos de Gestión'!$V$49),"")</f>
        <v/>
      </c>
      <c r="K12" s="36" t="str">
        <f>IF(AND('Riesgos de Gestión'!$AF$50="Muy Alta",'Riesgos de Gestión'!$AH$50="Leve"),CONCATENATE("R7C",'Riesgos de Gestión'!$V$50),"")</f>
        <v/>
      </c>
      <c r="L12" s="36" t="str">
        <f>IF(AND('Riesgos de Gestión'!$AF$51="Muy Alta",'Riesgos de Gestión'!$AH$51="Leve"),CONCATENATE("R7C",'Riesgos de Gestión'!$V$51),"")</f>
        <v/>
      </c>
      <c r="M12" s="36" t="str">
        <f>IF(AND('Riesgos de Gestión'!$AF$52="Muy Alta",'Riesgos de Gestión'!$AH$52="Leve"),CONCATENATE("R7C",'Riesgos de Gestión'!$V$52),"")</f>
        <v/>
      </c>
      <c r="N12" s="36" t="str">
        <f>IF(AND('Riesgos de Gestión'!$AF$53="Muy Alta",'Riesgos de Gestión'!$AH$53="Leve"),CONCATENATE("R7C",'Riesgos de Gestión'!$V$53),"")</f>
        <v/>
      </c>
      <c r="O12" s="37" t="str">
        <f>IF(AND('Riesgos de Gestión'!$AF$54="Muy Alta",'Riesgos de Gestión'!$AH$54="Leve"),CONCATENATE("R7C",'Riesgos de Gestión'!$V$54),"")</f>
        <v/>
      </c>
      <c r="P12" s="35" t="str">
        <f>IF(AND('Riesgos de Gestión'!$AF$49="Muy Alta",'Riesgos de Gestión'!$AH$49="Menor"),CONCATENATE("R7C",'Riesgos de Gestión'!$V$49),"")</f>
        <v/>
      </c>
      <c r="Q12" s="36" t="str">
        <f>IF(AND('Riesgos de Gestión'!$AF$50="Muy Alta",'Riesgos de Gestión'!$AH$50="Menor"),CONCATENATE("R7C",'Riesgos de Gestión'!$V$50),"")</f>
        <v/>
      </c>
      <c r="R12" s="36" t="str">
        <f>IF(AND('Riesgos de Gestión'!$AF$51="Muy Alta",'Riesgos de Gestión'!$AH$51="Menor"),CONCATENATE("R7C",'Riesgos de Gestión'!$V$51),"")</f>
        <v/>
      </c>
      <c r="S12" s="36" t="str">
        <f>IF(AND('Riesgos de Gestión'!$AF$52="Muy Alta",'Riesgos de Gestión'!$AH$52="Menor"),CONCATENATE("R7C",'Riesgos de Gestión'!$V$52),"")</f>
        <v/>
      </c>
      <c r="T12" s="36" t="str">
        <f>IF(AND('Riesgos de Gestión'!$AF$53="Muy Alta",'Riesgos de Gestión'!$AH$53="Menor"),CONCATENATE("R7C",'Riesgos de Gestión'!$V$53),"")</f>
        <v/>
      </c>
      <c r="U12" s="37" t="str">
        <f>IF(AND('Riesgos de Gestión'!$AF$54="Muy Alta",'Riesgos de Gestión'!$AH$54="Menor"),CONCATENATE("R7C",'Riesgos de Gestión'!$V$54),"")</f>
        <v/>
      </c>
      <c r="V12" s="35" t="str">
        <f>IF(AND('Riesgos de Gestión'!$AF$49="Muy Alta",'Riesgos de Gestión'!$AH$49="Moderado"),CONCATENATE("R7C",'Riesgos de Gestión'!$V$49),"")</f>
        <v/>
      </c>
      <c r="W12" s="36" t="str">
        <f>IF(AND('Riesgos de Gestión'!$AF$50="Muy Alta",'Riesgos de Gestión'!$AH$50="Moderado"),CONCATENATE("R7C",'Riesgos de Gestión'!$V$50),"")</f>
        <v/>
      </c>
      <c r="X12" s="36" t="str">
        <f>IF(AND('Riesgos de Gestión'!$AF$51="Muy Alta",'Riesgos de Gestión'!$AH$51="Moderado"),CONCATENATE("R7C",'Riesgos de Gestión'!$V$51),"")</f>
        <v/>
      </c>
      <c r="Y12" s="36" t="str">
        <f>IF(AND('Riesgos de Gestión'!$AF$52="Muy Alta",'Riesgos de Gestión'!$AH$52="Moderado"),CONCATENATE("R7C",'Riesgos de Gestión'!$V$52),"")</f>
        <v/>
      </c>
      <c r="Z12" s="36" t="str">
        <f>IF(AND('Riesgos de Gestión'!$AF$53="Muy Alta",'Riesgos de Gestión'!$AH$53="Moderado"),CONCATENATE("R7C",'Riesgos de Gestión'!$V$53),"")</f>
        <v/>
      </c>
      <c r="AA12" s="37" t="str">
        <f>IF(AND('Riesgos de Gestión'!$AF$54="Muy Alta",'Riesgos de Gestión'!$AH$54="Moderado"),CONCATENATE("R7C",'Riesgos de Gestión'!$V$54),"")</f>
        <v/>
      </c>
      <c r="AB12" s="35" t="str">
        <f>IF(AND('Riesgos de Gestión'!$AF$49="Muy Alta",'Riesgos de Gestión'!$AH$49="Mayor"),CONCATENATE("R7C",'Riesgos de Gestión'!$V$49),"")</f>
        <v/>
      </c>
      <c r="AC12" s="36" t="str">
        <f>IF(AND('Riesgos de Gestión'!$AF$50="Muy Alta",'Riesgos de Gestión'!$AH$50="Mayor"),CONCATENATE("R7C",'Riesgos de Gestión'!$V$50),"")</f>
        <v/>
      </c>
      <c r="AD12" s="36" t="str">
        <f>IF(AND('Riesgos de Gestión'!$AF$51="Muy Alta",'Riesgos de Gestión'!$AH$51="Mayor"),CONCATENATE("R7C",'Riesgos de Gestión'!$V$51),"")</f>
        <v/>
      </c>
      <c r="AE12" s="36" t="str">
        <f>IF(AND('Riesgos de Gestión'!$AF$52="Muy Alta",'Riesgos de Gestión'!$AH$52="Mayor"),CONCATENATE("R7C",'Riesgos de Gestión'!$V$52),"")</f>
        <v/>
      </c>
      <c r="AF12" s="36" t="str">
        <f>IF(AND('Riesgos de Gestión'!$AF$53="Muy Alta",'Riesgos de Gestión'!$AH$53="Mayor"),CONCATENATE("R7C",'Riesgos de Gestión'!$V$53),"")</f>
        <v/>
      </c>
      <c r="AG12" s="37" t="str">
        <f>IF(AND('Riesgos de Gestión'!$AF$54="Muy Alta",'Riesgos de Gestión'!$AH$54="Mayor"),CONCATENATE("R7C",'Riesgos de Gestión'!$V$54),"")</f>
        <v/>
      </c>
      <c r="AH12" s="38" t="str">
        <f>IF(AND('Riesgos de Gestión'!$AF$49="Muy Alta",'Riesgos de Gestión'!$AH$49="Catastrófico"),CONCATENATE("R7C",'Riesgos de Gestión'!$V$49),"")</f>
        <v/>
      </c>
      <c r="AI12" s="39" t="str">
        <f>IF(AND('Riesgos de Gestión'!$AF$50="Muy Alta",'Riesgos de Gestión'!$AH$50="Catastrófico"),CONCATENATE("R7C",'Riesgos de Gestión'!$V$50),"")</f>
        <v/>
      </c>
      <c r="AJ12" s="39" t="str">
        <f>IF(AND('Riesgos de Gestión'!$AF$51="Muy Alta",'Riesgos de Gestión'!$AH$51="Catastrófico"),CONCATENATE("R7C",'Riesgos de Gestión'!$V$51),"")</f>
        <v/>
      </c>
      <c r="AK12" s="39" t="str">
        <f>IF(AND('Riesgos de Gestión'!$AF$52="Muy Alta",'Riesgos de Gestión'!$AH$52="Catastrófico"),CONCATENATE("R7C",'Riesgos de Gestión'!$V$52),"")</f>
        <v/>
      </c>
      <c r="AL12" s="39" t="str">
        <f>IF(AND('Riesgos de Gestión'!$AF$53="Muy Alta",'Riesgos de Gestión'!$AH$53="Catastrófico"),CONCATENATE("R7C",'Riesgos de Gestión'!$V$53),"")</f>
        <v/>
      </c>
      <c r="AM12" s="40" t="str">
        <f>IF(AND('Riesgos de Gestión'!$AF$54="Muy Alta",'Riesgos de Gestión'!$AH$54="Catastrófico"),CONCATENATE("R7C",'Riesgos de Gestión'!$V$54),"")</f>
        <v/>
      </c>
      <c r="AN12" s="66"/>
      <c r="AO12" s="548"/>
      <c r="AP12" s="549"/>
      <c r="AQ12" s="549"/>
      <c r="AR12" s="549"/>
      <c r="AS12" s="549"/>
      <c r="AT12" s="550"/>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row>
    <row r="13" spans="1:91" ht="15" customHeight="1" x14ac:dyDescent="0.2">
      <c r="A13" s="66"/>
      <c r="B13" s="487"/>
      <c r="C13" s="487"/>
      <c r="D13" s="488"/>
      <c r="E13" s="528"/>
      <c r="F13" s="529"/>
      <c r="G13" s="529"/>
      <c r="H13" s="529"/>
      <c r="I13" s="530"/>
      <c r="J13" s="35" t="str">
        <f>IF(AND('Riesgos de Gestión'!$AF$55="Muy Alta",'Riesgos de Gestión'!$AH$55="Leve"),CONCATENATE("R8C",'Riesgos de Gestión'!$V$55),"")</f>
        <v/>
      </c>
      <c r="K13" s="36" t="str">
        <f>IF(AND('Riesgos de Gestión'!$AF$56="Muy Alta",'Riesgos de Gestión'!$AH$56="Leve"),CONCATENATE("R8C",'Riesgos de Gestión'!$V$56),"")</f>
        <v/>
      </c>
      <c r="L13" s="36" t="str">
        <f>IF(AND('Riesgos de Gestión'!$AF$57="Muy Alta",'Riesgos de Gestión'!$AH$57="Leve"),CONCATENATE("R8C",'Riesgos de Gestión'!$V$57),"")</f>
        <v/>
      </c>
      <c r="M13" s="36" t="str">
        <f>IF(AND('Riesgos de Gestión'!$AF$58="Muy Alta",'Riesgos de Gestión'!$AH$58="Leve"),CONCATENATE("R8C",'Riesgos de Gestión'!$V$58),"")</f>
        <v/>
      </c>
      <c r="N13" s="36" t="str">
        <f>IF(AND('Riesgos de Gestión'!$AF$59="Muy Alta",'Riesgos de Gestión'!$AH$59="Leve"),CONCATENATE("R8C",'Riesgos de Gestión'!$V$59),"")</f>
        <v/>
      </c>
      <c r="O13" s="37" t="str">
        <f>IF(AND('Riesgos de Gestión'!$AF$60="Muy Alta",'Riesgos de Gestión'!$AH$60="Leve"),CONCATENATE("R8C",'Riesgos de Gestión'!$V$60),"")</f>
        <v/>
      </c>
      <c r="P13" s="35" t="str">
        <f>IF(AND('Riesgos de Gestión'!$AF$55="Muy Alta",'Riesgos de Gestión'!$AH$55="Menor"),CONCATENATE("R8C",'Riesgos de Gestión'!$V$55),"")</f>
        <v/>
      </c>
      <c r="Q13" s="36" t="str">
        <f>IF(AND('Riesgos de Gestión'!$AF$56="Muy Alta",'Riesgos de Gestión'!$AH$56="Menor"),CONCATENATE("R8C",'Riesgos de Gestión'!$V$56),"")</f>
        <v/>
      </c>
      <c r="R13" s="36" t="str">
        <f>IF(AND('Riesgos de Gestión'!$AF$57="Muy Alta",'Riesgos de Gestión'!$AH$57="Menor"),CONCATENATE("R8C",'Riesgos de Gestión'!$V$57),"")</f>
        <v/>
      </c>
      <c r="S13" s="36" t="str">
        <f>IF(AND('Riesgos de Gestión'!$AF$58="Muy Alta",'Riesgos de Gestión'!$AH$58="Menor"),CONCATENATE("R8C",'Riesgos de Gestión'!$V$58),"")</f>
        <v/>
      </c>
      <c r="T13" s="36" t="str">
        <f>IF(AND('Riesgos de Gestión'!$AF$59="Muy Alta",'Riesgos de Gestión'!$AH$59="Menor"),CONCATENATE("R8C",'Riesgos de Gestión'!$V$59),"")</f>
        <v/>
      </c>
      <c r="U13" s="37" t="str">
        <f>IF(AND('Riesgos de Gestión'!$AF$60="Muy Alta",'Riesgos de Gestión'!$AH$60="Menor"),CONCATENATE("R8C",'Riesgos de Gestión'!$V$60),"")</f>
        <v/>
      </c>
      <c r="V13" s="35" t="str">
        <f>IF(AND('Riesgos de Gestión'!$AF$55="Muy Alta",'Riesgos de Gestión'!$AH$55="Moderado"),CONCATENATE("R8C",'Riesgos de Gestión'!$V$55),"")</f>
        <v/>
      </c>
      <c r="W13" s="36" t="str">
        <f>IF(AND('Riesgos de Gestión'!$AF$56="Muy Alta",'Riesgos de Gestión'!$AH$56="Moderado"),CONCATENATE("R8C",'Riesgos de Gestión'!$V$56),"")</f>
        <v/>
      </c>
      <c r="X13" s="36" t="str">
        <f>IF(AND('Riesgos de Gestión'!$AF$57="Muy Alta",'Riesgos de Gestión'!$AH$57="Moderado"),CONCATENATE("R8C",'Riesgos de Gestión'!$V$57),"")</f>
        <v/>
      </c>
      <c r="Y13" s="36" t="str">
        <f>IF(AND('Riesgos de Gestión'!$AF$58="Muy Alta",'Riesgos de Gestión'!$AH$58="Moderado"),CONCATENATE("R8C",'Riesgos de Gestión'!$V$58),"")</f>
        <v/>
      </c>
      <c r="Z13" s="36" t="str">
        <f>IF(AND('Riesgos de Gestión'!$AF$59="Muy Alta",'Riesgos de Gestión'!$AH$59="Moderado"),CONCATENATE("R8C",'Riesgos de Gestión'!$V$59),"")</f>
        <v/>
      </c>
      <c r="AA13" s="37" t="str">
        <f>IF(AND('Riesgos de Gestión'!$AF$60="Muy Alta",'Riesgos de Gestión'!$AH$60="Moderado"),CONCATENATE("R8C",'Riesgos de Gestión'!$V$60),"")</f>
        <v/>
      </c>
      <c r="AB13" s="35" t="str">
        <f>IF(AND('Riesgos de Gestión'!$AF$55="Muy Alta",'Riesgos de Gestión'!$AH$55="Mayor"),CONCATENATE("R8C",'Riesgos de Gestión'!$V$55),"")</f>
        <v/>
      </c>
      <c r="AC13" s="36" t="str">
        <f>IF(AND('Riesgos de Gestión'!$AF$56="Muy Alta",'Riesgos de Gestión'!$AH$56="Mayor"),CONCATENATE("R8C",'Riesgos de Gestión'!$V$56),"")</f>
        <v/>
      </c>
      <c r="AD13" s="36" t="str">
        <f>IF(AND('Riesgos de Gestión'!$AF$57="Muy Alta",'Riesgos de Gestión'!$AH$57="Mayor"),CONCATENATE("R8C",'Riesgos de Gestión'!$V$57),"")</f>
        <v/>
      </c>
      <c r="AE13" s="36" t="str">
        <f>IF(AND('Riesgos de Gestión'!$AF$58="Muy Alta",'Riesgos de Gestión'!$AH$58="Mayor"),CONCATENATE("R8C",'Riesgos de Gestión'!$V$58),"")</f>
        <v/>
      </c>
      <c r="AF13" s="36" t="str">
        <f>IF(AND('Riesgos de Gestión'!$AF$59="Muy Alta",'Riesgos de Gestión'!$AH$59="Mayor"),CONCATENATE("R8C",'Riesgos de Gestión'!$V$59),"")</f>
        <v/>
      </c>
      <c r="AG13" s="37" t="str">
        <f>IF(AND('Riesgos de Gestión'!$AF$60="Muy Alta",'Riesgos de Gestión'!$AH$60="Mayor"),CONCATENATE("R8C",'Riesgos de Gestión'!$V$60),"")</f>
        <v/>
      </c>
      <c r="AH13" s="38" t="str">
        <f>IF(AND('Riesgos de Gestión'!$AF$55="Muy Alta",'Riesgos de Gestión'!$AH$55="Catastrófico"),CONCATENATE("R8C",'Riesgos de Gestión'!$V$55),"")</f>
        <v/>
      </c>
      <c r="AI13" s="39" t="str">
        <f>IF(AND('Riesgos de Gestión'!$AF$56="Muy Alta",'Riesgos de Gestión'!$AH$56="Catastrófico"),CONCATENATE("R8C",'Riesgos de Gestión'!$V$56),"")</f>
        <v/>
      </c>
      <c r="AJ13" s="39" t="str">
        <f>IF(AND('Riesgos de Gestión'!$AF$57="Muy Alta",'Riesgos de Gestión'!$AH$57="Catastrófico"),CONCATENATE("R8C",'Riesgos de Gestión'!$V$57),"")</f>
        <v/>
      </c>
      <c r="AK13" s="39" t="str">
        <f>IF(AND('Riesgos de Gestión'!$AF$58="Muy Alta",'Riesgos de Gestión'!$AH$58="Catastrófico"),CONCATENATE("R8C",'Riesgos de Gestión'!$V$58),"")</f>
        <v/>
      </c>
      <c r="AL13" s="39" t="str">
        <f>IF(AND('Riesgos de Gestión'!$AF$59="Muy Alta",'Riesgos de Gestión'!$AH$59="Catastrófico"),CONCATENATE("R8C",'Riesgos de Gestión'!$V$59),"")</f>
        <v/>
      </c>
      <c r="AM13" s="40" t="str">
        <f>IF(AND('Riesgos de Gestión'!$AF$60="Muy Alta",'Riesgos de Gestión'!$AH$60="Catastrófico"),CONCATENATE("R8C",'Riesgos de Gestión'!$V$60),"")</f>
        <v/>
      </c>
      <c r="AN13" s="66"/>
      <c r="AO13" s="548"/>
      <c r="AP13" s="549"/>
      <c r="AQ13" s="549"/>
      <c r="AR13" s="549"/>
      <c r="AS13" s="549"/>
      <c r="AT13" s="550"/>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row>
    <row r="14" spans="1:91" ht="15" customHeight="1" x14ac:dyDescent="0.2">
      <c r="A14" s="66"/>
      <c r="B14" s="487"/>
      <c r="C14" s="487"/>
      <c r="D14" s="488"/>
      <c r="E14" s="528"/>
      <c r="F14" s="529"/>
      <c r="G14" s="529"/>
      <c r="H14" s="529"/>
      <c r="I14" s="530"/>
      <c r="J14" s="35" t="str">
        <f>IF(AND('Riesgos de Gestión'!$AF$61="Muy Alta",'Riesgos de Gestión'!$AH$61="Leve"),CONCATENATE("R9C",'Riesgos de Gestión'!$V$61),"")</f>
        <v/>
      </c>
      <c r="K14" s="36" t="str">
        <f>IF(AND('Riesgos de Gestión'!$AF$62="Muy Alta",'Riesgos de Gestión'!$AH$62="Leve"),CONCATENATE("R9C",'Riesgos de Gestión'!$V$62),"")</f>
        <v/>
      </c>
      <c r="L14" s="36" t="str">
        <f>IF(AND('Riesgos de Gestión'!$AF$63="Muy Alta",'Riesgos de Gestión'!$AH$63="Leve"),CONCATENATE("R9C",'Riesgos de Gestión'!$V$63),"")</f>
        <v/>
      </c>
      <c r="M14" s="36" t="str">
        <f>IF(AND('Riesgos de Gestión'!$AF$64="Muy Alta",'Riesgos de Gestión'!$AH$64="Leve"),CONCATENATE("R9C",'Riesgos de Gestión'!$V$64),"")</f>
        <v/>
      </c>
      <c r="N14" s="36" t="str">
        <f>IF(AND('Riesgos de Gestión'!$AF$65="Muy Alta",'Riesgos de Gestión'!$AH$65="Leve"),CONCATENATE("R9C",'Riesgos de Gestión'!$V$65),"")</f>
        <v/>
      </c>
      <c r="O14" s="37" t="str">
        <f>IF(AND('Riesgos de Gestión'!$AF$66="Muy Alta",'Riesgos de Gestión'!$AH$66="Leve"),CONCATENATE("R9C",'Riesgos de Gestión'!$V$66),"")</f>
        <v/>
      </c>
      <c r="P14" s="35" t="str">
        <f>IF(AND('Riesgos de Gestión'!$AF$61="Muy Alta",'Riesgos de Gestión'!$AH$61="Menor"),CONCATENATE("R9C",'Riesgos de Gestión'!$V$61),"")</f>
        <v/>
      </c>
      <c r="Q14" s="36" t="str">
        <f>IF(AND('Riesgos de Gestión'!$AF$62="Muy Alta",'Riesgos de Gestión'!$AH$62="Menor"),CONCATENATE("R9C",'Riesgos de Gestión'!$V$62),"")</f>
        <v/>
      </c>
      <c r="R14" s="36" t="str">
        <f>IF(AND('Riesgos de Gestión'!$AF$63="Muy Alta",'Riesgos de Gestión'!$AH$63="Menor"),CONCATENATE("R9C",'Riesgos de Gestión'!$V$63),"")</f>
        <v/>
      </c>
      <c r="S14" s="36" t="str">
        <f>IF(AND('Riesgos de Gestión'!$AF$64="Muy Alta",'Riesgos de Gestión'!$AH$64="Menor"),CONCATENATE("R9C",'Riesgos de Gestión'!$V$64),"")</f>
        <v/>
      </c>
      <c r="T14" s="36" t="str">
        <f>IF(AND('Riesgos de Gestión'!$AF$65="Muy Alta",'Riesgos de Gestión'!$AH$65="Menor"),CONCATENATE("R9C",'Riesgos de Gestión'!$V$65),"")</f>
        <v/>
      </c>
      <c r="U14" s="37" t="str">
        <f>IF(AND('Riesgos de Gestión'!$AF$66="Muy Alta",'Riesgos de Gestión'!$AH$66="Menor"),CONCATENATE("R9C",'Riesgos de Gestión'!$V$66),"")</f>
        <v/>
      </c>
      <c r="V14" s="35" t="str">
        <f>IF(AND('Riesgos de Gestión'!$AF$61="Muy Alta",'Riesgos de Gestión'!$AH$61="Moderado"),CONCATENATE("R9C",'Riesgos de Gestión'!$V$61),"")</f>
        <v/>
      </c>
      <c r="W14" s="36" t="str">
        <f>IF(AND('Riesgos de Gestión'!$AF$62="Muy Alta",'Riesgos de Gestión'!$AH$62="Moderado"),CONCATENATE("R9C",'Riesgos de Gestión'!$V$62),"")</f>
        <v/>
      </c>
      <c r="X14" s="36" t="str">
        <f>IF(AND('Riesgos de Gestión'!$AF$63="Muy Alta",'Riesgos de Gestión'!$AH$63="Moderado"),CONCATENATE("R9C",'Riesgos de Gestión'!$V$63),"")</f>
        <v/>
      </c>
      <c r="Y14" s="36" t="str">
        <f>IF(AND('Riesgos de Gestión'!$AF$64="Muy Alta",'Riesgos de Gestión'!$AH$64="Moderado"),CONCATENATE("R9C",'Riesgos de Gestión'!$V$64),"")</f>
        <v/>
      </c>
      <c r="Z14" s="36" t="str">
        <f>IF(AND('Riesgos de Gestión'!$AF$65="Muy Alta",'Riesgos de Gestión'!$AH$65="Moderado"),CONCATENATE("R9C",'Riesgos de Gestión'!$V$65),"")</f>
        <v/>
      </c>
      <c r="AA14" s="37" t="str">
        <f>IF(AND('Riesgos de Gestión'!$AF$66="Muy Alta",'Riesgos de Gestión'!$AH$66="Moderado"),CONCATENATE("R9C",'Riesgos de Gestión'!$V$66),"")</f>
        <v/>
      </c>
      <c r="AB14" s="35" t="str">
        <f>IF(AND('Riesgos de Gestión'!$AF$61="Muy Alta",'Riesgos de Gestión'!$AH$61="Mayor"),CONCATENATE("R9C",'Riesgos de Gestión'!$V$61),"")</f>
        <v/>
      </c>
      <c r="AC14" s="36" t="str">
        <f>IF(AND('Riesgos de Gestión'!$AF$62="Muy Alta",'Riesgos de Gestión'!$AH$62="Mayor"),CONCATENATE("R9C",'Riesgos de Gestión'!$V$62),"")</f>
        <v/>
      </c>
      <c r="AD14" s="36" t="str">
        <f>IF(AND('Riesgos de Gestión'!$AF$63="Muy Alta",'Riesgos de Gestión'!$AH$63="Mayor"),CONCATENATE("R9C",'Riesgos de Gestión'!$V$63),"")</f>
        <v/>
      </c>
      <c r="AE14" s="36" t="str">
        <f>IF(AND('Riesgos de Gestión'!$AF$64="Muy Alta",'Riesgos de Gestión'!$AH$64="Mayor"),CONCATENATE("R9C",'Riesgos de Gestión'!$V$64),"")</f>
        <v/>
      </c>
      <c r="AF14" s="36" t="str">
        <f>IF(AND('Riesgos de Gestión'!$AF$65="Muy Alta",'Riesgos de Gestión'!$AH$65="Mayor"),CONCATENATE("R9C",'Riesgos de Gestión'!$V$65),"")</f>
        <v/>
      </c>
      <c r="AG14" s="37" t="str">
        <f>IF(AND('Riesgos de Gestión'!$AF$66="Muy Alta",'Riesgos de Gestión'!$AH$66="Mayor"),CONCATENATE("R9C",'Riesgos de Gestión'!$V$66),"")</f>
        <v/>
      </c>
      <c r="AH14" s="38" t="str">
        <f>IF(AND('Riesgos de Gestión'!$AF$61="Muy Alta",'Riesgos de Gestión'!$AH$61="Catastrófico"),CONCATENATE("R9C",'Riesgos de Gestión'!$V$61),"")</f>
        <v/>
      </c>
      <c r="AI14" s="39" t="str">
        <f>IF(AND('Riesgos de Gestión'!$AF$62="Muy Alta",'Riesgos de Gestión'!$AH$62="Catastrófico"),CONCATENATE("R9C",'Riesgos de Gestión'!$V$62),"")</f>
        <v/>
      </c>
      <c r="AJ14" s="39" t="str">
        <f>IF(AND('Riesgos de Gestión'!$AF$63="Muy Alta",'Riesgos de Gestión'!$AH$63="Catastrófico"),CONCATENATE("R9C",'Riesgos de Gestión'!$V$63),"")</f>
        <v/>
      </c>
      <c r="AK14" s="39" t="str">
        <f>IF(AND('Riesgos de Gestión'!$AF$64="Muy Alta",'Riesgos de Gestión'!$AH$64="Catastrófico"),CONCATENATE("R9C",'Riesgos de Gestión'!$V$64),"")</f>
        <v/>
      </c>
      <c r="AL14" s="39" t="str">
        <f>IF(AND('Riesgos de Gestión'!$AF$65="Muy Alta",'Riesgos de Gestión'!$AH$65="Catastrófico"),CONCATENATE("R9C",'Riesgos de Gestión'!$V$65),"")</f>
        <v/>
      </c>
      <c r="AM14" s="40" t="str">
        <f>IF(AND('Riesgos de Gestión'!$AF$66="Muy Alta",'Riesgos de Gestión'!$AH$66="Catastrófico"),CONCATENATE("R9C",'Riesgos de Gestión'!$V$66),"")</f>
        <v/>
      </c>
      <c r="AN14" s="66"/>
      <c r="AO14" s="548"/>
      <c r="AP14" s="549"/>
      <c r="AQ14" s="549"/>
      <c r="AR14" s="549"/>
      <c r="AS14" s="549"/>
      <c r="AT14" s="550"/>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row>
    <row r="15" spans="1:91" ht="15.75" customHeight="1" thickBot="1" x14ac:dyDescent="0.25">
      <c r="A15" s="66"/>
      <c r="B15" s="487"/>
      <c r="C15" s="487"/>
      <c r="D15" s="488"/>
      <c r="E15" s="531"/>
      <c r="F15" s="532"/>
      <c r="G15" s="532"/>
      <c r="H15" s="532"/>
      <c r="I15" s="533"/>
      <c r="J15" s="41" t="str">
        <f>IF(AND('Riesgos de Gestión'!$AF$67="Muy Alta",'Riesgos de Gestión'!$AH$67="Leve"),CONCATENATE("R10C",'Riesgos de Gestión'!$V$67),"")</f>
        <v/>
      </c>
      <c r="K15" s="42" t="str">
        <f>IF(AND('Riesgos de Gestión'!$AF$68="Muy Alta",'Riesgos de Gestión'!$AH$68="Leve"),CONCATENATE("R10C",'Riesgos de Gestión'!$V$68),"")</f>
        <v/>
      </c>
      <c r="L15" s="42" t="str">
        <f>IF(AND('Riesgos de Gestión'!$AF$69="Muy Alta",'Riesgos de Gestión'!$AH$69="Leve"),CONCATENATE("R10C",'Riesgos de Gestión'!$V$69),"")</f>
        <v/>
      </c>
      <c r="M15" s="42" t="str">
        <f>IF(AND('Riesgos de Gestión'!$AF$70="Muy Alta",'Riesgos de Gestión'!$AH$70="Leve"),CONCATENATE("R10C",'Riesgos de Gestión'!$V$70),"")</f>
        <v/>
      </c>
      <c r="N15" s="42" t="str">
        <f>IF(AND('Riesgos de Gestión'!$AF$71="Muy Alta",'Riesgos de Gestión'!$AH$71="Leve"),CONCATENATE("R10C",'Riesgos de Gestión'!$V$71),"")</f>
        <v/>
      </c>
      <c r="O15" s="43" t="str">
        <f>IF(AND('Riesgos de Gestión'!$AF$72="Muy Alta",'Riesgos de Gestión'!$AH$72="Leve"),CONCATENATE("R10C",'Riesgos de Gestión'!$V$72),"")</f>
        <v/>
      </c>
      <c r="P15" s="35" t="str">
        <f>IF(AND('Riesgos de Gestión'!$AF$67="Muy Alta",'Riesgos de Gestión'!$AH$67="Menor"),CONCATENATE("R10C",'Riesgos de Gestión'!$V$67),"")</f>
        <v/>
      </c>
      <c r="Q15" s="36" t="str">
        <f>IF(AND('Riesgos de Gestión'!$AF$68="Muy Alta",'Riesgos de Gestión'!$AH$68="Menor"),CONCATENATE("R10C",'Riesgos de Gestión'!$V$68),"")</f>
        <v/>
      </c>
      <c r="R15" s="36" t="str">
        <f>IF(AND('Riesgos de Gestión'!$AF$69="Muy Alta",'Riesgos de Gestión'!$AH$69="Menor"),CONCATENATE("R10C",'Riesgos de Gestión'!$V$69),"")</f>
        <v/>
      </c>
      <c r="S15" s="36" t="str">
        <f>IF(AND('Riesgos de Gestión'!$AF$70="Muy Alta",'Riesgos de Gestión'!$AH$70="Menor"),CONCATENATE("R10C",'Riesgos de Gestión'!$V$70),"")</f>
        <v/>
      </c>
      <c r="T15" s="36" t="str">
        <f>IF(AND('Riesgos de Gestión'!$AF$71="Muy Alta",'Riesgos de Gestión'!$AH$71="Menor"),CONCATENATE("R10C",'Riesgos de Gestión'!$V$71),"")</f>
        <v/>
      </c>
      <c r="U15" s="37" t="str">
        <f>IF(AND('Riesgos de Gestión'!$AF$72="Muy Alta",'Riesgos de Gestión'!$AH$72="Menor"),CONCATENATE("R10C",'Riesgos de Gestión'!$V$72),"")</f>
        <v/>
      </c>
      <c r="V15" s="41" t="str">
        <f>IF(AND('Riesgos de Gestión'!$AF$67="Muy Alta",'Riesgos de Gestión'!$AH$67="Moderado"),CONCATENATE("R10C",'Riesgos de Gestión'!$V$67),"")</f>
        <v/>
      </c>
      <c r="W15" s="42" t="str">
        <f>IF(AND('Riesgos de Gestión'!$AF$68="Muy Alta",'Riesgos de Gestión'!$AH$68="Moderado"),CONCATENATE("R10C",'Riesgos de Gestión'!$V$68),"")</f>
        <v/>
      </c>
      <c r="X15" s="42" t="str">
        <f>IF(AND('Riesgos de Gestión'!$AF$69="Muy Alta",'Riesgos de Gestión'!$AH$69="Moderado"),CONCATENATE("R10C",'Riesgos de Gestión'!$V$69),"")</f>
        <v/>
      </c>
      <c r="Y15" s="42" t="str">
        <f>IF(AND('Riesgos de Gestión'!$AF$70="Muy Alta",'Riesgos de Gestión'!$AH$70="Moderado"),CONCATENATE("R10C",'Riesgos de Gestión'!$V$70),"")</f>
        <v/>
      </c>
      <c r="Z15" s="42" t="str">
        <f>IF(AND('Riesgos de Gestión'!$AF$71="Muy Alta",'Riesgos de Gestión'!$AH$71="Moderado"),CONCATENATE("R10C",'Riesgos de Gestión'!$V$71),"")</f>
        <v/>
      </c>
      <c r="AA15" s="43" t="str">
        <f>IF(AND('Riesgos de Gestión'!$AF$72="Muy Alta",'Riesgos de Gestión'!$AH$72="Moderado"),CONCATENATE("R10C",'Riesgos de Gestión'!$V$72),"")</f>
        <v/>
      </c>
      <c r="AB15" s="35" t="str">
        <f>IF(AND('Riesgos de Gestión'!$AF$67="Muy Alta",'Riesgos de Gestión'!$AH$67="Mayor"),CONCATENATE("R10C",'Riesgos de Gestión'!$V$67),"")</f>
        <v/>
      </c>
      <c r="AC15" s="36" t="str">
        <f>IF(AND('Riesgos de Gestión'!$AF$68="Muy Alta",'Riesgos de Gestión'!$AH$68="Mayor"),CONCATENATE("R10C",'Riesgos de Gestión'!$V$68),"")</f>
        <v/>
      </c>
      <c r="AD15" s="36" t="str">
        <f>IF(AND('Riesgos de Gestión'!$AF$69="Muy Alta",'Riesgos de Gestión'!$AH$69="Mayor"),CONCATENATE("R10C",'Riesgos de Gestión'!$V$69),"")</f>
        <v/>
      </c>
      <c r="AE15" s="36" t="str">
        <f>IF(AND('Riesgos de Gestión'!$AF$70="Muy Alta",'Riesgos de Gestión'!$AH$70="Mayor"),CONCATENATE("R10C",'Riesgos de Gestión'!$V$70),"")</f>
        <v/>
      </c>
      <c r="AF15" s="36" t="str">
        <f>IF(AND('Riesgos de Gestión'!$AF$71="Muy Alta",'Riesgos de Gestión'!$AH$71="Mayor"),CONCATENATE("R10C",'Riesgos de Gestión'!$V$71),"")</f>
        <v/>
      </c>
      <c r="AG15" s="37" t="str">
        <f>IF(AND('Riesgos de Gestión'!$AF$72="Muy Alta",'Riesgos de Gestión'!$AH$72="Mayor"),CONCATENATE("R10C",'Riesgos de Gestión'!$V$72),"")</f>
        <v/>
      </c>
      <c r="AH15" s="44" t="str">
        <f>IF(AND('Riesgos de Gestión'!$AF$67="Muy Alta",'Riesgos de Gestión'!$AH$67="Catastrófico"),CONCATENATE("R10C",'Riesgos de Gestión'!$V$67),"")</f>
        <v/>
      </c>
      <c r="AI15" s="45" t="str">
        <f>IF(AND('Riesgos de Gestión'!$AF$68="Muy Alta",'Riesgos de Gestión'!$AH$68="Catastrófico"),CONCATENATE("R10C",'Riesgos de Gestión'!$V$68),"")</f>
        <v/>
      </c>
      <c r="AJ15" s="45" t="str">
        <f>IF(AND('Riesgos de Gestión'!$AF$69="Muy Alta",'Riesgos de Gestión'!$AH$69="Catastrófico"),CONCATENATE("R10C",'Riesgos de Gestión'!$V$69),"")</f>
        <v/>
      </c>
      <c r="AK15" s="45" t="str">
        <f>IF(AND('Riesgos de Gestión'!$AF$70="Muy Alta",'Riesgos de Gestión'!$AH$70="Catastrófico"),CONCATENATE("R10C",'Riesgos de Gestión'!$V$70),"")</f>
        <v/>
      </c>
      <c r="AL15" s="45" t="str">
        <f>IF(AND('Riesgos de Gestión'!$AF$71="Muy Alta",'Riesgos de Gestión'!$AH$71="Catastrófico"),CONCATENATE("R10C",'Riesgos de Gestión'!$V$71),"")</f>
        <v/>
      </c>
      <c r="AM15" s="46" t="str">
        <f>IF(AND('Riesgos de Gestión'!$AF$72="Muy Alta",'Riesgos de Gestión'!$AH$72="Catastrófico"),CONCATENATE("R10C",'Riesgos de Gestión'!$V$72),"")</f>
        <v/>
      </c>
      <c r="AN15" s="66"/>
      <c r="AO15" s="551"/>
      <c r="AP15" s="552"/>
      <c r="AQ15" s="552"/>
      <c r="AR15" s="552"/>
      <c r="AS15" s="552"/>
      <c r="AT15" s="553"/>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row>
    <row r="16" spans="1:91" ht="15" customHeight="1" x14ac:dyDescent="0.2">
      <c r="A16" s="66"/>
      <c r="B16" s="487"/>
      <c r="C16" s="487"/>
      <c r="D16" s="488"/>
      <c r="E16" s="525" t="s">
        <v>317</v>
      </c>
      <c r="F16" s="526"/>
      <c r="G16" s="526"/>
      <c r="H16" s="526"/>
      <c r="I16" s="526"/>
      <c r="J16" s="47" t="str">
        <f>IF(AND('Riesgos de Gestión'!$AF$13="Alta",'Riesgos de Gestión'!$AH$13="Leve"),CONCATENATE("R1C",'Riesgos de Gestión'!$V$13),"")</f>
        <v/>
      </c>
      <c r="K16" s="48" t="str">
        <f>IF(AND('Riesgos de Gestión'!$AF$14="Alta",'Riesgos de Gestión'!$AH$14="Leve"),CONCATENATE("R1C",'Riesgos de Gestión'!$V$14),"")</f>
        <v/>
      </c>
      <c r="L16" s="48" t="str">
        <f>IF(AND('Riesgos de Gestión'!$AF$15="Alta",'Riesgos de Gestión'!$AH$15="Leve"),CONCATENATE("R1C",'Riesgos de Gestión'!$V$15),"")</f>
        <v/>
      </c>
      <c r="M16" s="48" t="str">
        <f>IF(AND('Riesgos de Gestión'!$AF$16="Alta",'Riesgos de Gestión'!$AH$16="Leve"),CONCATENATE("R1C",'Riesgos de Gestión'!$V$16),"")</f>
        <v/>
      </c>
      <c r="N16" s="48" t="str">
        <f>IF(AND('Riesgos de Gestión'!$AF$17="Alta",'Riesgos de Gestión'!$AH$17="Leve"),CONCATENATE("R1C",'Riesgos de Gestión'!$V$17),"")</f>
        <v/>
      </c>
      <c r="O16" s="49" t="str">
        <f>IF(AND('Riesgos de Gestión'!$AF$18="Alta",'Riesgos de Gestión'!$AH$18="Leve"),CONCATENATE("R1C",'Riesgos de Gestión'!$V$18),"")</f>
        <v/>
      </c>
      <c r="P16" s="47" t="str">
        <f>IF(AND('Riesgos de Gestión'!$AF$13="Alta",'Riesgos de Gestión'!$AH$13="Menor"),CONCATENATE("R1C",'Riesgos de Gestión'!$V$13),"")</f>
        <v/>
      </c>
      <c r="Q16" s="48" t="str">
        <f>IF(AND('Riesgos de Gestión'!$AF$14="Alta",'Riesgos de Gestión'!$AH$14="Menor"),CONCATENATE("R1C",'Riesgos de Gestión'!$V$14),"")</f>
        <v/>
      </c>
      <c r="R16" s="48" t="str">
        <f>IF(AND('Riesgos de Gestión'!$AF$15="Alta",'Riesgos de Gestión'!$AH$15="Menor"),CONCATENATE("R1C",'Riesgos de Gestión'!$V$15),"")</f>
        <v/>
      </c>
      <c r="S16" s="48" t="str">
        <f>IF(AND('Riesgos de Gestión'!$AF$16="Alta",'Riesgos de Gestión'!$AH$16="Menor"),CONCATENATE("R1C",'Riesgos de Gestión'!$V$16),"")</f>
        <v/>
      </c>
      <c r="T16" s="48" t="str">
        <f>IF(AND('Riesgos de Gestión'!$AF$17="Alta",'Riesgos de Gestión'!$AH$17="Menor"),CONCATENATE("R1C",'Riesgos de Gestión'!$V$17),"")</f>
        <v/>
      </c>
      <c r="U16" s="49" t="str">
        <f>IF(AND('Riesgos de Gestión'!$AF$18="Alta",'Riesgos de Gestión'!$AH$18="Menor"),CONCATENATE("R1C",'Riesgos de Gestión'!$V$18),"")</f>
        <v/>
      </c>
      <c r="V16" s="29" t="str">
        <f>IF(AND('Riesgos de Gestión'!$AF$13="Alta",'Riesgos de Gestión'!$AH$13="Moderado"),CONCATENATE("R1C",'Riesgos de Gestión'!$V$13),"")</f>
        <v/>
      </c>
      <c r="W16" s="30" t="str">
        <f>IF(AND('Riesgos de Gestión'!$AF$14="Alta",'Riesgos de Gestión'!$AH$14="Moderado"),CONCATENATE("R1C",'Riesgos de Gestión'!$V$14),"")</f>
        <v/>
      </c>
      <c r="X16" s="30" t="str">
        <f>IF(AND('Riesgos de Gestión'!$AF$15="Alta",'Riesgos de Gestión'!$AH$15="Moderado"),CONCATENATE("R1C",'Riesgos de Gestión'!$V$15),"")</f>
        <v/>
      </c>
      <c r="Y16" s="30" t="str">
        <f>IF(AND('Riesgos de Gestión'!$AF$16="Alta",'Riesgos de Gestión'!$AH$16="Moderado"),CONCATENATE("R1C",'Riesgos de Gestión'!$V$16),"")</f>
        <v/>
      </c>
      <c r="Z16" s="30" t="str">
        <f>IF(AND('Riesgos de Gestión'!$AF$17="Alta",'Riesgos de Gestión'!$AH$17="Moderado"),CONCATENATE("R1C",'Riesgos de Gestión'!$V$17),"")</f>
        <v/>
      </c>
      <c r="AA16" s="31" t="str">
        <f>IF(AND('Riesgos de Gestión'!$AF$18="Alta",'Riesgos de Gestión'!$AH$18="Moderado"),CONCATENATE("R1C",'Riesgos de Gestión'!$V$18),"")</f>
        <v/>
      </c>
      <c r="AB16" s="29" t="str">
        <f>IF(AND('Riesgos de Gestión'!$AF$13="Alta",'Riesgos de Gestión'!$AH$13="Mayor"),CONCATENATE("R1C",'Riesgos de Gestión'!$V$13),"")</f>
        <v/>
      </c>
      <c r="AC16" s="30" t="str">
        <f>IF(AND('Riesgos de Gestión'!$AF$14="Alta",'Riesgos de Gestión'!$AH$14="Mayor"),CONCATENATE("R1C",'Riesgos de Gestión'!$V$14),"")</f>
        <v/>
      </c>
      <c r="AD16" s="30" t="str">
        <f>IF(AND('Riesgos de Gestión'!$AF$15="Alta",'Riesgos de Gestión'!$AH$15="Mayor"),CONCATENATE("R1C",'Riesgos de Gestión'!$V$15),"")</f>
        <v/>
      </c>
      <c r="AE16" s="30" t="str">
        <f>IF(AND('Riesgos de Gestión'!$AF$16="Alta",'Riesgos de Gestión'!$AH$16="Mayor"),CONCATENATE("R1C",'Riesgos de Gestión'!$V$16),"")</f>
        <v/>
      </c>
      <c r="AF16" s="30" t="str">
        <f>IF(AND('Riesgos de Gestión'!$AF$17="Alta",'Riesgos de Gestión'!$AH$17="Mayor"),CONCATENATE("R1C",'Riesgos de Gestión'!$V$17),"")</f>
        <v/>
      </c>
      <c r="AG16" s="31" t="str">
        <f>IF(AND('Riesgos de Gestión'!$AF$18="Alta",'Riesgos de Gestión'!$AH$18="Mayor"),CONCATENATE("R1C",'Riesgos de Gestión'!$V$18),"")</f>
        <v/>
      </c>
      <c r="AH16" s="32" t="str">
        <f>IF(AND('Riesgos de Gestión'!$AF$13="Alta",'Riesgos de Gestión'!$AH$13="Catastrófico"),CONCATENATE("R1C",'Riesgos de Gestión'!$V$13),"")</f>
        <v/>
      </c>
      <c r="AI16" s="33" t="str">
        <f>IF(AND('Riesgos de Gestión'!$AF$14="Alta",'Riesgos de Gestión'!$AH$14="Catastrófico"),CONCATENATE("R1C",'Riesgos de Gestión'!$V$14),"")</f>
        <v/>
      </c>
      <c r="AJ16" s="33" t="str">
        <f>IF(AND('Riesgos de Gestión'!$AF$15="Alta",'Riesgos de Gestión'!$AH$15="Catastrófico"),CONCATENATE("R1C",'Riesgos de Gestión'!$V$15),"")</f>
        <v/>
      </c>
      <c r="AK16" s="33" t="str">
        <f>IF(AND('Riesgos de Gestión'!$AF$16="Alta",'Riesgos de Gestión'!$AH$16="Catastrófico"),CONCATENATE("R1C",'Riesgos de Gestión'!$V$16),"")</f>
        <v/>
      </c>
      <c r="AL16" s="33" t="str">
        <f>IF(AND('Riesgos de Gestión'!$AF$17="Alta",'Riesgos de Gestión'!$AH$17="Catastrófico"),CONCATENATE("R1C",'Riesgos de Gestión'!$V$17),"")</f>
        <v/>
      </c>
      <c r="AM16" s="34" t="str">
        <f>IF(AND('Riesgos de Gestión'!$AF$18="Alta",'Riesgos de Gestión'!$AH$18="Catastrófico"),CONCATENATE("R1C",'Riesgos de Gestión'!$V$18),"")</f>
        <v/>
      </c>
      <c r="AN16" s="66"/>
      <c r="AO16" s="535" t="s">
        <v>318</v>
      </c>
      <c r="AP16" s="536"/>
      <c r="AQ16" s="536"/>
      <c r="AR16" s="536"/>
      <c r="AS16" s="536"/>
      <c r="AT16" s="537"/>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row>
    <row r="17" spans="1:76" ht="15" customHeight="1" x14ac:dyDescent="0.2">
      <c r="A17" s="66"/>
      <c r="B17" s="487"/>
      <c r="C17" s="487"/>
      <c r="D17" s="488"/>
      <c r="E17" s="544"/>
      <c r="F17" s="529"/>
      <c r="G17" s="529"/>
      <c r="H17" s="529"/>
      <c r="I17" s="529"/>
      <c r="J17" s="50" t="str">
        <f>IF(AND('Riesgos de Gestión'!$AF$19="Alta",'Riesgos de Gestión'!$AH$19="Leve"),CONCATENATE("R2C",'Riesgos de Gestión'!$V$19),"")</f>
        <v/>
      </c>
      <c r="K17" s="51" t="str">
        <f>IF(AND('Riesgos de Gestión'!$AF$20="Alta",'Riesgos de Gestión'!$AH$20="Leve"),CONCATENATE("R2C",'Riesgos de Gestión'!$V$20),"")</f>
        <v/>
      </c>
      <c r="L17" s="51" t="str">
        <f>IF(AND('Riesgos de Gestión'!$AF$21="Alta",'Riesgos de Gestión'!$AH$21="Leve"),CONCATENATE("R2C",'Riesgos de Gestión'!$V$21),"")</f>
        <v/>
      </c>
      <c r="M17" s="51" t="str">
        <f>IF(AND('Riesgos de Gestión'!$AF$22="Alta",'Riesgos de Gestión'!$AH$22="Leve"),CONCATENATE("R2C",'Riesgos de Gestión'!$V$22),"")</f>
        <v/>
      </c>
      <c r="N17" s="51" t="str">
        <f>IF(AND('Riesgos de Gestión'!$AF$23="Alta",'Riesgos de Gestión'!$AH$23="Leve"),CONCATENATE("R2C",'Riesgos de Gestión'!$V$23),"")</f>
        <v/>
      </c>
      <c r="O17" s="52" t="str">
        <f>IF(AND('Riesgos de Gestión'!$AF$24="Alta",'Riesgos de Gestión'!$AH$24="Leve"),CONCATENATE("R2C",'Riesgos de Gestión'!$V$24),"")</f>
        <v/>
      </c>
      <c r="P17" s="50" t="str">
        <f>IF(AND('Riesgos de Gestión'!$AF$19="Alta",'Riesgos de Gestión'!$AH$19="Menor"),CONCATENATE("R2C",'Riesgos de Gestión'!$V$19),"")</f>
        <v/>
      </c>
      <c r="Q17" s="51" t="str">
        <f>IF(AND('Riesgos de Gestión'!$AF$20="Alta",'Riesgos de Gestión'!$AH$20="Menor"),CONCATENATE("R2C",'Riesgos de Gestión'!$V$20),"")</f>
        <v/>
      </c>
      <c r="R17" s="51" t="str">
        <f>IF(AND('Riesgos de Gestión'!$AF$21="Alta",'Riesgos de Gestión'!$AH$21="Menor"),CONCATENATE("R2C",'Riesgos de Gestión'!$V$21),"")</f>
        <v/>
      </c>
      <c r="S17" s="51" t="str">
        <f>IF(AND('Riesgos de Gestión'!$AF$22="Alta",'Riesgos de Gestión'!$AH$22="Menor"),CONCATENATE("R2C",'Riesgos de Gestión'!$V$22),"")</f>
        <v/>
      </c>
      <c r="T17" s="51" t="str">
        <f>IF(AND('Riesgos de Gestión'!$AF$23="Alta",'Riesgos de Gestión'!$AH$23="Menor"),CONCATENATE("R2C",'Riesgos de Gestión'!$V$23),"")</f>
        <v/>
      </c>
      <c r="U17" s="52" t="str">
        <f>IF(AND('Riesgos de Gestión'!$AF$24="Alta",'Riesgos de Gestión'!$AH$24="Menor"),CONCATENATE("R2C",'Riesgos de Gestión'!$V$24),"")</f>
        <v/>
      </c>
      <c r="V17" s="35" t="str">
        <f>IF(AND('Riesgos de Gestión'!$AF$19="Alta",'Riesgos de Gestión'!$AH$19="Moderado"),CONCATENATE("R2C",'Riesgos de Gestión'!$V$19),"")</f>
        <v/>
      </c>
      <c r="W17" s="36" t="str">
        <f>IF(AND('Riesgos de Gestión'!$AF$20="Alta",'Riesgos de Gestión'!$AH$20="Moderado"),CONCATENATE("R2C",'Riesgos de Gestión'!$V$20),"")</f>
        <v/>
      </c>
      <c r="X17" s="36" t="str">
        <f>IF(AND('Riesgos de Gestión'!$AF$21="Alta",'Riesgos de Gestión'!$AH$21="Moderado"),CONCATENATE("R2C",'Riesgos de Gestión'!$V$21),"")</f>
        <v/>
      </c>
      <c r="Y17" s="36" t="str">
        <f>IF(AND('Riesgos de Gestión'!$AF$22="Alta",'Riesgos de Gestión'!$AH$22="Moderado"),CONCATENATE("R2C",'Riesgos de Gestión'!$V$22),"")</f>
        <v/>
      </c>
      <c r="Z17" s="36" t="str">
        <f>IF(AND('Riesgos de Gestión'!$AF$23="Alta",'Riesgos de Gestión'!$AH$23="Moderado"),CONCATENATE("R2C",'Riesgos de Gestión'!$V$23),"")</f>
        <v/>
      </c>
      <c r="AA17" s="37" t="str">
        <f>IF(AND('Riesgos de Gestión'!$AF$24="Alta",'Riesgos de Gestión'!$AH$24="Moderado"),CONCATENATE("R2C",'Riesgos de Gestión'!$V$24),"")</f>
        <v/>
      </c>
      <c r="AB17" s="35" t="str">
        <f>IF(AND('Riesgos de Gestión'!$AF$19="Alta",'Riesgos de Gestión'!$AH$19="Mayor"),CONCATENATE("R2C",'Riesgos de Gestión'!$V$19),"")</f>
        <v/>
      </c>
      <c r="AC17" s="36" t="str">
        <f>IF(AND('Riesgos de Gestión'!$AF$20="Alta",'Riesgos de Gestión'!$AH$20="Mayor"),CONCATENATE("R2C",'Riesgos de Gestión'!$V$20),"")</f>
        <v/>
      </c>
      <c r="AD17" s="36" t="str">
        <f>IF(AND('Riesgos de Gestión'!$AF$21="Alta",'Riesgos de Gestión'!$AH$21="Mayor"),CONCATENATE("R2C",'Riesgos de Gestión'!$V$21),"")</f>
        <v/>
      </c>
      <c r="AE17" s="36" t="str">
        <f>IF(AND('Riesgos de Gestión'!$AF$22="Alta",'Riesgos de Gestión'!$AH$22="Mayor"),CONCATENATE("R2C",'Riesgos de Gestión'!$V$22),"")</f>
        <v/>
      </c>
      <c r="AF17" s="36" t="str">
        <f>IF(AND('Riesgos de Gestión'!$AF$23="Alta",'Riesgos de Gestión'!$AH$23="Mayor"),CONCATENATE("R2C",'Riesgos de Gestión'!$V$23),"")</f>
        <v/>
      </c>
      <c r="AG17" s="37" t="str">
        <f>IF(AND('Riesgos de Gestión'!$AF$24="Alta",'Riesgos de Gestión'!$AH$24="Mayor"),CONCATENATE("R2C",'Riesgos de Gestión'!$V$24),"")</f>
        <v/>
      </c>
      <c r="AH17" s="38" t="str">
        <f>IF(AND('Riesgos de Gestión'!$AF$19="Alta",'Riesgos de Gestión'!$AH$19="Catastrófico"),CONCATENATE("R2C",'Riesgos de Gestión'!$V$19),"")</f>
        <v/>
      </c>
      <c r="AI17" s="39" t="str">
        <f>IF(AND('Riesgos de Gestión'!$AF$20="Alta",'Riesgos de Gestión'!$AH$20="Catastrófico"),CONCATENATE("R2C",'Riesgos de Gestión'!$V$20),"")</f>
        <v/>
      </c>
      <c r="AJ17" s="39" t="str">
        <f>IF(AND('Riesgos de Gestión'!$AF$21="Alta",'Riesgos de Gestión'!$AH$21="Catastrófico"),CONCATENATE("R2C",'Riesgos de Gestión'!$V$21),"")</f>
        <v/>
      </c>
      <c r="AK17" s="39" t="str">
        <f>IF(AND('Riesgos de Gestión'!$AF$22="Alta",'Riesgos de Gestión'!$AH$22="Catastrófico"),CONCATENATE("R2C",'Riesgos de Gestión'!$V$22),"")</f>
        <v/>
      </c>
      <c r="AL17" s="39" t="str">
        <f>IF(AND('Riesgos de Gestión'!$AF$23="Alta",'Riesgos de Gestión'!$AH$23="Catastrófico"),CONCATENATE("R2C",'Riesgos de Gestión'!$V$23),"")</f>
        <v/>
      </c>
      <c r="AM17" s="40" t="str">
        <f>IF(AND('Riesgos de Gestión'!$AF$24="Alta",'Riesgos de Gestión'!$AH$24="Catastrófico"),CONCATENATE("R2C",'Riesgos de Gestión'!$V$24),"")</f>
        <v/>
      </c>
      <c r="AN17" s="66"/>
      <c r="AO17" s="538"/>
      <c r="AP17" s="539"/>
      <c r="AQ17" s="539"/>
      <c r="AR17" s="539"/>
      <c r="AS17" s="539"/>
      <c r="AT17" s="540"/>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row>
    <row r="18" spans="1:76" ht="15" customHeight="1" x14ac:dyDescent="0.2">
      <c r="A18" s="66"/>
      <c r="B18" s="487"/>
      <c r="C18" s="487"/>
      <c r="D18" s="488"/>
      <c r="E18" s="528"/>
      <c r="F18" s="529"/>
      <c r="G18" s="529"/>
      <c r="H18" s="529"/>
      <c r="I18" s="529"/>
      <c r="J18" s="50" t="str">
        <f>IF(AND('Riesgos de Gestión'!$AF$25="Alta",'Riesgos de Gestión'!$AH$25="Leve"),CONCATENATE("R3C",'Riesgos de Gestión'!$V$25),"")</f>
        <v/>
      </c>
      <c r="K18" s="51" t="str">
        <f>IF(AND('Riesgos de Gestión'!$AF$26="Alta",'Riesgos de Gestión'!$AH$26="Leve"),CONCATENATE("R3C",'Riesgos de Gestión'!$V$26),"")</f>
        <v/>
      </c>
      <c r="L18" s="51" t="str">
        <f>IF(AND('Riesgos de Gestión'!$AF$27="Alta",'Riesgos de Gestión'!$AH$27="Leve"),CONCATENATE("R3C",'Riesgos de Gestión'!$V$27),"")</f>
        <v/>
      </c>
      <c r="M18" s="51" t="str">
        <f>IF(AND('Riesgos de Gestión'!$AF$28="Alta",'Riesgos de Gestión'!$AH$28="Leve"),CONCATENATE("R3C",'Riesgos de Gestión'!$V$28),"")</f>
        <v/>
      </c>
      <c r="N18" s="51" t="str">
        <f>IF(AND('Riesgos de Gestión'!$AF$29="Alta",'Riesgos de Gestión'!$AH$29="Leve"),CONCATENATE("R3C",'Riesgos de Gestión'!$V$29),"")</f>
        <v/>
      </c>
      <c r="O18" s="52" t="str">
        <f>IF(AND('Riesgos de Gestión'!$AF$30="Alta",'Riesgos de Gestión'!$AH$30="Leve"),CONCATENATE("R3C",'Riesgos de Gestión'!$V$30),"")</f>
        <v/>
      </c>
      <c r="P18" s="50" t="str">
        <f>IF(AND('Riesgos de Gestión'!$AF$25="Alta",'Riesgos de Gestión'!$AH$25="Menor"),CONCATENATE("R3C",'Riesgos de Gestión'!$V$25),"")</f>
        <v/>
      </c>
      <c r="Q18" s="51" t="str">
        <f>IF(AND('Riesgos de Gestión'!$AF$26="Alta",'Riesgos de Gestión'!$AH$26="Menor"),CONCATENATE("R3C",'Riesgos de Gestión'!$V$26),"")</f>
        <v/>
      </c>
      <c r="R18" s="51" t="str">
        <f>IF(AND('Riesgos de Gestión'!$AF$27="Alta",'Riesgos de Gestión'!$AH$27="Menor"),CONCATENATE("R3C",'Riesgos de Gestión'!$V$27),"")</f>
        <v/>
      </c>
      <c r="S18" s="51" t="str">
        <f>IF(AND('Riesgos de Gestión'!$AF$28="Alta",'Riesgos de Gestión'!$AH$28="Menor"),CONCATENATE("R3C",'Riesgos de Gestión'!$V$28),"")</f>
        <v/>
      </c>
      <c r="T18" s="51" t="str">
        <f>IF(AND('Riesgos de Gestión'!$AF$29="Alta",'Riesgos de Gestión'!$AH$29="Menor"),CONCATENATE("R3C",'Riesgos de Gestión'!$V$29),"")</f>
        <v/>
      </c>
      <c r="U18" s="52" t="str">
        <f>IF(AND('Riesgos de Gestión'!$AF$30="Alta",'Riesgos de Gestión'!$AH$30="Menor"),CONCATENATE("R3C",'Riesgos de Gestión'!$V$30),"")</f>
        <v/>
      </c>
      <c r="V18" s="35" t="str">
        <f>IF(AND('Riesgos de Gestión'!$AF$25="Alta",'Riesgos de Gestión'!$AH$25="Moderado"),CONCATENATE("R3C",'Riesgos de Gestión'!$V$25),"")</f>
        <v/>
      </c>
      <c r="W18" s="36" t="str">
        <f>IF(AND('Riesgos de Gestión'!$AF$26="Alta",'Riesgos de Gestión'!$AH$26="Moderado"),CONCATENATE("R3C",'Riesgos de Gestión'!$V$26),"")</f>
        <v/>
      </c>
      <c r="X18" s="36" t="str">
        <f>IF(AND('Riesgos de Gestión'!$AF$27="Alta",'Riesgos de Gestión'!$AH$27="Moderado"),CONCATENATE("R3C",'Riesgos de Gestión'!$V$27),"")</f>
        <v/>
      </c>
      <c r="Y18" s="36" t="str">
        <f>IF(AND('Riesgos de Gestión'!$AF$28="Alta",'Riesgos de Gestión'!$AH$28="Moderado"),CONCATENATE("R3C",'Riesgos de Gestión'!$V$28),"")</f>
        <v/>
      </c>
      <c r="Z18" s="36" t="str">
        <f>IF(AND('Riesgos de Gestión'!$AF$29="Alta",'Riesgos de Gestión'!$AH$29="Moderado"),CONCATENATE("R3C",'Riesgos de Gestión'!$V$29),"")</f>
        <v/>
      </c>
      <c r="AA18" s="37" t="str">
        <f>IF(AND('Riesgos de Gestión'!$AF$30="Alta",'Riesgos de Gestión'!$AH$30="Moderado"),CONCATENATE("R3C",'Riesgos de Gestión'!$V$30),"")</f>
        <v/>
      </c>
      <c r="AB18" s="35" t="str">
        <f>IF(AND('Riesgos de Gestión'!$AF$25="Alta",'Riesgos de Gestión'!$AH$25="Mayor"),CONCATENATE("R3C",'Riesgos de Gestión'!$V$25),"")</f>
        <v/>
      </c>
      <c r="AC18" s="36" t="str">
        <f>IF(AND('Riesgos de Gestión'!$AF$26="Alta",'Riesgos de Gestión'!$AH$26="Mayor"),CONCATENATE("R3C",'Riesgos de Gestión'!$V$26),"")</f>
        <v/>
      </c>
      <c r="AD18" s="36" t="str">
        <f>IF(AND('Riesgos de Gestión'!$AF$27="Alta",'Riesgos de Gestión'!$AH$27="Mayor"),CONCATENATE("R3C",'Riesgos de Gestión'!$V$27),"")</f>
        <v/>
      </c>
      <c r="AE18" s="36" t="str">
        <f>IF(AND('Riesgos de Gestión'!$AF$28="Alta",'Riesgos de Gestión'!$AH$28="Mayor"),CONCATENATE("R3C",'Riesgos de Gestión'!$V$28),"")</f>
        <v/>
      </c>
      <c r="AF18" s="36" t="str">
        <f>IF(AND('Riesgos de Gestión'!$AF$29="Alta",'Riesgos de Gestión'!$AH$29="Mayor"),CONCATENATE("R3C",'Riesgos de Gestión'!$V$29),"")</f>
        <v/>
      </c>
      <c r="AG18" s="37" t="str">
        <f>IF(AND('Riesgos de Gestión'!$AF$30="Alta",'Riesgos de Gestión'!$AH$30="Mayor"),CONCATENATE("R3C",'Riesgos de Gestión'!$V$30),"")</f>
        <v/>
      </c>
      <c r="AH18" s="38" t="str">
        <f>IF(AND('Riesgos de Gestión'!$AF$25="Alta",'Riesgos de Gestión'!$AH$25="Catastrófico"),CONCATENATE("R3C",'Riesgos de Gestión'!$V$25),"")</f>
        <v/>
      </c>
      <c r="AI18" s="39" t="str">
        <f>IF(AND('Riesgos de Gestión'!$AF$26="Alta",'Riesgos de Gestión'!$AH$26="Catastrófico"),CONCATENATE("R3C",'Riesgos de Gestión'!$V$26),"")</f>
        <v/>
      </c>
      <c r="AJ18" s="39" t="str">
        <f>IF(AND('Riesgos de Gestión'!$AF$27="Alta",'Riesgos de Gestión'!$AH$27="Catastrófico"),CONCATENATE("R3C",'Riesgos de Gestión'!$V$27),"")</f>
        <v/>
      </c>
      <c r="AK18" s="39" t="str">
        <f>IF(AND('Riesgos de Gestión'!$AF$28="Alta",'Riesgos de Gestión'!$AH$28="Catastrófico"),CONCATENATE("R3C",'Riesgos de Gestión'!$V$28),"")</f>
        <v/>
      </c>
      <c r="AL18" s="39" t="str">
        <f>IF(AND('Riesgos de Gestión'!$AF$29="Alta",'Riesgos de Gestión'!$AH$29="Catastrófico"),CONCATENATE("R3C",'Riesgos de Gestión'!$V$29),"")</f>
        <v/>
      </c>
      <c r="AM18" s="40" t="str">
        <f>IF(AND('Riesgos de Gestión'!$AF$30="Alta",'Riesgos de Gestión'!$AH$30="Catastrófico"),CONCATENATE("R3C",'Riesgos de Gestión'!$V$30),"")</f>
        <v/>
      </c>
      <c r="AN18" s="66"/>
      <c r="AO18" s="538"/>
      <c r="AP18" s="539"/>
      <c r="AQ18" s="539"/>
      <c r="AR18" s="539"/>
      <c r="AS18" s="539"/>
      <c r="AT18" s="540"/>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row>
    <row r="19" spans="1:76" ht="15" customHeight="1" x14ac:dyDescent="0.2">
      <c r="A19" s="66"/>
      <c r="B19" s="487"/>
      <c r="C19" s="487"/>
      <c r="D19" s="488"/>
      <c r="E19" s="528"/>
      <c r="F19" s="529"/>
      <c r="G19" s="529"/>
      <c r="H19" s="529"/>
      <c r="I19" s="529"/>
      <c r="J19" s="50" t="str">
        <f>IF(AND('Riesgos de Gestión'!$AF$31="Alta",'Riesgos de Gestión'!$AH$31="Leve"),CONCATENATE("R4C",'Riesgos de Gestión'!$V$31),"")</f>
        <v/>
      </c>
      <c r="K19" s="51" t="str">
        <f>IF(AND('Riesgos de Gestión'!$AF$32="Alta",'Riesgos de Gestión'!$AH$32="Leve"),CONCATENATE("R4C",'Riesgos de Gestión'!$V$32),"")</f>
        <v/>
      </c>
      <c r="L19" s="51" t="str">
        <f>IF(AND('Riesgos de Gestión'!$AF$33="Alta",'Riesgos de Gestión'!$AH$33="Leve"),CONCATENATE("R4C",'Riesgos de Gestión'!$V$33),"")</f>
        <v/>
      </c>
      <c r="M19" s="51" t="str">
        <f>IF(AND('Riesgos de Gestión'!$AF$34="Alta",'Riesgos de Gestión'!$AH$34="Leve"),CONCATENATE("R4C",'Riesgos de Gestión'!$V$34),"")</f>
        <v/>
      </c>
      <c r="N19" s="51" t="str">
        <f>IF(AND('Riesgos de Gestión'!$AF$35="Alta",'Riesgos de Gestión'!$AH$35="Leve"),CONCATENATE("R4C",'Riesgos de Gestión'!$V$35),"")</f>
        <v/>
      </c>
      <c r="O19" s="52" t="str">
        <f>IF(AND('Riesgos de Gestión'!$AF$36="Alta",'Riesgos de Gestión'!$AH$36="Leve"),CONCATENATE("R4C",'Riesgos de Gestión'!$V$36),"")</f>
        <v/>
      </c>
      <c r="P19" s="50" t="str">
        <f>IF(AND('Riesgos de Gestión'!$AF$31="Alta",'Riesgos de Gestión'!$AH$31="Menor"),CONCATENATE("R4C",'Riesgos de Gestión'!$V$31),"")</f>
        <v/>
      </c>
      <c r="Q19" s="51" t="str">
        <f>IF(AND('Riesgos de Gestión'!$AF$32="Alta",'Riesgos de Gestión'!$AH$32="Menor"),CONCATENATE("R4C",'Riesgos de Gestión'!$V$32),"")</f>
        <v/>
      </c>
      <c r="R19" s="51" t="str">
        <f>IF(AND('Riesgos de Gestión'!$AF$33="Alta",'Riesgos de Gestión'!$AH$33="Menor"),CONCATENATE("R4C",'Riesgos de Gestión'!$V$33),"")</f>
        <v/>
      </c>
      <c r="S19" s="51" t="str">
        <f>IF(AND('Riesgos de Gestión'!$AF$34="Alta",'Riesgos de Gestión'!$AH$34="Menor"),CONCATENATE("R4C",'Riesgos de Gestión'!$V$34),"")</f>
        <v/>
      </c>
      <c r="T19" s="51" t="str">
        <f>IF(AND('Riesgos de Gestión'!$AF$35="Alta",'Riesgos de Gestión'!$AH$35="Menor"),CONCATENATE("R4C",'Riesgos de Gestión'!$V$35),"")</f>
        <v/>
      </c>
      <c r="U19" s="52" t="str">
        <f>IF(AND('Riesgos de Gestión'!$AF$36="Alta",'Riesgos de Gestión'!$AH$36="Menor"),CONCATENATE("R4C",'Riesgos de Gestión'!$V$36),"")</f>
        <v/>
      </c>
      <c r="V19" s="35" t="str">
        <f>IF(AND('Riesgos de Gestión'!$AF$31="Alta",'Riesgos de Gestión'!$AH$31="Moderado"),CONCATENATE("R4C",'Riesgos de Gestión'!$V$31),"")</f>
        <v/>
      </c>
      <c r="W19" s="36" t="str">
        <f>IF(AND('Riesgos de Gestión'!$AF$32="Alta",'Riesgos de Gestión'!$AH$32="Moderado"),CONCATENATE("R4C",'Riesgos de Gestión'!$V$32),"")</f>
        <v/>
      </c>
      <c r="X19" s="36" t="str">
        <f>IF(AND('Riesgos de Gestión'!$AF$33="Alta",'Riesgos de Gestión'!$AH$33="Moderado"),CONCATENATE("R4C",'Riesgos de Gestión'!$V$33),"")</f>
        <v/>
      </c>
      <c r="Y19" s="36" t="str">
        <f>IF(AND('Riesgos de Gestión'!$AF$34="Alta",'Riesgos de Gestión'!$AH$34="Moderado"),CONCATENATE("R4C",'Riesgos de Gestión'!$V$34),"")</f>
        <v/>
      </c>
      <c r="Z19" s="36" t="str">
        <f>IF(AND('Riesgos de Gestión'!$AF$35="Alta",'Riesgos de Gestión'!$AH$35="Moderado"),CONCATENATE("R4C",'Riesgos de Gestión'!$V$35),"")</f>
        <v/>
      </c>
      <c r="AA19" s="37" t="str">
        <f>IF(AND('Riesgos de Gestión'!$AF$36="Alta",'Riesgos de Gestión'!$AH$36="Moderado"),CONCATENATE("R4C",'Riesgos de Gestión'!$V$36),"")</f>
        <v/>
      </c>
      <c r="AB19" s="35" t="str">
        <f>IF(AND('Riesgos de Gestión'!$AF$31="Alta",'Riesgos de Gestión'!$AH$31="Mayor"),CONCATENATE("R4C",'Riesgos de Gestión'!$V$31),"")</f>
        <v/>
      </c>
      <c r="AC19" s="36" t="str">
        <f>IF(AND('Riesgos de Gestión'!$AF$32="Alta",'Riesgos de Gestión'!$AH$32="Mayor"),CONCATENATE("R4C",'Riesgos de Gestión'!$V$32),"")</f>
        <v/>
      </c>
      <c r="AD19" s="36" t="str">
        <f>IF(AND('Riesgos de Gestión'!$AF$33="Alta",'Riesgos de Gestión'!$AH$33="Mayor"),CONCATENATE("R4C",'Riesgos de Gestión'!$V$33),"")</f>
        <v/>
      </c>
      <c r="AE19" s="36" t="str">
        <f>IF(AND('Riesgos de Gestión'!$AF$34="Alta",'Riesgos de Gestión'!$AH$34="Mayor"),CONCATENATE("R4C",'Riesgos de Gestión'!$V$34),"")</f>
        <v/>
      </c>
      <c r="AF19" s="36" t="str">
        <f>IF(AND('Riesgos de Gestión'!$AF$35="Alta",'Riesgos de Gestión'!$AH$35="Mayor"),CONCATENATE("R4C",'Riesgos de Gestión'!$V$35),"")</f>
        <v/>
      </c>
      <c r="AG19" s="37" t="str">
        <f>IF(AND('Riesgos de Gestión'!$AF$36="Alta",'Riesgos de Gestión'!$AH$36="Mayor"),CONCATENATE("R4C",'Riesgos de Gestión'!$V$36),"")</f>
        <v/>
      </c>
      <c r="AH19" s="38" t="str">
        <f>IF(AND('Riesgos de Gestión'!$AF$31="Alta",'Riesgos de Gestión'!$AH$31="Catastrófico"),CONCATENATE("R4C",'Riesgos de Gestión'!$V$31),"")</f>
        <v/>
      </c>
      <c r="AI19" s="39" t="str">
        <f>IF(AND('Riesgos de Gestión'!$AF$32="Alta",'Riesgos de Gestión'!$AH$32="Catastrófico"),CONCATENATE("R4C",'Riesgos de Gestión'!$V$32),"")</f>
        <v/>
      </c>
      <c r="AJ19" s="39" t="str">
        <f>IF(AND('Riesgos de Gestión'!$AF$33="Alta",'Riesgos de Gestión'!$AH$33="Catastrófico"),CONCATENATE("R4C",'Riesgos de Gestión'!$V$33),"")</f>
        <v/>
      </c>
      <c r="AK19" s="39" t="str">
        <f>IF(AND('Riesgos de Gestión'!$AF$34="Alta",'Riesgos de Gestión'!$AH$34="Catastrófico"),CONCATENATE("R4C",'Riesgos de Gestión'!$V$34),"")</f>
        <v/>
      </c>
      <c r="AL19" s="39" t="str">
        <f>IF(AND('Riesgos de Gestión'!$AF$35="Alta",'Riesgos de Gestión'!$AH$35="Catastrófico"),CONCATENATE("R4C",'Riesgos de Gestión'!$V$35),"")</f>
        <v/>
      </c>
      <c r="AM19" s="40" t="str">
        <f>IF(AND('Riesgos de Gestión'!$AF$36="Alta",'Riesgos de Gestión'!$AH$36="Catastrófico"),CONCATENATE("R4C",'Riesgos de Gestión'!$V$36),"")</f>
        <v/>
      </c>
      <c r="AN19" s="66"/>
      <c r="AO19" s="538"/>
      <c r="AP19" s="539"/>
      <c r="AQ19" s="539"/>
      <c r="AR19" s="539"/>
      <c r="AS19" s="539"/>
      <c r="AT19" s="540"/>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row>
    <row r="20" spans="1:76" ht="15" customHeight="1" x14ac:dyDescent="0.2">
      <c r="A20" s="66"/>
      <c r="B20" s="487"/>
      <c r="C20" s="487"/>
      <c r="D20" s="488"/>
      <c r="E20" s="528"/>
      <c r="F20" s="529"/>
      <c r="G20" s="529"/>
      <c r="H20" s="529"/>
      <c r="I20" s="529"/>
      <c r="J20" s="50" t="str">
        <f>IF(AND('Riesgos de Gestión'!$AF$37="Alta",'Riesgos de Gestión'!$AH$37="Leve"),CONCATENATE("R5C",'Riesgos de Gestión'!$V$37),"")</f>
        <v/>
      </c>
      <c r="K20" s="51" t="str">
        <f>IF(AND('Riesgos de Gestión'!$AF$38="Alta",'Riesgos de Gestión'!$AH$38="Leve"),CONCATENATE("R5C",'Riesgos de Gestión'!$V$38),"")</f>
        <v/>
      </c>
      <c r="L20" s="51" t="str">
        <f>IF(AND('Riesgos de Gestión'!$AF$39="Alta",'Riesgos de Gestión'!$AH$39="Leve"),CONCATENATE("R5C",'Riesgos de Gestión'!$V$39),"")</f>
        <v/>
      </c>
      <c r="M20" s="51" t="str">
        <f>IF(AND('Riesgos de Gestión'!$AF$40="Alta",'Riesgos de Gestión'!$AH$40="Leve"),CONCATENATE("R5C",'Riesgos de Gestión'!$V$40),"")</f>
        <v/>
      </c>
      <c r="N20" s="51" t="str">
        <f>IF(AND('Riesgos de Gestión'!$AF$41="Alta",'Riesgos de Gestión'!$AH$41="Leve"),CONCATENATE("R5C",'Riesgos de Gestión'!$V$41),"")</f>
        <v/>
      </c>
      <c r="O20" s="52" t="str">
        <f>IF(AND('Riesgos de Gestión'!$AF$42="Alta",'Riesgos de Gestión'!$AH$42="Leve"),CONCATENATE("R5C",'Riesgos de Gestión'!$V$42),"")</f>
        <v/>
      </c>
      <c r="P20" s="50" t="str">
        <f>IF(AND('Riesgos de Gestión'!$AF$37="Alta",'Riesgos de Gestión'!$AH$37="Menor"),CONCATENATE("R5C",'Riesgos de Gestión'!$V$37),"")</f>
        <v/>
      </c>
      <c r="Q20" s="51" t="str">
        <f>IF(AND('Riesgos de Gestión'!$AF$38="Alta",'Riesgos de Gestión'!$AH$38="Menor"),CONCATENATE("R5C",'Riesgos de Gestión'!$V$38),"")</f>
        <v/>
      </c>
      <c r="R20" s="51" t="str">
        <f>IF(AND('Riesgos de Gestión'!$AF$39="Alta",'Riesgos de Gestión'!$AH$39="Menor"),CONCATENATE("R5C",'Riesgos de Gestión'!$V$39),"")</f>
        <v/>
      </c>
      <c r="S20" s="51" t="str">
        <f>IF(AND('Riesgos de Gestión'!$AF$40="Alta",'Riesgos de Gestión'!$AH$40="Menor"),CONCATENATE("R5C",'Riesgos de Gestión'!$V$40),"")</f>
        <v/>
      </c>
      <c r="T20" s="51" t="str">
        <f>IF(AND('Riesgos de Gestión'!$AF$41="Alta",'Riesgos de Gestión'!$AH$41="Menor"),CONCATENATE("R5C",'Riesgos de Gestión'!$V$41),"")</f>
        <v/>
      </c>
      <c r="U20" s="52" t="str">
        <f>IF(AND('Riesgos de Gestión'!$AF$42="Alta",'Riesgos de Gestión'!$AH$42="Menor"),CONCATENATE("R5C",'Riesgos de Gestión'!$V$42),"")</f>
        <v/>
      </c>
      <c r="V20" s="35" t="str">
        <f>IF(AND('Riesgos de Gestión'!$AF$37="Alta",'Riesgos de Gestión'!$AH$37="Moderado"),CONCATENATE("R5C",'Riesgos de Gestión'!$V$37),"")</f>
        <v/>
      </c>
      <c r="W20" s="36" t="str">
        <f>IF(AND('Riesgos de Gestión'!$AF$38="Alta",'Riesgos de Gestión'!$AH$38="Moderado"),CONCATENATE("R5C",'Riesgos de Gestión'!$V$38),"")</f>
        <v/>
      </c>
      <c r="X20" s="36" t="str">
        <f>IF(AND('Riesgos de Gestión'!$AF$39="Alta",'Riesgos de Gestión'!$AH$39="Moderado"),CONCATENATE("R5C",'Riesgos de Gestión'!$V$39),"")</f>
        <v/>
      </c>
      <c r="Y20" s="36" t="str">
        <f>IF(AND('Riesgos de Gestión'!$AF$40="Alta",'Riesgos de Gestión'!$AH$40="Moderado"),CONCATENATE("R5C",'Riesgos de Gestión'!$V$40),"")</f>
        <v/>
      </c>
      <c r="Z20" s="36" t="str">
        <f>IF(AND('Riesgos de Gestión'!$AF$41="Alta",'Riesgos de Gestión'!$AH$41="Moderado"),CONCATENATE("R5C",'Riesgos de Gestión'!$V$41),"")</f>
        <v/>
      </c>
      <c r="AA20" s="37" t="str">
        <f>IF(AND('Riesgos de Gestión'!$AF$42="Alta",'Riesgos de Gestión'!$AH$42="Moderado"),CONCATENATE("R5C",'Riesgos de Gestión'!$V$42),"")</f>
        <v/>
      </c>
      <c r="AB20" s="35" t="str">
        <f>IF(AND('Riesgos de Gestión'!$AF$37="Alta",'Riesgos de Gestión'!$AH$37="Mayor"),CONCATENATE("R5C",'Riesgos de Gestión'!$V$37),"")</f>
        <v/>
      </c>
      <c r="AC20" s="36" t="str">
        <f>IF(AND('Riesgos de Gestión'!$AF$38="Alta",'Riesgos de Gestión'!$AH$38="Mayor"),CONCATENATE("R5C",'Riesgos de Gestión'!$V$38),"")</f>
        <v/>
      </c>
      <c r="AD20" s="36" t="str">
        <f>IF(AND('Riesgos de Gestión'!$AF$39="Alta",'Riesgos de Gestión'!$AH$39="Mayor"),CONCATENATE("R5C",'Riesgos de Gestión'!$V$39),"")</f>
        <v/>
      </c>
      <c r="AE20" s="36" t="str">
        <f>IF(AND('Riesgos de Gestión'!$AF$40="Alta",'Riesgos de Gestión'!$AH$40="Mayor"),CONCATENATE("R5C",'Riesgos de Gestión'!$V$40),"")</f>
        <v/>
      </c>
      <c r="AF20" s="36" t="str">
        <f>IF(AND('Riesgos de Gestión'!$AF$41="Alta",'Riesgos de Gestión'!$AH$41="Mayor"),CONCATENATE("R5C",'Riesgos de Gestión'!$V$41),"")</f>
        <v/>
      </c>
      <c r="AG20" s="37" t="str">
        <f>IF(AND('Riesgos de Gestión'!$AF$42="Alta",'Riesgos de Gestión'!$AH$42="Mayor"),CONCATENATE("R5C",'Riesgos de Gestión'!$V$42),"")</f>
        <v/>
      </c>
      <c r="AH20" s="38" t="str">
        <f>IF(AND('Riesgos de Gestión'!$AF$37="Alta",'Riesgos de Gestión'!$AH$37="Catastrófico"),CONCATENATE("R5C",'Riesgos de Gestión'!$V$37),"")</f>
        <v/>
      </c>
      <c r="AI20" s="39" t="str">
        <f>IF(AND('Riesgos de Gestión'!$AF$38="Alta",'Riesgos de Gestión'!$AH$38="Catastrófico"),CONCATENATE("R5C",'Riesgos de Gestión'!$V$38),"")</f>
        <v/>
      </c>
      <c r="AJ20" s="39" t="str">
        <f>IF(AND('Riesgos de Gestión'!$AF$39="Alta",'Riesgos de Gestión'!$AH$39="Catastrófico"),CONCATENATE("R5C",'Riesgos de Gestión'!$V$39),"")</f>
        <v/>
      </c>
      <c r="AK20" s="39" t="str">
        <f>IF(AND('Riesgos de Gestión'!$AF$40="Alta",'Riesgos de Gestión'!$AH$40="Catastrófico"),CONCATENATE("R5C",'Riesgos de Gestión'!$V$40),"")</f>
        <v/>
      </c>
      <c r="AL20" s="39" t="str">
        <f>IF(AND('Riesgos de Gestión'!$AF$41="Alta",'Riesgos de Gestión'!$AH$41="Catastrófico"),CONCATENATE("R5C",'Riesgos de Gestión'!$V$41),"")</f>
        <v/>
      </c>
      <c r="AM20" s="40" t="str">
        <f>IF(AND('Riesgos de Gestión'!$AF$42="Alta",'Riesgos de Gestión'!$AH$42="Catastrófico"),CONCATENATE("R5C",'Riesgos de Gestión'!$V$42),"")</f>
        <v/>
      </c>
      <c r="AN20" s="66"/>
      <c r="AO20" s="538"/>
      <c r="AP20" s="539"/>
      <c r="AQ20" s="539"/>
      <c r="AR20" s="539"/>
      <c r="AS20" s="539"/>
      <c r="AT20" s="540"/>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row>
    <row r="21" spans="1:76" ht="15" customHeight="1" x14ac:dyDescent="0.2">
      <c r="A21" s="66"/>
      <c r="B21" s="487"/>
      <c r="C21" s="487"/>
      <c r="D21" s="488"/>
      <c r="E21" s="528"/>
      <c r="F21" s="529"/>
      <c r="G21" s="529"/>
      <c r="H21" s="529"/>
      <c r="I21" s="529"/>
      <c r="J21" s="50" t="str">
        <f>IF(AND('Riesgos de Gestión'!$AF$43="Alta",'Riesgos de Gestión'!$AH$43="Leve"),CONCATENATE("R6C",'Riesgos de Gestión'!$V$43),"")</f>
        <v/>
      </c>
      <c r="K21" s="51" t="str">
        <f>IF(AND('Riesgos de Gestión'!$AF$44="Alta",'Riesgos de Gestión'!$AH$44="Leve"),CONCATENATE("R6C",'Riesgos de Gestión'!$V$44),"")</f>
        <v/>
      </c>
      <c r="L21" s="51" t="str">
        <f>IF(AND('Riesgos de Gestión'!$AF$45="Alta",'Riesgos de Gestión'!$AH$45="Leve"),CONCATENATE("R6C",'Riesgos de Gestión'!$V$45),"")</f>
        <v/>
      </c>
      <c r="M21" s="51" t="str">
        <f>IF(AND('Riesgos de Gestión'!$AF$46="Alta",'Riesgos de Gestión'!$AH$46="Leve"),CONCATENATE("R6C",'Riesgos de Gestión'!$V$46),"")</f>
        <v/>
      </c>
      <c r="N21" s="51" t="str">
        <f>IF(AND('Riesgos de Gestión'!$AF$47="Alta",'Riesgos de Gestión'!$AH$47="Leve"),CONCATENATE("R6C",'Riesgos de Gestión'!$V$47),"")</f>
        <v/>
      </c>
      <c r="O21" s="52" t="str">
        <f>IF(AND('Riesgos de Gestión'!$AF$48="Alta",'Riesgos de Gestión'!$AH$48="Leve"),CONCATENATE("R6C",'Riesgos de Gestión'!$V$48),"")</f>
        <v/>
      </c>
      <c r="P21" s="50" t="str">
        <f>IF(AND('Riesgos de Gestión'!$AF$43="Alta",'Riesgos de Gestión'!$AH$43="Menor"),CONCATENATE("R6C",'Riesgos de Gestión'!$V$43),"")</f>
        <v/>
      </c>
      <c r="Q21" s="51" t="str">
        <f>IF(AND('Riesgos de Gestión'!$AF$44="Alta",'Riesgos de Gestión'!$AH$44="Menor"),CONCATENATE("R6C",'Riesgos de Gestión'!$V$44),"")</f>
        <v/>
      </c>
      <c r="R21" s="51" t="str">
        <f>IF(AND('Riesgos de Gestión'!$AF$45="Alta",'Riesgos de Gestión'!$AH$45="Menor"),CONCATENATE("R6C",'Riesgos de Gestión'!$V$45),"")</f>
        <v/>
      </c>
      <c r="S21" s="51" t="str">
        <f>IF(AND('Riesgos de Gestión'!$AF$46="Alta",'Riesgos de Gestión'!$AH$46="Menor"),CONCATENATE("R6C",'Riesgos de Gestión'!$V$46),"")</f>
        <v/>
      </c>
      <c r="T21" s="51" t="str">
        <f>IF(AND('Riesgos de Gestión'!$AF$47="Alta",'Riesgos de Gestión'!$AH$47="Menor"),CONCATENATE("R6C",'Riesgos de Gestión'!$V$47),"")</f>
        <v/>
      </c>
      <c r="U21" s="52" t="str">
        <f>IF(AND('Riesgos de Gestión'!$AF$48="Alta",'Riesgos de Gestión'!$AH$48="Menor"),CONCATENATE("R6C",'Riesgos de Gestión'!$V$48),"")</f>
        <v/>
      </c>
      <c r="V21" s="35" t="str">
        <f>IF(AND('Riesgos de Gestión'!$AF$43="Alta",'Riesgos de Gestión'!$AH$43="Moderado"),CONCATENATE("R6C",'Riesgos de Gestión'!$V$43),"")</f>
        <v/>
      </c>
      <c r="W21" s="36" t="str">
        <f>IF(AND('Riesgos de Gestión'!$AF$44="Alta",'Riesgos de Gestión'!$AH$44="Moderado"),CONCATENATE("R6C",'Riesgos de Gestión'!$V$44),"")</f>
        <v/>
      </c>
      <c r="X21" s="36" t="str">
        <f>IF(AND('Riesgos de Gestión'!$AF$45="Alta",'Riesgos de Gestión'!$AH$45="Moderado"),CONCATENATE("R6C",'Riesgos de Gestión'!$V$45),"")</f>
        <v/>
      </c>
      <c r="Y21" s="36" t="str">
        <f>IF(AND('Riesgos de Gestión'!$AF$46="Alta",'Riesgos de Gestión'!$AH$46="Moderado"),CONCATENATE("R6C",'Riesgos de Gestión'!$V$46),"")</f>
        <v/>
      </c>
      <c r="Z21" s="36" t="str">
        <f>IF(AND('Riesgos de Gestión'!$AF$47="Alta",'Riesgos de Gestión'!$AH$47="Moderado"),CONCATENATE("R6C",'Riesgos de Gestión'!$V$47),"")</f>
        <v/>
      </c>
      <c r="AA21" s="37" t="str">
        <f>IF(AND('Riesgos de Gestión'!$AF$48="Alta",'Riesgos de Gestión'!$AH$48="Moderado"),CONCATENATE("R6C",'Riesgos de Gestión'!$V$48),"")</f>
        <v/>
      </c>
      <c r="AB21" s="35" t="str">
        <f>IF(AND('Riesgos de Gestión'!$AF$43="Alta",'Riesgos de Gestión'!$AH$43="Mayor"),CONCATENATE("R6C",'Riesgos de Gestión'!$V$43),"")</f>
        <v/>
      </c>
      <c r="AC21" s="36" t="str">
        <f>IF(AND('Riesgos de Gestión'!$AF$44="Alta",'Riesgos de Gestión'!$AH$44="Mayor"),CONCATENATE("R6C",'Riesgos de Gestión'!$V$44),"")</f>
        <v/>
      </c>
      <c r="AD21" s="36" t="str">
        <f>IF(AND('Riesgos de Gestión'!$AF$45="Alta",'Riesgos de Gestión'!$AH$45="Mayor"),CONCATENATE("R6C",'Riesgos de Gestión'!$V$45),"")</f>
        <v/>
      </c>
      <c r="AE21" s="36" t="str">
        <f>IF(AND('Riesgos de Gestión'!$AF$46="Alta",'Riesgos de Gestión'!$AH$46="Mayor"),CONCATENATE("R6C",'Riesgos de Gestión'!$V$46),"")</f>
        <v/>
      </c>
      <c r="AF21" s="36" t="str">
        <f>IF(AND('Riesgos de Gestión'!$AF$47="Alta",'Riesgos de Gestión'!$AH$47="Mayor"),CONCATENATE("R6C",'Riesgos de Gestión'!$V$47),"")</f>
        <v/>
      </c>
      <c r="AG21" s="37" t="str">
        <f>IF(AND('Riesgos de Gestión'!$AF$48="Alta",'Riesgos de Gestión'!$AH$48="Mayor"),CONCATENATE("R6C",'Riesgos de Gestión'!$V$48),"")</f>
        <v/>
      </c>
      <c r="AH21" s="38" t="str">
        <f>IF(AND('Riesgos de Gestión'!$AF$43="Alta",'Riesgos de Gestión'!$AH$43="Catastrófico"),CONCATENATE("R6C",'Riesgos de Gestión'!$V$43),"")</f>
        <v/>
      </c>
      <c r="AI21" s="39" t="str">
        <f>IF(AND('Riesgos de Gestión'!$AF$44="Alta",'Riesgos de Gestión'!$AH$44="Catastrófico"),CONCATENATE("R6C",'Riesgos de Gestión'!$V$44),"")</f>
        <v/>
      </c>
      <c r="AJ21" s="39" t="str">
        <f>IF(AND('Riesgos de Gestión'!$AF$45="Alta",'Riesgos de Gestión'!$AH$45="Catastrófico"),CONCATENATE("R6C",'Riesgos de Gestión'!$V$45),"")</f>
        <v/>
      </c>
      <c r="AK21" s="39" t="str">
        <f>IF(AND('Riesgos de Gestión'!$AF$46="Alta",'Riesgos de Gestión'!$AH$46="Catastrófico"),CONCATENATE("R6C",'Riesgos de Gestión'!$V$46),"")</f>
        <v/>
      </c>
      <c r="AL21" s="39" t="str">
        <f>IF(AND('Riesgos de Gestión'!$AF$47="Alta",'Riesgos de Gestión'!$AH$47="Catastrófico"),CONCATENATE("R6C",'Riesgos de Gestión'!$V$47),"")</f>
        <v/>
      </c>
      <c r="AM21" s="40" t="str">
        <f>IF(AND('Riesgos de Gestión'!$AF$48="Alta",'Riesgos de Gestión'!$AH$48="Catastrófico"),CONCATENATE("R6C",'Riesgos de Gestión'!$V$48),"")</f>
        <v/>
      </c>
      <c r="AN21" s="66"/>
      <c r="AO21" s="538"/>
      <c r="AP21" s="539"/>
      <c r="AQ21" s="539"/>
      <c r="AR21" s="539"/>
      <c r="AS21" s="539"/>
      <c r="AT21" s="540"/>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row>
    <row r="22" spans="1:76" ht="15" customHeight="1" x14ac:dyDescent="0.2">
      <c r="A22" s="66"/>
      <c r="B22" s="487"/>
      <c r="C22" s="487"/>
      <c r="D22" s="488"/>
      <c r="E22" s="528"/>
      <c r="F22" s="529"/>
      <c r="G22" s="529"/>
      <c r="H22" s="529"/>
      <c r="I22" s="529"/>
      <c r="J22" s="50" t="str">
        <f>IF(AND('Riesgos de Gestión'!$AF$49="Alta",'Riesgos de Gestión'!$AH$49="Leve"),CONCATENATE("R7C",'Riesgos de Gestión'!$V$49),"")</f>
        <v/>
      </c>
      <c r="K22" s="51" t="str">
        <f>IF(AND('Riesgos de Gestión'!$AF$50="Alta",'Riesgos de Gestión'!$AH$50="Leve"),CONCATENATE("R7C",'Riesgos de Gestión'!$V$50),"")</f>
        <v/>
      </c>
      <c r="L22" s="51" t="str">
        <f>IF(AND('Riesgos de Gestión'!$AF$51="Alta",'Riesgos de Gestión'!$AH$51="Leve"),CONCATENATE("R7C",'Riesgos de Gestión'!$V$51),"")</f>
        <v/>
      </c>
      <c r="M22" s="51" t="str">
        <f>IF(AND('Riesgos de Gestión'!$AF$52="Alta",'Riesgos de Gestión'!$AH$52="Leve"),CONCATENATE("R7C",'Riesgos de Gestión'!$V$52),"")</f>
        <v/>
      </c>
      <c r="N22" s="51" t="str">
        <f>IF(AND('Riesgos de Gestión'!$AF$53="Alta",'Riesgos de Gestión'!$AH$53="Leve"),CONCATENATE("R7C",'Riesgos de Gestión'!$V$53),"")</f>
        <v/>
      </c>
      <c r="O22" s="52" t="str">
        <f>IF(AND('Riesgos de Gestión'!$AF$54="Alta",'Riesgos de Gestión'!$AH$54="Leve"),CONCATENATE("R7C",'Riesgos de Gestión'!$V$54),"")</f>
        <v/>
      </c>
      <c r="P22" s="50" t="str">
        <f>IF(AND('Riesgos de Gestión'!$AF$49="Alta",'Riesgos de Gestión'!$AH$49="Menor"),CONCATENATE("R7C",'Riesgos de Gestión'!$V$49),"")</f>
        <v/>
      </c>
      <c r="Q22" s="51" t="str">
        <f>IF(AND('Riesgos de Gestión'!$AF$50="Alta",'Riesgos de Gestión'!$AH$50="Menor"),CONCATENATE("R7C",'Riesgos de Gestión'!$V$50),"")</f>
        <v/>
      </c>
      <c r="R22" s="51" t="str">
        <f>IF(AND('Riesgos de Gestión'!$AF$51="Alta",'Riesgos de Gestión'!$AH$51="Menor"),CONCATENATE("R7C",'Riesgos de Gestión'!$V$51),"")</f>
        <v/>
      </c>
      <c r="S22" s="51" t="str">
        <f>IF(AND('Riesgos de Gestión'!$AF$52="Alta",'Riesgos de Gestión'!$AH$52="Menor"),CONCATENATE("R7C",'Riesgos de Gestión'!$V$52),"")</f>
        <v/>
      </c>
      <c r="T22" s="51" t="str">
        <f>IF(AND('Riesgos de Gestión'!$AF$53="Alta",'Riesgos de Gestión'!$AH$53="Menor"),CONCATENATE("R7C",'Riesgos de Gestión'!$V$53),"")</f>
        <v/>
      </c>
      <c r="U22" s="52" t="str">
        <f>IF(AND('Riesgos de Gestión'!$AF$54="Alta",'Riesgos de Gestión'!$AH$54="Menor"),CONCATENATE("R7C",'Riesgos de Gestión'!$V$54),"")</f>
        <v/>
      </c>
      <c r="V22" s="35" t="str">
        <f>IF(AND('Riesgos de Gestión'!$AF$49="Alta",'Riesgos de Gestión'!$AH$49="Moderado"),CONCATENATE("R7C",'Riesgos de Gestión'!$V$49),"")</f>
        <v/>
      </c>
      <c r="W22" s="36" t="str">
        <f>IF(AND('Riesgos de Gestión'!$AF$50="Alta",'Riesgos de Gestión'!$AH$50="Moderado"),CONCATENATE("R7C",'Riesgos de Gestión'!$V$50),"")</f>
        <v/>
      </c>
      <c r="X22" s="36" t="str">
        <f>IF(AND('Riesgos de Gestión'!$AF$51="Alta",'Riesgos de Gestión'!$AH$51="Moderado"),CONCATENATE("R7C",'Riesgos de Gestión'!$V$51),"")</f>
        <v/>
      </c>
      <c r="Y22" s="36" t="str">
        <f>IF(AND('Riesgos de Gestión'!$AF$52="Alta",'Riesgos de Gestión'!$AH$52="Moderado"),CONCATENATE("R7C",'Riesgos de Gestión'!$V$52),"")</f>
        <v/>
      </c>
      <c r="Z22" s="36" t="str">
        <f>IF(AND('Riesgos de Gestión'!$AF$53="Alta",'Riesgos de Gestión'!$AH$53="Moderado"),CONCATENATE("R7C",'Riesgos de Gestión'!$V$53),"")</f>
        <v/>
      </c>
      <c r="AA22" s="37" t="str">
        <f>IF(AND('Riesgos de Gestión'!$AF$54="Alta",'Riesgos de Gestión'!$AH$54="Moderado"),CONCATENATE("R7C",'Riesgos de Gestión'!$V$54),"")</f>
        <v/>
      </c>
      <c r="AB22" s="35" t="str">
        <f>IF(AND('Riesgos de Gestión'!$AF$49="Alta",'Riesgos de Gestión'!$AH$49="Mayor"),CONCATENATE("R7C",'Riesgos de Gestión'!$V$49),"")</f>
        <v/>
      </c>
      <c r="AC22" s="36" t="str">
        <f>IF(AND('Riesgos de Gestión'!$AF$50="Alta",'Riesgos de Gestión'!$AH$50="Mayor"),CONCATENATE("R7C",'Riesgos de Gestión'!$V$50),"")</f>
        <v/>
      </c>
      <c r="AD22" s="36" t="str">
        <f>IF(AND('Riesgos de Gestión'!$AF$51="Alta",'Riesgos de Gestión'!$AH$51="Mayor"),CONCATENATE("R7C",'Riesgos de Gestión'!$V$51),"")</f>
        <v/>
      </c>
      <c r="AE22" s="36" t="str">
        <f>IF(AND('Riesgos de Gestión'!$AF$52="Alta",'Riesgos de Gestión'!$AH$52="Mayor"),CONCATENATE("R7C",'Riesgos de Gestión'!$V$52),"")</f>
        <v/>
      </c>
      <c r="AF22" s="36" t="str">
        <f>IF(AND('Riesgos de Gestión'!$AF$53="Alta",'Riesgos de Gestión'!$AH$53="Mayor"),CONCATENATE("R7C",'Riesgos de Gestión'!$V$53),"")</f>
        <v/>
      </c>
      <c r="AG22" s="37" t="str">
        <f>IF(AND('Riesgos de Gestión'!$AF$54="Alta",'Riesgos de Gestión'!$AH$54="Mayor"),CONCATENATE("R7C",'Riesgos de Gestión'!$V$54),"")</f>
        <v/>
      </c>
      <c r="AH22" s="38" t="str">
        <f>IF(AND('Riesgos de Gestión'!$AF$49="Alta",'Riesgos de Gestión'!$AH$49="Catastrófico"),CONCATENATE("R7C",'Riesgos de Gestión'!$V$49),"")</f>
        <v/>
      </c>
      <c r="AI22" s="39" t="str">
        <f>IF(AND('Riesgos de Gestión'!$AF$50="Alta",'Riesgos de Gestión'!$AH$50="Catastrófico"),CONCATENATE("R7C",'Riesgos de Gestión'!$V$50),"")</f>
        <v/>
      </c>
      <c r="AJ22" s="39" t="str">
        <f>IF(AND('Riesgos de Gestión'!$AF$51="Alta",'Riesgos de Gestión'!$AH$51="Catastrófico"),CONCATENATE("R7C",'Riesgos de Gestión'!$V$51),"")</f>
        <v/>
      </c>
      <c r="AK22" s="39" t="str">
        <f>IF(AND('Riesgos de Gestión'!$AF$52="Alta",'Riesgos de Gestión'!$AH$52="Catastrófico"),CONCATENATE("R7C",'Riesgos de Gestión'!$V$52),"")</f>
        <v/>
      </c>
      <c r="AL22" s="39" t="str">
        <f>IF(AND('Riesgos de Gestión'!$AF$53="Alta",'Riesgos de Gestión'!$AH$53="Catastrófico"),CONCATENATE("R7C",'Riesgos de Gestión'!$V$53),"")</f>
        <v/>
      </c>
      <c r="AM22" s="40" t="str">
        <f>IF(AND('Riesgos de Gestión'!$AF$54="Alta",'Riesgos de Gestión'!$AH$54="Catastrófico"),CONCATENATE("R7C",'Riesgos de Gestión'!$V$54),"")</f>
        <v/>
      </c>
      <c r="AN22" s="66"/>
      <c r="AO22" s="538"/>
      <c r="AP22" s="539"/>
      <c r="AQ22" s="539"/>
      <c r="AR22" s="539"/>
      <c r="AS22" s="539"/>
      <c r="AT22" s="540"/>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row>
    <row r="23" spans="1:76" ht="15" customHeight="1" x14ac:dyDescent="0.2">
      <c r="A23" s="66"/>
      <c r="B23" s="487"/>
      <c r="C23" s="487"/>
      <c r="D23" s="488"/>
      <c r="E23" s="528"/>
      <c r="F23" s="529"/>
      <c r="G23" s="529"/>
      <c r="H23" s="529"/>
      <c r="I23" s="529"/>
      <c r="J23" s="50" t="str">
        <f>IF(AND('Riesgos de Gestión'!$AF$55="Alta",'Riesgos de Gestión'!$AH$55="Leve"),CONCATENATE("R8C",'Riesgos de Gestión'!$V$55),"")</f>
        <v/>
      </c>
      <c r="K23" s="51" t="str">
        <f>IF(AND('Riesgos de Gestión'!$AF$56="Alta",'Riesgos de Gestión'!$AH$56="Leve"),CONCATENATE("R8C",'Riesgos de Gestión'!$V$56),"")</f>
        <v/>
      </c>
      <c r="L23" s="51" t="str">
        <f>IF(AND('Riesgos de Gestión'!$AF$57="Alta",'Riesgos de Gestión'!$AH$57="Leve"),CONCATENATE("R8C",'Riesgos de Gestión'!$V$57),"")</f>
        <v/>
      </c>
      <c r="M23" s="51" t="str">
        <f>IF(AND('Riesgos de Gestión'!$AF$58="Alta",'Riesgos de Gestión'!$AH$58="Leve"),CONCATENATE("R8C",'Riesgos de Gestión'!$V$58),"")</f>
        <v/>
      </c>
      <c r="N23" s="51" t="str">
        <f>IF(AND('Riesgos de Gestión'!$AF$59="Alta",'Riesgos de Gestión'!$AH$59="Leve"),CONCATENATE("R8C",'Riesgos de Gestión'!$V$59),"")</f>
        <v/>
      </c>
      <c r="O23" s="52" t="str">
        <f>IF(AND('Riesgos de Gestión'!$AF$60="Alta",'Riesgos de Gestión'!$AH$60="Leve"),CONCATENATE("R8C",'Riesgos de Gestión'!$V$60),"")</f>
        <v/>
      </c>
      <c r="P23" s="50" t="str">
        <f>IF(AND('Riesgos de Gestión'!$AF$55="Alta",'Riesgos de Gestión'!$AH$55="Menor"),CONCATENATE("R8C",'Riesgos de Gestión'!$V$55),"")</f>
        <v/>
      </c>
      <c r="Q23" s="51" t="str">
        <f>IF(AND('Riesgos de Gestión'!$AF$56="Alta",'Riesgos de Gestión'!$AH$56="Menor"),CONCATENATE("R8C",'Riesgos de Gestión'!$V$56),"")</f>
        <v/>
      </c>
      <c r="R23" s="51" t="str">
        <f>IF(AND('Riesgos de Gestión'!$AF$57="Alta",'Riesgos de Gestión'!$AH$57="Menor"),CONCATENATE("R8C",'Riesgos de Gestión'!$V$57),"")</f>
        <v/>
      </c>
      <c r="S23" s="51" t="str">
        <f>IF(AND('Riesgos de Gestión'!$AF$58="Alta",'Riesgos de Gestión'!$AH$58="Menor"),CONCATENATE("R8C",'Riesgos de Gestión'!$V$58),"")</f>
        <v/>
      </c>
      <c r="T23" s="51" t="str">
        <f>IF(AND('Riesgos de Gestión'!$AF$59="Alta",'Riesgos de Gestión'!$AH$59="Menor"),CONCATENATE("R8C",'Riesgos de Gestión'!$V$59),"")</f>
        <v/>
      </c>
      <c r="U23" s="52" t="str">
        <f>IF(AND('Riesgos de Gestión'!$AF$60="Alta",'Riesgos de Gestión'!$AH$60="Menor"),CONCATENATE("R8C",'Riesgos de Gestión'!$V$60),"")</f>
        <v/>
      </c>
      <c r="V23" s="35" t="str">
        <f>IF(AND('Riesgos de Gestión'!$AF$55="Alta",'Riesgos de Gestión'!$AH$55="Moderado"),CONCATENATE("R8C",'Riesgos de Gestión'!$V$55),"")</f>
        <v/>
      </c>
      <c r="W23" s="36" t="str">
        <f>IF(AND('Riesgos de Gestión'!$AF$56="Alta",'Riesgos de Gestión'!$AH$56="Moderado"),CONCATENATE("R8C",'Riesgos de Gestión'!$V$56),"")</f>
        <v/>
      </c>
      <c r="X23" s="36" t="str">
        <f>IF(AND('Riesgos de Gestión'!$AF$57="Alta",'Riesgos de Gestión'!$AH$57="Moderado"),CONCATENATE("R8C",'Riesgos de Gestión'!$V$57),"")</f>
        <v/>
      </c>
      <c r="Y23" s="36" t="str">
        <f>IF(AND('Riesgos de Gestión'!$AF$58="Alta",'Riesgos de Gestión'!$AH$58="Moderado"),CONCATENATE("R8C",'Riesgos de Gestión'!$V$58),"")</f>
        <v/>
      </c>
      <c r="Z23" s="36" t="str">
        <f>IF(AND('Riesgos de Gestión'!$AF$59="Alta",'Riesgos de Gestión'!$AH$59="Moderado"),CONCATENATE("R8C",'Riesgos de Gestión'!$V$59),"")</f>
        <v/>
      </c>
      <c r="AA23" s="37" t="str">
        <f>IF(AND('Riesgos de Gestión'!$AF$60="Alta",'Riesgos de Gestión'!$AH$60="Moderado"),CONCATENATE("R8C",'Riesgos de Gestión'!$V$60),"")</f>
        <v/>
      </c>
      <c r="AB23" s="35" t="str">
        <f>IF(AND('Riesgos de Gestión'!$AF$55="Alta",'Riesgos de Gestión'!$AH$55="Mayor"),CONCATENATE("R8C",'Riesgos de Gestión'!$V$55),"")</f>
        <v/>
      </c>
      <c r="AC23" s="36" t="str">
        <f>IF(AND('Riesgos de Gestión'!$AF$56="Alta",'Riesgos de Gestión'!$AH$56="Mayor"),CONCATENATE("R8C",'Riesgos de Gestión'!$V$56),"")</f>
        <v/>
      </c>
      <c r="AD23" s="36" t="str">
        <f>IF(AND('Riesgos de Gestión'!$AF$57="Alta",'Riesgos de Gestión'!$AH$57="Mayor"),CONCATENATE("R8C",'Riesgos de Gestión'!$V$57),"")</f>
        <v/>
      </c>
      <c r="AE23" s="36" t="str">
        <f>IF(AND('Riesgos de Gestión'!$AF$58="Alta",'Riesgos de Gestión'!$AH$58="Mayor"),CONCATENATE("R8C",'Riesgos de Gestión'!$V$58),"")</f>
        <v/>
      </c>
      <c r="AF23" s="36" t="str">
        <f>IF(AND('Riesgos de Gestión'!$AF$59="Alta",'Riesgos de Gestión'!$AH$59="Mayor"),CONCATENATE("R8C",'Riesgos de Gestión'!$V$59),"")</f>
        <v/>
      </c>
      <c r="AG23" s="37" t="str">
        <f>IF(AND('Riesgos de Gestión'!$AF$60="Alta",'Riesgos de Gestión'!$AH$60="Mayor"),CONCATENATE("R8C",'Riesgos de Gestión'!$V$60),"")</f>
        <v/>
      </c>
      <c r="AH23" s="38" t="str">
        <f>IF(AND('Riesgos de Gestión'!$AF$55="Alta",'Riesgos de Gestión'!$AH$55="Catastrófico"),CONCATENATE("R8C",'Riesgos de Gestión'!$V$55),"")</f>
        <v/>
      </c>
      <c r="AI23" s="39" t="str">
        <f>IF(AND('Riesgos de Gestión'!$AF$56="Alta",'Riesgos de Gestión'!$AH$56="Catastrófico"),CONCATENATE("R8C",'Riesgos de Gestión'!$V$56),"")</f>
        <v/>
      </c>
      <c r="AJ23" s="39" t="str">
        <f>IF(AND('Riesgos de Gestión'!$AF$57="Alta",'Riesgos de Gestión'!$AH$57="Catastrófico"),CONCATENATE("R8C",'Riesgos de Gestión'!$V$57),"")</f>
        <v/>
      </c>
      <c r="AK23" s="39" t="str">
        <f>IF(AND('Riesgos de Gestión'!$AF$58="Alta",'Riesgos de Gestión'!$AH$58="Catastrófico"),CONCATENATE("R8C",'Riesgos de Gestión'!$V$58),"")</f>
        <v/>
      </c>
      <c r="AL23" s="39" t="str">
        <f>IF(AND('Riesgos de Gestión'!$AF$59="Alta",'Riesgos de Gestión'!$AH$59="Catastrófico"),CONCATENATE("R8C",'Riesgos de Gestión'!$V$59),"")</f>
        <v/>
      </c>
      <c r="AM23" s="40" t="str">
        <f>IF(AND('Riesgos de Gestión'!$AF$60="Alta",'Riesgos de Gestión'!$AH$60="Catastrófico"),CONCATENATE("R8C",'Riesgos de Gestión'!$V$60),"")</f>
        <v/>
      </c>
      <c r="AN23" s="66"/>
      <c r="AO23" s="538"/>
      <c r="AP23" s="539"/>
      <c r="AQ23" s="539"/>
      <c r="AR23" s="539"/>
      <c r="AS23" s="539"/>
      <c r="AT23" s="540"/>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row>
    <row r="24" spans="1:76" ht="15" customHeight="1" x14ac:dyDescent="0.2">
      <c r="A24" s="66"/>
      <c r="B24" s="487"/>
      <c r="C24" s="487"/>
      <c r="D24" s="488"/>
      <c r="E24" s="528"/>
      <c r="F24" s="529"/>
      <c r="G24" s="529"/>
      <c r="H24" s="529"/>
      <c r="I24" s="529"/>
      <c r="J24" s="50" t="str">
        <f>IF(AND('Riesgos de Gestión'!$AF$61="Alta",'Riesgos de Gestión'!$AH$61="Leve"),CONCATENATE("R9C",'Riesgos de Gestión'!$V$61),"")</f>
        <v/>
      </c>
      <c r="K24" s="51" t="str">
        <f>IF(AND('Riesgos de Gestión'!$AF$62="Alta",'Riesgos de Gestión'!$AH$62="Leve"),CONCATENATE("R9C",'Riesgos de Gestión'!$V$62),"")</f>
        <v/>
      </c>
      <c r="L24" s="51" t="str">
        <f>IF(AND('Riesgos de Gestión'!$AF$63="Alta",'Riesgos de Gestión'!$AH$63="Leve"),CONCATENATE("R9C",'Riesgos de Gestión'!$V$63),"")</f>
        <v/>
      </c>
      <c r="M24" s="51" t="str">
        <f>IF(AND('Riesgos de Gestión'!$AF$64="Alta",'Riesgos de Gestión'!$AH$64="Leve"),CONCATENATE("R9C",'Riesgos de Gestión'!$V$64),"")</f>
        <v/>
      </c>
      <c r="N24" s="51" t="str">
        <f>IF(AND('Riesgos de Gestión'!$AF$65="Alta",'Riesgos de Gestión'!$AH$65="Leve"),CONCATENATE("R9C",'Riesgos de Gestión'!$V$65),"")</f>
        <v/>
      </c>
      <c r="O24" s="52" t="str">
        <f>IF(AND('Riesgos de Gestión'!$AF$66="Alta",'Riesgos de Gestión'!$AH$66="Leve"),CONCATENATE("R9C",'Riesgos de Gestión'!$V$66),"")</f>
        <v/>
      </c>
      <c r="P24" s="50" t="str">
        <f>IF(AND('Riesgos de Gestión'!$AF$61="Alta",'Riesgos de Gestión'!$AH$61="Menor"),CONCATENATE("R9C",'Riesgos de Gestión'!$V$61),"")</f>
        <v/>
      </c>
      <c r="Q24" s="51" t="str">
        <f>IF(AND('Riesgos de Gestión'!$AF$62="Alta",'Riesgos de Gestión'!$AH$62="Menor"),CONCATENATE("R9C",'Riesgos de Gestión'!$V$62),"")</f>
        <v/>
      </c>
      <c r="R24" s="51" t="str">
        <f>IF(AND('Riesgos de Gestión'!$AF$63="Alta",'Riesgos de Gestión'!$AH$63="Menor"),CONCATENATE("R9C",'Riesgos de Gestión'!$V$63),"")</f>
        <v/>
      </c>
      <c r="S24" s="51" t="str">
        <f>IF(AND('Riesgos de Gestión'!$AF$64="Alta",'Riesgos de Gestión'!$AH$64="Menor"),CONCATENATE("R9C",'Riesgos de Gestión'!$V$64),"")</f>
        <v/>
      </c>
      <c r="T24" s="51" t="str">
        <f>IF(AND('Riesgos de Gestión'!$AF$65="Alta",'Riesgos de Gestión'!$AH$65="Menor"),CONCATENATE("R9C",'Riesgos de Gestión'!$V$65),"")</f>
        <v/>
      </c>
      <c r="U24" s="52" t="str">
        <f>IF(AND('Riesgos de Gestión'!$AF$66="Alta",'Riesgos de Gestión'!$AH$66="Menor"),CONCATENATE("R9C",'Riesgos de Gestión'!$V$66),"")</f>
        <v/>
      </c>
      <c r="V24" s="35" t="str">
        <f>IF(AND('Riesgos de Gestión'!$AF$61="Alta",'Riesgos de Gestión'!$AH$61="Moderado"),CONCATENATE("R9C",'Riesgos de Gestión'!$V$61),"")</f>
        <v/>
      </c>
      <c r="W24" s="36" t="str">
        <f>IF(AND('Riesgos de Gestión'!$AF$62="Alta",'Riesgos de Gestión'!$AH$62="Moderado"),CONCATENATE("R9C",'Riesgos de Gestión'!$V$62),"")</f>
        <v/>
      </c>
      <c r="X24" s="36" t="str">
        <f>IF(AND('Riesgos de Gestión'!$AF$63="Alta",'Riesgos de Gestión'!$AH$63="Moderado"),CONCATENATE("R9C",'Riesgos de Gestión'!$V$63),"")</f>
        <v/>
      </c>
      <c r="Y24" s="36" t="str">
        <f>IF(AND('Riesgos de Gestión'!$AF$64="Alta",'Riesgos de Gestión'!$AH$64="Moderado"),CONCATENATE("R9C",'Riesgos de Gestión'!$V$64),"")</f>
        <v/>
      </c>
      <c r="Z24" s="36" t="str">
        <f>IF(AND('Riesgos de Gestión'!$AF$65="Alta",'Riesgos de Gestión'!$AH$65="Moderado"),CONCATENATE("R9C",'Riesgos de Gestión'!$V$65),"")</f>
        <v/>
      </c>
      <c r="AA24" s="37" t="str">
        <f>IF(AND('Riesgos de Gestión'!$AF$66="Alta",'Riesgos de Gestión'!$AH$66="Moderado"),CONCATENATE("R9C",'Riesgos de Gestión'!$V$66),"")</f>
        <v/>
      </c>
      <c r="AB24" s="35" t="str">
        <f>IF(AND('Riesgos de Gestión'!$AF$61="Alta",'Riesgos de Gestión'!$AH$61="Mayor"),CONCATENATE("R9C",'Riesgos de Gestión'!$V$61),"")</f>
        <v/>
      </c>
      <c r="AC24" s="36" t="str">
        <f>IF(AND('Riesgos de Gestión'!$AF$62="Alta",'Riesgos de Gestión'!$AH$62="Mayor"),CONCATENATE("R9C",'Riesgos de Gestión'!$V$62),"")</f>
        <v/>
      </c>
      <c r="AD24" s="36" t="str">
        <f>IF(AND('Riesgos de Gestión'!$AF$63="Alta",'Riesgos de Gestión'!$AH$63="Mayor"),CONCATENATE("R9C",'Riesgos de Gestión'!$V$63),"")</f>
        <v/>
      </c>
      <c r="AE24" s="36" t="str">
        <f>IF(AND('Riesgos de Gestión'!$AF$64="Alta",'Riesgos de Gestión'!$AH$64="Mayor"),CONCATENATE("R9C",'Riesgos de Gestión'!$V$64),"")</f>
        <v/>
      </c>
      <c r="AF24" s="36" t="str">
        <f>IF(AND('Riesgos de Gestión'!$AF$65="Alta",'Riesgos de Gestión'!$AH$65="Mayor"),CONCATENATE("R9C",'Riesgos de Gestión'!$V$65),"")</f>
        <v/>
      </c>
      <c r="AG24" s="37" t="str">
        <f>IF(AND('Riesgos de Gestión'!$AF$66="Alta",'Riesgos de Gestión'!$AH$66="Mayor"),CONCATENATE("R9C",'Riesgos de Gestión'!$V$66),"")</f>
        <v/>
      </c>
      <c r="AH24" s="38" t="str">
        <f>IF(AND('Riesgos de Gestión'!$AF$61="Alta",'Riesgos de Gestión'!$AH$61="Catastrófico"),CONCATENATE("R9C",'Riesgos de Gestión'!$V$61),"")</f>
        <v/>
      </c>
      <c r="AI24" s="39" t="str">
        <f>IF(AND('Riesgos de Gestión'!$AF$62="Alta",'Riesgos de Gestión'!$AH$62="Catastrófico"),CONCATENATE("R9C",'Riesgos de Gestión'!$V$62),"")</f>
        <v/>
      </c>
      <c r="AJ24" s="39" t="str">
        <f>IF(AND('Riesgos de Gestión'!$AF$63="Alta",'Riesgos de Gestión'!$AH$63="Catastrófico"),CONCATENATE("R9C",'Riesgos de Gestión'!$V$63),"")</f>
        <v/>
      </c>
      <c r="AK24" s="39" t="str">
        <f>IF(AND('Riesgos de Gestión'!$AF$64="Alta",'Riesgos de Gestión'!$AH$64="Catastrófico"),CONCATENATE("R9C",'Riesgos de Gestión'!$V$64),"")</f>
        <v/>
      </c>
      <c r="AL24" s="39" t="str">
        <f>IF(AND('Riesgos de Gestión'!$AF$65="Alta",'Riesgos de Gestión'!$AH$65="Catastrófico"),CONCATENATE("R9C",'Riesgos de Gestión'!$V$65),"")</f>
        <v/>
      </c>
      <c r="AM24" s="40" t="str">
        <f>IF(AND('Riesgos de Gestión'!$AF$66="Alta",'Riesgos de Gestión'!$AH$66="Catastrófico"),CONCATENATE("R9C",'Riesgos de Gestión'!$V$66),"")</f>
        <v/>
      </c>
      <c r="AN24" s="66"/>
      <c r="AO24" s="538"/>
      <c r="AP24" s="539"/>
      <c r="AQ24" s="539"/>
      <c r="AR24" s="539"/>
      <c r="AS24" s="539"/>
      <c r="AT24" s="540"/>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row>
    <row r="25" spans="1:76" ht="15.75" customHeight="1" thickBot="1" x14ac:dyDescent="0.25">
      <c r="A25" s="66"/>
      <c r="B25" s="487"/>
      <c r="C25" s="487"/>
      <c r="D25" s="488"/>
      <c r="E25" s="531"/>
      <c r="F25" s="532"/>
      <c r="G25" s="532"/>
      <c r="H25" s="532"/>
      <c r="I25" s="532"/>
      <c r="J25" s="53" t="str">
        <f>IF(AND('Riesgos de Gestión'!$AF$67="Alta",'Riesgos de Gestión'!$AH$67="Leve"),CONCATENATE("R10C",'Riesgos de Gestión'!$V$67),"")</f>
        <v/>
      </c>
      <c r="K25" s="54" t="str">
        <f>IF(AND('Riesgos de Gestión'!$AF$68="Alta",'Riesgos de Gestión'!$AH$68="Leve"),CONCATENATE("R10C",'Riesgos de Gestión'!$V$68),"")</f>
        <v/>
      </c>
      <c r="L25" s="54" t="str">
        <f>IF(AND('Riesgos de Gestión'!$AF$69="Alta",'Riesgos de Gestión'!$AH$69="Leve"),CONCATENATE("R10C",'Riesgos de Gestión'!$V$69),"")</f>
        <v/>
      </c>
      <c r="M25" s="54" t="str">
        <f>IF(AND('Riesgos de Gestión'!$AF$70="Alta",'Riesgos de Gestión'!$AH$70="Leve"),CONCATENATE("R10C",'Riesgos de Gestión'!$V$70),"")</f>
        <v/>
      </c>
      <c r="N25" s="54" t="str">
        <f>IF(AND('Riesgos de Gestión'!$AF$71="Alta",'Riesgos de Gestión'!$AH$71="Leve"),CONCATENATE("R10C",'Riesgos de Gestión'!$V$71),"")</f>
        <v/>
      </c>
      <c r="O25" s="55" t="str">
        <f>IF(AND('Riesgos de Gestión'!$AF$72="Alta",'Riesgos de Gestión'!$AH$72="Leve"),CONCATENATE("R10C",'Riesgos de Gestión'!$V$72),"")</f>
        <v/>
      </c>
      <c r="P25" s="53" t="str">
        <f>IF(AND('Riesgos de Gestión'!$AF$67="Alta",'Riesgos de Gestión'!$AH$67="Menor"),CONCATENATE("R10C",'Riesgos de Gestión'!$V$67),"")</f>
        <v/>
      </c>
      <c r="Q25" s="54" t="str">
        <f>IF(AND('Riesgos de Gestión'!$AF$68="Alta",'Riesgos de Gestión'!$AH$68="Menor"),CONCATENATE("R10C",'Riesgos de Gestión'!$V$68),"")</f>
        <v/>
      </c>
      <c r="R25" s="54" t="str">
        <f>IF(AND('Riesgos de Gestión'!$AF$69="Alta",'Riesgos de Gestión'!$AH$69="Menor"),CONCATENATE("R10C",'Riesgos de Gestión'!$V$69),"")</f>
        <v/>
      </c>
      <c r="S25" s="54" t="str">
        <f>IF(AND('Riesgos de Gestión'!$AF$70="Alta",'Riesgos de Gestión'!$AH$70="Menor"),CONCATENATE("R10C",'Riesgos de Gestión'!$V$70),"")</f>
        <v/>
      </c>
      <c r="T25" s="54" t="str">
        <f>IF(AND('Riesgos de Gestión'!$AF$71="Alta",'Riesgos de Gestión'!$AH$71="Menor"),CONCATENATE("R10C",'Riesgos de Gestión'!$V$71),"")</f>
        <v/>
      </c>
      <c r="U25" s="55" t="str">
        <f>IF(AND('Riesgos de Gestión'!$AF$72="Alta",'Riesgos de Gestión'!$AH$72="Menor"),CONCATENATE("R10C",'Riesgos de Gestión'!$V$72),"")</f>
        <v/>
      </c>
      <c r="V25" s="41" t="str">
        <f>IF(AND('Riesgos de Gestión'!$AF$67="Alta",'Riesgos de Gestión'!$AH$67="Moderado"),CONCATENATE("R10C",'Riesgos de Gestión'!$V$67),"")</f>
        <v/>
      </c>
      <c r="W25" s="42" t="str">
        <f>IF(AND('Riesgos de Gestión'!$AF$68="Alta",'Riesgos de Gestión'!$AH$68="Moderado"),CONCATENATE("R10C",'Riesgos de Gestión'!$V$68),"")</f>
        <v/>
      </c>
      <c r="X25" s="42" t="str">
        <f>IF(AND('Riesgos de Gestión'!$AF$69="Alta",'Riesgos de Gestión'!$AH$69="Moderado"),CONCATENATE("R10C",'Riesgos de Gestión'!$V$69),"")</f>
        <v/>
      </c>
      <c r="Y25" s="42" t="str">
        <f>IF(AND('Riesgos de Gestión'!$AF$70="Alta",'Riesgos de Gestión'!$AH$70="Moderado"),CONCATENATE("R10C",'Riesgos de Gestión'!$V$70),"")</f>
        <v/>
      </c>
      <c r="Z25" s="42" t="str">
        <f>IF(AND('Riesgos de Gestión'!$AF$71="Alta",'Riesgos de Gestión'!$AH$71="Moderado"),CONCATENATE("R10C",'Riesgos de Gestión'!$V$71),"")</f>
        <v/>
      </c>
      <c r="AA25" s="43" t="str">
        <f>IF(AND('Riesgos de Gestión'!$AF$72="Alta",'Riesgos de Gestión'!$AH$72="Moderado"),CONCATENATE("R10C",'Riesgos de Gestión'!$V$72),"")</f>
        <v/>
      </c>
      <c r="AB25" s="41" t="str">
        <f>IF(AND('Riesgos de Gestión'!$AF$67="Alta",'Riesgos de Gestión'!$AH$67="Mayor"),CONCATENATE("R10C",'Riesgos de Gestión'!$V$67),"")</f>
        <v/>
      </c>
      <c r="AC25" s="42" t="str">
        <f>IF(AND('Riesgos de Gestión'!$AF$68="Alta",'Riesgos de Gestión'!$AH$68="Mayor"),CONCATENATE("R10C",'Riesgos de Gestión'!$V$68),"")</f>
        <v/>
      </c>
      <c r="AD25" s="42" t="str">
        <f>IF(AND('Riesgos de Gestión'!$AF$69="Alta",'Riesgos de Gestión'!$AH$69="Mayor"),CONCATENATE("R10C",'Riesgos de Gestión'!$V$69),"")</f>
        <v/>
      </c>
      <c r="AE25" s="42" t="str">
        <f>IF(AND('Riesgos de Gestión'!$AF$70="Alta",'Riesgos de Gestión'!$AH$70="Mayor"),CONCATENATE("R10C",'Riesgos de Gestión'!$V$70),"")</f>
        <v/>
      </c>
      <c r="AF25" s="42" t="str">
        <f>IF(AND('Riesgos de Gestión'!$AF$71="Alta",'Riesgos de Gestión'!$AH$71="Mayor"),CONCATENATE("R10C",'Riesgos de Gestión'!$V$71),"")</f>
        <v/>
      </c>
      <c r="AG25" s="43" t="str">
        <f>IF(AND('Riesgos de Gestión'!$AF$72="Alta",'Riesgos de Gestión'!$AH$72="Mayor"),CONCATENATE("R10C",'Riesgos de Gestión'!$V$72),"")</f>
        <v/>
      </c>
      <c r="AH25" s="44" t="str">
        <f>IF(AND('Riesgos de Gestión'!$AF$67="Alta",'Riesgos de Gestión'!$AH$67="Catastrófico"),CONCATENATE("R10C",'Riesgos de Gestión'!$V$67),"")</f>
        <v/>
      </c>
      <c r="AI25" s="45" t="str">
        <f>IF(AND('Riesgos de Gestión'!$AF$68="Alta",'Riesgos de Gestión'!$AH$68="Catastrófico"),CONCATENATE("R10C",'Riesgos de Gestión'!$V$68),"")</f>
        <v/>
      </c>
      <c r="AJ25" s="45" t="str">
        <f>IF(AND('Riesgos de Gestión'!$AF$69="Alta",'Riesgos de Gestión'!$AH$69="Catastrófico"),CONCATENATE("R10C",'Riesgos de Gestión'!$V$69),"")</f>
        <v/>
      </c>
      <c r="AK25" s="45" t="str">
        <f>IF(AND('Riesgos de Gestión'!$AF$70="Alta",'Riesgos de Gestión'!$AH$70="Catastrófico"),CONCATENATE("R10C",'Riesgos de Gestión'!$V$70),"")</f>
        <v/>
      </c>
      <c r="AL25" s="45" t="str">
        <f>IF(AND('Riesgos de Gestión'!$AF$71="Alta",'Riesgos de Gestión'!$AH$71="Catastrófico"),CONCATENATE("R10C",'Riesgos de Gestión'!$V$71),"")</f>
        <v/>
      </c>
      <c r="AM25" s="46" t="str">
        <f>IF(AND('Riesgos de Gestión'!$AF$72="Alta",'Riesgos de Gestión'!$AH$72="Catastrófico"),CONCATENATE("R10C",'Riesgos de Gestión'!$V$72),"")</f>
        <v/>
      </c>
      <c r="AN25" s="66"/>
      <c r="AO25" s="541"/>
      <c r="AP25" s="542"/>
      <c r="AQ25" s="542"/>
      <c r="AR25" s="542"/>
      <c r="AS25" s="542"/>
      <c r="AT25" s="543"/>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row>
    <row r="26" spans="1:76" ht="15" customHeight="1" x14ac:dyDescent="0.2">
      <c r="A26" s="66"/>
      <c r="B26" s="487"/>
      <c r="C26" s="487"/>
      <c r="D26" s="488"/>
      <c r="E26" s="525" t="s">
        <v>319</v>
      </c>
      <c r="F26" s="526"/>
      <c r="G26" s="526"/>
      <c r="H26" s="526"/>
      <c r="I26" s="527"/>
      <c r="J26" s="47" t="str">
        <f>IF(AND('Riesgos de Gestión'!$AF$13="Media",'Riesgos de Gestión'!$AH$13="Leve"),CONCATENATE("R1C",'Riesgos de Gestión'!$V$13),"")</f>
        <v/>
      </c>
      <c r="K26" s="48" t="str">
        <f>IF(AND('Riesgos de Gestión'!$AF$14="Media",'Riesgos de Gestión'!$AH$14="Leve"),CONCATENATE("R1C",'Riesgos de Gestión'!$V$14),"")</f>
        <v/>
      </c>
      <c r="L26" s="48" t="str">
        <f>IF(AND('Riesgos de Gestión'!$AF$15="Media",'Riesgos de Gestión'!$AH$15="Leve"),CONCATENATE("R1C",'Riesgos de Gestión'!$V$15),"")</f>
        <v/>
      </c>
      <c r="M26" s="48" t="str">
        <f>IF(AND('Riesgos de Gestión'!$AF$16="Media",'Riesgos de Gestión'!$AH$16="Leve"),CONCATENATE("R1C",'Riesgos de Gestión'!$V$16),"")</f>
        <v/>
      </c>
      <c r="N26" s="48" t="str">
        <f>IF(AND('Riesgos de Gestión'!$AF$17="Media",'Riesgos de Gestión'!$AH$17="Leve"),CONCATENATE("R1C",'Riesgos de Gestión'!$V$17),"")</f>
        <v/>
      </c>
      <c r="O26" s="49" t="str">
        <f>IF(AND('Riesgos de Gestión'!$AF$18="Media",'Riesgos de Gestión'!$AH$18="Leve"),CONCATENATE("R1C",'Riesgos de Gestión'!$V$18),"")</f>
        <v/>
      </c>
      <c r="P26" s="47" t="str">
        <f>IF(AND('Riesgos de Gestión'!$AF$13="Media",'Riesgos de Gestión'!$AH$13="Menor"),CONCATENATE("R1C",'Riesgos de Gestión'!$V$13),"")</f>
        <v/>
      </c>
      <c r="Q26" s="48" t="str">
        <f>IF(AND('Riesgos de Gestión'!$AF$14="Media",'Riesgos de Gestión'!$AH$14="Menor"),CONCATENATE("R1C",'Riesgos de Gestión'!$V$14),"")</f>
        <v/>
      </c>
      <c r="R26" s="48" t="str">
        <f>IF(AND('Riesgos de Gestión'!$AF$15="Media",'Riesgos de Gestión'!$AH$15="Menor"),CONCATENATE("R1C",'Riesgos de Gestión'!$V$15),"")</f>
        <v/>
      </c>
      <c r="S26" s="48" t="str">
        <f>IF(AND('Riesgos de Gestión'!$AF$16="Media",'Riesgos de Gestión'!$AH$16="Menor"),CONCATENATE("R1C",'Riesgos de Gestión'!$V$16),"")</f>
        <v/>
      </c>
      <c r="T26" s="48" t="str">
        <f>IF(AND('Riesgos de Gestión'!$AF$17="Media",'Riesgos de Gestión'!$AH$17="Menor"),CONCATENATE("R1C",'Riesgos de Gestión'!$V$17),"")</f>
        <v/>
      </c>
      <c r="U26" s="49" t="str">
        <f>IF(AND('Riesgos de Gestión'!$AF$18="Media",'Riesgos de Gestión'!$AH$18="Menor"),CONCATENATE("R1C",'Riesgos de Gestión'!$V$18),"")</f>
        <v/>
      </c>
      <c r="V26" s="47" t="str">
        <f>IF(AND('Riesgos de Gestión'!$AF$13="Media",'Riesgos de Gestión'!$AH$13="Moderado"),CONCATENATE("R1C",'Riesgos de Gestión'!$V$13),"")</f>
        <v/>
      </c>
      <c r="W26" s="48" t="str">
        <f>IF(AND('Riesgos de Gestión'!$AF$14="Media",'Riesgos de Gestión'!$AH$14="Moderado"),CONCATENATE("R1C",'Riesgos de Gestión'!$V$14),"")</f>
        <v/>
      </c>
      <c r="X26" s="48" t="str">
        <f>IF(AND('Riesgos de Gestión'!$AF$15="Media",'Riesgos de Gestión'!$AH$15="Moderado"),CONCATENATE("R1C",'Riesgos de Gestión'!$V$15),"")</f>
        <v/>
      </c>
      <c r="Y26" s="48" t="str">
        <f>IF(AND('Riesgos de Gestión'!$AF$16="Media",'Riesgos de Gestión'!$AH$16="Moderado"),CONCATENATE("R1C",'Riesgos de Gestión'!$V$16),"")</f>
        <v/>
      </c>
      <c r="Z26" s="48" t="str">
        <f>IF(AND('Riesgos de Gestión'!$AF$17="Media",'Riesgos de Gestión'!$AH$17="Moderado"),CONCATENATE("R1C",'Riesgos de Gestión'!$V$17),"")</f>
        <v/>
      </c>
      <c r="AA26" s="49" t="str">
        <f>IF(AND('Riesgos de Gestión'!$AF$18="Media",'Riesgos de Gestión'!$AH$18="Moderado"),CONCATENATE("R1C",'Riesgos de Gestión'!$V$18),"")</f>
        <v/>
      </c>
      <c r="AB26" s="29" t="str">
        <f>IF(AND('Riesgos de Gestión'!$AF$13="Media",'Riesgos de Gestión'!$AH$13="Mayor"),CONCATENATE("R1C",'Riesgos de Gestión'!$V$13),"")</f>
        <v/>
      </c>
      <c r="AC26" s="30" t="str">
        <f>IF(AND('Riesgos de Gestión'!$AF$14="Media",'Riesgos de Gestión'!$AH$14="Mayor"),CONCATENATE("R1C",'Riesgos de Gestión'!$V$14),"")</f>
        <v/>
      </c>
      <c r="AD26" s="30" t="str">
        <f>IF(AND('Riesgos de Gestión'!$AF$15="Media",'Riesgos de Gestión'!$AH$15="Mayor"),CONCATENATE("R1C",'Riesgos de Gestión'!$V$15),"")</f>
        <v/>
      </c>
      <c r="AE26" s="30" t="str">
        <f>IF(AND('Riesgos de Gestión'!$AF$16="Media",'Riesgos de Gestión'!$AH$16="Mayor"),CONCATENATE("R1C",'Riesgos de Gestión'!$V$16),"")</f>
        <v/>
      </c>
      <c r="AF26" s="30" t="str">
        <f>IF(AND('Riesgos de Gestión'!$AF$17="Media",'Riesgos de Gestión'!$AH$17="Mayor"),CONCATENATE("R1C",'Riesgos de Gestión'!$V$17),"")</f>
        <v/>
      </c>
      <c r="AG26" s="31" t="str">
        <f>IF(AND('Riesgos de Gestión'!$AF$18="Media",'Riesgos de Gestión'!$AH$18="Mayor"),CONCATENATE("R1C",'Riesgos de Gestión'!$V$18),"")</f>
        <v/>
      </c>
      <c r="AH26" s="32" t="str">
        <f>IF(AND('Riesgos de Gestión'!$AF$13="Media",'Riesgos de Gestión'!$AH$13="Catastrófico"),CONCATENATE("R1C",'Riesgos de Gestión'!$V$13),"")</f>
        <v/>
      </c>
      <c r="AI26" s="33" t="str">
        <f>IF(AND('Riesgos de Gestión'!$AF$14="Media",'Riesgos de Gestión'!$AH$14="Catastrófico"),CONCATENATE("R1C",'Riesgos de Gestión'!$V$14),"")</f>
        <v/>
      </c>
      <c r="AJ26" s="33" t="str">
        <f>IF(AND('Riesgos de Gestión'!$AF$15="Media",'Riesgos de Gestión'!$AH$15="Catastrófico"),CONCATENATE("R1C",'Riesgos de Gestión'!$V$15),"")</f>
        <v/>
      </c>
      <c r="AK26" s="33" t="str">
        <f>IF(AND('Riesgos de Gestión'!$AF$16="Media",'Riesgos de Gestión'!$AH$16="Catastrófico"),CONCATENATE("R1C",'Riesgos de Gestión'!$V$16),"")</f>
        <v/>
      </c>
      <c r="AL26" s="33" t="str">
        <f>IF(AND('Riesgos de Gestión'!$AF$17="Media",'Riesgos de Gestión'!$AH$17="Catastrófico"),CONCATENATE("R1C",'Riesgos de Gestión'!$V$17),"")</f>
        <v/>
      </c>
      <c r="AM26" s="34" t="str">
        <f>IF(AND('Riesgos de Gestión'!$AF$18="Media",'Riesgos de Gestión'!$AH$18="Catastrófico"),CONCATENATE("R1C",'Riesgos de Gestión'!$V$18),"")</f>
        <v/>
      </c>
      <c r="AN26" s="66"/>
      <c r="AO26" s="565" t="s">
        <v>320</v>
      </c>
      <c r="AP26" s="566"/>
      <c r="AQ26" s="566"/>
      <c r="AR26" s="566"/>
      <c r="AS26" s="566"/>
      <c r="AT26" s="567"/>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row>
    <row r="27" spans="1:76" ht="15" customHeight="1" x14ac:dyDescent="0.2">
      <c r="A27" s="66"/>
      <c r="B27" s="487"/>
      <c r="C27" s="487"/>
      <c r="D27" s="488"/>
      <c r="E27" s="544"/>
      <c r="F27" s="529"/>
      <c r="G27" s="529"/>
      <c r="H27" s="529"/>
      <c r="I27" s="530"/>
      <c r="J27" s="50" t="str">
        <f>IF(AND('Riesgos de Gestión'!$AF$19="Media",'Riesgos de Gestión'!$AH$19="Leve"),CONCATENATE("R2C",'Riesgos de Gestión'!$V$19),"")</f>
        <v/>
      </c>
      <c r="K27" s="51" t="str">
        <f>IF(AND('Riesgos de Gestión'!$AF$20="Media",'Riesgos de Gestión'!$AH$20="Leve"),CONCATENATE("R2C",'Riesgos de Gestión'!$V$20),"")</f>
        <v/>
      </c>
      <c r="L27" s="51" t="str">
        <f>IF(AND('Riesgos de Gestión'!$AF$21="Media",'Riesgos de Gestión'!$AH$21="Leve"),CONCATENATE("R2C",'Riesgos de Gestión'!$V$21),"")</f>
        <v/>
      </c>
      <c r="M27" s="51" t="str">
        <f>IF(AND('Riesgos de Gestión'!$AF$22="Media",'Riesgos de Gestión'!$AH$22="Leve"),CONCATENATE("R2C",'Riesgos de Gestión'!$V$22),"")</f>
        <v/>
      </c>
      <c r="N27" s="51" t="str">
        <f>IF(AND('Riesgos de Gestión'!$AF$23="Media",'Riesgos de Gestión'!$AH$23="Leve"),CONCATENATE("R2C",'Riesgos de Gestión'!$V$23),"")</f>
        <v/>
      </c>
      <c r="O27" s="52" t="str">
        <f>IF(AND('Riesgos de Gestión'!$AF$24="Media",'Riesgos de Gestión'!$AH$24="Leve"),CONCATENATE("R2C",'Riesgos de Gestión'!$V$24),"")</f>
        <v/>
      </c>
      <c r="P27" s="50" t="str">
        <f>IF(AND('Riesgos de Gestión'!$AF$19="Media",'Riesgos de Gestión'!$AH$19="Menor"),CONCATENATE("R2C",'Riesgos de Gestión'!$V$19),"")</f>
        <v/>
      </c>
      <c r="Q27" s="51" t="str">
        <f>IF(AND('Riesgos de Gestión'!$AF$20="Media",'Riesgos de Gestión'!$AH$20="Menor"),CONCATENATE("R2C",'Riesgos de Gestión'!$V$20),"")</f>
        <v/>
      </c>
      <c r="R27" s="51" t="str">
        <f>IF(AND('Riesgos de Gestión'!$AF$21="Media",'Riesgos de Gestión'!$AH$21="Menor"),CONCATENATE("R2C",'Riesgos de Gestión'!$V$21),"")</f>
        <v/>
      </c>
      <c r="S27" s="51" t="str">
        <f>IF(AND('Riesgos de Gestión'!$AF$22="Media",'Riesgos de Gestión'!$AH$22="Menor"),CONCATENATE("R2C",'Riesgos de Gestión'!$V$22),"")</f>
        <v/>
      </c>
      <c r="T27" s="51" t="str">
        <f>IF(AND('Riesgos de Gestión'!$AF$23="Media",'Riesgos de Gestión'!$AH$23="Menor"),CONCATENATE("R2C",'Riesgos de Gestión'!$V$23),"")</f>
        <v/>
      </c>
      <c r="U27" s="52" t="str">
        <f>IF(AND('Riesgos de Gestión'!$AF$24="Media",'Riesgos de Gestión'!$AH$24="Menor"),CONCATENATE("R2C",'Riesgos de Gestión'!$V$24),"")</f>
        <v/>
      </c>
      <c r="V27" s="50" t="str">
        <f>IF(AND('Riesgos de Gestión'!$AF$19="Media",'Riesgos de Gestión'!$AH$19="Moderado"),CONCATENATE("R2C",'Riesgos de Gestión'!$V$19),"")</f>
        <v>R2C1</v>
      </c>
      <c r="W27" s="51" t="str">
        <f>IF(AND('Riesgos de Gestión'!$AF$20="Media",'Riesgos de Gestión'!$AH$20="Moderado"),CONCATENATE("R2C",'Riesgos de Gestión'!$V$20),"")</f>
        <v/>
      </c>
      <c r="X27" s="51" t="str">
        <f>IF(AND('Riesgos de Gestión'!$AF$21="Media",'Riesgos de Gestión'!$AH$21="Moderado"),CONCATENATE("R2C",'Riesgos de Gestión'!$V$21),"")</f>
        <v/>
      </c>
      <c r="Y27" s="51" t="str">
        <f>IF(AND('Riesgos de Gestión'!$AF$22="Media",'Riesgos de Gestión'!$AH$22="Moderado"),CONCATENATE("R2C",'Riesgos de Gestión'!$V$22),"")</f>
        <v/>
      </c>
      <c r="Z27" s="51" t="str">
        <f>IF(AND('Riesgos de Gestión'!$AF$23="Media",'Riesgos de Gestión'!$AH$23="Moderado"),CONCATENATE("R2C",'Riesgos de Gestión'!$V$23),"")</f>
        <v/>
      </c>
      <c r="AA27" s="52" t="str">
        <f>IF(AND('Riesgos de Gestión'!$AF$24="Media",'Riesgos de Gestión'!$AH$24="Moderado"),CONCATENATE("R2C",'Riesgos de Gestión'!$V$24),"")</f>
        <v/>
      </c>
      <c r="AB27" s="35" t="str">
        <f>IF(AND('Riesgos de Gestión'!$AF$19="Media",'Riesgos de Gestión'!$AH$19="Mayor"),CONCATENATE("R2C",'Riesgos de Gestión'!$V$19),"")</f>
        <v/>
      </c>
      <c r="AC27" s="36" t="str">
        <f>IF(AND('Riesgos de Gestión'!$AF$20="Media",'Riesgos de Gestión'!$AH$20="Mayor"),CONCATENATE("R2C",'Riesgos de Gestión'!$V$20),"")</f>
        <v/>
      </c>
      <c r="AD27" s="36" t="str">
        <f>IF(AND('Riesgos de Gestión'!$AF$21="Media",'Riesgos de Gestión'!$AH$21="Mayor"),CONCATENATE("R2C",'Riesgos de Gestión'!$V$21),"")</f>
        <v/>
      </c>
      <c r="AE27" s="36" t="str">
        <f>IF(AND('Riesgos de Gestión'!$AF$22="Media",'Riesgos de Gestión'!$AH$22="Mayor"),CONCATENATE("R2C",'Riesgos de Gestión'!$V$22),"")</f>
        <v/>
      </c>
      <c r="AF27" s="36" t="str">
        <f>IF(AND('Riesgos de Gestión'!$AF$23="Media",'Riesgos de Gestión'!$AH$23="Mayor"),CONCATENATE("R2C",'Riesgos de Gestión'!$V$23),"")</f>
        <v/>
      </c>
      <c r="AG27" s="37" t="str">
        <f>IF(AND('Riesgos de Gestión'!$AF$24="Media",'Riesgos de Gestión'!$AH$24="Mayor"),CONCATENATE("R2C",'Riesgos de Gestión'!$V$24),"")</f>
        <v/>
      </c>
      <c r="AH27" s="38" t="str">
        <f>IF(AND('Riesgos de Gestión'!$AF$19="Media",'Riesgos de Gestión'!$AH$19="Catastrófico"),CONCATENATE("R2C",'Riesgos de Gestión'!$V$19),"")</f>
        <v/>
      </c>
      <c r="AI27" s="39" t="str">
        <f>IF(AND('Riesgos de Gestión'!$AF$20="Media",'Riesgos de Gestión'!$AH$20="Catastrófico"),CONCATENATE("R2C",'Riesgos de Gestión'!$V$20),"")</f>
        <v/>
      </c>
      <c r="AJ27" s="39" t="str">
        <f>IF(AND('Riesgos de Gestión'!$AF$21="Media",'Riesgos de Gestión'!$AH$21="Catastrófico"),CONCATENATE("R2C",'Riesgos de Gestión'!$V$21),"")</f>
        <v/>
      </c>
      <c r="AK27" s="39" t="str">
        <f>IF(AND('Riesgos de Gestión'!$AF$22="Media",'Riesgos de Gestión'!$AH$22="Catastrófico"),CONCATENATE("R2C",'Riesgos de Gestión'!$V$22),"")</f>
        <v/>
      </c>
      <c r="AL27" s="39" t="str">
        <f>IF(AND('Riesgos de Gestión'!$AF$23="Media",'Riesgos de Gestión'!$AH$23="Catastrófico"),CONCATENATE("R2C",'Riesgos de Gestión'!$V$23),"")</f>
        <v/>
      </c>
      <c r="AM27" s="40" t="str">
        <f>IF(AND('Riesgos de Gestión'!$AF$24="Media",'Riesgos de Gestión'!$AH$24="Catastrófico"),CONCATENATE("R2C",'Riesgos de Gestión'!$V$24),"")</f>
        <v/>
      </c>
      <c r="AN27" s="66"/>
      <c r="AO27" s="568"/>
      <c r="AP27" s="569"/>
      <c r="AQ27" s="569"/>
      <c r="AR27" s="569"/>
      <c r="AS27" s="569"/>
      <c r="AT27" s="570"/>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row>
    <row r="28" spans="1:76" ht="15" customHeight="1" x14ac:dyDescent="0.2">
      <c r="A28" s="66"/>
      <c r="B28" s="487"/>
      <c r="C28" s="487"/>
      <c r="D28" s="488"/>
      <c r="E28" s="528"/>
      <c r="F28" s="529"/>
      <c r="G28" s="529"/>
      <c r="H28" s="529"/>
      <c r="I28" s="530"/>
      <c r="J28" s="50" t="str">
        <f>IF(AND('Riesgos de Gestión'!$AF$25="Media",'Riesgos de Gestión'!$AH$25="Leve"),CONCATENATE("R3C",'Riesgos de Gestión'!$V$25),"")</f>
        <v/>
      </c>
      <c r="K28" s="51" t="str">
        <f>IF(AND('Riesgos de Gestión'!$AF$26="Media",'Riesgos de Gestión'!$AH$26="Leve"),CONCATENATE("R3C",'Riesgos de Gestión'!$V$26),"")</f>
        <v/>
      </c>
      <c r="L28" s="51" t="str">
        <f>IF(AND('Riesgos de Gestión'!$AF$27="Media",'Riesgos de Gestión'!$AH$27="Leve"),CONCATENATE("R3C",'Riesgos de Gestión'!$V$27),"")</f>
        <v/>
      </c>
      <c r="M28" s="51" t="str">
        <f>IF(AND('Riesgos de Gestión'!$AF$28="Media",'Riesgos de Gestión'!$AH$28="Leve"),CONCATENATE("R3C",'Riesgos de Gestión'!$V$28),"")</f>
        <v/>
      </c>
      <c r="N28" s="51" t="str">
        <f>IF(AND('Riesgos de Gestión'!$AF$29="Media",'Riesgos de Gestión'!$AH$29="Leve"),CONCATENATE("R3C",'Riesgos de Gestión'!$V$29),"")</f>
        <v/>
      </c>
      <c r="O28" s="52" t="str">
        <f>IF(AND('Riesgos de Gestión'!$AF$30="Media",'Riesgos de Gestión'!$AH$30="Leve"),CONCATENATE("R3C",'Riesgos de Gestión'!$V$30),"")</f>
        <v/>
      </c>
      <c r="P28" s="50" t="str">
        <f>IF(AND('Riesgos de Gestión'!$AF$25="Media",'Riesgos de Gestión'!$AH$25="Menor"),CONCATENATE("R3C",'Riesgos de Gestión'!$V$25),"")</f>
        <v/>
      </c>
      <c r="Q28" s="51" t="str">
        <f>IF(AND('Riesgos de Gestión'!$AF$26="Media",'Riesgos de Gestión'!$AH$26="Menor"),CONCATENATE("R3C",'Riesgos de Gestión'!$V$26),"")</f>
        <v/>
      </c>
      <c r="R28" s="51" t="str">
        <f>IF(AND('Riesgos de Gestión'!$AF$27="Media",'Riesgos de Gestión'!$AH$27="Menor"),CONCATENATE("R3C",'Riesgos de Gestión'!$V$27),"")</f>
        <v/>
      </c>
      <c r="S28" s="51" t="str">
        <f>IF(AND('Riesgos de Gestión'!$AF$28="Media",'Riesgos de Gestión'!$AH$28="Menor"),CONCATENATE("R3C",'Riesgos de Gestión'!$V$28),"")</f>
        <v/>
      </c>
      <c r="T28" s="51" t="str">
        <f>IF(AND('Riesgos de Gestión'!$AF$29="Media",'Riesgos de Gestión'!$AH$29="Menor"),CONCATENATE("R3C",'Riesgos de Gestión'!$V$29),"")</f>
        <v/>
      </c>
      <c r="U28" s="52" t="str">
        <f>IF(AND('Riesgos de Gestión'!$AF$30="Media",'Riesgos de Gestión'!$AH$30="Menor"),CONCATENATE("R3C",'Riesgos de Gestión'!$V$30),"")</f>
        <v/>
      </c>
      <c r="V28" s="50" t="str">
        <f>IF(AND('Riesgos de Gestión'!$AF$25="Media",'Riesgos de Gestión'!$AH$25="Moderado"),CONCATENATE("R3C",'Riesgos de Gestión'!$V$25),"")</f>
        <v/>
      </c>
      <c r="W28" s="51" t="str">
        <f>IF(AND('Riesgos de Gestión'!$AF$26="Media",'Riesgos de Gestión'!$AH$26="Moderado"),CONCATENATE("R3C",'Riesgos de Gestión'!$V$26),"")</f>
        <v/>
      </c>
      <c r="X28" s="51" t="str">
        <f>IF(AND('Riesgos de Gestión'!$AF$27="Media",'Riesgos de Gestión'!$AH$27="Moderado"),CONCATENATE("R3C",'Riesgos de Gestión'!$V$27),"")</f>
        <v/>
      </c>
      <c r="Y28" s="51" t="str">
        <f>IF(AND('Riesgos de Gestión'!$AF$28="Media",'Riesgos de Gestión'!$AH$28="Moderado"),CONCATENATE("R3C",'Riesgos de Gestión'!$V$28),"")</f>
        <v/>
      </c>
      <c r="Z28" s="51" t="str">
        <f>IF(AND('Riesgos de Gestión'!$AF$29="Media",'Riesgos de Gestión'!$AH$29="Moderado"),CONCATENATE("R3C",'Riesgos de Gestión'!$V$29),"")</f>
        <v/>
      </c>
      <c r="AA28" s="52" t="str">
        <f>IF(AND('Riesgos de Gestión'!$AF$30="Media",'Riesgos de Gestión'!$AH$30="Moderado"),CONCATENATE("R3C",'Riesgos de Gestión'!$V$30),"")</f>
        <v/>
      </c>
      <c r="AB28" s="35" t="str">
        <f>IF(AND('Riesgos de Gestión'!$AF$25="Media",'Riesgos de Gestión'!$AH$25="Mayor"),CONCATENATE("R3C",'Riesgos de Gestión'!$V$25),"")</f>
        <v/>
      </c>
      <c r="AC28" s="36" t="str">
        <f>IF(AND('Riesgos de Gestión'!$AF$26="Media",'Riesgos de Gestión'!$AH$26="Mayor"),CONCATENATE("R3C",'Riesgos de Gestión'!$V$26),"")</f>
        <v/>
      </c>
      <c r="AD28" s="36" t="str">
        <f>IF(AND('Riesgos de Gestión'!$AF$27="Media",'Riesgos de Gestión'!$AH$27="Mayor"),CONCATENATE("R3C",'Riesgos de Gestión'!$V$27),"")</f>
        <v/>
      </c>
      <c r="AE28" s="36" t="str">
        <f>IF(AND('Riesgos de Gestión'!$AF$28="Media",'Riesgos de Gestión'!$AH$28="Mayor"),CONCATENATE("R3C",'Riesgos de Gestión'!$V$28),"")</f>
        <v/>
      </c>
      <c r="AF28" s="36" t="str">
        <f>IF(AND('Riesgos de Gestión'!$AF$29="Media",'Riesgos de Gestión'!$AH$29="Mayor"),CONCATENATE("R3C",'Riesgos de Gestión'!$V$29),"")</f>
        <v/>
      </c>
      <c r="AG28" s="37" t="str">
        <f>IF(AND('Riesgos de Gestión'!$AF$30="Media",'Riesgos de Gestión'!$AH$30="Mayor"),CONCATENATE("R3C",'Riesgos de Gestión'!$V$30),"")</f>
        <v/>
      </c>
      <c r="AH28" s="38" t="str">
        <f>IF(AND('Riesgos de Gestión'!$AF$25="Media",'Riesgos de Gestión'!$AH$25="Catastrófico"),CONCATENATE("R3C",'Riesgos de Gestión'!$V$25),"")</f>
        <v/>
      </c>
      <c r="AI28" s="39" t="str">
        <f>IF(AND('Riesgos de Gestión'!$AF$26="Media",'Riesgos de Gestión'!$AH$26="Catastrófico"),CONCATENATE("R3C",'Riesgos de Gestión'!$V$26),"")</f>
        <v/>
      </c>
      <c r="AJ28" s="39" t="str">
        <f>IF(AND('Riesgos de Gestión'!$AF$27="Media",'Riesgos de Gestión'!$AH$27="Catastrófico"),CONCATENATE("R3C",'Riesgos de Gestión'!$V$27),"")</f>
        <v/>
      </c>
      <c r="AK28" s="39" t="str">
        <f>IF(AND('Riesgos de Gestión'!$AF$28="Media",'Riesgos de Gestión'!$AH$28="Catastrófico"),CONCATENATE("R3C",'Riesgos de Gestión'!$V$28),"")</f>
        <v/>
      </c>
      <c r="AL28" s="39" t="str">
        <f>IF(AND('Riesgos de Gestión'!$AF$29="Media",'Riesgos de Gestión'!$AH$29="Catastrófico"),CONCATENATE("R3C",'Riesgos de Gestión'!$V$29),"")</f>
        <v/>
      </c>
      <c r="AM28" s="40" t="str">
        <f>IF(AND('Riesgos de Gestión'!$AF$30="Media",'Riesgos de Gestión'!$AH$30="Catastrófico"),CONCATENATE("R3C",'Riesgos de Gestión'!$V$30),"")</f>
        <v/>
      </c>
      <c r="AN28" s="66"/>
      <c r="AO28" s="568"/>
      <c r="AP28" s="569"/>
      <c r="AQ28" s="569"/>
      <c r="AR28" s="569"/>
      <c r="AS28" s="569"/>
      <c r="AT28" s="570"/>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row>
    <row r="29" spans="1:76" ht="15" customHeight="1" x14ac:dyDescent="0.2">
      <c r="A29" s="66"/>
      <c r="B29" s="487"/>
      <c r="C29" s="487"/>
      <c r="D29" s="488"/>
      <c r="E29" s="528"/>
      <c r="F29" s="529"/>
      <c r="G29" s="529"/>
      <c r="H29" s="529"/>
      <c r="I29" s="530"/>
      <c r="J29" s="50" t="str">
        <f>IF(AND('Riesgos de Gestión'!$AF$31="Media",'Riesgos de Gestión'!$AH$31="Leve"),CONCATENATE("R4C",'Riesgos de Gestión'!$V$31),"")</f>
        <v/>
      </c>
      <c r="K29" s="51" t="str">
        <f>IF(AND('Riesgos de Gestión'!$AF$32="Media",'Riesgos de Gestión'!$AH$32="Leve"),CONCATENATE("R4C",'Riesgos de Gestión'!$V$32),"")</f>
        <v/>
      </c>
      <c r="L29" s="51" t="str">
        <f>IF(AND('Riesgos de Gestión'!$AF$33="Media",'Riesgos de Gestión'!$AH$33="Leve"),CONCATENATE("R4C",'Riesgos de Gestión'!$V$33),"")</f>
        <v/>
      </c>
      <c r="M29" s="51" t="str">
        <f>IF(AND('Riesgos de Gestión'!$AF$34="Media",'Riesgos de Gestión'!$AH$34="Leve"),CONCATENATE("R4C",'Riesgos de Gestión'!$V$34),"")</f>
        <v/>
      </c>
      <c r="N29" s="51" t="str">
        <f>IF(AND('Riesgos de Gestión'!$AF$35="Media",'Riesgos de Gestión'!$AH$35="Leve"),CONCATENATE("R4C",'Riesgos de Gestión'!$V$35),"")</f>
        <v/>
      </c>
      <c r="O29" s="52" t="str">
        <f>IF(AND('Riesgos de Gestión'!$AF$36="Media",'Riesgos de Gestión'!$AH$36="Leve"),CONCATENATE("R4C",'Riesgos de Gestión'!$V$36),"")</f>
        <v/>
      </c>
      <c r="P29" s="50" t="str">
        <f>IF(AND('Riesgos de Gestión'!$AF$31="Media",'Riesgos de Gestión'!$AH$31="Menor"),CONCATENATE("R4C",'Riesgos de Gestión'!$V$31),"")</f>
        <v/>
      </c>
      <c r="Q29" s="51" t="str">
        <f>IF(AND('Riesgos de Gestión'!$AF$32="Media",'Riesgos de Gestión'!$AH$32="Menor"),CONCATENATE("R4C",'Riesgos de Gestión'!$V$32),"")</f>
        <v/>
      </c>
      <c r="R29" s="51" t="str">
        <f>IF(AND('Riesgos de Gestión'!$AF$33="Media",'Riesgos de Gestión'!$AH$33="Menor"),CONCATENATE("R4C",'Riesgos de Gestión'!$V$33),"")</f>
        <v/>
      </c>
      <c r="S29" s="51" t="str">
        <f>IF(AND('Riesgos de Gestión'!$AF$34="Media",'Riesgos de Gestión'!$AH$34="Menor"),CONCATENATE("R4C",'Riesgos de Gestión'!$V$34),"")</f>
        <v/>
      </c>
      <c r="T29" s="51" t="str">
        <f>IF(AND('Riesgos de Gestión'!$AF$35="Media",'Riesgos de Gestión'!$AH$35="Menor"),CONCATENATE("R4C",'Riesgos de Gestión'!$V$35),"")</f>
        <v/>
      </c>
      <c r="U29" s="52" t="str">
        <f>IF(AND('Riesgos de Gestión'!$AF$36="Media",'Riesgos de Gestión'!$AH$36="Menor"),CONCATENATE("R4C",'Riesgos de Gestión'!$V$36),"")</f>
        <v/>
      </c>
      <c r="V29" s="50" t="str">
        <f>IF(AND('Riesgos de Gestión'!$AF$31="Media",'Riesgos de Gestión'!$AH$31="Moderado"),CONCATENATE("R4C",'Riesgos de Gestión'!$V$31),"")</f>
        <v/>
      </c>
      <c r="W29" s="51" t="str">
        <f>IF(AND('Riesgos de Gestión'!$AF$32="Media",'Riesgos de Gestión'!$AH$32="Moderado"),CONCATENATE("R4C",'Riesgos de Gestión'!$V$32),"")</f>
        <v/>
      </c>
      <c r="X29" s="51" t="str">
        <f>IF(AND('Riesgos de Gestión'!$AF$33="Media",'Riesgos de Gestión'!$AH$33="Moderado"),CONCATENATE("R4C",'Riesgos de Gestión'!$V$33),"")</f>
        <v/>
      </c>
      <c r="Y29" s="51" t="str">
        <f>IF(AND('Riesgos de Gestión'!$AF$34="Media",'Riesgos de Gestión'!$AH$34="Moderado"),CONCATENATE("R4C",'Riesgos de Gestión'!$V$34),"")</f>
        <v/>
      </c>
      <c r="Z29" s="51" t="str">
        <f>IF(AND('Riesgos de Gestión'!$AF$35="Media",'Riesgos de Gestión'!$AH$35="Moderado"),CONCATENATE("R4C",'Riesgos de Gestión'!$V$35),"")</f>
        <v/>
      </c>
      <c r="AA29" s="52" t="str">
        <f>IF(AND('Riesgos de Gestión'!$AF$36="Media",'Riesgos de Gestión'!$AH$36="Moderado"),CONCATENATE("R4C",'Riesgos de Gestión'!$V$36),"")</f>
        <v/>
      </c>
      <c r="AB29" s="35" t="str">
        <f>IF(AND('Riesgos de Gestión'!$AF$31="Media",'Riesgos de Gestión'!$AH$31="Mayor"),CONCATENATE("R4C",'Riesgos de Gestión'!$V$31),"")</f>
        <v/>
      </c>
      <c r="AC29" s="36" t="str">
        <f>IF(AND('Riesgos de Gestión'!$AF$32="Media",'Riesgos de Gestión'!$AH$32="Mayor"),CONCATENATE("R4C",'Riesgos de Gestión'!$V$32),"")</f>
        <v/>
      </c>
      <c r="AD29" s="36" t="str">
        <f>IF(AND('Riesgos de Gestión'!$AF$33="Media",'Riesgos de Gestión'!$AH$33="Mayor"),CONCATENATE("R4C",'Riesgos de Gestión'!$V$33),"")</f>
        <v/>
      </c>
      <c r="AE29" s="36" t="str">
        <f>IF(AND('Riesgos de Gestión'!$AF$34="Media",'Riesgos de Gestión'!$AH$34="Mayor"),CONCATENATE("R4C",'Riesgos de Gestión'!$V$34),"")</f>
        <v/>
      </c>
      <c r="AF29" s="36" t="str">
        <f>IF(AND('Riesgos de Gestión'!$AF$35="Media",'Riesgos de Gestión'!$AH$35="Mayor"),CONCATENATE("R4C",'Riesgos de Gestión'!$V$35),"")</f>
        <v/>
      </c>
      <c r="AG29" s="37" t="str">
        <f>IF(AND('Riesgos de Gestión'!$AF$36="Media",'Riesgos de Gestión'!$AH$36="Mayor"),CONCATENATE("R4C",'Riesgos de Gestión'!$V$36),"")</f>
        <v/>
      </c>
      <c r="AH29" s="38" t="str">
        <f>IF(AND('Riesgos de Gestión'!$AF$31="Media",'Riesgos de Gestión'!$AH$31="Catastrófico"),CONCATENATE("R4C",'Riesgos de Gestión'!$V$31),"")</f>
        <v/>
      </c>
      <c r="AI29" s="39" t="str">
        <f>IF(AND('Riesgos de Gestión'!$AF$32="Media",'Riesgos de Gestión'!$AH$32="Catastrófico"),CONCATENATE("R4C",'Riesgos de Gestión'!$V$32),"")</f>
        <v/>
      </c>
      <c r="AJ29" s="39" t="str">
        <f>IF(AND('Riesgos de Gestión'!$AF$33="Media",'Riesgos de Gestión'!$AH$33="Catastrófico"),CONCATENATE("R4C",'Riesgos de Gestión'!$V$33),"")</f>
        <v/>
      </c>
      <c r="AK29" s="39" t="str">
        <f>IF(AND('Riesgos de Gestión'!$AF$34="Media",'Riesgos de Gestión'!$AH$34="Catastrófico"),CONCATENATE("R4C",'Riesgos de Gestión'!$V$34),"")</f>
        <v/>
      </c>
      <c r="AL29" s="39" t="str">
        <f>IF(AND('Riesgos de Gestión'!$AF$35="Media",'Riesgos de Gestión'!$AH$35="Catastrófico"),CONCATENATE("R4C",'Riesgos de Gestión'!$V$35),"")</f>
        <v/>
      </c>
      <c r="AM29" s="40" t="str">
        <f>IF(AND('Riesgos de Gestión'!$AF$36="Media",'Riesgos de Gestión'!$AH$36="Catastrófico"),CONCATENATE("R4C",'Riesgos de Gestión'!$V$36),"")</f>
        <v/>
      </c>
      <c r="AN29" s="66"/>
      <c r="AO29" s="568"/>
      <c r="AP29" s="569"/>
      <c r="AQ29" s="569"/>
      <c r="AR29" s="569"/>
      <c r="AS29" s="569"/>
      <c r="AT29" s="570"/>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row>
    <row r="30" spans="1:76" ht="15" customHeight="1" x14ac:dyDescent="0.2">
      <c r="A30" s="66"/>
      <c r="B30" s="487"/>
      <c r="C30" s="487"/>
      <c r="D30" s="488"/>
      <c r="E30" s="528"/>
      <c r="F30" s="529"/>
      <c r="G30" s="529"/>
      <c r="H30" s="529"/>
      <c r="I30" s="530"/>
      <c r="J30" s="50" t="str">
        <f>IF(AND('Riesgos de Gestión'!$AF$37="Media",'Riesgos de Gestión'!$AH$37="Leve"),CONCATENATE("R5C",'Riesgos de Gestión'!$V$37),"")</f>
        <v/>
      </c>
      <c r="K30" s="51" t="str">
        <f>IF(AND('Riesgos de Gestión'!$AF$38="Media",'Riesgos de Gestión'!$AH$38="Leve"),CONCATENATE("R5C",'Riesgos de Gestión'!$V$38),"")</f>
        <v/>
      </c>
      <c r="L30" s="51" t="str">
        <f>IF(AND('Riesgos de Gestión'!$AF$39="Media",'Riesgos de Gestión'!$AH$39="Leve"),CONCATENATE("R5C",'Riesgos de Gestión'!$V$39),"")</f>
        <v/>
      </c>
      <c r="M30" s="51" t="str">
        <f>IF(AND('Riesgos de Gestión'!$AF$40="Media",'Riesgos de Gestión'!$AH$40="Leve"),CONCATENATE("R5C",'Riesgos de Gestión'!$V$40),"")</f>
        <v/>
      </c>
      <c r="N30" s="51" t="str">
        <f>IF(AND('Riesgos de Gestión'!$AF$41="Media",'Riesgos de Gestión'!$AH$41="Leve"),CONCATENATE("R5C",'Riesgos de Gestión'!$V$41),"")</f>
        <v/>
      </c>
      <c r="O30" s="52" t="str">
        <f>IF(AND('Riesgos de Gestión'!$AF$42="Media",'Riesgos de Gestión'!$AH$42="Leve"),CONCATENATE("R5C",'Riesgos de Gestión'!$V$42),"")</f>
        <v/>
      </c>
      <c r="P30" s="50" t="str">
        <f>IF(AND('Riesgos de Gestión'!$AF$37="Media",'Riesgos de Gestión'!$AH$37="Menor"),CONCATENATE("R5C",'Riesgos de Gestión'!$V$37),"")</f>
        <v/>
      </c>
      <c r="Q30" s="51" t="str">
        <f>IF(AND('Riesgos de Gestión'!$AF$38="Media",'Riesgos de Gestión'!$AH$38="Menor"),CONCATENATE("R5C",'Riesgos de Gestión'!$V$38),"")</f>
        <v/>
      </c>
      <c r="R30" s="51" t="str">
        <f>IF(AND('Riesgos de Gestión'!$AF$39="Media",'Riesgos de Gestión'!$AH$39="Menor"),CONCATENATE("R5C",'Riesgos de Gestión'!$V$39),"")</f>
        <v/>
      </c>
      <c r="S30" s="51" t="str">
        <f>IF(AND('Riesgos de Gestión'!$AF$40="Media",'Riesgos de Gestión'!$AH$40="Menor"),CONCATENATE("R5C",'Riesgos de Gestión'!$V$40),"")</f>
        <v/>
      </c>
      <c r="T30" s="51" t="str">
        <f>IF(AND('Riesgos de Gestión'!$AF$41="Media",'Riesgos de Gestión'!$AH$41="Menor"),CONCATENATE("R5C",'Riesgos de Gestión'!$V$41),"")</f>
        <v/>
      </c>
      <c r="U30" s="52" t="str">
        <f>IF(AND('Riesgos de Gestión'!$AF$42="Media",'Riesgos de Gestión'!$AH$42="Menor"),CONCATENATE("R5C",'Riesgos de Gestión'!$V$42),"")</f>
        <v/>
      </c>
      <c r="V30" s="50" t="str">
        <f>IF(AND('Riesgos de Gestión'!$AF$37="Media",'Riesgos de Gestión'!$AH$37="Moderado"),CONCATENATE("R5C",'Riesgos de Gestión'!$V$37),"")</f>
        <v/>
      </c>
      <c r="W30" s="51" t="str">
        <f>IF(AND('Riesgos de Gestión'!$AF$38="Media",'Riesgos de Gestión'!$AH$38="Moderado"),CONCATENATE("R5C",'Riesgos de Gestión'!$V$38),"")</f>
        <v/>
      </c>
      <c r="X30" s="51" t="str">
        <f>IF(AND('Riesgos de Gestión'!$AF$39="Media",'Riesgos de Gestión'!$AH$39="Moderado"),CONCATENATE("R5C",'Riesgos de Gestión'!$V$39),"")</f>
        <v/>
      </c>
      <c r="Y30" s="51" t="str">
        <f>IF(AND('Riesgos de Gestión'!$AF$40="Media",'Riesgos de Gestión'!$AH$40="Moderado"),CONCATENATE("R5C",'Riesgos de Gestión'!$V$40),"")</f>
        <v/>
      </c>
      <c r="Z30" s="51" t="str">
        <f>IF(AND('Riesgos de Gestión'!$AF$41="Media",'Riesgos de Gestión'!$AH$41="Moderado"),CONCATENATE("R5C",'Riesgos de Gestión'!$V$41),"")</f>
        <v/>
      </c>
      <c r="AA30" s="52" t="str">
        <f>IF(AND('Riesgos de Gestión'!$AF$42="Media",'Riesgos de Gestión'!$AH$42="Moderado"),CONCATENATE("R5C",'Riesgos de Gestión'!$V$42),"")</f>
        <v/>
      </c>
      <c r="AB30" s="35" t="str">
        <f>IF(AND('Riesgos de Gestión'!$AF$37="Media",'Riesgos de Gestión'!$AH$37="Mayor"),CONCATENATE("R5C",'Riesgos de Gestión'!$V$37),"")</f>
        <v/>
      </c>
      <c r="AC30" s="36" t="str">
        <f>IF(AND('Riesgos de Gestión'!$AF$38="Media",'Riesgos de Gestión'!$AH$38="Mayor"),CONCATENATE("R5C",'Riesgos de Gestión'!$V$38),"")</f>
        <v/>
      </c>
      <c r="AD30" s="36" t="str">
        <f>IF(AND('Riesgos de Gestión'!$AF$39="Media",'Riesgos de Gestión'!$AH$39="Mayor"),CONCATENATE("R5C",'Riesgos de Gestión'!$V$39),"")</f>
        <v/>
      </c>
      <c r="AE30" s="36" t="str">
        <f>IF(AND('Riesgos de Gestión'!$AF$40="Media",'Riesgos de Gestión'!$AH$40="Mayor"),CONCATENATE("R5C",'Riesgos de Gestión'!$V$40),"")</f>
        <v/>
      </c>
      <c r="AF30" s="36" t="str">
        <f>IF(AND('Riesgos de Gestión'!$AF$41="Media",'Riesgos de Gestión'!$AH$41="Mayor"),CONCATENATE("R5C",'Riesgos de Gestión'!$V$41),"")</f>
        <v/>
      </c>
      <c r="AG30" s="37" t="str">
        <f>IF(AND('Riesgos de Gestión'!$AF$42="Media",'Riesgos de Gestión'!$AH$42="Mayor"),CONCATENATE("R5C",'Riesgos de Gestión'!$V$42),"")</f>
        <v/>
      </c>
      <c r="AH30" s="38" t="str">
        <f>IF(AND('Riesgos de Gestión'!$AF$37="Media",'Riesgos de Gestión'!$AH$37="Catastrófico"),CONCATENATE("R5C",'Riesgos de Gestión'!$V$37),"")</f>
        <v/>
      </c>
      <c r="AI30" s="39" t="str">
        <f>IF(AND('Riesgos de Gestión'!$AF$38="Media",'Riesgos de Gestión'!$AH$38="Catastrófico"),CONCATENATE("R5C",'Riesgos de Gestión'!$V$38),"")</f>
        <v/>
      </c>
      <c r="AJ30" s="39" t="str">
        <f>IF(AND('Riesgos de Gestión'!$AF$39="Media",'Riesgos de Gestión'!$AH$39="Catastrófico"),CONCATENATE("R5C",'Riesgos de Gestión'!$V$39),"")</f>
        <v/>
      </c>
      <c r="AK30" s="39" t="str">
        <f>IF(AND('Riesgos de Gestión'!$AF$40="Media",'Riesgos de Gestión'!$AH$40="Catastrófico"),CONCATENATE("R5C",'Riesgos de Gestión'!$V$40),"")</f>
        <v/>
      </c>
      <c r="AL30" s="39" t="str">
        <f>IF(AND('Riesgos de Gestión'!$AF$41="Media",'Riesgos de Gestión'!$AH$41="Catastrófico"),CONCATENATE("R5C",'Riesgos de Gestión'!$V$41),"")</f>
        <v/>
      </c>
      <c r="AM30" s="40" t="str">
        <f>IF(AND('Riesgos de Gestión'!$AF$42="Media",'Riesgos de Gestión'!$AH$42="Catastrófico"),CONCATENATE("R5C",'Riesgos de Gestión'!$V$42),"")</f>
        <v/>
      </c>
      <c r="AN30" s="66"/>
      <c r="AO30" s="568"/>
      <c r="AP30" s="569"/>
      <c r="AQ30" s="569"/>
      <c r="AR30" s="569"/>
      <c r="AS30" s="569"/>
      <c r="AT30" s="570"/>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row>
    <row r="31" spans="1:76" ht="15" customHeight="1" x14ac:dyDescent="0.2">
      <c r="A31" s="66"/>
      <c r="B31" s="487"/>
      <c r="C31" s="487"/>
      <c r="D31" s="488"/>
      <c r="E31" s="528"/>
      <c r="F31" s="529"/>
      <c r="G31" s="529"/>
      <c r="H31" s="529"/>
      <c r="I31" s="530"/>
      <c r="J31" s="50" t="str">
        <f>IF(AND('Riesgos de Gestión'!$AF$43="Media",'Riesgos de Gestión'!$AH$43="Leve"),CONCATENATE("R6C",'Riesgos de Gestión'!$V$43),"")</f>
        <v/>
      </c>
      <c r="K31" s="51" t="str">
        <f>IF(AND('Riesgos de Gestión'!$AF$44="Media",'Riesgos de Gestión'!$AH$44="Leve"),CONCATENATE("R6C",'Riesgos de Gestión'!$V$44),"")</f>
        <v/>
      </c>
      <c r="L31" s="51" t="str">
        <f>IF(AND('Riesgos de Gestión'!$AF$45="Media",'Riesgos de Gestión'!$AH$45="Leve"),CONCATENATE("R6C",'Riesgos de Gestión'!$V$45),"")</f>
        <v/>
      </c>
      <c r="M31" s="51" t="str">
        <f>IF(AND('Riesgos de Gestión'!$AF$46="Media",'Riesgos de Gestión'!$AH$46="Leve"),CONCATENATE("R6C",'Riesgos de Gestión'!$V$46),"")</f>
        <v/>
      </c>
      <c r="N31" s="51" t="str">
        <f>IF(AND('Riesgos de Gestión'!$AF$47="Media",'Riesgos de Gestión'!$AH$47="Leve"),CONCATENATE("R6C",'Riesgos de Gestión'!$V$47),"")</f>
        <v/>
      </c>
      <c r="O31" s="52" t="str">
        <f>IF(AND('Riesgos de Gestión'!$AF$48="Media",'Riesgos de Gestión'!$AH$48="Leve"),CONCATENATE("R6C",'Riesgos de Gestión'!$V$48),"")</f>
        <v/>
      </c>
      <c r="P31" s="50" t="str">
        <f>IF(AND('Riesgos de Gestión'!$AF$43="Media",'Riesgos de Gestión'!$AH$43="Menor"),CONCATENATE("R6C",'Riesgos de Gestión'!$V$43),"")</f>
        <v/>
      </c>
      <c r="Q31" s="51" t="str">
        <f>IF(AND('Riesgos de Gestión'!$AF$44="Media",'Riesgos de Gestión'!$AH$44="Menor"),CONCATENATE("R6C",'Riesgos de Gestión'!$V$44),"")</f>
        <v/>
      </c>
      <c r="R31" s="51" t="str">
        <f>IF(AND('Riesgos de Gestión'!$AF$45="Media",'Riesgos de Gestión'!$AH$45="Menor"),CONCATENATE("R6C",'Riesgos de Gestión'!$V$45),"")</f>
        <v/>
      </c>
      <c r="S31" s="51" t="str">
        <f>IF(AND('Riesgos de Gestión'!$AF$46="Media",'Riesgos de Gestión'!$AH$46="Menor"),CONCATENATE("R6C",'Riesgos de Gestión'!$V$46),"")</f>
        <v/>
      </c>
      <c r="T31" s="51" t="str">
        <f>IF(AND('Riesgos de Gestión'!$AF$47="Media",'Riesgos de Gestión'!$AH$47="Menor"),CONCATENATE("R6C",'Riesgos de Gestión'!$V$47),"")</f>
        <v/>
      </c>
      <c r="U31" s="52" t="str">
        <f>IF(AND('Riesgos de Gestión'!$AF$48="Media",'Riesgos de Gestión'!$AH$48="Menor"),CONCATENATE("R6C",'Riesgos de Gestión'!$V$48),"")</f>
        <v/>
      </c>
      <c r="V31" s="50" t="str">
        <f>IF(AND('Riesgos de Gestión'!$AF$43="Media",'Riesgos de Gestión'!$AH$43="Moderado"),CONCATENATE("R6C",'Riesgos de Gestión'!$V$43),"")</f>
        <v/>
      </c>
      <c r="W31" s="51" t="str">
        <f>IF(AND('Riesgos de Gestión'!$AF$44="Media",'Riesgos de Gestión'!$AH$44="Moderado"),CONCATENATE("R6C",'Riesgos de Gestión'!$V$44),"")</f>
        <v/>
      </c>
      <c r="X31" s="51" t="str">
        <f>IF(AND('Riesgos de Gestión'!$AF$45="Media",'Riesgos de Gestión'!$AH$45="Moderado"),CONCATENATE("R6C",'Riesgos de Gestión'!$V$45),"")</f>
        <v/>
      </c>
      <c r="Y31" s="51" t="str">
        <f>IF(AND('Riesgos de Gestión'!$AF$46="Media",'Riesgos de Gestión'!$AH$46="Moderado"),CONCATENATE("R6C",'Riesgos de Gestión'!$V$46),"")</f>
        <v/>
      </c>
      <c r="Z31" s="51" t="str">
        <f>IF(AND('Riesgos de Gestión'!$AF$47="Media",'Riesgos de Gestión'!$AH$47="Moderado"),CONCATENATE("R6C",'Riesgos de Gestión'!$V$47),"")</f>
        <v/>
      </c>
      <c r="AA31" s="52" t="str">
        <f>IF(AND('Riesgos de Gestión'!$AF$48="Media",'Riesgos de Gestión'!$AH$48="Moderado"),CONCATENATE("R6C",'Riesgos de Gestión'!$V$48),"")</f>
        <v/>
      </c>
      <c r="AB31" s="35" t="str">
        <f>IF(AND('Riesgos de Gestión'!$AF$43="Media",'Riesgos de Gestión'!$AH$43="Mayor"),CONCATENATE("R6C",'Riesgos de Gestión'!$V$43),"")</f>
        <v/>
      </c>
      <c r="AC31" s="36" t="str">
        <f>IF(AND('Riesgos de Gestión'!$AF$44="Media",'Riesgos de Gestión'!$AH$44="Mayor"),CONCATENATE("R6C",'Riesgos de Gestión'!$V$44),"")</f>
        <v/>
      </c>
      <c r="AD31" s="36" t="str">
        <f>IF(AND('Riesgos de Gestión'!$AF$45="Media",'Riesgos de Gestión'!$AH$45="Mayor"),CONCATENATE("R6C",'Riesgos de Gestión'!$V$45),"")</f>
        <v/>
      </c>
      <c r="AE31" s="36" t="str">
        <f>IF(AND('Riesgos de Gestión'!$AF$46="Media",'Riesgos de Gestión'!$AH$46="Mayor"),CONCATENATE("R6C",'Riesgos de Gestión'!$V$46),"")</f>
        <v/>
      </c>
      <c r="AF31" s="36" t="str">
        <f>IF(AND('Riesgos de Gestión'!$AF$47="Media",'Riesgos de Gestión'!$AH$47="Mayor"),CONCATENATE("R6C",'Riesgos de Gestión'!$V$47),"")</f>
        <v/>
      </c>
      <c r="AG31" s="37" t="str">
        <f>IF(AND('Riesgos de Gestión'!$AF$48="Media",'Riesgos de Gestión'!$AH$48="Mayor"),CONCATENATE("R6C",'Riesgos de Gestión'!$V$48),"")</f>
        <v/>
      </c>
      <c r="AH31" s="38" t="str">
        <f>IF(AND('Riesgos de Gestión'!$AF$43="Media",'Riesgos de Gestión'!$AH$43="Catastrófico"),CONCATENATE("R6C",'Riesgos de Gestión'!$V$43),"")</f>
        <v/>
      </c>
      <c r="AI31" s="39" t="str">
        <f>IF(AND('Riesgos de Gestión'!$AF$44="Media",'Riesgos de Gestión'!$AH$44="Catastrófico"),CONCATENATE("R6C",'Riesgos de Gestión'!$V$44),"")</f>
        <v/>
      </c>
      <c r="AJ31" s="39" t="str">
        <f>IF(AND('Riesgos de Gestión'!$AF$45="Media",'Riesgos de Gestión'!$AH$45="Catastrófico"),CONCATENATE("R6C",'Riesgos de Gestión'!$V$45),"")</f>
        <v/>
      </c>
      <c r="AK31" s="39" t="str">
        <f>IF(AND('Riesgos de Gestión'!$AF$46="Media",'Riesgos de Gestión'!$AH$46="Catastrófico"),CONCATENATE("R6C",'Riesgos de Gestión'!$V$46),"")</f>
        <v/>
      </c>
      <c r="AL31" s="39" t="str">
        <f>IF(AND('Riesgos de Gestión'!$AF$47="Media",'Riesgos de Gestión'!$AH$47="Catastrófico"),CONCATENATE("R6C",'Riesgos de Gestión'!$V$47),"")</f>
        <v/>
      </c>
      <c r="AM31" s="40" t="str">
        <f>IF(AND('Riesgos de Gestión'!$AF$48="Media",'Riesgos de Gestión'!$AH$48="Catastrófico"),CONCATENATE("R6C",'Riesgos de Gestión'!$V$48),"")</f>
        <v/>
      </c>
      <c r="AN31" s="66"/>
      <c r="AO31" s="568"/>
      <c r="AP31" s="569"/>
      <c r="AQ31" s="569"/>
      <c r="AR31" s="569"/>
      <c r="AS31" s="569"/>
      <c r="AT31" s="570"/>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row>
    <row r="32" spans="1:76" ht="15" customHeight="1" x14ac:dyDescent="0.2">
      <c r="A32" s="66"/>
      <c r="B32" s="487"/>
      <c r="C32" s="487"/>
      <c r="D32" s="488"/>
      <c r="E32" s="528"/>
      <c r="F32" s="529"/>
      <c r="G32" s="529"/>
      <c r="H32" s="529"/>
      <c r="I32" s="530"/>
      <c r="J32" s="50" t="str">
        <f>IF(AND('Riesgos de Gestión'!$AF$49="Media",'Riesgos de Gestión'!$AH$49="Leve"),CONCATENATE("R7C",'Riesgos de Gestión'!$V$49),"")</f>
        <v/>
      </c>
      <c r="K32" s="51" t="str">
        <f>IF(AND('Riesgos de Gestión'!$AF$50="Media",'Riesgos de Gestión'!$AH$50="Leve"),CONCATENATE("R7C",'Riesgos de Gestión'!$V$50),"")</f>
        <v/>
      </c>
      <c r="L32" s="51" t="str">
        <f>IF(AND('Riesgos de Gestión'!$AF$51="Media",'Riesgos de Gestión'!$AH$51="Leve"),CONCATENATE("R7C",'Riesgos de Gestión'!$V$51),"")</f>
        <v/>
      </c>
      <c r="M32" s="51" t="str">
        <f>IF(AND('Riesgos de Gestión'!$AF$52="Media",'Riesgos de Gestión'!$AH$52="Leve"),CONCATENATE("R7C",'Riesgos de Gestión'!$V$52),"")</f>
        <v/>
      </c>
      <c r="N32" s="51" t="str">
        <f>IF(AND('Riesgos de Gestión'!$AF$53="Media",'Riesgos de Gestión'!$AH$53="Leve"),CONCATENATE("R7C",'Riesgos de Gestión'!$V$53),"")</f>
        <v/>
      </c>
      <c r="O32" s="52" t="str">
        <f>IF(AND('Riesgos de Gestión'!$AF$54="Media",'Riesgos de Gestión'!$AH$54="Leve"),CONCATENATE("R7C",'Riesgos de Gestión'!$V$54),"")</f>
        <v/>
      </c>
      <c r="P32" s="50" t="str">
        <f>IF(AND('Riesgos de Gestión'!$AF$49="Media",'Riesgos de Gestión'!$AH$49="Menor"),CONCATENATE("R7C",'Riesgos de Gestión'!$V$49),"")</f>
        <v/>
      </c>
      <c r="Q32" s="51" t="str">
        <f>IF(AND('Riesgos de Gestión'!$AF$50="Media",'Riesgos de Gestión'!$AH$50="Menor"),CONCATENATE("R7C",'Riesgos de Gestión'!$V$50),"")</f>
        <v/>
      </c>
      <c r="R32" s="51" t="str">
        <f>IF(AND('Riesgos de Gestión'!$AF$51="Media",'Riesgos de Gestión'!$AH$51="Menor"),CONCATENATE("R7C",'Riesgos de Gestión'!$V$51),"")</f>
        <v/>
      </c>
      <c r="S32" s="51" t="str">
        <f>IF(AND('Riesgos de Gestión'!$AF$52="Media",'Riesgos de Gestión'!$AH$52="Menor"),CONCATENATE("R7C",'Riesgos de Gestión'!$V$52),"")</f>
        <v/>
      </c>
      <c r="T32" s="51" t="str">
        <f>IF(AND('Riesgos de Gestión'!$AF$53="Media",'Riesgos de Gestión'!$AH$53="Menor"),CONCATENATE("R7C",'Riesgos de Gestión'!$V$53),"")</f>
        <v/>
      </c>
      <c r="U32" s="52" t="str">
        <f>IF(AND('Riesgos de Gestión'!$AF$54="Media",'Riesgos de Gestión'!$AH$54="Menor"),CONCATENATE("R7C",'Riesgos de Gestión'!$V$54),"")</f>
        <v/>
      </c>
      <c r="V32" s="50" t="str">
        <f>IF(AND('Riesgos de Gestión'!$AF$49="Media",'Riesgos de Gestión'!$AH$49="Moderado"),CONCATENATE("R7C",'Riesgos de Gestión'!$V$49),"")</f>
        <v/>
      </c>
      <c r="W32" s="51" t="str">
        <f>IF(AND('Riesgos de Gestión'!$AF$50="Media",'Riesgos de Gestión'!$AH$50="Moderado"),CONCATENATE("R7C",'Riesgos de Gestión'!$V$50),"")</f>
        <v/>
      </c>
      <c r="X32" s="51" t="str">
        <f>IF(AND('Riesgos de Gestión'!$AF$51="Media",'Riesgos de Gestión'!$AH$51="Moderado"),CONCATENATE("R7C",'Riesgos de Gestión'!$V$51),"")</f>
        <v/>
      </c>
      <c r="Y32" s="51" t="str">
        <f>IF(AND('Riesgos de Gestión'!$AF$52="Media",'Riesgos de Gestión'!$AH$52="Moderado"),CONCATENATE("R7C",'Riesgos de Gestión'!$V$52),"")</f>
        <v/>
      </c>
      <c r="Z32" s="51" t="str">
        <f>IF(AND('Riesgos de Gestión'!$AF$53="Media",'Riesgos de Gestión'!$AH$53="Moderado"),CONCATENATE("R7C",'Riesgos de Gestión'!$V$53),"")</f>
        <v/>
      </c>
      <c r="AA32" s="52" t="str">
        <f>IF(AND('Riesgos de Gestión'!$AF$54="Media",'Riesgos de Gestión'!$AH$54="Moderado"),CONCATENATE("R7C",'Riesgos de Gestión'!$V$54),"")</f>
        <v/>
      </c>
      <c r="AB32" s="35" t="str">
        <f>IF(AND('Riesgos de Gestión'!$AF$49="Media",'Riesgos de Gestión'!$AH$49="Mayor"),CONCATENATE("R7C",'Riesgos de Gestión'!$V$49),"")</f>
        <v/>
      </c>
      <c r="AC32" s="36" t="str">
        <f>IF(AND('Riesgos de Gestión'!$AF$50="Media",'Riesgos de Gestión'!$AH$50="Mayor"),CONCATENATE("R7C",'Riesgos de Gestión'!$V$50),"")</f>
        <v/>
      </c>
      <c r="AD32" s="36" t="str">
        <f>IF(AND('Riesgos de Gestión'!$AF$51="Media",'Riesgos de Gestión'!$AH$51="Mayor"),CONCATENATE("R7C",'Riesgos de Gestión'!$V$51),"")</f>
        <v/>
      </c>
      <c r="AE32" s="36" t="str">
        <f>IF(AND('Riesgos de Gestión'!$AF$52="Media",'Riesgos de Gestión'!$AH$52="Mayor"),CONCATENATE("R7C",'Riesgos de Gestión'!$V$52),"")</f>
        <v/>
      </c>
      <c r="AF32" s="36" t="str">
        <f>IF(AND('Riesgos de Gestión'!$AF$53="Media",'Riesgos de Gestión'!$AH$53="Mayor"),CONCATENATE("R7C",'Riesgos de Gestión'!$V$53),"")</f>
        <v/>
      </c>
      <c r="AG32" s="37" t="str">
        <f>IF(AND('Riesgos de Gestión'!$AF$54="Media",'Riesgos de Gestión'!$AH$54="Mayor"),CONCATENATE("R7C",'Riesgos de Gestión'!$V$54),"")</f>
        <v/>
      </c>
      <c r="AH32" s="38" t="str">
        <f>IF(AND('Riesgos de Gestión'!$AF$49="Media",'Riesgos de Gestión'!$AH$49="Catastrófico"),CONCATENATE("R7C",'Riesgos de Gestión'!$V$49),"")</f>
        <v/>
      </c>
      <c r="AI32" s="39" t="str">
        <f>IF(AND('Riesgos de Gestión'!$AF$50="Media",'Riesgos de Gestión'!$AH$50="Catastrófico"),CONCATENATE("R7C",'Riesgos de Gestión'!$V$50),"")</f>
        <v/>
      </c>
      <c r="AJ32" s="39" t="str">
        <f>IF(AND('Riesgos de Gestión'!$AF$51="Media",'Riesgos de Gestión'!$AH$51="Catastrófico"),CONCATENATE("R7C",'Riesgos de Gestión'!$V$51),"")</f>
        <v/>
      </c>
      <c r="AK32" s="39" t="str">
        <f>IF(AND('Riesgos de Gestión'!$AF$52="Media",'Riesgos de Gestión'!$AH$52="Catastrófico"),CONCATENATE("R7C",'Riesgos de Gestión'!$V$52),"")</f>
        <v/>
      </c>
      <c r="AL32" s="39" t="str">
        <f>IF(AND('Riesgos de Gestión'!$AF$53="Media",'Riesgos de Gestión'!$AH$53="Catastrófico"),CONCATENATE("R7C",'Riesgos de Gestión'!$V$53),"")</f>
        <v/>
      </c>
      <c r="AM32" s="40" t="str">
        <f>IF(AND('Riesgos de Gestión'!$AF$54="Media",'Riesgos de Gestión'!$AH$54="Catastrófico"),CONCATENATE("R7C",'Riesgos de Gestión'!$V$54),"")</f>
        <v/>
      </c>
      <c r="AN32" s="66"/>
      <c r="AO32" s="568"/>
      <c r="AP32" s="569"/>
      <c r="AQ32" s="569"/>
      <c r="AR32" s="569"/>
      <c r="AS32" s="569"/>
      <c r="AT32" s="570"/>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row>
    <row r="33" spans="1:80" ht="15" customHeight="1" x14ac:dyDescent="0.2">
      <c r="A33" s="66"/>
      <c r="B33" s="487"/>
      <c r="C33" s="487"/>
      <c r="D33" s="488"/>
      <c r="E33" s="528"/>
      <c r="F33" s="529"/>
      <c r="G33" s="529"/>
      <c r="H33" s="529"/>
      <c r="I33" s="530"/>
      <c r="J33" s="50" t="str">
        <f>IF(AND('Riesgos de Gestión'!$AF$55="Media",'Riesgos de Gestión'!$AH$55="Leve"),CONCATENATE("R8C",'Riesgos de Gestión'!$V$55),"")</f>
        <v/>
      </c>
      <c r="K33" s="51" t="str">
        <f>IF(AND('Riesgos de Gestión'!$AF$56="Media",'Riesgos de Gestión'!$AH$56="Leve"),CONCATENATE("R8C",'Riesgos de Gestión'!$V$56),"")</f>
        <v/>
      </c>
      <c r="L33" s="51" t="str">
        <f>IF(AND('Riesgos de Gestión'!$AF$57="Media",'Riesgos de Gestión'!$AH$57="Leve"),CONCATENATE("R8C",'Riesgos de Gestión'!$V$57),"")</f>
        <v/>
      </c>
      <c r="M33" s="51" t="str">
        <f>IF(AND('Riesgos de Gestión'!$AF$58="Media",'Riesgos de Gestión'!$AH$58="Leve"),CONCATENATE("R8C",'Riesgos de Gestión'!$V$58),"")</f>
        <v/>
      </c>
      <c r="N33" s="51" t="str">
        <f>IF(AND('Riesgos de Gestión'!$AF$59="Media",'Riesgos de Gestión'!$AH$59="Leve"),CONCATENATE("R8C",'Riesgos de Gestión'!$V$59),"")</f>
        <v/>
      </c>
      <c r="O33" s="52" t="str">
        <f>IF(AND('Riesgos de Gestión'!$AF$60="Media",'Riesgos de Gestión'!$AH$60="Leve"),CONCATENATE("R8C",'Riesgos de Gestión'!$V$60),"")</f>
        <v/>
      </c>
      <c r="P33" s="50" t="str">
        <f>IF(AND('Riesgos de Gestión'!$AF$55="Media",'Riesgos de Gestión'!$AH$55="Menor"),CONCATENATE("R8C",'Riesgos de Gestión'!$V$55),"")</f>
        <v/>
      </c>
      <c r="Q33" s="51" t="str">
        <f>IF(AND('Riesgos de Gestión'!$AF$56="Media",'Riesgos de Gestión'!$AH$56="Menor"),CONCATENATE("R8C",'Riesgos de Gestión'!$V$56),"")</f>
        <v/>
      </c>
      <c r="R33" s="51" t="str">
        <f>IF(AND('Riesgos de Gestión'!$AF$57="Media",'Riesgos de Gestión'!$AH$57="Menor"),CONCATENATE("R8C",'Riesgos de Gestión'!$V$57),"")</f>
        <v/>
      </c>
      <c r="S33" s="51" t="str">
        <f>IF(AND('Riesgos de Gestión'!$AF$58="Media",'Riesgos de Gestión'!$AH$58="Menor"),CONCATENATE("R8C",'Riesgos de Gestión'!$V$58),"")</f>
        <v/>
      </c>
      <c r="T33" s="51" t="str">
        <f>IF(AND('Riesgos de Gestión'!$AF$59="Media",'Riesgos de Gestión'!$AH$59="Menor"),CONCATENATE("R8C",'Riesgos de Gestión'!$V$59),"")</f>
        <v/>
      </c>
      <c r="U33" s="52" t="str">
        <f>IF(AND('Riesgos de Gestión'!$AF$60="Media",'Riesgos de Gestión'!$AH$60="Menor"),CONCATENATE("R8C",'Riesgos de Gestión'!$V$60),"")</f>
        <v/>
      </c>
      <c r="V33" s="50" t="str">
        <f>IF(AND('Riesgos de Gestión'!$AF$55="Media",'Riesgos de Gestión'!$AH$55="Moderado"),CONCATENATE("R8C",'Riesgos de Gestión'!$V$55),"")</f>
        <v/>
      </c>
      <c r="W33" s="51" t="str">
        <f>IF(AND('Riesgos de Gestión'!$AF$56="Media",'Riesgos de Gestión'!$AH$56="Moderado"),CONCATENATE("R8C",'Riesgos de Gestión'!$V$56),"")</f>
        <v/>
      </c>
      <c r="X33" s="51" t="str">
        <f>IF(AND('Riesgos de Gestión'!$AF$57="Media",'Riesgos de Gestión'!$AH$57="Moderado"),CONCATENATE("R8C",'Riesgos de Gestión'!$V$57),"")</f>
        <v/>
      </c>
      <c r="Y33" s="51" t="str">
        <f>IF(AND('Riesgos de Gestión'!$AF$58="Media",'Riesgos de Gestión'!$AH$58="Moderado"),CONCATENATE("R8C",'Riesgos de Gestión'!$V$58),"")</f>
        <v/>
      </c>
      <c r="Z33" s="51" t="str">
        <f>IF(AND('Riesgos de Gestión'!$AF$59="Media",'Riesgos de Gestión'!$AH$59="Moderado"),CONCATENATE("R8C",'Riesgos de Gestión'!$V$59),"")</f>
        <v/>
      </c>
      <c r="AA33" s="52" t="str">
        <f>IF(AND('Riesgos de Gestión'!$AF$60="Media",'Riesgos de Gestión'!$AH$60="Moderado"),CONCATENATE("R8C",'Riesgos de Gestión'!$V$60),"")</f>
        <v/>
      </c>
      <c r="AB33" s="35" t="str">
        <f>IF(AND('Riesgos de Gestión'!$AF$55="Media",'Riesgos de Gestión'!$AH$55="Mayor"),CONCATENATE("R8C",'Riesgos de Gestión'!$V$55),"")</f>
        <v/>
      </c>
      <c r="AC33" s="36" t="str">
        <f>IF(AND('Riesgos de Gestión'!$AF$56="Media",'Riesgos de Gestión'!$AH$56="Mayor"),CONCATENATE("R8C",'Riesgos de Gestión'!$V$56),"")</f>
        <v/>
      </c>
      <c r="AD33" s="36" t="str">
        <f>IF(AND('Riesgos de Gestión'!$AF$57="Media",'Riesgos de Gestión'!$AH$57="Mayor"),CONCATENATE("R8C",'Riesgos de Gestión'!$V$57),"")</f>
        <v/>
      </c>
      <c r="AE33" s="36" t="str">
        <f>IF(AND('Riesgos de Gestión'!$AF$58="Media",'Riesgos de Gestión'!$AH$58="Mayor"),CONCATENATE("R8C",'Riesgos de Gestión'!$V$58),"")</f>
        <v/>
      </c>
      <c r="AF33" s="36" t="str">
        <f>IF(AND('Riesgos de Gestión'!$AF$59="Media",'Riesgos de Gestión'!$AH$59="Mayor"),CONCATENATE("R8C",'Riesgos de Gestión'!$V$59),"")</f>
        <v/>
      </c>
      <c r="AG33" s="37" t="str">
        <f>IF(AND('Riesgos de Gestión'!$AF$60="Media",'Riesgos de Gestión'!$AH$60="Mayor"),CONCATENATE("R8C",'Riesgos de Gestión'!$V$60),"")</f>
        <v/>
      </c>
      <c r="AH33" s="38" t="str">
        <f>IF(AND('Riesgos de Gestión'!$AF$55="Media",'Riesgos de Gestión'!$AH$55="Catastrófico"),CONCATENATE("R8C",'Riesgos de Gestión'!$V$55),"")</f>
        <v/>
      </c>
      <c r="AI33" s="39" t="str">
        <f>IF(AND('Riesgos de Gestión'!$AF$56="Media",'Riesgos de Gestión'!$AH$56="Catastrófico"),CONCATENATE("R8C",'Riesgos de Gestión'!$V$56),"")</f>
        <v/>
      </c>
      <c r="AJ33" s="39" t="str">
        <f>IF(AND('Riesgos de Gestión'!$AF$57="Media",'Riesgos de Gestión'!$AH$57="Catastrófico"),CONCATENATE("R8C",'Riesgos de Gestión'!$V$57),"")</f>
        <v/>
      </c>
      <c r="AK33" s="39" t="str">
        <f>IF(AND('Riesgos de Gestión'!$AF$58="Media",'Riesgos de Gestión'!$AH$58="Catastrófico"),CONCATENATE("R8C",'Riesgos de Gestión'!$V$58),"")</f>
        <v/>
      </c>
      <c r="AL33" s="39" t="str">
        <f>IF(AND('Riesgos de Gestión'!$AF$59="Media",'Riesgos de Gestión'!$AH$59="Catastrófico"),CONCATENATE("R8C",'Riesgos de Gestión'!$V$59),"")</f>
        <v/>
      </c>
      <c r="AM33" s="40" t="str">
        <f>IF(AND('Riesgos de Gestión'!$AF$60="Media",'Riesgos de Gestión'!$AH$60="Catastrófico"),CONCATENATE("R8C",'Riesgos de Gestión'!$V$60),"")</f>
        <v/>
      </c>
      <c r="AN33" s="66"/>
      <c r="AO33" s="568"/>
      <c r="AP33" s="569"/>
      <c r="AQ33" s="569"/>
      <c r="AR33" s="569"/>
      <c r="AS33" s="569"/>
      <c r="AT33" s="570"/>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row>
    <row r="34" spans="1:80" ht="15" customHeight="1" x14ac:dyDescent="0.2">
      <c r="A34" s="66"/>
      <c r="B34" s="487"/>
      <c r="C34" s="487"/>
      <c r="D34" s="488"/>
      <c r="E34" s="528"/>
      <c r="F34" s="529"/>
      <c r="G34" s="529"/>
      <c r="H34" s="529"/>
      <c r="I34" s="530"/>
      <c r="J34" s="50" t="str">
        <f>IF(AND('Riesgos de Gestión'!$AF$61="Media",'Riesgos de Gestión'!$AH$61="Leve"),CONCATENATE("R9C",'Riesgos de Gestión'!$V$61),"")</f>
        <v/>
      </c>
      <c r="K34" s="51" t="str">
        <f>IF(AND('Riesgos de Gestión'!$AF$62="Media",'Riesgos de Gestión'!$AH$62="Leve"),CONCATENATE("R9C",'Riesgos de Gestión'!$V$62),"")</f>
        <v/>
      </c>
      <c r="L34" s="51" t="str">
        <f>IF(AND('Riesgos de Gestión'!$AF$63="Media",'Riesgos de Gestión'!$AH$63="Leve"),CONCATENATE("R9C",'Riesgos de Gestión'!$V$63),"")</f>
        <v/>
      </c>
      <c r="M34" s="51" t="str">
        <f>IF(AND('Riesgos de Gestión'!$AF$64="Media",'Riesgos de Gestión'!$AH$64="Leve"),CONCATENATE("R9C",'Riesgos de Gestión'!$V$64),"")</f>
        <v/>
      </c>
      <c r="N34" s="51" t="str">
        <f>IF(AND('Riesgos de Gestión'!$AF$65="Media",'Riesgos de Gestión'!$AH$65="Leve"),CONCATENATE("R9C",'Riesgos de Gestión'!$V$65),"")</f>
        <v/>
      </c>
      <c r="O34" s="52" t="str">
        <f>IF(AND('Riesgos de Gestión'!$AF$66="Media",'Riesgos de Gestión'!$AH$66="Leve"),CONCATENATE("R9C",'Riesgos de Gestión'!$V$66),"")</f>
        <v/>
      </c>
      <c r="P34" s="50" t="str">
        <f>IF(AND('Riesgos de Gestión'!$AF$61="Media",'Riesgos de Gestión'!$AH$61="Menor"),CONCATENATE("R9C",'Riesgos de Gestión'!$V$61),"")</f>
        <v/>
      </c>
      <c r="Q34" s="51" t="str">
        <f>IF(AND('Riesgos de Gestión'!$AF$62="Media",'Riesgos de Gestión'!$AH$62="Menor"),CONCATENATE("R9C",'Riesgos de Gestión'!$V$62),"")</f>
        <v/>
      </c>
      <c r="R34" s="51" t="str">
        <f>IF(AND('Riesgos de Gestión'!$AF$63="Media",'Riesgos de Gestión'!$AH$63="Menor"),CONCATENATE("R9C",'Riesgos de Gestión'!$V$63),"")</f>
        <v/>
      </c>
      <c r="S34" s="51" t="str">
        <f>IF(AND('Riesgos de Gestión'!$AF$64="Media",'Riesgos de Gestión'!$AH$64="Menor"),CONCATENATE("R9C",'Riesgos de Gestión'!$V$64),"")</f>
        <v/>
      </c>
      <c r="T34" s="51" t="str">
        <f>IF(AND('Riesgos de Gestión'!$AF$65="Media",'Riesgos de Gestión'!$AH$65="Menor"),CONCATENATE("R9C",'Riesgos de Gestión'!$V$65),"")</f>
        <v/>
      </c>
      <c r="U34" s="52" t="str">
        <f>IF(AND('Riesgos de Gestión'!$AF$66="Media",'Riesgos de Gestión'!$AH$66="Menor"),CONCATENATE("R9C",'Riesgos de Gestión'!$V$66),"")</f>
        <v/>
      </c>
      <c r="V34" s="50" t="str">
        <f>IF(AND('Riesgos de Gestión'!$AF$61="Media",'Riesgos de Gestión'!$AH$61="Moderado"),CONCATENATE("R9C",'Riesgos de Gestión'!$V$61),"")</f>
        <v/>
      </c>
      <c r="W34" s="51" t="str">
        <f>IF(AND('Riesgos de Gestión'!$AF$62="Media",'Riesgos de Gestión'!$AH$62="Moderado"),CONCATENATE("R9C",'Riesgos de Gestión'!$V$62),"")</f>
        <v/>
      </c>
      <c r="X34" s="51" t="str">
        <f>IF(AND('Riesgos de Gestión'!$AF$63="Media",'Riesgos de Gestión'!$AH$63="Moderado"),CONCATENATE("R9C",'Riesgos de Gestión'!$V$63),"")</f>
        <v/>
      </c>
      <c r="Y34" s="51" t="str">
        <f>IF(AND('Riesgos de Gestión'!$AF$64="Media",'Riesgos de Gestión'!$AH$64="Moderado"),CONCATENATE("R9C",'Riesgos de Gestión'!$V$64),"")</f>
        <v/>
      </c>
      <c r="Z34" s="51" t="str">
        <f>IF(AND('Riesgos de Gestión'!$AF$65="Media",'Riesgos de Gestión'!$AH$65="Moderado"),CONCATENATE("R9C",'Riesgos de Gestión'!$V$65),"")</f>
        <v/>
      </c>
      <c r="AA34" s="52" t="str">
        <f>IF(AND('Riesgos de Gestión'!$AF$66="Media",'Riesgos de Gestión'!$AH$66="Moderado"),CONCATENATE("R9C",'Riesgos de Gestión'!$V$66),"")</f>
        <v/>
      </c>
      <c r="AB34" s="35" t="str">
        <f>IF(AND('Riesgos de Gestión'!$AF$61="Media",'Riesgos de Gestión'!$AH$61="Mayor"),CONCATENATE("R9C",'Riesgos de Gestión'!$V$61),"")</f>
        <v/>
      </c>
      <c r="AC34" s="36" t="str">
        <f>IF(AND('Riesgos de Gestión'!$AF$62="Media",'Riesgos de Gestión'!$AH$62="Mayor"),CONCATENATE("R9C",'Riesgos de Gestión'!$V$62),"")</f>
        <v/>
      </c>
      <c r="AD34" s="36" t="str">
        <f>IF(AND('Riesgos de Gestión'!$AF$63="Media",'Riesgos de Gestión'!$AH$63="Mayor"),CONCATENATE("R9C",'Riesgos de Gestión'!$V$63),"")</f>
        <v/>
      </c>
      <c r="AE34" s="36" t="str">
        <f>IF(AND('Riesgos de Gestión'!$AF$64="Media",'Riesgos de Gestión'!$AH$64="Mayor"),CONCATENATE("R9C",'Riesgos de Gestión'!$V$64),"")</f>
        <v/>
      </c>
      <c r="AF34" s="36" t="str">
        <f>IF(AND('Riesgos de Gestión'!$AF$65="Media",'Riesgos de Gestión'!$AH$65="Mayor"),CONCATENATE("R9C",'Riesgos de Gestión'!$V$65),"")</f>
        <v/>
      </c>
      <c r="AG34" s="37" t="str">
        <f>IF(AND('Riesgos de Gestión'!$AF$66="Media",'Riesgos de Gestión'!$AH$66="Mayor"),CONCATENATE("R9C",'Riesgos de Gestión'!$V$66),"")</f>
        <v/>
      </c>
      <c r="AH34" s="38" t="str">
        <f>IF(AND('Riesgos de Gestión'!$AF$61="Media",'Riesgos de Gestión'!$AH$61="Catastrófico"),CONCATENATE("R9C",'Riesgos de Gestión'!$V$61),"")</f>
        <v/>
      </c>
      <c r="AI34" s="39" t="str">
        <f>IF(AND('Riesgos de Gestión'!$AF$62="Media",'Riesgos de Gestión'!$AH$62="Catastrófico"),CONCATENATE("R9C",'Riesgos de Gestión'!$V$62),"")</f>
        <v/>
      </c>
      <c r="AJ34" s="39" t="str">
        <f>IF(AND('Riesgos de Gestión'!$AF$63="Media",'Riesgos de Gestión'!$AH$63="Catastrófico"),CONCATENATE("R9C",'Riesgos de Gestión'!$V$63),"")</f>
        <v/>
      </c>
      <c r="AK34" s="39" t="str">
        <f>IF(AND('Riesgos de Gestión'!$AF$64="Media",'Riesgos de Gestión'!$AH$64="Catastrófico"),CONCATENATE("R9C",'Riesgos de Gestión'!$V$64),"")</f>
        <v/>
      </c>
      <c r="AL34" s="39" t="str">
        <f>IF(AND('Riesgos de Gestión'!$AF$65="Media",'Riesgos de Gestión'!$AH$65="Catastrófico"),CONCATENATE("R9C",'Riesgos de Gestión'!$V$65),"")</f>
        <v/>
      </c>
      <c r="AM34" s="40" t="str">
        <f>IF(AND('Riesgos de Gestión'!$AF$66="Media",'Riesgos de Gestión'!$AH$66="Catastrófico"),CONCATENATE("R9C",'Riesgos de Gestión'!$V$66),"")</f>
        <v/>
      </c>
      <c r="AN34" s="66"/>
      <c r="AO34" s="568"/>
      <c r="AP34" s="569"/>
      <c r="AQ34" s="569"/>
      <c r="AR34" s="569"/>
      <c r="AS34" s="569"/>
      <c r="AT34" s="570"/>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row>
    <row r="35" spans="1:80" ht="15.75" customHeight="1" thickBot="1" x14ac:dyDescent="0.25">
      <c r="A35" s="66"/>
      <c r="B35" s="487"/>
      <c r="C35" s="487"/>
      <c r="D35" s="488"/>
      <c r="E35" s="531"/>
      <c r="F35" s="532"/>
      <c r="G35" s="532"/>
      <c r="H35" s="532"/>
      <c r="I35" s="533"/>
      <c r="J35" s="50" t="str">
        <f>IF(AND('Riesgos de Gestión'!$AF$67="Media",'Riesgos de Gestión'!$AH$67="Leve"),CONCATENATE("R10C",'Riesgos de Gestión'!$V$67),"")</f>
        <v/>
      </c>
      <c r="K35" s="51" t="str">
        <f>IF(AND('Riesgos de Gestión'!$AF$68="Media",'Riesgos de Gestión'!$AH$68="Leve"),CONCATENATE("R10C",'Riesgos de Gestión'!$V$68),"")</f>
        <v/>
      </c>
      <c r="L35" s="51" t="str">
        <f>IF(AND('Riesgos de Gestión'!$AF$69="Media",'Riesgos de Gestión'!$AH$69="Leve"),CONCATENATE("R10C",'Riesgos de Gestión'!$V$69),"")</f>
        <v/>
      </c>
      <c r="M35" s="51" t="str">
        <f>IF(AND('Riesgos de Gestión'!$AF$70="Media",'Riesgos de Gestión'!$AH$70="Leve"),CONCATENATE("R10C",'Riesgos de Gestión'!$V$70),"")</f>
        <v/>
      </c>
      <c r="N35" s="51" t="str">
        <f>IF(AND('Riesgos de Gestión'!$AF$71="Media",'Riesgos de Gestión'!$AH$71="Leve"),CONCATENATE("R10C",'Riesgos de Gestión'!$V$71),"")</f>
        <v/>
      </c>
      <c r="O35" s="52" t="str">
        <f>IF(AND('Riesgos de Gestión'!$AF$72="Media",'Riesgos de Gestión'!$AH$72="Leve"),CONCATENATE("R10C",'Riesgos de Gestión'!$V$72),"")</f>
        <v/>
      </c>
      <c r="P35" s="50" t="str">
        <f>IF(AND('Riesgos de Gestión'!$AF$67="Media",'Riesgos de Gestión'!$AH$67="Menor"),CONCATENATE("R10C",'Riesgos de Gestión'!$V$67),"")</f>
        <v/>
      </c>
      <c r="Q35" s="51" t="str">
        <f>IF(AND('Riesgos de Gestión'!$AF$68="Media",'Riesgos de Gestión'!$AH$68="Menor"),CONCATENATE("R10C",'Riesgos de Gestión'!$V$68),"")</f>
        <v/>
      </c>
      <c r="R35" s="51" t="str">
        <f>IF(AND('Riesgos de Gestión'!$AF$69="Media",'Riesgos de Gestión'!$AH$69="Menor"),CONCATENATE("R10C",'Riesgos de Gestión'!$V$69),"")</f>
        <v/>
      </c>
      <c r="S35" s="51" t="str">
        <f>IF(AND('Riesgos de Gestión'!$AF$70="Media",'Riesgos de Gestión'!$AH$70="Menor"),CONCATENATE("R10C",'Riesgos de Gestión'!$V$70),"")</f>
        <v/>
      </c>
      <c r="T35" s="51" t="str">
        <f>IF(AND('Riesgos de Gestión'!$AF$71="Media",'Riesgos de Gestión'!$AH$71="Menor"),CONCATENATE("R10C",'Riesgos de Gestión'!$V$71),"")</f>
        <v/>
      </c>
      <c r="U35" s="52" t="str">
        <f>IF(AND('Riesgos de Gestión'!$AF$72="Media",'Riesgos de Gestión'!$AH$72="Menor"),CONCATENATE("R10C",'Riesgos de Gestión'!$V$72),"")</f>
        <v/>
      </c>
      <c r="V35" s="50" t="str">
        <f>IF(AND('Riesgos de Gestión'!$AF$67="Media",'Riesgos de Gestión'!$AH$67="Moderado"),CONCATENATE("R10C",'Riesgos de Gestión'!$V$67),"")</f>
        <v/>
      </c>
      <c r="W35" s="51" t="str">
        <f>IF(AND('Riesgos de Gestión'!$AF$68="Media",'Riesgos de Gestión'!$AH$68="Moderado"),CONCATENATE("R10C",'Riesgos de Gestión'!$V$68),"")</f>
        <v/>
      </c>
      <c r="X35" s="51" t="str">
        <f>IF(AND('Riesgos de Gestión'!$AF$69="Media",'Riesgos de Gestión'!$AH$69="Moderado"),CONCATENATE("R10C",'Riesgos de Gestión'!$V$69),"")</f>
        <v/>
      </c>
      <c r="Y35" s="51" t="str">
        <f>IF(AND('Riesgos de Gestión'!$AF$70="Media",'Riesgos de Gestión'!$AH$70="Moderado"),CONCATENATE("R10C",'Riesgos de Gestión'!$V$70),"")</f>
        <v/>
      </c>
      <c r="Z35" s="51" t="str">
        <f>IF(AND('Riesgos de Gestión'!$AF$71="Media",'Riesgos de Gestión'!$AH$71="Moderado"),CONCATENATE("R10C",'Riesgos de Gestión'!$V$71),"")</f>
        <v/>
      </c>
      <c r="AA35" s="52" t="str">
        <f>IF(AND('Riesgos de Gestión'!$AF$72="Media",'Riesgos de Gestión'!$AH$72="Moderado"),CONCATENATE("R10C",'Riesgos de Gestión'!$V$72),"")</f>
        <v/>
      </c>
      <c r="AB35" s="41" t="str">
        <f>IF(AND('Riesgos de Gestión'!$AF$67="Media",'Riesgos de Gestión'!$AH$67="Mayor"),CONCATENATE("R10C",'Riesgos de Gestión'!$V$67),"")</f>
        <v/>
      </c>
      <c r="AC35" s="42" t="str">
        <f>IF(AND('Riesgos de Gestión'!$AF$68="Media",'Riesgos de Gestión'!$AH$68="Mayor"),CONCATENATE("R10C",'Riesgos de Gestión'!$V$68),"")</f>
        <v/>
      </c>
      <c r="AD35" s="42" t="str">
        <f>IF(AND('Riesgos de Gestión'!$AF$69="Media",'Riesgos de Gestión'!$AH$69="Mayor"),CONCATENATE("R10C",'Riesgos de Gestión'!$V$69),"")</f>
        <v/>
      </c>
      <c r="AE35" s="42" t="str">
        <f>IF(AND('Riesgos de Gestión'!$AF$70="Media",'Riesgos de Gestión'!$AH$70="Mayor"),CONCATENATE("R10C",'Riesgos de Gestión'!$V$70),"")</f>
        <v/>
      </c>
      <c r="AF35" s="42" t="str">
        <f>IF(AND('Riesgos de Gestión'!$AF$71="Media",'Riesgos de Gestión'!$AH$71="Mayor"),CONCATENATE("R10C",'Riesgos de Gestión'!$V$71),"")</f>
        <v/>
      </c>
      <c r="AG35" s="43" t="str">
        <f>IF(AND('Riesgos de Gestión'!$AF$72="Media",'Riesgos de Gestión'!$AH$72="Mayor"),CONCATENATE("R10C",'Riesgos de Gestión'!$V$72),"")</f>
        <v/>
      </c>
      <c r="AH35" s="44" t="str">
        <f>IF(AND('Riesgos de Gestión'!$AF$67="Media",'Riesgos de Gestión'!$AH$67="Catastrófico"),CONCATENATE("R10C",'Riesgos de Gestión'!$V$67),"")</f>
        <v/>
      </c>
      <c r="AI35" s="45" t="str">
        <f>IF(AND('Riesgos de Gestión'!$AF$68="Media",'Riesgos de Gestión'!$AH$68="Catastrófico"),CONCATENATE("R10C",'Riesgos de Gestión'!$V$68),"")</f>
        <v/>
      </c>
      <c r="AJ35" s="45" t="str">
        <f>IF(AND('Riesgos de Gestión'!$AF$69="Media",'Riesgos de Gestión'!$AH$69="Catastrófico"),CONCATENATE("R10C",'Riesgos de Gestión'!$V$69),"")</f>
        <v/>
      </c>
      <c r="AK35" s="45" t="str">
        <f>IF(AND('Riesgos de Gestión'!$AF$70="Media",'Riesgos de Gestión'!$AH$70="Catastrófico"),CONCATENATE("R10C",'Riesgos de Gestión'!$V$70),"")</f>
        <v/>
      </c>
      <c r="AL35" s="45" t="str">
        <f>IF(AND('Riesgos de Gestión'!$AF$71="Media",'Riesgos de Gestión'!$AH$71="Catastrófico"),CONCATENATE("R10C",'Riesgos de Gestión'!$V$71),"")</f>
        <v/>
      </c>
      <c r="AM35" s="46" t="str">
        <f>IF(AND('Riesgos de Gestión'!$AF$72="Media",'Riesgos de Gestión'!$AH$72="Catastrófico"),CONCATENATE("R10C",'Riesgos de Gestión'!$V$72),"")</f>
        <v/>
      </c>
      <c r="AN35" s="66"/>
      <c r="AO35" s="571"/>
      <c r="AP35" s="572"/>
      <c r="AQ35" s="572"/>
      <c r="AR35" s="572"/>
      <c r="AS35" s="572"/>
      <c r="AT35" s="573"/>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row>
    <row r="36" spans="1:80" ht="15" customHeight="1" x14ac:dyDescent="0.2">
      <c r="A36" s="66"/>
      <c r="B36" s="487"/>
      <c r="C36" s="487"/>
      <c r="D36" s="488"/>
      <c r="E36" s="525" t="s">
        <v>321</v>
      </c>
      <c r="F36" s="526"/>
      <c r="G36" s="526"/>
      <c r="H36" s="526"/>
      <c r="I36" s="526"/>
      <c r="J36" s="56" t="str">
        <f>IF(AND('Riesgos de Gestión'!$AF$13="Baja",'Riesgos de Gestión'!$AH$13="Leve"),CONCATENATE("R1C",'Riesgos de Gestión'!$V$13),"")</f>
        <v/>
      </c>
      <c r="K36" s="57" t="str">
        <f>IF(AND('Riesgos de Gestión'!$AF$14="Baja",'Riesgos de Gestión'!$AH$14="Leve"),CONCATENATE("R1C",'Riesgos de Gestión'!$V$14),"")</f>
        <v/>
      </c>
      <c r="L36" s="57" t="str">
        <f>IF(AND('Riesgos de Gestión'!$AF$15="Baja",'Riesgos de Gestión'!$AH$15="Leve"),CONCATENATE("R1C",'Riesgos de Gestión'!$V$15),"")</f>
        <v/>
      </c>
      <c r="M36" s="57" t="str">
        <f>IF(AND('Riesgos de Gestión'!$AF$16="Baja",'Riesgos de Gestión'!$AH$16="Leve"),CONCATENATE("R1C",'Riesgos de Gestión'!$V$16),"")</f>
        <v/>
      </c>
      <c r="N36" s="57" t="str">
        <f>IF(AND('Riesgos de Gestión'!$AF$17="Baja",'Riesgos de Gestión'!$AH$17="Leve"),CONCATENATE("R1C",'Riesgos de Gestión'!$V$17),"")</f>
        <v/>
      </c>
      <c r="O36" s="58" t="str">
        <f>IF(AND('Riesgos de Gestión'!$AF$18="Baja",'Riesgos de Gestión'!$AH$18="Leve"),CONCATENATE("R1C",'Riesgos de Gestión'!$V$18),"")</f>
        <v/>
      </c>
      <c r="P36" s="47" t="str">
        <f>IF(AND('Riesgos de Gestión'!$AF$13="Baja",'Riesgos de Gestión'!$AH$13="Menor"),CONCATENATE("R1C",'Riesgos de Gestión'!$V$13),"")</f>
        <v/>
      </c>
      <c r="Q36" s="48" t="str">
        <f>IF(AND('Riesgos de Gestión'!$AF$14="Baja",'Riesgos de Gestión'!$AH$14="Menor"),CONCATENATE("R1C",'Riesgos de Gestión'!$V$14),"")</f>
        <v/>
      </c>
      <c r="R36" s="48" t="str">
        <f>IF(AND('Riesgos de Gestión'!$AF$15="Baja",'Riesgos de Gestión'!$AH$15="Menor"),CONCATENATE("R1C",'Riesgos de Gestión'!$V$15),"")</f>
        <v/>
      </c>
      <c r="S36" s="48" t="str">
        <f>IF(AND('Riesgos de Gestión'!$AF$16="Baja",'Riesgos de Gestión'!$AH$16="Menor"),CONCATENATE("R1C",'Riesgos de Gestión'!$V$16),"")</f>
        <v/>
      </c>
      <c r="T36" s="48" t="str">
        <f>IF(AND('Riesgos de Gestión'!$AF$17="Baja",'Riesgos de Gestión'!$AH$17="Menor"),CONCATENATE("R1C",'Riesgos de Gestión'!$V$17),"")</f>
        <v/>
      </c>
      <c r="U36" s="49" t="str">
        <f>IF(AND('Riesgos de Gestión'!$AF$18="Baja",'Riesgos de Gestión'!$AH$18="Menor"),CONCATENATE("R1C",'Riesgos de Gestión'!$V$18),"")</f>
        <v/>
      </c>
      <c r="V36" s="47" t="str">
        <f>IF(AND('Riesgos de Gestión'!$AF$13="Baja",'Riesgos de Gestión'!$AH$13="Moderado"),CONCATENATE("R1C",'Riesgos de Gestión'!$V$13),"")</f>
        <v>R1C1</v>
      </c>
      <c r="W36" s="48" t="str">
        <f>IF(AND('Riesgos de Gestión'!$AF$14="Baja",'Riesgos de Gestión'!$AH$14="Moderado"),CONCATENATE("R1C",'Riesgos de Gestión'!$V$14),"")</f>
        <v>R1C2</v>
      </c>
      <c r="X36" s="48" t="str">
        <f>IF(AND('Riesgos de Gestión'!$AF$15="Baja",'Riesgos de Gestión'!$AH$15="Moderado"),CONCATENATE("R1C",'Riesgos de Gestión'!$V$15),"")</f>
        <v/>
      </c>
      <c r="Y36" s="48" t="str">
        <f>IF(AND('Riesgos de Gestión'!$AF$16="Baja",'Riesgos de Gestión'!$AH$16="Moderado"),CONCATENATE("R1C",'Riesgos de Gestión'!$V$16),"")</f>
        <v/>
      </c>
      <c r="Z36" s="48" t="str">
        <f>IF(AND('Riesgos de Gestión'!$AF$17="Baja",'Riesgos de Gestión'!$AH$17="Moderado"),CONCATENATE("R1C",'Riesgos de Gestión'!$V$17),"")</f>
        <v/>
      </c>
      <c r="AA36" s="49" t="str">
        <f>IF(AND('Riesgos de Gestión'!$AF$18="Baja",'Riesgos de Gestión'!$AH$18="Moderado"),CONCATENATE("R1C",'Riesgos de Gestión'!$V$18),"")</f>
        <v/>
      </c>
      <c r="AB36" s="29" t="str">
        <f>IF(AND('Riesgos de Gestión'!$AF$13="Baja",'Riesgos de Gestión'!$AH$13="Mayor"),CONCATENATE("R1C",'Riesgos de Gestión'!$V$13),"")</f>
        <v/>
      </c>
      <c r="AC36" s="30" t="str">
        <f>IF(AND('Riesgos de Gestión'!$AF$14="Baja",'Riesgos de Gestión'!$AH$14="Mayor"),CONCATENATE("R1C",'Riesgos de Gestión'!$V$14),"")</f>
        <v/>
      </c>
      <c r="AD36" s="30" t="str">
        <f>IF(AND('Riesgos de Gestión'!$AF$15="Baja",'Riesgos de Gestión'!$AH$15="Mayor"),CONCATENATE("R1C",'Riesgos de Gestión'!$V$15),"")</f>
        <v/>
      </c>
      <c r="AE36" s="30" t="str">
        <f>IF(AND('Riesgos de Gestión'!$AF$16="Baja",'Riesgos de Gestión'!$AH$16="Mayor"),CONCATENATE("R1C",'Riesgos de Gestión'!$V$16),"")</f>
        <v/>
      </c>
      <c r="AF36" s="30" t="str">
        <f>IF(AND('Riesgos de Gestión'!$AF$17="Baja",'Riesgos de Gestión'!$AH$17="Mayor"),CONCATENATE("R1C",'Riesgos de Gestión'!$V$17),"")</f>
        <v/>
      </c>
      <c r="AG36" s="31" t="str">
        <f>IF(AND('Riesgos de Gestión'!$AF$18="Baja",'Riesgos de Gestión'!$AH$18="Mayor"),CONCATENATE("R1C",'Riesgos de Gestión'!$V$18),"")</f>
        <v/>
      </c>
      <c r="AH36" s="32" t="str">
        <f>IF(AND('Riesgos de Gestión'!$AF$13="Baja",'Riesgos de Gestión'!$AH$13="Catastrófico"),CONCATENATE("R1C",'Riesgos de Gestión'!$V$13),"")</f>
        <v/>
      </c>
      <c r="AI36" s="33" t="str">
        <f>IF(AND('Riesgos de Gestión'!$AF$14="Baja",'Riesgos de Gestión'!$AH$14="Catastrófico"),CONCATENATE("R1C",'Riesgos de Gestión'!$V$14),"")</f>
        <v/>
      </c>
      <c r="AJ36" s="33" t="str">
        <f>IF(AND('Riesgos de Gestión'!$AF$15="Baja",'Riesgos de Gestión'!$AH$15="Catastrófico"),CONCATENATE("R1C",'Riesgos de Gestión'!$V$15),"")</f>
        <v/>
      </c>
      <c r="AK36" s="33" t="str">
        <f>IF(AND('Riesgos de Gestión'!$AF$16="Baja",'Riesgos de Gestión'!$AH$16="Catastrófico"),CONCATENATE("R1C",'Riesgos de Gestión'!$V$16),"")</f>
        <v/>
      </c>
      <c r="AL36" s="33" t="str">
        <f>IF(AND('Riesgos de Gestión'!$AF$17="Baja",'Riesgos de Gestión'!$AH$17="Catastrófico"),CONCATENATE("R1C",'Riesgos de Gestión'!$V$17),"")</f>
        <v/>
      </c>
      <c r="AM36" s="34" t="str">
        <f>IF(AND('Riesgos de Gestión'!$AF$18="Baja",'Riesgos de Gestión'!$AH$18="Catastrófico"),CONCATENATE("R1C",'Riesgos de Gestión'!$V$18),"")</f>
        <v/>
      </c>
      <c r="AN36" s="66"/>
      <c r="AO36" s="556" t="s">
        <v>322</v>
      </c>
      <c r="AP36" s="557"/>
      <c r="AQ36" s="557"/>
      <c r="AR36" s="557"/>
      <c r="AS36" s="557"/>
      <c r="AT36" s="558"/>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row>
    <row r="37" spans="1:80" ht="15" customHeight="1" x14ac:dyDescent="0.2">
      <c r="A37" s="66"/>
      <c r="B37" s="487"/>
      <c r="C37" s="487"/>
      <c r="D37" s="488"/>
      <c r="E37" s="544"/>
      <c r="F37" s="529"/>
      <c r="G37" s="529"/>
      <c r="H37" s="529"/>
      <c r="I37" s="529"/>
      <c r="J37" s="59" t="str">
        <f>IF(AND('Riesgos de Gestión'!$AF$19="Baja",'Riesgos de Gestión'!$AH$19="Leve"),CONCATENATE("R2C",'Riesgos de Gestión'!$V$19),"")</f>
        <v/>
      </c>
      <c r="K37" s="60" t="str">
        <f>IF(AND('Riesgos de Gestión'!$AF$20="Baja",'Riesgos de Gestión'!$AH$20="Leve"),CONCATENATE("R2C",'Riesgos de Gestión'!$V$20),"")</f>
        <v/>
      </c>
      <c r="L37" s="60" t="str">
        <f>IF(AND('Riesgos de Gestión'!$AF$21="Baja",'Riesgos de Gestión'!$AH$21="Leve"),CONCATENATE("R2C",'Riesgos de Gestión'!$V$21),"")</f>
        <v/>
      </c>
      <c r="M37" s="60" t="str">
        <f>IF(AND('Riesgos de Gestión'!$AF$22="Baja",'Riesgos de Gestión'!$AH$22="Leve"),CONCATENATE("R2C",'Riesgos de Gestión'!$V$22),"")</f>
        <v/>
      </c>
      <c r="N37" s="60" t="str">
        <f>IF(AND('Riesgos de Gestión'!$AF$23="Baja",'Riesgos de Gestión'!$AH$23="Leve"),CONCATENATE("R2C",'Riesgos de Gestión'!$V$23),"")</f>
        <v/>
      </c>
      <c r="O37" s="61" t="str">
        <f>IF(AND('Riesgos de Gestión'!$AF$24="Baja",'Riesgos de Gestión'!$AH$24="Leve"),CONCATENATE("R2C",'Riesgos de Gestión'!$V$24),"")</f>
        <v/>
      </c>
      <c r="P37" s="50" t="str">
        <f>IF(AND('Riesgos de Gestión'!$AF$19="Baja",'Riesgos de Gestión'!$AH$19="Menor"),CONCATENATE("R2C",'Riesgos de Gestión'!$V$19),"")</f>
        <v/>
      </c>
      <c r="Q37" s="51" t="str">
        <f>IF(AND('Riesgos de Gestión'!$AF$20="Baja",'Riesgos de Gestión'!$AH$20="Menor"),CONCATENATE("R2C",'Riesgos de Gestión'!$V$20),"")</f>
        <v/>
      </c>
      <c r="R37" s="51" t="str">
        <f>IF(AND('Riesgos de Gestión'!$AF$21="Baja",'Riesgos de Gestión'!$AH$21="Menor"),CONCATENATE("R2C",'Riesgos de Gestión'!$V$21),"")</f>
        <v/>
      </c>
      <c r="S37" s="51" t="str">
        <f>IF(AND('Riesgos de Gestión'!$AF$22="Baja",'Riesgos de Gestión'!$AH$22="Menor"),CONCATENATE("R2C",'Riesgos de Gestión'!$V$22),"")</f>
        <v/>
      </c>
      <c r="T37" s="51" t="str">
        <f>IF(AND('Riesgos de Gestión'!$AF$23="Baja",'Riesgos de Gestión'!$AH$23="Menor"),CONCATENATE("R2C",'Riesgos de Gestión'!$V$23),"")</f>
        <v/>
      </c>
      <c r="U37" s="52" t="str">
        <f>IF(AND('Riesgos de Gestión'!$AF$24="Baja",'Riesgos de Gestión'!$AH$24="Menor"),CONCATENATE("R2C",'Riesgos de Gestión'!$V$24),"")</f>
        <v/>
      </c>
      <c r="V37" s="50" t="str">
        <f>IF(AND('Riesgos de Gestión'!$AF$19="Baja",'Riesgos de Gestión'!$AH$19="Moderado"),CONCATENATE("R2C",'Riesgos de Gestión'!$V$19),"")</f>
        <v/>
      </c>
      <c r="W37" s="51" t="str">
        <f>IF(AND('Riesgos de Gestión'!$AF$20="Baja",'Riesgos de Gestión'!$AH$20="Moderado"),CONCATENATE("R2C",'Riesgos de Gestión'!$V$20),"")</f>
        <v>R2C2</v>
      </c>
      <c r="X37" s="51" t="str">
        <f>IF(AND('Riesgos de Gestión'!$AF$21="Baja",'Riesgos de Gestión'!$AH$21="Moderado"),CONCATENATE("R2C",'Riesgos de Gestión'!$V$21),"")</f>
        <v/>
      </c>
      <c r="Y37" s="51" t="str">
        <f>IF(AND('Riesgos de Gestión'!$AF$22="Baja",'Riesgos de Gestión'!$AH$22="Moderado"),CONCATENATE("R2C",'Riesgos de Gestión'!$V$22),"")</f>
        <v/>
      </c>
      <c r="Z37" s="51" t="str">
        <f>IF(AND('Riesgos de Gestión'!$AF$23="Baja",'Riesgos de Gestión'!$AH$23="Moderado"),CONCATENATE("R2C",'Riesgos de Gestión'!$V$23),"")</f>
        <v/>
      </c>
      <c r="AA37" s="52" t="str">
        <f>IF(AND('Riesgos de Gestión'!$AF$24="Baja",'Riesgos de Gestión'!$AH$24="Moderado"),CONCATENATE("R2C",'Riesgos de Gestión'!$V$24),"")</f>
        <v/>
      </c>
      <c r="AB37" s="35" t="str">
        <f>IF(AND('Riesgos de Gestión'!$AF$19="Baja",'Riesgos de Gestión'!$AH$19="Mayor"),CONCATENATE("R2C",'Riesgos de Gestión'!$V$19),"")</f>
        <v/>
      </c>
      <c r="AC37" s="36" t="str">
        <f>IF(AND('Riesgos de Gestión'!$AF$20="Baja",'Riesgos de Gestión'!$AH$20="Mayor"),CONCATENATE("R2C",'Riesgos de Gestión'!$V$20),"")</f>
        <v/>
      </c>
      <c r="AD37" s="36" t="str">
        <f>IF(AND('Riesgos de Gestión'!$AF$21="Baja",'Riesgos de Gestión'!$AH$21="Mayor"),CONCATENATE("R2C",'Riesgos de Gestión'!$V$21),"")</f>
        <v/>
      </c>
      <c r="AE37" s="36" t="str">
        <f>IF(AND('Riesgos de Gestión'!$AF$22="Baja",'Riesgos de Gestión'!$AH$22="Mayor"),CONCATENATE("R2C",'Riesgos de Gestión'!$V$22),"")</f>
        <v/>
      </c>
      <c r="AF37" s="36" t="str">
        <f>IF(AND('Riesgos de Gestión'!$AF$23="Baja",'Riesgos de Gestión'!$AH$23="Mayor"),CONCATENATE("R2C",'Riesgos de Gestión'!$V$23),"")</f>
        <v/>
      </c>
      <c r="AG37" s="37" t="str">
        <f>IF(AND('Riesgos de Gestión'!$AF$24="Baja",'Riesgos de Gestión'!$AH$24="Mayor"),CONCATENATE("R2C",'Riesgos de Gestión'!$V$24),"")</f>
        <v/>
      </c>
      <c r="AH37" s="38" t="str">
        <f>IF(AND('Riesgos de Gestión'!$AF$19="Baja",'Riesgos de Gestión'!$AH$19="Catastrófico"),CONCATENATE("R2C",'Riesgos de Gestión'!$V$19),"")</f>
        <v/>
      </c>
      <c r="AI37" s="39" t="str">
        <f>IF(AND('Riesgos de Gestión'!$AF$20="Baja",'Riesgos de Gestión'!$AH$20="Catastrófico"),CONCATENATE("R2C",'Riesgos de Gestión'!$V$20),"")</f>
        <v/>
      </c>
      <c r="AJ37" s="39" t="str">
        <f>IF(AND('Riesgos de Gestión'!$AF$21="Baja",'Riesgos de Gestión'!$AH$21="Catastrófico"),CONCATENATE("R2C",'Riesgos de Gestión'!$V$21),"")</f>
        <v/>
      </c>
      <c r="AK37" s="39" t="str">
        <f>IF(AND('Riesgos de Gestión'!$AF$22="Baja",'Riesgos de Gestión'!$AH$22="Catastrófico"),CONCATENATE("R2C",'Riesgos de Gestión'!$V$22),"")</f>
        <v/>
      </c>
      <c r="AL37" s="39" t="str">
        <f>IF(AND('Riesgos de Gestión'!$AF$23="Baja",'Riesgos de Gestión'!$AH$23="Catastrófico"),CONCATENATE("R2C",'Riesgos de Gestión'!$V$23),"")</f>
        <v/>
      </c>
      <c r="AM37" s="40" t="str">
        <f>IF(AND('Riesgos de Gestión'!$AF$24="Baja",'Riesgos de Gestión'!$AH$24="Catastrófico"),CONCATENATE("R2C",'Riesgos de Gestión'!$V$24),"")</f>
        <v/>
      </c>
      <c r="AN37" s="66"/>
      <c r="AO37" s="559"/>
      <c r="AP37" s="560"/>
      <c r="AQ37" s="560"/>
      <c r="AR37" s="560"/>
      <c r="AS37" s="560"/>
      <c r="AT37" s="561"/>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row>
    <row r="38" spans="1:80" ht="15" customHeight="1" x14ac:dyDescent="0.2">
      <c r="A38" s="66"/>
      <c r="B38" s="487"/>
      <c r="C38" s="487"/>
      <c r="D38" s="488"/>
      <c r="E38" s="528"/>
      <c r="F38" s="529"/>
      <c r="G38" s="529"/>
      <c r="H38" s="529"/>
      <c r="I38" s="529"/>
      <c r="J38" s="59" t="str">
        <f>IF(AND('Riesgos de Gestión'!$AF$25="Baja",'Riesgos de Gestión'!$AH$25="Leve"),CONCATENATE("R3C",'Riesgos de Gestión'!$V$25),"")</f>
        <v/>
      </c>
      <c r="K38" s="60" t="str">
        <f>IF(AND('Riesgos de Gestión'!$AF$26="Baja",'Riesgos de Gestión'!$AH$26="Leve"),CONCATENATE("R3C",'Riesgos de Gestión'!$V$26),"")</f>
        <v/>
      </c>
      <c r="L38" s="60" t="str">
        <f>IF(AND('Riesgos de Gestión'!$AF$27="Baja",'Riesgos de Gestión'!$AH$27="Leve"),CONCATENATE("R3C",'Riesgos de Gestión'!$V$27),"")</f>
        <v/>
      </c>
      <c r="M38" s="60" t="str">
        <f>IF(AND('Riesgos de Gestión'!$AF$28="Baja",'Riesgos de Gestión'!$AH$28="Leve"),CONCATENATE("R3C",'Riesgos de Gestión'!$V$28),"")</f>
        <v/>
      </c>
      <c r="N38" s="60" t="str">
        <f>IF(AND('Riesgos de Gestión'!$AF$29="Baja",'Riesgos de Gestión'!$AH$29="Leve"),CONCATENATE("R3C",'Riesgos de Gestión'!$V$29),"")</f>
        <v/>
      </c>
      <c r="O38" s="61" t="str">
        <f>IF(AND('Riesgos de Gestión'!$AF$30="Baja",'Riesgos de Gestión'!$AH$30="Leve"),CONCATENATE("R3C",'Riesgos de Gestión'!$V$30),"")</f>
        <v/>
      </c>
      <c r="P38" s="50" t="str">
        <f>IF(AND('Riesgos de Gestión'!$AF$25="Baja",'Riesgos de Gestión'!$AH$25="Menor"),CONCATENATE("R3C",'Riesgos de Gestión'!$V$25),"")</f>
        <v>R3C1</v>
      </c>
      <c r="Q38" s="51" t="str">
        <f>IF(AND('Riesgos de Gestión'!$AF$26="Baja",'Riesgos de Gestión'!$AH$26="Menor"),CONCATENATE("R3C",'Riesgos de Gestión'!$V$26),"")</f>
        <v>R3C2</v>
      </c>
      <c r="R38" s="51" t="str">
        <f>IF(AND('Riesgos de Gestión'!$AF$27="Baja",'Riesgos de Gestión'!$AH$27="Menor"),CONCATENATE("R3C",'Riesgos de Gestión'!$V$27),"")</f>
        <v/>
      </c>
      <c r="S38" s="51" t="str">
        <f>IF(AND('Riesgos de Gestión'!$AF$28="Baja",'Riesgos de Gestión'!$AH$28="Menor"),CONCATENATE("R3C",'Riesgos de Gestión'!$V$28),"")</f>
        <v/>
      </c>
      <c r="T38" s="51" t="str">
        <f>IF(AND('Riesgos de Gestión'!$AF$29="Baja",'Riesgos de Gestión'!$AH$29="Menor"),CONCATENATE("R3C",'Riesgos de Gestión'!$V$29),"")</f>
        <v/>
      </c>
      <c r="U38" s="52" t="str">
        <f>IF(AND('Riesgos de Gestión'!$AF$30="Baja",'Riesgos de Gestión'!$AH$30="Menor"),CONCATENATE("R3C",'Riesgos de Gestión'!$V$30),"")</f>
        <v/>
      </c>
      <c r="V38" s="50" t="str">
        <f>IF(AND('Riesgos de Gestión'!$AF$25="Baja",'Riesgos de Gestión'!$AH$25="Moderado"),CONCATENATE("R3C",'Riesgos de Gestión'!$V$25),"")</f>
        <v/>
      </c>
      <c r="W38" s="51" t="str">
        <f>IF(AND('Riesgos de Gestión'!$AF$26="Baja",'Riesgos de Gestión'!$AH$26="Moderado"),CONCATENATE("R3C",'Riesgos de Gestión'!$V$26),"")</f>
        <v/>
      </c>
      <c r="X38" s="51" t="str">
        <f>IF(AND('Riesgos de Gestión'!$AF$27="Baja",'Riesgos de Gestión'!$AH$27="Moderado"),CONCATENATE("R3C",'Riesgos de Gestión'!$V$27),"")</f>
        <v/>
      </c>
      <c r="Y38" s="51" t="str">
        <f>IF(AND('Riesgos de Gestión'!$AF$28="Baja",'Riesgos de Gestión'!$AH$28="Moderado"),CONCATENATE("R3C",'Riesgos de Gestión'!$V$28),"")</f>
        <v/>
      </c>
      <c r="Z38" s="51" t="str">
        <f>IF(AND('Riesgos de Gestión'!$AF$29="Baja",'Riesgos de Gestión'!$AH$29="Moderado"),CONCATENATE("R3C",'Riesgos de Gestión'!$V$29),"")</f>
        <v/>
      </c>
      <c r="AA38" s="52" t="str">
        <f>IF(AND('Riesgos de Gestión'!$AF$30="Baja",'Riesgos de Gestión'!$AH$30="Moderado"),CONCATENATE("R3C",'Riesgos de Gestión'!$V$30),"")</f>
        <v/>
      </c>
      <c r="AB38" s="35" t="str">
        <f>IF(AND('Riesgos de Gestión'!$AF$25="Baja",'Riesgos de Gestión'!$AH$25="Mayor"),CONCATENATE("R3C",'Riesgos de Gestión'!$V$25),"")</f>
        <v/>
      </c>
      <c r="AC38" s="36" t="str">
        <f>IF(AND('Riesgos de Gestión'!$AF$26="Baja",'Riesgos de Gestión'!$AH$26="Mayor"),CONCATENATE("R3C",'Riesgos de Gestión'!$V$26),"")</f>
        <v/>
      </c>
      <c r="AD38" s="36" t="str">
        <f>IF(AND('Riesgos de Gestión'!$AF$27="Baja",'Riesgos de Gestión'!$AH$27="Mayor"),CONCATENATE("R3C",'Riesgos de Gestión'!$V$27),"")</f>
        <v/>
      </c>
      <c r="AE38" s="36" t="str">
        <f>IF(AND('Riesgos de Gestión'!$AF$28="Baja",'Riesgos de Gestión'!$AH$28="Mayor"),CONCATENATE("R3C",'Riesgos de Gestión'!$V$28),"")</f>
        <v/>
      </c>
      <c r="AF38" s="36" t="str">
        <f>IF(AND('Riesgos de Gestión'!$AF$29="Baja",'Riesgos de Gestión'!$AH$29="Mayor"),CONCATENATE("R3C",'Riesgos de Gestión'!$V$29),"")</f>
        <v/>
      </c>
      <c r="AG38" s="37" t="str">
        <f>IF(AND('Riesgos de Gestión'!$AF$30="Baja",'Riesgos de Gestión'!$AH$30="Mayor"),CONCATENATE("R3C",'Riesgos de Gestión'!$V$30),"")</f>
        <v/>
      </c>
      <c r="AH38" s="38" t="str">
        <f>IF(AND('Riesgos de Gestión'!$AF$25="Baja",'Riesgos de Gestión'!$AH$25="Catastrófico"),CONCATENATE("R3C",'Riesgos de Gestión'!$V$25),"")</f>
        <v/>
      </c>
      <c r="AI38" s="39" t="str">
        <f>IF(AND('Riesgos de Gestión'!$AF$26="Baja",'Riesgos de Gestión'!$AH$26="Catastrófico"),CONCATENATE("R3C",'Riesgos de Gestión'!$V$26),"")</f>
        <v/>
      </c>
      <c r="AJ38" s="39" t="str">
        <f>IF(AND('Riesgos de Gestión'!$AF$27="Baja",'Riesgos de Gestión'!$AH$27="Catastrófico"),CONCATENATE("R3C",'Riesgos de Gestión'!$V$27),"")</f>
        <v/>
      </c>
      <c r="AK38" s="39" t="str">
        <f>IF(AND('Riesgos de Gestión'!$AF$28="Baja",'Riesgos de Gestión'!$AH$28="Catastrófico"),CONCATENATE("R3C",'Riesgos de Gestión'!$V$28),"")</f>
        <v/>
      </c>
      <c r="AL38" s="39" t="str">
        <f>IF(AND('Riesgos de Gestión'!$AF$29="Baja",'Riesgos de Gestión'!$AH$29="Catastrófico"),CONCATENATE("R3C",'Riesgos de Gestión'!$V$29),"")</f>
        <v/>
      </c>
      <c r="AM38" s="40" t="str">
        <f>IF(AND('Riesgos de Gestión'!$AF$30="Baja",'Riesgos de Gestión'!$AH$30="Catastrófico"),CONCATENATE("R3C",'Riesgos de Gestión'!$V$30),"")</f>
        <v/>
      </c>
      <c r="AN38" s="66"/>
      <c r="AO38" s="559"/>
      <c r="AP38" s="560"/>
      <c r="AQ38" s="560"/>
      <c r="AR38" s="560"/>
      <c r="AS38" s="560"/>
      <c r="AT38" s="561"/>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row>
    <row r="39" spans="1:80" ht="15" customHeight="1" x14ac:dyDescent="0.2">
      <c r="A39" s="66"/>
      <c r="B39" s="487"/>
      <c r="C39" s="487"/>
      <c r="D39" s="488"/>
      <c r="E39" s="528"/>
      <c r="F39" s="529"/>
      <c r="G39" s="529"/>
      <c r="H39" s="529"/>
      <c r="I39" s="529"/>
      <c r="J39" s="59" t="str">
        <f>IF(AND('Riesgos de Gestión'!$AF$31="Baja",'Riesgos de Gestión'!$AH$31="Leve"),CONCATENATE("R4C",'Riesgos de Gestión'!$V$31),"")</f>
        <v/>
      </c>
      <c r="K39" s="60" t="str">
        <f>IF(AND('Riesgos de Gestión'!$AF$32="Baja",'Riesgos de Gestión'!$AH$32="Leve"),CONCATENATE("R4C",'Riesgos de Gestión'!$V$32),"")</f>
        <v/>
      </c>
      <c r="L39" s="60" t="str">
        <f>IF(AND('Riesgos de Gestión'!$AF$33="Baja",'Riesgos de Gestión'!$AH$33="Leve"),CONCATENATE("R4C",'Riesgos de Gestión'!$V$33),"")</f>
        <v/>
      </c>
      <c r="M39" s="60" t="str">
        <f>IF(AND('Riesgos de Gestión'!$AF$34="Baja",'Riesgos de Gestión'!$AH$34="Leve"),CONCATENATE("R4C",'Riesgos de Gestión'!$V$34),"")</f>
        <v/>
      </c>
      <c r="N39" s="60" t="str">
        <f>IF(AND('Riesgos de Gestión'!$AF$35="Baja",'Riesgos de Gestión'!$AH$35="Leve"),CONCATENATE("R4C",'Riesgos de Gestión'!$V$35),"")</f>
        <v/>
      </c>
      <c r="O39" s="61" t="str">
        <f>IF(AND('Riesgos de Gestión'!$AF$36="Baja",'Riesgos de Gestión'!$AH$36="Leve"),CONCATENATE("R4C",'Riesgos de Gestión'!$V$36),"")</f>
        <v/>
      </c>
      <c r="P39" s="50" t="str">
        <f>IF(AND('Riesgos de Gestión'!$AF$31="Baja",'Riesgos de Gestión'!$AH$31="Menor"),CONCATENATE("R4C",'Riesgos de Gestión'!$V$31),"")</f>
        <v/>
      </c>
      <c r="Q39" s="51" t="str">
        <f>IF(AND('Riesgos de Gestión'!$AF$32="Baja",'Riesgos de Gestión'!$AH$32="Menor"),CONCATENATE("R4C",'Riesgos de Gestión'!$V$32),"")</f>
        <v/>
      </c>
      <c r="R39" s="51" t="str">
        <f>IF(AND('Riesgos de Gestión'!$AF$33="Baja",'Riesgos de Gestión'!$AH$33="Menor"),CONCATENATE("R4C",'Riesgos de Gestión'!$V$33),"")</f>
        <v/>
      </c>
      <c r="S39" s="51" t="str">
        <f>IF(AND('Riesgos de Gestión'!$AF$34="Baja",'Riesgos de Gestión'!$AH$34="Menor"),CONCATENATE("R4C",'Riesgos de Gestión'!$V$34),"")</f>
        <v/>
      </c>
      <c r="T39" s="51" t="str">
        <f>IF(AND('Riesgos de Gestión'!$AF$35="Baja",'Riesgos de Gestión'!$AH$35="Menor"),CONCATENATE("R4C",'Riesgos de Gestión'!$V$35),"")</f>
        <v/>
      </c>
      <c r="U39" s="52" t="str">
        <f>IF(AND('Riesgos de Gestión'!$AF$36="Baja",'Riesgos de Gestión'!$AH$36="Menor"),CONCATENATE("R4C",'Riesgos de Gestión'!$V$36),"")</f>
        <v/>
      </c>
      <c r="V39" s="50" t="str">
        <f>IF(AND('Riesgos de Gestión'!$AF$31="Baja",'Riesgos de Gestión'!$AH$31="Moderado"),CONCATENATE("R4C",'Riesgos de Gestión'!$V$31),"")</f>
        <v/>
      </c>
      <c r="W39" s="51" t="str">
        <f>IF(AND('Riesgos de Gestión'!$AF$32="Baja",'Riesgos de Gestión'!$AH$32="Moderado"),CONCATENATE("R4C",'Riesgos de Gestión'!$V$32),"")</f>
        <v/>
      </c>
      <c r="X39" s="51" t="str">
        <f>IF(AND('Riesgos de Gestión'!$AF$33="Baja",'Riesgos de Gestión'!$AH$33="Moderado"),CONCATENATE("R4C",'Riesgos de Gestión'!$V$33),"")</f>
        <v/>
      </c>
      <c r="Y39" s="51" t="str">
        <f>IF(AND('Riesgos de Gestión'!$AF$34="Baja",'Riesgos de Gestión'!$AH$34="Moderado"),CONCATENATE("R4C",'Riesgos de Gestión'!$V$34),"")</f>
        <v/>
      </c>
      <c r="Z39" s="51" t="str">
        <f>IF(AND('Riesgos de Gestión'!$AF$35="Baja",'Riesgos de Gestión'!$AH$35="Moderado"),CONCATENATE("R4C",'Riesgos de Gestión'!$V$35),"")</f>
        <v/>
      </c>
      <c r="AA39" s="52" t="str">
        <f>IF(AND('Riesgos de Gestión'!$AF$36="Baja",'Riesgos de Gestión'!$AH$36="Moderado"),CONCATENATE("R4C",'Riesgos de Gestión'!$V$36),"")</f>
        <v/>
      </c>
      <c r="AB39" s="35" t="str">
        <f>IF(AND('Riesgos de Gestión'!$AF$31="Baja",'Riesgos de Gestión'!$AH$31="Mayor"),CONCATENATE("R4C",'Riesgos de Gestión'!$V$31),"")</f>
        <v/>
      </c>
      <c r="AC39" s="36" t="str">
        <f>IF(AND('Riesgos de Gestión'!$AF$32="Baja",'Riesgos de Gestión'!$AH$32="Mayor"),CONCATENATE("R4C",'Riesgos de Gestión'!$V$32),"")</f>
        <v/>
      </c>
      <c r="AD39" s="36" t="str">
        <f>IF(AND('Riesgos de Gestión'!$AF$33="Baja",'Riesgos de Gestión'!$AH$33="Mayor"),CONCATENATE("R4C",'Riesgos de Gestión'!$V$33),"")</f>
        <v/>
      </c>
      <c r="AE39" s="36" t="str">
        <f>IF(AND('Riesgos de Gestión'!$AF$34="Baja",'Riesgos de Gestión'!$AH$34="Mayor"),CONCATENATE("R4C",'Riesgos de Gestión'!$V$34),"")</f>
        <v/>
      </c>
      <c r="AF39" s="36" t="str">
        <f>IF(AND('Riesgos de Gestión'!$AF$35="Baja",'Riesgos de Gestión'!$AH$35="Mayor"),CONCATENATE("R4C",'Riesgos de Gestión'!$V$35),"")</f>
        <v/>
      </c>
      <c r="AG39" s="37" t="str">
        <f>IF(AND('Riesgos de Gestión'!$AF$36="Baja",'Riesgos de Gestión'!$AH$36="Mayor"),CONCATENATE("R4C",'Riesgos de Gestión'!$V$36),"")</f>
        <v/>
      </c>
      <c r="AH39" s="38" t="str">
        <f>IF(AND('Riesgos de Gestión'!$AF$31="Baja",'Riesgos de Gestión'!$AH$31="Catastrófico"),CONCATENATE("R4C",'Riesgos de Gestión'!$V$31),"")</f>
        <v/>
      </c>
      <c r="AI39" s="39" t="str">
        <f>IF(AND('Riesgos de Gestión'!$AF$32="Baja",'Riesgos de Gestión'!$AH$32="Catastrófico"),CONCATENATE("R4C",'Riesgos de Gestión'!$V$32),"")</f>
        <v/>
      </c>
      <c r="AJ39" s="39" t="str">
        <f>IF(AND('Riesgos de Gestión'!$AF$33="Baja",'Riesgos de Gestión'!$AH$33="Catastrófico"),CONCATENATE("R4C",'Riesgos de Gestión'!$V$33),"")</f>
        <v/>
      </c>
      <c r="AK39" s="39" t="str">
        <f>IF(AND('Riesgos de Gestión'!$AF$34="Baja",'Riesgos de Gestión'!$AH$34="Catastrófico"),CONCATENATE("R4C",'Riesgos de Gestión'!$V$34),"")</f>
        <v/>
      </c>
      <c r="AL39" s="39" t="str">
        <f>IF(AND('Riesgos de Gestión'!$AF$35="Baja",'Riesgos de Gestión'!$AH$35="Catastrófico"),CONCATENATE("R4C",'Riesgos de Gestión'!$V$35),"")</f>
        <v/>
      </c>
      <c r="AM39" s="40" t="str">
        <f>IF(AND('Riesgos de Gestión'!$AF$36="Baja",'Riesgos de Gestión'!$AH$36="Catastrófico"),CONCATENATE("R4C",'Riesgos de Gestión'!$V$36),"")</f>
        <v/>
      </c>
      <c r="AN39" s="66"/>
      <c r="AO39" s="559"/>
      <c r="AP39" s="560"/>
      <c r="AQ39" s="560"/>
      <c r="AR39" s="560"/>
      <c r="AS39" s="560"/>
      <c r="AT39" s="561"/>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row>
    <row r="40" spans="1:80" ht="15" customHeight="1" x14ac:dyDescent="0.2">
      <c r="A40" s="66"/>
      <c r="B40" s="487"/>
      <c r="C40" s="487"/>
      <c r="D40" s="488"/>
      <c r="E40" s="528"/>
      <c r="F40" s="529"/>
      <c r="G40" s="529"/>
      <c r="H40" s="529"/>
      <c r="I40" s="529"/>
      <c r="J40" s="59" t="str">
        <f>IF(AND('Riesgos de Gestión'!$AF$37="Baja",'Riesgos de Gestión'!$AH$37="Leve"),CONCATENATE("R5C",'Riesgos de Gestión'!$V$37),"")</f>
        <v/>
      </c>
      <c r="K40" s="60" t="str">
        <f>IF(AND('Riesgos de Gestión'!$AF$38="Baja",'Riesgos de Gestión'!$AH$38="Leve"),CONCATENATE("R5C",'Riesgos de Gestión'!$V$38),"")</f>
        <v/>
      </c>
      <c r="L40" s="60" t="str">
        <f>IF(AND('Riesgos de Gestión'!$AF$39="Baja",'Riesgos de Gestión'!$AH$39="Leve"),CONCATENATE("R5C",'Riesgos de Gestión'!$V$39),"")</f>
        <v/>
      </c>
      <c r="M40" s="60" t="str">
        <f>IF(AND('Riesgos de Gestión'!$AF$40="Baja",'Riesgos de Gestión'!$AH$40="Leve"),CONCATENATE("R5C",'Riesgos de Gestión'!$V$40),"")</f>
        <v/>
      </c>
      <c r="N40" s="60" t="str">
        <f>IF(AND('Riesgos de Gestión'!$AF$41="Baja",'Riesgos de Gestión'!$AH$41="Leve"),CONCATENATE("R5C",'Riesgos de Gestión'!$V$41),"")</f>
        <v/>
      </c>
      <c r="O40" s="61" t="str">
        <f>IF(AND('Riesgos de Gestión'!$AF$42="Baja",'Riesgos de Gestión'!$AH$42="Leve"),CONCATENATE("R5C",'Riesgos de Gestión'!$V$42),"")</f>
        <v/>
      </c>
      <c r="P40" s="50" t="str">
        <f>IF(AND('Riesgos de Gestión'!$AF$37="Baja",'Riesgos de Gestión'!$AH$37="Menor"),CONCATENATE("R5C",'Riesgos de Gestión'!$V$37),"")</f>
        <v/>
      </c>
      <c r="Q40" s="51" t="str">
        <f>IF(AND('Riesgos de Gestión'!$AF$38="Baja",'Riesgos de Gestión'!$AH$38="Menor"),CONCATENATE("R5C",'Riesgos de Gestión'!$V$38),"")</f>
        <v/>
      </c>
      <c r="R40" s="51" t="str">
        <f>IF(AND('Riesgos de Gestión'!$AF$39="Baja",'Riesgos de Gestión'!$AH$39="Menor"),CONCATENATE("R5C",'Riesgos de Gestión'!$V$39),"")</f>
        <v/>
      </c>
      <c r="S40" s="51" t="str">
        <f>IF(AND('Riesgos de Gestión'!$AF$40="Baja",'Riesgos de Gestión'!$AH$40="Menor"),CONCATENATE("R5C",'Riesgos de Gestión'!$V$40),"")</f>
        <v/>
      </c>
      <c r="T40" s="51" t="str">
        <f>IF(AND('Riesgos de Gestión'!$AF$41="Baja",'Riesgos de Gestión'!$AH$41="Menor"),CONCATENATE("R5C",'Riesgos de Gestión'!$V$41),"")</f>
        <v/>
      </c>
      <c r="U40" s="52" t="str">
        <f>IF(AND('Riesgos de Gestión'!$AF$42="Baja",'Riesgos de Gestión'!$AH$42="Menor"),CONCATENATE("R5C",'Riesgos de Gestión'!$V$42),"")</f>
        <v/>
      </c>
      <c r="V40" s="50" t="str">
        <f>IF(AND('Riesgos de Gestión'!$AF$37="Baja",'Riesgos de Gestión'!$AH$37="Moderado"),CONCATENATE("R5C",'Riesgos de Gestión'!$V$37),"")</f>
        <v/>
      </c>
      <c r="W40" s="51" t="str">
        <f>IF(AND('Riesgos de Gestión'!$AF$38="Baja",'Riesgos de Gestión'!$AH$38="Moderado"),CONCATENATE("R5C",'Riesgos de Gestión'!$V$38),"")</f>
        <v/>
      </c>
      <c r="X40" s="51" t="str">
        <f>IF(AND('Riesgos de Gestión'!$AF$39="Baja",'Riesgos de Gestión'!$AH$39="Moderado"),CONCATENATE("R5C",'Riesgos de Gestión'!$V$39),"")</f>
        <v/>
      </c>
      <c r="Y40" s="51" t="str">
        <f>IF(AND('Riesgos de Gestión'!$AF$40="Baja",'Riesgos de Gestión'!$AH$40="Moderado"),CONCATENATE("R5C",'Riesgos de Gestión'!$V$40),"")</f>
        <v/>
      </c>
      <c r="Z40" s="51" t="str">
        <f>IF(AND('Riesgos de Gestión'!$AF$41="Baja",'Riesgos de Gestión'!$AH$41="Moderado"),CONCATENATE("R5C",'Riesgos de Gestión'!$V$41),"")</f>
        <v/>
      </c>
      <c r="AA40" s="52" t="str">
        <f>IF(AND('Riesgos de Gestión'!$AF$42="Baja",'Riesgos de Gestión'!$AH$42="Moderado"),CONCATENATE("R5C",'Riesgos de Gestión'!$V$42),"")</f>
        <v/>
      </c>
      <c r="AB40" s="35" t="str">
        <f>IF(AND('Riesgos de Gestión'!$AF$37="Baja",'Riesgos de Gestión'!$AH$37="Mayor"),CONCATENATE("R5C",'Riesgos de Gestión'!$V$37),"")</f>
        <v/>
      </c>
      <c r="AC40" s="36" t="str">
        <f>IF(AND('Riesgos de Gestión'!$AF$38="Baja",'Riesgos de Gestión'!$AH$38="Mayor"),CONCATENATE("R5C",'Riesgos de Gestión'!$V$38),"")</f>
        <v/>
      </c>
      <c r="AD40" s="36" t="str">
        <f>IF(AND('Riesgos de Gestión'!$AF$39="Baja",'Riesgos de Gestión'!$AH$39="Mayor"),CONCATENATE("R5C",'Riesgos de Gestión'!$V$39),"")</f>
        <v/>
      </c>
      <c r="AE40" s="36" t="str">
        <f>IF(AND('Riesgos de Gestión'!$AF$40="Baja",'Riesgos de Gestión'!$AH$40="Mayor"),CONCATENATE("R5C",'Riesgos de Gestión'!$V$40),"")</f>
        <v/>
      </c>
      <c r="AF40" s="36" t="str">
        <f>IF(AND('Riesgos de Gestión'!$AF$41="Baja",'Riesgos de Gestión'!$AH$41="Mayor"),CONCATENATE("R5C",'Riesgos de Gestión'!$V$41),"")</f>
        <v/>
      </c>
      <c r="AG40" s="37" t="str">
        <f>IF(AND('Riesgos de Gestión'!$AF$42="Baja",'Riesgos de Gestión'!$AH$42="Mayor"),CONCATENATE("R5C",'Riesgos de Gestión'!$V$42),"")</f>
        <v/>
      </c>
      <c r="AH40" s="38" t="str">
        <f>IF(AND('Riesgos de Gestión'!$AF$37="Baja",'Riesgos de Gestión'!$AH$37="Catastrófico"),CONCATENATE("R5C",'Riesgos de Gestión'!$V$37),"")</f>
        <v/>
      </c>
      <c r="AI40" s="39" t="str">
        <f>IF(AND('Riesgos de Gestión'!$AF$38="Baja",'Riesgos de Gestión'!$AH$38="Catastrófico"),CONCATENATE("R5C",'Riesgos de Gestión'!$V$38),"")</f>
        <v/>
      </c>
      <c r="AJ40" s="39" t="str">
        <f>IF(AND('Riesgos de Gestión'!$AF$39="Baja",'Riesgos de Gestión'!$AH$39="Catastrófico"),CONCATENATE("R5C",'Riesgos de Gestión'!$V$39),"")</f>
        <v/>
      </c>
      <c r="AK40" s="39" t="str">
        <f>IF(AND('Riesgos de Gestión'!$AF$40="Baja",'Riesgos de Gestión'!$AH$40="Catastrófico"),CONCATENATE("R5C",'Riesgos de Gestión'!$V$40),"")</f>
        <v/>
      </c>
      <c r="AL40" s="39" t="str">
        <f>IF(AND('Riesgos de Gestión'!$AF$41="Baja",'Riesgos de Gestión'!$AH$41="Catastrófico"),CONCATENATE("R5C",'Riesgos de Gestión'!$V$41),"")</f>
        <v/>
      </c>
      <c r="AM40" s="40" t="str">
        <f>IF(AND('Riesgos de Gestión'!$AF$42="Baja",'Riesgos de Gestión'!$AH$42="Catastrófico"),CONCATENATE("R5C",'Riesgos de Gestión'!$V$42),"")</f>
        <v/>
      </c>
      <c r="AN40" s="66"/>
      <c r="AO40" s="559"/>
      <c r="AP40" s="560"/>
      <c r="AQ40" s="560"/>
      <c r="AR40" s="560"/>
      <c r="AS40" s="560"/>
      <c r="AT40" s="561"/>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row>
    <row r="41" spans="1:80" ht="15" customHeight="1" x14ac:dyDescent="0.2">
      <c r="A41" s="66"/>
      <c r="B41" s="487"/>
      <c r="C41" s="487"/>
      <c r="D41" s="488"/>
      <c r="E41" s="528"/>
      <c r="F41" s="529"/>
      <c r="G41" s="529"/>
      <c r="H41" s="529"/>
      <c r="I41" s="529"/>
      <c r="J41" s="59" t="str">
        <f>IF(AND('Riesgos de Gestión'!$AF$43="Baja",'Riesgos de Gestión'!$AH$43="Leve"),CONCATENATE("R6C",'Riesgos de Gestión'!$V$43),"")</f>
        <v/>
      </c>
      <c r="K41" s="60" t="str">
        <f>IF(AND('Riesgos de Gestión'!$AF$44="Baja",'Riesgos de Gestión'!$AH$44="Leve"),CONCATENATE("R6C",'Riesgos de Gestión'!$V$44),"")</f>
        <v/>
      </c>
      <c r="L41" s="60" t="str">
        <f>IF(AND('Riesgos de Gestión'!$AF$45="Baja",'Riesgos de Gestión'!$AH$45="Leve"),CONCATENATE("R6C",'Riesgos de Gestión'!$V$45),"")</f>
        <v/>
      </c>
      <c r="M41" s="60" t="str">
        <f>IF(AND('Riesgos de Gestión'!$AF$46="Baja",'Riesgos de Gestión'!$AH$46="Leve"),CONCATENATE("R6C",'Riesgos de Gestión'!$V$46),"")</f>
        <v/>
      </c>
      <c r="N41" s="60" t="str">
        <f>IF(AND('Riesgos de Gestión'!$AF$47="Baja",'Riesgos de Gestión'!$AH$47="Leve"),CONCATENATE("R6C",'Riesgos de Gestión'!$V$47),"")</f>
        <v/>
      </c>
      <c r="O41" s="61" t="str">
        <f>IF(AND('Riesgos de Gestión'!$AF$48="Baja",'Riesgos de Gestión'!$AH$48="Leve"),CONCATENATE("R6C",'Riesgos de Gestión'!$V$48),"")</f>
        <v/>
      </c>
      <c r="P41" s="50" t="str">
        <f>IF(AND('Riesgos de Gestión'!$AF$43="Baja",'Riesgos de Gestión'!$AH$43="Menor"),CONCATENATE("R6C",'Riesgos de Gestión'!$V$43),"")</f>
        <v/>
      </c>
      <c r="Q41" s="51" t="str">
        <f>IF(AND('Riesgos de Gestión'!$AF$44="Baja",'Riesgos de Gestión'!$AH$44="Menor"),CONCATENATE("R6C",'Riesgos de Gestión'!$V$44),"")</f>
        <v/>
      </c>
      <c r="R41" s="51" t="str">
        <f>IF(AND('Riesgos de Gestión'!$AF$45="Baja",'Riesgos de Gestión'!$AH$45="Menor"),CONCATENATE("R6C",'Riesgos de Gestión'!$V$45),"")</f>
        <v/>
      </c>
      <c r="S41" s="51" t="str">
        <f>IF(AND('Riesgos de Gestión'!$AF$46="Baja",'Riesgos de Gestión'!$AH$46="Menor"),CONCATENATE("R6C",'Riesgos de Gestión'!$V$46),"")</f>
        <v/>
      </c>
      <c r="T41" s="51" t="str">
        <f>IF(AND('Riesgos de Gestión'!$AF$47="Baja",'Riesgos de Gestión'!$AH$47="Menor"),CONCATENATE("R6C",'Riesgos de Gestión'!$V$47),"")</f>
        <v/>
      </c>
      <c r="U41" s="52" t="str">
        <f>IF(AND('Riesgos de Gestión'!$AF$48="Baja",'Riesgos de Gestión'!$AH$48="Menor"),CONCATENATE("R6C",'Riesgos de Gestión'!$V$48),"")</f>
        <v/>
      </c>
      <c r="V41" s="50" t="str">
        <f>IF(AND('Riesgos de Gestión'!$AF$43="Baja",'Riesgos de Gestión'!$AH$43="Moderado"),CONCATENATE("R6C",'Riesgos de Gestión'!$V$43),"")</f>
        <v/>
      </c>
      <c r="W41" s="51" t="str">
        <f>IF(AND('Riesgos de Gestión'!$AF$44="Baja",'Riesgos de Gestión'!$AH$44="Moderado"),CONCATENATE("R6C",'Riesgos de Gestión'!$V$44),"")</f>
        <v/>
      </c>
      <c r="X41" s="51" t="str">
        <f>IF(AND('Riesgos de Gestión'!$AF$45="Baja",'Riesgos de Gestión'!$AH$45="Moderado"),CONCATENATE("R6C",'Riesgos de Gestión'!$V$45),"")</f>
        <v/>
      </c>
      <c r="Y41" s="51" t="str">
        <f>IF(AND('Riesgos de Gestión'!$AF$46="Baja",'Riesgos de Gestión'!$AH$46="Moderado"),CONCATENATE("R6C",'Riesgos de Gestión'!$V$46),"")</f>
        <v/>
      </c>
      <c r="Z41" s="51" t="str">
        <f>IF(AND('Riesgos de Gestión'!$AF$47="Baja",'Riesgos de Gestión'!$AH$47="Moderado"),CONCATENATE("R6C",'Riesgos de Gestión'!$V$47),"")</f>
        <v/>
      </c>
      <c r="AA41" s="52" t="str">
        <f>IF(AND('Riesgos de Gestión'!$AF$48="Baja",'Riesgos de Gestión'!$AH$48="Moderado"),CONCATENATE("R6C",'Riesgos de Gestión'!$V$48),"")</f>
        <v/>
      </c>
      <c r="AB41" s="35" t="str">
        <f>IF(AND('Riesgos de Gestión'!$AF$43="Baja",'Riesgos de Gestión'!$AH$43="Mayor"),CONCATENATE("R6C",'Riesgos de Gestión'!$V$43),"")</f>
        <v/>
      </c>
      <c r="AC41" s="36" t="str">
        <f>IF(AND('Riesgos de Gestión'!$AF$44="Baja",'Riesgos de Gestión'!$AH$44="Mayor"),CONCATENATE("R6C",'Riesgos de Gestión'!$V$44),"")</f>
        <v/>
      </c>
      <c r="AD41" s="36" t="str">
        <f>IF(AND('Riesgos de Gestión'!$AF$45="Baja",'Riesgos de Gestión'!$AH$45="Mayor"),CONCATENATE("R6C",'Riesgos de Gestión'!$V$45),"")</f>
        <v/>
      </c>
      <c r="AE41" s="36" t="str">
        <f>IF(AND('Riesgos de Gestión'!$AF$46="Baja",'Riesgos de Gestión'!$AH$46="Mayor"),CONCATENATE("R6C",'Riesgos de Gestión'!$V$46),"")</f>
        <v/>
      </c>
      <c r="AF41" s="36" t="str">
        <f>IF(AND('Riesgos de Gestión'!$AF$47="Baja",'Riesgos de Gestión'!$AH$47="Mayor"),CONCATENATE("R6C",'Riesgos de Gestión'!$V$47),"")</f>
        <v/>
      </c>
      <c r="AG41" s="37" t="str">
        <f>IF(AND('Riesgos de Gestión'!$AF$48="Baja",'Riesgos de Gestión'!$AH$48="Mayor"),CONCATENATE("R6C",'Riesgos de Gestión'!$V$48),"")</f>
        <v/>
      </c>
      <c r="AH41" s="38" t="str">
        <f>IF(AND('Riesgos de Gestión'!$AF$43="Baja",'Riesgos de Gestión'!$AH$43="Catastrófico"),CONCATENATE("R6C",'Riesgos de Gestión'!$V$43),"")</f>
        <v/>
      </c>
      <c r="AI41" s="39" t="str">
        <f>IF(AND('Riesgos de Gestión'!$AF$44="Baja",'Riesgos de Gestión'!$AH$44="Catastrófico"),CONCATENATE("R6C",'Riesgos de Gestión'!$V$44),"")</f>
        <v/>
      </c>
      <c r="AJ41" s="39" t="str">
        <f>IF(AND('Riesgos de Gestión'!$AF$45="Baja",'Riesgos de Gestión'!$AH$45="Catastrófico"),CONCATENATE("R6C",'Riesgos de Gestión'!$V$45),"")</f>
        <v/>
      </c>
      <c r="AK41" s="39" t="str">
        <f>IF(AND('Riesgos de Gestión'!$AF$46="Baja",'Riesgos de Gestión'!$AH$46="Catastrófico"),CONCATENATE("R6C",'Riesgos de Gestión'!$V$46),"")</f>
        <v/>
      </c>
      <c r="AL41" s="39" t="str">
        <f>IF(AND('Riesgos de Gestión'!$AF$47="Baja",'Riesgos de Gestión'!$AH$47="Catastrófico"),CONCATENATE("R6C",'Riesgos de Gestión'!$V$47),"")</f>
        <v/>
      </c>
      <c r="AM41" s="40" t="str">
        <f>IF(AND('Riesgos de Gestión'!$AF$48="Baja",'Riesgos de Gestión'!$AH$48="Catastrófico"),CONCATENATE("R6C",'Riesgos de Gestión'!$V$48),"")</f>
        <v/>
      </c>
      <c r="AN41" s="66"/>
      <c r="AO41" s="559"/>
      <c r="AP41" s="560"/>
      <c r="AQ41" s="560"/>
      <c r="AR41" s="560"/>
      <c r="AS41" s="560"/>
      <c r="AT41" s="561"/>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row>
    <row r="42" spans="1:80" ht="15" customHeight="1" x14ac:dyDescent="0.2">
      <c r="A42" s="66"/>
      <c r="B42" s="487"/>
      <c r="C42" s="487"/>
      <c r="D42" s="488"/>
      <c r="E42" s="528"/>
      <c r="F42" s="529"/>
      <c r="G42" s="529"/>
      <c r="H42" s="529"/>
      <c r="I42" s="529"/>
      <c r="J42" s="59" t="str">
        <f>IF(AND('Riesgos de Gestión'!$AF$49="Baja",'Riesgos de Gestión'!$AH$49="Leve"),CONCATENATE("R7C",'Riesgos de Gestión'!$V$49),"")</f>
        <v/>
      </c>
      <c r="K42" s="60" t="str">
        <f>IF(AND('Riesgos de Gestión'!$AF$50="Baja",'Riesgos de Gestión'!$AH$50="Leve"),CONCATENATE("R7C",'Riesgos de Gestión'!$V$50),"")</f>
        <v/>
      </c>
      <c r="L42" s="60" t="str">
        <f>IF(AND('Riesgos de Gestión'!$AF$51="Baja",'Riesgos de Gestión'!$AH$51="Leve"),CONCATENATE("R7C",'Riesgos de Gestión'!$V$51),"")</f>
        <v/>
      </c>
      <c r="M42" s="60" t="str">
        <f>IF(AND('Riesgos de Gestión'!$AF$52="Baja",'Riesgos de Gestión'!$AH$52="Leve"),CONCATENATE("R7C",'Riesgos de Gestión'!$V$52),"")</f>
        <v/>
      </c>
      <c r="N42" s="60" t="str">
        <f>IF(AND('Riesgos de Gestión'!$AF$53="Baja",'Riesgos de Gestión'!$AH$53="Leve"),CONCATENATE("R7C",'Riesgos de Gestión'!$V$53),"")</f>
        <v/>
      </c>
      <c r="O42" s="61" t="str">
        <f>IF(AND('Riesgos de Gestión'!$AF$54="Baja",'Riesgos de Gestión'!$AH$54="Leve"),CONCATENATE("R7C",'Riesgos de Gestión'!$V$54),"")</f>
        <v/>
      </c>
      <c r="P42" s="50" t="str">
        <f>IF(AND('Riesgos de Gestión'!$AF$49="Baja",'Riesgos de Gestión'!$AH$49="Menor"),CONCATENATE("R7C",'Riesgos de Gestión'!$V$49),"")</f>
        <v/>
      </c>
      <c r="Q42" s="51" t="str">
        <f>IF(AND('Riesgos de Gestión'!$AF$50="Baja",'Riesgos de Gestión'!$AH$50="Menor"),CONCATENATE("R7C",'Riesgos de Gestión'!$V$50),"")</f>
        <v/>
      </c>
      <c r="R42" s="51" t="str">
        <f>IF(AND('Riesgos de Gestión'!$AF$51="Baja",'Riesgos de Gestión'!$AH$51="Menor"),CONCATENATE("R7C",'Riesgos de Gestión'!$V$51),"")</f>
        <v/>
      </c>
      <c r="S42" s="51" t="str">
        <f>IF(AND('Riesgos de Gestión'!$AF$52="Baja",'Riesgos de Gestión'!$AH$52="Menor"),CONCATENATE("R7C",'Riesgos de Gestión'!$V$52),"")</f>
        <v/>
      </c>
      <c r="T42" s="51" t="str">
        <f>IF(AND('Riesgos de Gestión'!$AF$53="Baja",'Riesgos de Gestión'!$AH$53="Menor"),CONCATENATE("R7C",'Riesgos de Gestión'!$V$53),"")</f>
        <v/>
      </c>
      <c r="U42" s="52" t="str">
        <f>IF(AND('Riesgos de Gestión'!$AF$54="Baja",'Riesgos de Gestión'!$AH$54="Menor"),CONCATENATE("R7C",'Riesgos de Gestión'!$V$54),"")</f>
        <v/>
      </c>
      <c r="V42" s="50" t="str">
        <f>IF(AND('Riesgos de Gestión'!$AF$49="Baja",'Riesgos de Gestión'!$AH$49="Moderado"),CONCATENATE("R7C",'Riesgos de Gestión'!$V$49),"")</f>
        <v/>
      </c>
      <c r="W42" s="51" t="str">
        <f>IF(AND('Riesgos de Gestión'!$AF$50="Baja",'Riesgos de Gestión'!$AH$50="Moderado"),CONCATENATE("R7C",'Riesgos de Gestión'!$V$50),"")</f>
        <v/>
      </c>
      <c r="X42" s="51" t="str">
        <f>IF(AND('Riesgos de Gestión'!$AF$51="Baja",'Riesgos de Gestión'!$AH$51="Moderado"),CONCATENATE("R7C",'Riesgos de Gestión'!$V$51),"")</f>
        <v/>
      </c>
      <c r="Y42" s="51" t="str">
        <f>IF(AND('Riesgos de Gestión'!$AF$52="Baja",'Riesgos de Gestión'!$AH$52="Moderado"),CONCATENATE("R7C",'Riesgos de Gestión'!$V$52),"")</f>
        <v/>
      </c>
      <c r="Z42" s="51" t="str">
        <f>IF(AND('Riesgos de Gestión'!$AF$53="Baja",'Riesgos de Gestión'!$AH$53="Moderado"),CONCATENATE("R7C",'Riesgos de Gestión'!$V$53),"")</f>
        <v/>
      </c>
      <c r="AA42" s="52" t="str">
        <f>IF(AND('Riesgos de Gestión'!$AF$54="Baja",'Riesgos de Gestión'!$AH$54="Moderado"),CONCATENATE("R7C",'Riesgos de Gestión'!$V$54),"")</f>
        <v/>
      </c>
      <c r="AB42" s="35" t="str">
        <f>IF(AND('Riesgos de Gestión'!$AF$49="Baja",'Riesgos de Gestión'!$AH$49="Mayor"),CONCATENATE("R7C",'Riesgos de Gestión'!$V$49),"")</f>
        <v/>
      </c>
      <c r="AC42" s="36" t="str">
        <f>IF(AND('Riesgos de Gestión'!$AF$50="Baja",'Riesgos de Gestión'!$AH$50="Mayor"),CONCATENATE("R7C",'Riesgos de Gestión'!$V$50),"")</f>
        <v/>
      </c>
      <c r="AD42" s="36" t="str">
        <f>IF(AND('Riesgos de Gestión'!$AF$51="Baja",'Riesgos de Gestión'!$AH$51="Mayor"),CONCATENATE("R7C",'Riesgos de Gestión'!$V$51),"")</f>
        <v/>
      </c>
      <c r="AE42" s="36" t="str">
        <f>IF(AND('Riesgos de Gestión'!$AF$52="Baja",'Riesgos de Gestión'!$AH$52="Mayor"),CONCATENATE("R7C",'Riesgos de Gestión'!$V$52),"")</f>
        <v/>
      </c>
      <c r="AF42" s="36" t="str">
        <f>IF(AND('Riesgos de Gestión'!$AF$53="Baja",'Riesgos de Gestión'!$AH$53="Mayor"),CONCATENATE("R7C",'Riesgos de Gestión'!$V$53),"")</f>
        <v/>
      </c>
      <c r="AG42" s="37" t="str">
        <f>IF(AND('Riesgos de Gestión'!$AF$54="Baja",'Riesgos de Gestión'!$AH$54="Mayor"),CONCATENATE("R7C",'Riesgos de Gestión'!$V$54),"")</f>
        <v/>
      </c>
      <c r="AH42" s="38" t="str">
        <f>IF(AND('Riesgos de Gestión'!$AF$49="Baja",'Riesgos de Gestión'!$AH$49="Catastrófico"),CONCATENATE("R7C",'Riesgos de Gestión'!$V$49),"")</f>
        <v/>
      </c>
      <c r="AI42" s="39" t="str">
        <f>IF(AND('Riesgos de Gestión'!$AF$50="Baja",'Riesgos de Gestión'!$AH$50="Catastrófico"),CONCATENATE("R7C",'Riesgos de Gestión'!$V$50),"")</f>
        <v/>
      </c>
      <c r="AJ42" s="39" t="str">
        <f>IF(AND('Riesgos de Gestión'!$AF$51="Baja",'Riesgos de Gestión'!$AH$51="Catastrófico"),CONCATENATE("R7C",'Riesgos de Gestión'!$V$51),"")</f>
        <v/>
      </c>
      <c r="AK42" s="39" t="str">
        <f>IF(AND('Riesgos de Gestión'!$AF$52="Baja",'Riesgos de Gestión'!$AH$52="Catastrófico"),CONCATENATE("R7C",'Riesgos de Gestión'!$V$52),"")</f>
        <v/>
      </c>
      <c r="AL42" s="39" t="str">
        <f>IF(AND('Riesgos de Gestión'!$AF$53="Baja",'Riesgos de Gestión'!$AH$53="Catastrófico"),CONCATENATE("R7C",'Riesgos de Gestión'!$V$53),"")</f>
        <v/>
      </c>
      <c r="AM42" s="40" t="str">
        <f>IF(AND('Riesgos de Gestión'!$AF$54="Baja",'Riesgos de Gestión'!$AH$54="Catastrófico"),CONCATENATE("R7C",'Riesgos de Gestión'!$V$54),"")</f>
        <v/>
      </c>
      <c r="AN42" s="66"/>
      <c r="AO42" s="559"/>
      <c r="AP42" s="560"/>
      <c r="AQ42" s="560"/>
      <c r="AR42" s="560"/>
      <c r="AS42" s="560"/>
      <c r="AT42" s="561"/>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row>
    <row r="43" spans="1:80" ht="15" customHeight="1" x14ac:dyDescent="0.2">
      <c r="A43" s="66"/>
      <c r="B43" s="487"/>
      <c r="C43" s="487"/>
      <c r="D43" s="488"/>
      <c r="E43" s="528"/>
      <c r="F43" s="529"/>
      <c r="G43" s="529"/>
      <c r="H43" s="529"/>
      <c r="I43" s="529"/>
      <c r="J43" s="59" t="str">
        <f>IF(AND('Riesgos de Gestión'!$AF$55="Baja",'Riesgos de Gestión'!$AH$55="Leve"),CONCATENATE("R8C",'Riesgos de Gestión'!$V$55),"")</f>
        <v/>
      </c>
      <c r="K43" s="60" t="str">
        <f>IF(AND('Riesgos de Gestión'!$AF$56="Baja",'Riesgos de Gestión'!$AH$56="Leve"),CONCATENATE("R8C",'Riesgos de Gestión'!$V$56),"")</f>
        <v/>
      </c>
      <c r="L43" s="60" t="str">
        <f>IF(AND('Riesgos de Gestión'!$AF$57="Baja",'Riesgos de Gestión'!$AH$57="Leve"),CONCATENATE("R8C",'Riesgos de Gestión'!$V$57),"")</f>
        <v/>
      </c>
      <c r="M43" s="60" t="str">
        <f>IF(AND('Riesgos de Gestión'!$AF$58="Baja",'Riesgos de Gestión'!$AH$58="Leve"),CONCATENATE("R8C",'Riesgos de Gestión'!$V$58),"")</f>
        <v/>
      </c>
      <c r="N43" s="60" t="str">
        <f>IF(AND('Riesgos de Gestión'!$AF$59="Baja",'Riesgos de Gestión'!$AH$59="Leve"),CONCATENATE("R8C",'Riesgos de Gestión'!$V$59),"")</f>
        <v/>
      </c>
      <c r="O43" s="61" t="str">
        <f>IF(AND('Riesgos de Gestión'!$AF$60="Baja",'Riesgos de Gestión'!$AH$60="Leve"),CONCATENATE("R8C",'Riesgos de Gestión'!$V$60),"")</f>
        <v/>
      </c>
      <c r="P43" s="50" t="str">
        <f>IF(AND('Riesgos de Gestión'!$AF$55="Baja",'Riesgos de Gestión'!$AH$55="Menor"),CONCATENATE("R8C",'Riesgos de Gestión'!$V$55),"")</f>
        <v/>
      </c>
      <c r="Q43" s="51" t="str">
        <f>IF(AND('Riesgos de Gestión'!$AF$56="Baja",'Riesgos de Gestión'!$AH$56="Menor"),CONCATENATE("R8C",'Riesgos de Gestión'!$V$56),"")</f>
        <v/>
      </c>
      <c r="R43" s="51" t="str">
        <f>IF(AND('Riesgos de Gestión'!$AF$57="Baja",'Riesgos de Gestión'!$AH$57="Menor"),CONCATENATE("R8C",'Riesgos de Gestión'!$V$57),"")</f>
        <v/>
      </c>
      <c r="S43" s="51" t="str">
        <f>IF(AND('Riesgos de Gestión'!$AF$58="Baja",'Riesgos de Gestión'!$AH$58="Menor"),CONCATENATE("R8C",'Riesgos de Gestión'!$V$58),"")</f>
        <v/>
      </c>
      <c r="T43" s="51" t="str">
        <f>IF(AND('Riesgos de Gestión'!$AF$59="Baja",'Riesgos de Gestión'!$AH$59="Menor"),CONCATENATE("R8C",'Riesgos de Gestión'!$V$59),"")</f>
        <v/>
      </c>
      <c r="U43" s="52" t="str">
        <f>IF(AND('Riesgos de Gestión'!$AF$60="Baja",'Riesgos de Gestión'!$AH$60="Menor"),CONCATENATE("R8C",'Riesgos de Gestión'!$V$60),"")</f>
        <v/>
      </c>
      <c r="V43" s="50" t="str">
        <f>IF(AND('Riesgos de Gestión'!$AF$55="Baja",'Riesgos de Gestión'!$AH$55="Moderado"),CONCATENATE("R8C",'Riesgos de Gestión'!$V$55),"")</f>
        <v/>
      </c>
      <c r="W43" s="51" t="str">
        <f>IF(AND('Riesgos de Gestión'!$AF$56="Baja",'Riesgos de Gestión'!$AH$56="Moderado"),CONCATENATE("R8C",'Riesgos de Gestión'!$V$56),"")</f>
        <v/>
      </c>
      <c r="X43" s="51" t="str">
        <f>IF(AND('Riesgos de Gestión'!$AF$57="Baja",'Riesgos de Gestión'!$AH$57="Moderado"),CONCATENATE("R8C",'Riesgos de Gestión'!$V$57),"")</f>
        <v/>
      </c>
      <c r="Y43" s="51" t="str">
        <f>IF(AND('Riesgos de Gestión'!$AF$58="Baja",'Riesgos de Gestión'!$AH$58="Moderado"),CONCATENATE("R8C",'Riesgos de Gestión'!$V$58),"")</f>
        <v/>
      </c>
      <c r="Z43" s="51" t="str">
        <f>IF(AND('Riesgos de Gestión'!$AF$59="Baja",'Riesgos de Gestión'!$AH$59="Moderado"),CONCATENATE("R8C",'Riesgos de Gestión'!$V$59),"")</f>
        <v/>
      </c>
      <c r="AA43" s="52" t="str">
        <f>IF(AND('Riesgos de Gestión'!$AF$60="Baja",'Riesgos de Gestión'!$AH$60="Moderado"),CONCATENATE("R8C",'Riesgos de Gestión'!$V$60),"")</f>
        <v/>
      </c>
      <c r="AB43" s="35" t="str">
        <f>IF(AND('Riesgos de Gestión'!$AF$55="Baja",'Riesgos de Gestión'!$AH$55="Mayor"),CONCATENATE("R8C",'Riesgos de Gestión'!$V$55),"")</f>
        <v/>
      </c>
      <c r="AC43" s="36" t="str">
        <f>IF(AND('Riesgos de Gestión'!$AF$56="Baja",'Riesgos de Gestión'!$AH$56="Mayor"),CONCATENATE("R8C",'Riesgos de Gestión'!$V$56),"")</f>
        <v/>
      </c>
      <c r="AD43" s="36" t="str">
        <f>IF(AND('Riesgos de Gestión'!$AF$57="Baja",'Riesgos de Gestión'!$AH$57="Mayor"),CONCATENATE("R8C",'Riesgos de Gestión'!$V$57),"")</f>
        <v/>
      </c>
      <c r="AE43" s="36" t="str">
        <f>IF(AND('Riesgos de Gestión'!$AF$58="Baja",'Riesgos de Gestión'!$AH$58="Mayor"),CONCATENATE("R8C",'Riesgos de Gestión'!$V$58),"")</f>
        <v/>
      </c>
      <c r="AF43" s="36" t="str">
        <f>IF(AND('Riesgos de Gestión'!$AF$59="Baja",'Riesgos de Gestión'!$AH$59="Mayor"),CONCATENATE("R8C",'Riesgos de Gestión'!$V$59),"")</f>
        <v/>
      </c>
      <c r="AG43" s="37" t="str">
        <f>IF(AND('Riesgos de Gestión'!$AF$60="Baja",'Riesgos de Gestión'!$AH$60="Mayor"),CONCATENATE("R8C",'Riesgos de Gestión'!$V$60),"")</f>
        <v/>
      </c>
      <c r="AH43" s="38" t="str">
        <f>IF(AND('Riesgos de Gestión'!$AF$55="Baja",'Riesgos de Gestión'!$AH$55="Catastrófico"),CONCATENATE("R8C",'Riesgos de Gestión'!$V$55),"")</f>
        <v/>
      </c>
      <c r="AI43" s="39" t="str">
        <f>IF(AND('Riesgos de Gestión'!$AF$56="Baja",'Riesgos de Gestión'!$AH$56="Catastrófico"),CONCATENATE("R8C",'Riesgos de Gestión'!$V$56),"")</f>
        <v/>
      </c>
      <c r="AJ43" s="39" t="str">
        <f>IF(AND('Riesgos de Gestión'!$AF$57="Baja",'Riesgos de Gestión'!$AH$57="Catastrófico"),CONCATENATE("R8C",'Riesgos de Gestión'!$V$57),"")</f>
        <v/>
      </c>
      <c r="AK43" s="39" t="str">
        <f>IF(AND('Riesgos de Gestión'!$AF$58="Baja",'Riesgos de Gestión'!$AH$58="Catastrófico"),CONCATENATE("R8C",'Riesgos de Gestión'!$V$58),"")</f>
        <v/>
      </c>
      <c r="AL43" s="39" t="str">
        <f>IF(AND('Riesgos de Gestión'!$AF$59="Baja",'Riesgos de Gestión'!$AH$59="Catastrófico"),CONCATENATE("R8C",'Riesgos de Gestión'!$V$59),"")</f>
        <v/>
      </c>
      <c r="AM43" s="40" t="str">
        <f>IF(AND('Riesgos de Gestión'!$AF$60="Baja",'Riesgos de Gestión'!$AH$60="Catastrófico"),CONCATENATE("R8C",'Riesgos de Gestión'!$V$60),"")</f>
        <v/>
      </c>
      <c r="AN43" s="66"/>
      <c r="AO43" s="559"/>
      <c r="AP43" s="560"/>
      <c r="AQ43" s="560"/>
      <c r="AR43" s="560"/>
      <c r="AS43" s="560"/>
      <c r="AT43" s="561"/>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row>
    <row r="44" spans="1:80" ht="15" customHeight="1" x14ac:dyDescent="0.2">
      <c r="A44" s="66"/>
      <c r="B44" s="487"/>
      <c r="C44" s="487"/>
      <c r="D44" s="488"/>
      <c r="E44" s="528"/>
      <c r="F44" s="529"/>
      <c r="G44" s="529"/>
      <c r="H44" s="529"/>
      <c r="I44" s="529"/>
      <c r="J44" s="59" t="str">
        <f>IF(AND('Riesgos de Gestión'!$AF$61="Baja",'Riesgos de Gestión'!$AH$61="Leve"),CONCATENATE("R9C",'Riesgos de Gestión'!$V$61),"")</f>
        <v/>
      </c>
      <c r="K44" s="60" t="str">
        <f>IF(AND('Riesgos de Gestión'!$AF$62="Baja",'Riesgos de Gestión'!$AH$62="Leve"),CONCATENATE("R9C",'Riesgos de Gestión'!$V$62),"")</f>
        <v/>
      </c>
      <c r="L44" s="60" t="str">
        <f>IF(AND('Riesgos de Gestión'!$AF$63="Baja",'Riesgos de Gestión'!$AH$63="Leve"),CONCATENATE("R9C",'Riesgos de Gestión'!$V$63),"")</f>
        <v/>
      </c>
      <c r="M44" s="60" t="str">
        <f>IF(AND('Riesgos de Gestión'!$AF$64="Baja",'Riesgos de Gestión'!$AH$64="Leve"),CONCATENATE("R9C",'Riesgos de Gestión'!$V$64),"")</f>
        <v/>
      </c>
      <c r="N44" s="60" t="str">
        <f>IF(AND('Riesgos de Gestión'!$AF$65="Baja",'Riesgos de Gestión'!$AH$65="Leve"),CONCATENATE("R9C",'Riesgos de Gestión'!$V$65),"")</f>
        <v/>
      </c>
      <c r="O44" s="61" t="str">
        <f>IF(AND('Riesgos de Gestión'!$AF$66="Baja",'Riesgos de Gestión'!$AH$66="Leve"),CONCATENATE("R9C",'Riesgos de Gestión'!$V$66),"")</f>
        <v/>
      </c>
      <c r="P44" s="50" t="str">
        <f>IF(AND('Riesgos de Gestión'!$AF$61="Baja",'Riesgos de Gestión'!$AH$61="Menor"),CONCATENATE("R9C",'Riesgos de Gestión'!$V$61),"")</f>
        <v/>
      </c>
      <c r="Q44" s="51" t="str">
        <f>IF(AND('Riesgos de Gestión'!$AF$62="Baja",'Riesgos de Gestión'!$AH$62="Menor"),CONCATENATE("R9C",'Riesgos de Gestión'!$V$62),"")</f>
        <v/>
      </c>
      <c r="R44" s="51" t="str">
        <f>IF(AND('Riesgos de Gestión'!$AF$63="Baja",'Riesgos de Gestión'!$AH$63="Menor"),CONCATENATE("R9C",'Riesgos de Gestión'!$V$63),"")</f>
        <v/>
      </c>
      <c r="S44" s="51" t="str">
        <f>IF(AND('Riesgos de Gestión'!$AF$64="Baja",'Riesgos de Gestión'!$AH$64="Menor"),CONCATENATE("R9C",'Riesgos de Gestión'!$V$64),"")</f>
        <v/>
      </c>
      <c r="T44" s="51" t="str">
        <f>IF(AND('Riesgos de Gestión'!$AF$65="Baja",'Riesgos de Gestión'!$AH$65="Menor"),CONCATENATE("R9C",'Riesgos de Gestión'!$V$65),"")</f>
        <v/>
      </c>
      <c r="U44" s="52" t="str">
        <f>IF(AND('Riesgos de Gestión'!$AF$66="Baja",'Riesgos de Gestión'!$AH$66="Menor"),CONCATENATE("R9C",'Riesgos de Gestión'!$V$66),"")</f>
        <v/>
      </c>
      <c r="V44" s="50" t="str">
        <f>IF(AND('Riesgos de Gestión'!$AF$61="Baja",'Riesgos de Gestión'!$AH$61="Moderado"),CONCATENATE("R9C",'Riesgos de Gestión'!$V$61),"")</f>
        <v/>
      </c>
      <c r="W44" s="51" t="str">
        <f>IF(AND('Riesgos de Gestión'!$AF$62="Baja",'Riesgos de Gestión'!$AH$62="Moderado"),CONCATENATE("R9C",'Riesgos de Gestión'!$V$62),"")</f>
        <v/>
      </c>
      <c r="X44" s="51" t="str">
        <f>IF(AND('Riesgos de Gestión'!$AF$63="Baja",'Riesgos de Gestión'!$AH$63="Moderado"),CONCATENATE("R9C",'Riesgos de Gestión'!$V$63),"")</f>
        <v/>
      </c>
      <c r="Y44" s="51" t="str">
        <f>IF(AND('Riesgos de Gestión'!$AF$64="Baja",'Riesgos de Gestión'!$AH$64="Moderado"),CONCATENATE("R9C",'Riesgos de Gestión'!$V$64),"")</f>
        <v/>
      </c>
      <c r="Z44" s="51" t="str">
        <f>IF(AND('Riesgos de Gestión'!$AF$65="Baja",'Riesgos de Gestión'!$AH$65="Moderado"),CONCATENATE("R9C",'Riesgos de Gestión'!$V$65),"")</f>
        <v/>
      </c>
      <c r="AA44" s="52" t="str">
        <f>IF(AND('Riesgos de Gestión'!$AF$66="Baja",'Riesgos de Gestión'!$AH$66="Moderado"),CONCATENATE("R9C",'Riesgos de Gestión'!$V$66),"")</f>
        <v/>
      </c>
      <c r="AB44" s="35" t="str">
        <f>IF(AND('Riesgos de Gestión'!$AF$61="Baja",'Riesgos de Gestión'!$AH$61="Mayor"),CONCATENATE("R9C",'Riesgos de Gestión'!$V$61),"")</f>
        <v/>
      </c>
      <c r="AC44" s="36" t="str">
        <f>IF(AND('Riesgos de Gestión'!$AF$62="Baja",'Riesgos de Gestión'!$AH$62="Mayor"),CONCATENATE("R9C",'Riesgos de Gestión'!$V$62),"")</f>
        <v/>
      </c>
      <c r="AD44" s="36" t="str">
        <f>IF(AND('Riesgos de Gestión'!$AF$63="Baja",'Riesgos de Gestión'!$AH$63="Mayor"),CONCATENATE("R9C",'Riesgos de Gestión'!$V$63),"")</f>
        <v/>
      </c>
      <c r="AE44" s="36" t="str">
        <f>IF(AND('Riesgos de Gestión'!$AF$64="Baja",'Riesgos de Gestión'!$AH$64="Mayor"),CONCATENATE("R9C",'Riesgos de Gestión'!$V$64),"")</f>
        <v/>
      </c>
      <c r="AF44" s="36" t="str">
        <f>IF(AND('Riesgos de Gestión'!$AF$65="Baja",'Riesgos de Gestión'!$AH$65="Mayor"),CONCATENATE("R9C",'Riesgos de Gestión'!$V$65),"")</f>
        <v/>
      </c>
      <c r="AG44" s="37" t="str">
        <f>IF(AND('Riesgos de Gestión'!$AF$66="Baja",'Riesgos de Gestión'!$AH$66="Mayor"),CONCATENATE("R9C",'Riesgos de Gestión'!$V$66),"")</f>
        <v/>
      </c>
      <c r="AH44" s="38" t="str">
        <f>IF(AND('Riesgos de Gestión'!$AF$61="Baja",'Riesgos de Gestión'!$AH$61="Catastrófico"),CONCATENATE("R9C",'Riesgos de Gestión'!$V$61),"")</f>
        <v/>
      </c>
      <c r="AI44" s="39" t="str">
        <f>IF(AND('Riesgos de Gestión'!$AF$62="Baja",'Riesgos de Gestión'!$AH$62="Catastrófico"),CONCATENATE("R9C",'Riesgos de Gestión'!$V$62),"")</f>
        <v/>
      </c>
      <c r="AJ44" s="39" t="str">
        <f>IF(AND('Riesgos de Gestión'!$AF$63="Baja",'Riesgos de Gestión'!$AH$63="Catastrófico"),CONCATENATE("R9C",'Riesgos de Gestión'!$V$63),"")</f>
        <v/>
      </c>
      <c r="AK44" s="39" t="str">
        <f>IF(AND('Riesgos de Gestión'!$AF$64="Baja",'Riesgos de Gestión'!$AH$64="Catastrófico"),CONCATENATE("R9C",'Riesgos de Gestión'!$V$64),"")</f>
        <v/>
      </c>
      <c r="AL44" s="39" t="str">
        <f>IF(AND('Riesgos de Gestión'!$AF$65="Baja",'Riesgos de Gestión'!$AH$65="Catastrófico"),CONCATENATE("R9C",'Riesgos de Gestión'!$V$65),"")</f>
        <v/>
      </c>
      <c r="AM44" s="40" t="str">
        <f>IF(AND('Riesgos de Gestión'!$AF$66="Baja",'Riesgos de Gestión'!$AH$66="Catastrófico"),CONCATENATE("R9C",'Riesgos de Gestión'!$V$66),"")</f>
        <v/>
      </c>
      <c r="AN44" s="66"/>
      <c r="AO44" s="559"/>
      <c r="AP44" s="560"/>
      <c r="AQ44" s="560"/>
      <c r="AR44" s="560"/>
      <c r="AS44" s="560"/>
      <c r="AT44" s="561"/>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row>
    <row r="45" spans="1:80" ht="15.75" customHeight="1" thickBot="1" x14ac:dyDescent="0.25">
      <c r="A45" s="66"/>
      <c r="B45" s="487"/>
      <c r="C45" s="487"/>
      <c r="D45" s="488"/>
      <c r="E45" s="531"/>
      <c r="F45" s="532"/>
      <c r="G45" s="532"/>
      <c r="H45" s="532"/>
      <c r="I45" s="532"/>
      <c r="J45" s="62" t="str">
        <f>IF(AND('Riesgos de Gestión'!$AF$67="Baja",'Riesgos de Gestión'!$AH$67="Leve"),CONCATENATE("R10C",'Riesgos de Gestión'!$V$67),"")</f>
        <v/>
      </c>
      <c r="K45" s="63" t="str">
        <f>IF(AND('Riesgos de Gestión'!$AF$68="Baja",'Riesgos de Gestión'!$AH$68="Leve"),CONCATENATE("R10C",'Riesgos de Gestión'!$V$68),"")</f>
        <v/>
      </c>
      <c r="L45" s="63" t="str">
        <f>IF(AND('Riesgos de Gestión'!$AF$69="Baja",'Riesgos de Gestión'!$AH$69="Leve"),CONCATENATE("R10C",'Riesgos de Gestión'!$V$69),"")</f>
        <v/>
      </c>
      <c r="M45" s="63" t="str">
        <f>IF(AND('Riesgos de Gestión'!$AF$70="Baja",'Riesgos de Gestión'!$AH$70="Leve"),CONCATENATE("R10C",'Riesgos de Gestión'!$V$70),"")</f>
        <v/>
      </c>
      <c r="N45" s="63" t="str">
        <f>IF(AND('Riesgos de Gestión'!$AF$71="Baja",'Riesgos de Gestión'!$AH$71="Leve"),CONCATENATE("R10C",'Riesgos de Gestión'!$V$71),"")</f>
        <v/>
      </c>
      <c r="O45" s="64" t="str">
        <f>IF(AND('Riesgos de Gestión'!$AF$72="Baja",'Riesgos de Gestión'!$AH$72="Leve"),CONCATENATE("R10C",'Riesgos de Gestión'!$V$72),"")</f>
        <v/>
      </c>
      <c r="P45" s="50" t="str">
        <f>IF(AND('Riesgos de Gestión'!$AF$67="Baja",'Riesgos de Gestión'!$AH$67="Menor"),CONCATENATE("R10C",'Riesgos de Gestión'!$V$67),"")</f>
        <v/>
      </c>
      <c r="Q45" s="51" t="str">
        <f>IF(AND('Riesgos de Gestión'!$AF$68="Baja",'Riesgos de Gestión'!$AH$68="Menor"),CONCATENATE("R10C",'Riesgos de Gestión'!$V$68),"")</f>
        <v/>
      </c>
      <c r="R45" s="51" t="str">
        <f>IF(AND('Riesgos de Gestión'!$AF$69="Baja",'Riesgos de Gestión'!$AH$69="Menor"),CONCATENATE("R10C",'Riesgos de Gestión'!$V$69),"")</f>
        <v/>
      </c>
      <c r="S45" s="51" t="str">
        <f>IF(AND('Riesgos de Gestión'!$AF$70="Baja",'Riesgos de Gestión'!$AH$70="Menor"),CONCATENATE("R10C",'Riesgos de Gestión'!$V$70),"")</f>
        <v/>
      </c>
      <c r="T45" s="51" t="str">
        <f>IF(AND('Riesgos de Gestión'!$AF$71="Baja",'Riesgos de Gestión'!$AH$71="Menor"),CONCATENATE("R10C",'Riesgos de Gestión'!$V$71),"")</f>
        <v/>
      </c>
      <c r="U45" s="52" t="str">
        <f>IF(AND('Riesgos de Gestión'!$AF$72="Baja",'Riesgos de Gestión'!$AH$72="Menor"),CONCATENATE("R10C",'Riesgos de Gestión'!$V$72),"")</f>
        <v/>
      </c>
      <c r="V45" s="53" t="str">
        <f>IF(AND('Riesgos de Gestión'!$AF$67="Baja",'Riesgos de Gestión'!$AH$67="Moderado"),CONCATENATE("R10C",'Riesgos de Gestión'!$V$67),"")</f>
        <v/>
      </c>
      <c r="W45" s="54" t="str">
        <f>IF(AND('Riesgos de Gestión'!$AF$68="Baja",'Riesgos de Gestión'!$AH$68="Moderado"),CONCATENATE("R10C",'Riesgos de Gestión'!$V$68),"")</f>
        <v/>
      </c>
      <c r="X45" s="54" t="str">
        <f>IF(AND('Riesgos de Gestión'!$AF$69="Baja",'Riesgos de Gestión'!$AH$69="Moderado"),CONCATENATE("R10C",'Riesgos de Gestión'!$V$69),"")</f>
        <v/>
      </c>
      <c r="Y45" s="54" t="str">
        <f>IF(AND('Riesgos de Gestión'!$AF$70="Baja",'Riesgos de Gestión'!$AH$70="Moderado"),CONCATENATE("R10C",'Riesgos de Gestión'!$V$70),"")</f>
        <v/>
      </c>
      <c r="Z45" s="54" t="str">
        <f>IF(AND('Riesgos de Gestión'!$AF$71="Baja",'Riesgos de Gestión'!$AH$71="Moderado"),CONCATENATE("R10C",'Riesgos de Gestión'!$V$71),"")</f>
        <v/>
      </c>
      <c r="AA45" s="55" t="str">
        <f>IF(AND('Riesgos de Gestión'!$AF$72="Baja",'Riesgos de Gestión'!$AH$72="Moderado"),CONCATENATE("R10C",'Riesgos de Gestión'!$V$72),"")</f>
        <v/>
      </c>
      <c r="AB45" s="41" t="str">
        <f>IF(AND('Riesgos de Gestión'!$AF$67="Baja",'Riesgos de Gestión'!$AH$67="Mayor"),CONCATENATE("R10C",'Riesgos de Gestión'!$V$67),"")</f>
        <v/>
      </c>
      <c r="AC45" s="42" t="str">
        <f>IF(AND('Riesgos de Gestión'!$AF$68="Baja",'Riesgos de Gestión'!$AH$68="Mayor"),CONCATENATE("R10C",'Riesgos de Gestión'!$V$68),"")</f>
        <v/>
      </c>
      <c r="AD45" s="42" t="str">
        <f>IF(AND('Riesgos de Gestión'!$AF$69="Baja",'Riesgos de Gestión'!$AH$69="Mayor"),CONCATENATE("R10C",'Riesgos de Gestión'!$V$69),"")</f>
        <v/>
      </c>
      <c r="AE45" s="42" t="str">
        <f>IF(AND('Riesgos de Gestión'!$AF$70="Baja",'Riesgos de Gestión'!$AH$70="Mayor"),CONCATENATE("R10C",'Riesgos de Gestión'!$V$70),"")</f>
        <v/>
      </c>
      <c r="AF45" s="42" t="str">
        <f>IF(AND('Riesgos de Gestión'!$AF$71="Baja",'Riesgos de Gestión'!$AH$71="Mayor"),CONCATENATE("R10C",'Riesgos de Gestión'!$V$71),"")</f>
        <v/>
      </c>
      <c r="AG45" s="43" t="str">
        <f>IF(AND('Riesgos de Gestión'!$AF$72="Baja",'Riesgos de Gestión'!$AH$72="Mayor"),CONCATENATE("R10C",'Riesgos de Gestión'!$V$72),"")</f>
        <v/>
      </c>
      <c r="AH45" s="44" t="str">
        <f>IF(AND('Riesgos de Gestión'!$AF$67="Baja",'Riesgos de Gestión'!$AH$67="Catastrófico"),CONCATENATE("R10C",'Riesgos de Gestión'!$V$67),"")</f>
        <v/>
      </c>
      <c r="AI45" s="45" t="str">
        <f>IF(AND('Riesgos de Gestión'!$AF$68="Baja",'Riesgos de Gestión'!$AH$68="Catastrófico"),CONCATENATE("R10C",'Riesgos de Gestión'!$V$68),"")</f>
        <v/>
      </c>
      <c r="AJ45" s="45" t="str">
        <f>IF(AND('Riesgos de Gestión'!$AF$69="Baja",'Riesgos de Gestión'!$AH$69="Catastrófico"),CONCATENATE("R10C",'Riesgos de Gestión'!$V$69),"")</f>
        <v/>
      </c>
      <c r="AK45" s="45" t="str">
        <f>IF(AND('Riesgos de Gestión'!$AF$70="Baja",'Riesgos de Gestión'!$AH$70="Catastrófico"),CONCATENATE("R10C",'Riesgos de Gestión'!$V$70),"")</f>
        <v/>
      </c>
      <c r="AL45" s="45" t="str">
        <f>IF(AND('Riesgos de Gestión'!$AF$71="Baja",'Riesgos de Gestión'!$AH$71="Catastrófico"),CONCATENATE("R10C",'Riesgos de Gestión'!$V$71),"")</f>
        <v/>
      </c>
      <c r="AM45" s="46" t="str">
        <f>IF(AND('Riesgos de Gestión'!$AF$72="Baja",'Riesgos de Gestión'!$AH$72="Catastrófico"),CONCATENATE("R10C",'Riesgos de Gestión'!$V$72),"")</f>
        <v/>
      </c>
      <c r="AN45" s="66"/>
      <c r="AO45" s="562"/>
      <c r="AP45" s="563"/>
      <c r="AQ45" s="563"/>
      <c r="AR45" s="563"/>
      <c r="AS45" s="563"/>
      <c r="AT45" s="564"/>
    </row>
    <row r="46" spans="1:80" ht="46.5" customHeight="1" x14ac:dyDescent="0.3">
      <c r="A46" s="66"/>
      <c r="B46" s="487"/>
      <c r="C46" s="487"/>
      <c r="D46" s="488"/>
      <c r="E46" s="525" t="s">
        <v>323</v>
      </c>
      <c r="F46" s="526"/>
      <c r="G46" s="526"/>
      <c r="H46" s="526"/>
      <c r="I46" s="527"/>
      <c r="J46" s="56" t="str">
        <f>IF(AND('Riesgos de Gestión'!$AF$13="Muy Baja",'Riesgos de Gestión'!$AH$13="Leve"),CONCATENATE("R1C",'Riesgos de Gestión'!$V$13),"")</f>
        <v/>
      </c>
      <c r="K46" s="57" t="str">
        <f>IF(AND('Riesgos de Gestión'!$AF$14="Muy Baja",'Riesgos de Gestión'!$AH$14="Leve"),CONCATENATE("R1C",'Riesgos de Gestión'!$V$14),"")</f>
        <v/>
      </c>
      <c r="L46" s="57" t="str">
        <f>IF(AND('Riesgos de Gestión'!$AF$15="Muy Baja",'Riesgos de Gestión'!$AH$15="Leve"),CONCATENATE("R1C",'Riesgos de Gestión'!$V$15),"")</f>
        <v/>
      </c>
      <c r="M46" s="57" t="str">
        <f>IF(AND('Riesgos de Gestión'!$AF$16="Muy Baja",'Riesgos de Gestión'!$AH$16="Leve"),CONCATENATE("R1C",'Riesgos de Gestión'!$V$16),"")</f>
        <v/>
      </c>
      <c r="N46" s="57" t="str">
        <f>IF(AND('Riesgos de Gestión'!$AF$17="Muy Baja",'Riesgos de Gestión'!$AH$17="Leve"),CONCATENATE("R1C",'Riesgos de Gestión'!$V$17),"")</f>
        <v/>
      </c>
      <c r="O46" s="58" t="str">
        <f>IF(AND('Riesgos de Gestión'!$AF$18="Muy Baja",'Riesgos de Gestión'!$AH$18="Leve"),CONCATENATE("R1C",'Riesgos de Gestión'!$V$18),"")</f>
        <v/>
      </c>
      <c r="P46" s="56" t="str">
        <f>IF(AND('Riesgos de Gestión'!$AF$13="Muy Baja",'Riesgos de Gestión'!$AH$13="Menor"),CONCATENATE("R1C",'Riesgos de Gestión'!$V$13),"")</f>
        <v/>
      </c>
      <c r="Q46" s="57" t="str">
        <f>IF(AND('Riesgos de Gestión'!$AF$14="Muy Baja",'Riesgos de Gestión'!$AH$14="Menor"),CONCATENATE("R1C",'Riesgos de Gestión'!$V$14),"")</f>
        <v/>
      </c>
      <c r="R46" s="57" t="str">
        <f>IF(AND('Riesgos de Gestión'!$AF$15="Muy Baja",'Riesgos de Gestión'!$AH$15="Menor"),CONCATENATE("R1C",'Riesgos de Gestión'!$V$15),"")</f>
        <v/>
      </c>
      <c r="S46" s="57" t="str">
        <f>IF(AND('Riesgos de Gestión'!$AF$16="Muy Baja",'Riesgos de Gestión'!$AH$16="Menor"),CONCATENATE("R1C",'Riesgos de Gestión'!$V$16),"")</f>
        <v/>
      </c>
      <c r="T46" s="57" t="str">
        <f>IF(AND('Riesgos de Gestión'!$AF$17="Muy Baja",'Riesgos de Gestión'!$AH$17="Menor"),CONCATENATE("R1C",'Riesgos de Gestión'!$V$17),"")</f>
        <v/>
      </c>
      <c r="U46" s="58" t="str">
        <f>IF(AND('Riesgos de Gestión'!$AF$18="Muy Baja",'Riesgos de Gestión'!$AH$18="Menor"),CONCATENATE("R1C",'Riesgos de Gestión'!$V$18),"")</f>
        <v/>
      </c>
      <c r="V46" s="47" t="str">
        <f>IF(AND('Riesgos de Gestión'!$AF$13="Muy Baja",'Riesgos de Gestión'!$AH$13="Moderado"),CONCATENATE("R1C",'Riesgos de Gestión'!$V$13),"")</f>
        <v/>
      </c>
      <c r="W46" s="65" t="str">
        <f>IF(AND('Riesgos de Gestión'!$AF$14="Muy Baja",'Riesgos de Gestión'!$AH$14="Moderado"),CONCATENATE("R1C",'Riesgos de Gestión'!$V$14),"")</f>
        <v/>
      </c>
      <c r="X46" s="48" t="str">
        <f>IF(AND('Riesgos de Gestión'!$AF$15="Muy Baja",'Riesgos de Gestión'!$AH$15="Moderado"),CONCATENATE("R1C",'Riesgos de Gestión'!$V$15),"")</f>
        <v>R1C3</v>
      </c>
      <c r="Y46" s="48" t="str">
        <f>IF(AND('Riesgos de Gestión'!$AF$16="Muy Baja",'Riesgos de Gestión'!$AH$16="Moderado"),CONCATENATE("R1C",'Riesgos de Gestión'!$V$16),"")</f>
        <v/>
      </c>
      <c r="Z46" s="48" t="str">
        <f>IF(AND('Riesgos de Gestión'!$AF$17="Muy Baja",'Riesgos de Gestión'!$AH$17="Moderado"),CONCATENATE("R1C",'Riesgos de Gestión'!$V$17),"")</f>
        <v/>
      </c>
      <c r="AA46" s="49" t="str">
        <f>IF(AND('Riesgos de Gestión'!$AF$18="Muy Baja",'Riesgos de Gestión'!$AH$18="Moderado"),CONCATENATE("R1C",'Riesgos de Gestión'!$V$18),"")</f>
        <v/>
      </c>
      <c r="AB46" s="29" t="str">
        <f>IF(AND('Riesgos de Gestión'!$AF$13="Muy Baja",'Riesgos de Gestión'!$AH$13="Mayor"),CONCATENATE("R1C",'Riesgos de Gestión'!$V$13),"")</f>
        <v/>
      </c>
      <c r="AC46" s="30" t="str">
        <f>IF(AND('Riesgos de Gestión'!$AF$14="Muy Baja",'Riesgos de Gestión'!$AH$14="Mayor"),CONCATENATE("R1C",'Riesgos de Gestión'!$V$14),"")</f>
        <v/>
      </c>
      <c r="AD46" s="30" t="str">
        <f>IF(AND('Riesgos de Gestión'!$AF$15="Muy Baja",'Riesgos de Gestión'!$AH$15="Mayor"),CONCATENATE("R1C",'Riesgos de Gestión'!$V$15),"")</f>
        <v/>
      </c>
      <c r="AE46" s="30" t="str">
        <f>IF(AND('Riesgos de Gestión'!$AF$16="Muy Baja",'Riesgos de Gestión'!$AH$16="Mayor"),CONCATENATE("R1C",'Riesgos de Gestión'!$V$16),"")</f>
        <v/>
      </c>
      <c r="AF46" s="30" t="str">
        <f>IF(AND('Riesgos de Gestión'!$AF$17="Muy Baja",'Riesgos de Gestión'!$AH$17="Mayor"),CONCATENATE("R1C",'Riesgos de Gestión'!$V$17),"")</f>
        <v/>
      </c>
      <c r="AG46" s="31" t="str">
        <f>IF(AND('Riesgos de Gestión'!$AF$18="Muy Baja",'Riesgos de Gestión'!$AH$18="Mayor"),CONCATENATE("R1C",'Riesgos de Gestión'!$V$18),"")</f>
        <v/>
      </c>
      <c r="AH46" s="32" t="str">
        <f>IF(AND('Riesgos de Gestión'!$AF$13="Muy Baja",'Riesgos de Gestión'!$AH$13="Catastrófico"),CONCATENATE("R1C",'Riesgos de Gestión'!$V$13),"")</f>
        <v/>
      </c>
      <c r="AI46" s="33" t="str">
        <f>IF(AND('Riesgos de Gestión'!$AF$14="Muy Baja",'Riesgos de Gestión'!$AH$14="Catastrófico"),CONCATENATE("R1C",'Riesgos de Gestión'!$V$14),"")</f>
        <v/>
      </c>
      <c r="AJ46" s="33" t="str">
        <f>IF(AND('Riesgos de Gestión'!$AF$15="Muy Baja",'Riesgos de Gestión'!$AH$15="Catastrófico"),CONCATENATE("R1C",'Riesgos de Gestión'!$V$15),"")</f>
        <v/>
      </c>
      <c r="AK46" s="33" t="str">
        <f>IF(AND('Riesgos de Gestión'!$AF$16="Muy Baja",'Riesgos de Gestión'!$AH$16="Catastrófico"),CONCATENATE("R1C",'Riesgos de Gestión'!$V$16),"")</f>
        <v/>
      </c>
      <c r="AL46" s="33" t="str">
        <f>IF(AND('Riesgos de Gestión'!$AF$17="Muy Baja",'Riesgos de Gestión'!$AH$17="Catastrófico"),CONCATENATE("R1C",'Riesgos de Gestión'!$V$17),"")</f>
        <v/>
      </c>
      <c r="AM46" s="34" t="str">
        <f>IF(AND('Riesgos de Gestión'!$AF$18="Muy Baja",'Riesgos de Gestión'!$AH$18="Catastrófico"),CONCATENATE("R1C",'Riesgos de Gestión'!$V$18),"")</f>
        <v/>
      </c>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row>
    <row r="47" spans="1:80" ht="46.5" customHeight="1" x14ac:dyDescent="0.2">
      <c r="A47" s="66"/>
      <c r="B47" s="487"/>
      <c r="C47" s="487"/>
      <c r="D47" s="488"/>
      <c r="E47" s="544"/>
      <c r="F47" s="529"/>
      <c r="G47" s="529"/>
      <c r="H47" s="529"/>
      <c r="I47" s="530"/>
      <c r="J47" s="59" t="str">
        <f>IF(AND('Riesgos de Gestión'!$AF$19="Muy Baja",'Riesgos de Gestión'!$AH$19="Leve"),CONCATENATE("R2C",'Riesgos de Gestión'!$V$19),"")</f>
        <v/>
      </c>
      <c r="K47" s="60" t="str">
        <f>IF(AND('Riesgos de Gestión'!$AF$20="Muy Baja",'Riesgos de Gestión'!$AH$20="Leve"),CONCATENATE("R2C",'Riesgos de Gestión'!$V$20),"")</f>
        <v/>
      </c>
      <c r="L47" s="60" t="str">
        <f>IF(AND('Riesgos de Gestión'!$AF$21="Muy Baja",'Riesgos de Gestión'!$AH$21="Leve"),CONCATENATE("R2C",'Riesgos de Gestión'!$V$21),"")</f>
        <v/>
      </c>
      <c r="M47" s="60" t="str">
        <f>IF(AND('Riesgos de Gestión'!$AF$22="Muy Baja",'Riesgos de Gestión'!$AH$22="Leve"),CONCATENATE("R2C",'Riesgos de Gestión'!$V$22),"")</f>
        <v/>
      </c>
      <c r="N47" s="60" t="str">
        <f>IF(AND('Riesgos de Gestión'!$AF$23="Muy Baja",'Riesgos de Gestión'!$AH$23="Leve"),CONCATENATE("R2C",'Riesgos de Gestión'!$V$23),"")</f>
        <v/>
      </c>
      <c r="O47" s="61" t="str">
        <f>IF(AND('Riesgos de Gestión'!$AF$24="Muy Baja",'Riesgos de Gestión'!$AH$24="Leve"),CONCATENATE("R2C",'Riesgos de Gestión'!$V$24),"")</f>
        <v/>
      </c>
      <c r="P47" s="59" t="str">
        <f>IF(AND('Riesgos de Gestión'!$AF$19="Muy Baja",'Riesgos de Gestión'!$AH$19="Menor"),CONCATENATE("R2C",'Riesgos de Gestión'!$V$19),"")</f>
        <v/>
      </c>
      <c r="Q47" s="60" t="str">
        <f>IF(AND('Riesgos de Gestión'!$AF$20="Muy Baja",'Riesgos de Gestión'!$AH$20="Menor"),CONCATENATE("R2C",'Riesgos de Gestión'!$V$20),"")</f>
        <v/>
      </c>
      <c r="R47" s="60" t="str">
        <f>IF(AND('Riesgos de Gestión'!$AF$21="Muy Baja",'Riesgos de Gestión'!$AH$21="Menor"),CONCATENATE("R2C",'Riesgos de Gestión'!$V$21),"")</f>
        <v/>
      </c>
      <c r="S47" s="60" t="str">
        <f>IF(AND('Riesgos de Gestión'!$AF$22="Muy Baja",'Riesgos de Gestión'!$AH$22="Menor"),CONCATENATE("R2C",'Riesgos de Gestión'!$V$22),"")</f>
        <v/>
      </c>
      <c r="T47" s="60" t="str">
        <f>IF(AND('Riesgos de Gestión'!$AF$23="Muy Baja",'Riesgos de Gestión'!$AH$23="Menor"),CONCATENATE("R2C",'Riesgos de Gestión'!$V$23),"")</f>
        <v/>
      </c>
      <c r="U47" s="61" t="str">
        <f>IF(AND('Riesgos de Gestión'!$AF$24="Muy Baja",'Riesgos de Gestión'!$AH$24="Menor"),CONCATENATE("R2C",'Riesgos de Gestión'!$V$24),"")</f>
        <v/>
      </c>
      <c r="V47" s="50" t="str">
        <f>IF(AND('Riesgos de Gestión'!$AF$19="Muy Baja",'Riesgos de Gestión'!$AH$19="Moderado"),CONCATENATE("R2C",'Riesgos de Gestión'!$V$19),"")</f>
        <v/>
      </c>
      <c r="W47" s="51" t="str">
        <f>IF(AND('Riesgos de Gestión'!$AF$20="Muy Baja",'Riesgos de Gestión'!$AH$20="Moderado"),CONCATENATE("R2C",'Riesgos de Gestión'!$V$20),"")</f>
        <v/>
      </c>
      <c r="X47" s="51" t="str">
        <f>IF(AND('Riesgos de Gestión'!$AF$21="Muy Baja",'Riesgos de Gestión'!$AH$21="Moderado"),CONCATENATE("R2C",'Riesgos de Gestión'!$V$21),"")</f>
        <v>R2C3</v>
      </c>
      <c r="Y47" s="51" t="str">
        <f>IF(AND('Riesgos de Gestión'!$AF$22="Muy Baja",'Riesgos de Gestión'!$AH$22="Moderado"),CONCATENATE("R2C",'Riesgos de Gestión'!$V$22),"")</f>
        <v/>
      </c>
      <c r="Z47" s="51" t="str">
        <f>IF(AND('Riesgos de Gestión'!$AF$23="Muy Baja",'Riesgos de Gestión'!$AH$23="Moderado"),CONCATENATE("R2C",'Riesgos de Gestión'!$V$23),"")</f>
        <v/>
      </c>
      <c r="AA47" s="52" t="str">
        <f>IF(AND('Riesgos de Gestión'!$AF$24="Muy Baja",'Riesgos de Gestión'!$AH$24="Moderado"),CONCATENATE("R2C",'Riesgos de Gestión'!$V$24),"")</f>
        <v/>
      </c>
      <c r="AB47" s="35" t="str">
        <f>IF(AND('Riesgos de Gestión'!$AF$19="Muy Baja",'Riesgos de Gestión'!$AH$19="Mayor"),CONCATENATE("R2C",'Riesgos de Gestión'!$V$19),"")</f>
        <v/>
      </c>
      <c r="AC47" s="36" t="str">
        <f>IF(AND('Riesgos de Gestión'!$AF$20="Muy Baja",'Riesgos de Gestión'!$AH$20="Mayor"),CONCATENATE("R2C",'Riesgos de Gestión'!$V$20),"")</f>
        <v/>
      </c>
      <c r="AD47" s="36" t="str">
        <f>IF(AND('Riesgos de Gestión'!$AF$21="Muy Baja",'Riesgos de Gestión'!$AH$21="Mayor"),CONCATENATE("R2C",'Riesgos de Gestión'!$V$21),"")</f>
        <v/>
      </c>
      <c r="AE47" s="36" t="str">
        <f>IF(AND('Riesgos de Gestión'!$AF$22="Muy Baja",'Riesgos de Gestión'!$AH$22="Mayor"),CONCATENATE("R2C",'Riesgos de Gestión'!$V$22),"")</f>
        <v/>
      </c>
      <c r="AF47" s="36" t="str">
        <f>IF(AND('Riesgos de Gestión'!$AF$23="Muy Baja",'Riesgos de Gestión'!$AH$23="Mayor"),CONCATENATE("R2C",'Riesgos de Gestión'!$V$23),"")</f>
        <v/>
      </c>
      <c r="AG47" s="37" t="str">
        <f>IF(AND('Riesgos de Gestión'!$AF$24="Muy Baja",'Riesgos de Gestión'!$AH$24="Mayor"),CONCATENATE("R2C",'Riesgos de Gestión'!$V$24),"")</f>
        <v/>
      </c>
      <c r="AH47" s="38" t="str">
        <f>IF(AND('Riesgos de Gestión'!$AF$19="Muy Baja",'Riesgos de Gestión'!$AH$19="Catastrófico"),CONCATENATE("R2C",'Riesgos de Gestión'!$V$19),"")</f>
        <v/>
      </c>
      <c r="AI47" s="39" t="str">
        <f>IF(AND('Riesgos de Gestión'!$AF$20="Muy Baja",'Riesgos de Gestión'!$AH$20="Catastrófico"),CONCATENATE("R2C",'Riesgos de Gestión'!$V$20),"")</f>
        <v/>
      </c>
      <c r="AJ47" s="39" t="str">
        <f>IF(AND('Riesgos de Gestión'!$AF$21="Muy Baja",'Riesgos de Gestión'!$AH$21="Catastrófico"),CONCATENATE("R2C",'Riesgos de Gestión'!$V$21),"")</f>
        <v/>
      </c>
      <c r="AK47" s="39" t="str">
        <f>IF(AND('Riesgos de Gestión'!$AF$22="Muy Baja",'Riesgos de Gestión'!$AH$22="Catastrófico"),CONCATENATE("R2C",'Riesgos de Gestión'!$V$22),"")</f>
        <v/>
      </c>
      <c r="AL47" s="39" t="str">
        <f>IF(AND('Riesgos de Gestión'!$AF$23="Muy Baja",'Riesgos de Gestión'!$AH$23="Catastrófico"),CONCATENATE("R2C",'Riesgos de Gestión'!$V$23),"")</f>
        <v/>
      </c>
      <c r="AM47" s="40" t="str">
        <f>IF(AND('Riesgos de Gestión'!$AF$24="Muy Baja",'Riesgos de Gestión'!$AH$24="Catastrófico"),CONCATENATE("R2C",'Riesgos de Gestión'!$V$24),"")</f>
        <v/>
      </c>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row>
    <row r="48" spans="1:80" ht="15" customHeight="1" x14ac:dyDescent="0.2">
      <c r="A48" s="66"/>
      <c r="B48" s="487"/>
      <c r="C48" s="487"/>
      <c r="D48" s="488"/>
      <c r="E48" s="544"/>
      <c r="F48" s="529"/>
      <c r="G48" s="529"/>
      <c r="H48" s="529"/>
      <c r="I48" s="530"/>
      <c r="J48" s="59" t="str">
        <f>IF(AND('Riesgos de Gestión'!$AF$25="Muy Baja",'Riesgos de Gestión'!$AH$25="Leve"),CONCATENATE("R3C",'Riesgos de Gestión'!$V$25),"")</f>
        <v/>
      </c>
      <c r="K48" s="60" t="str">
        <f>IF(AND('Riesgos de Gestión'!$AF$26="Muy Baja",'Riesgos de Gestión'!$AH$26="Leve"),CONCATENATE("R3C",'Riesgos de Gestión'!$V$26),"")</f>
        <v/>
      </c>
      <c r="L48" s="60" t="str">
        <f>IF(AND('Riesgos de Gestión'!$AF$27="Muy Baja",'Riesgos de Gestión'!$AH$27="Leve"),CONCATENATE("R3C",'Riesgos de Gestión'!$V$27),"")</f>
        <v/>
      </c>
      <c r="M48" s="60" t="str">
        <f>IF(AND('Riesgos de Gestión'!$AF$28="Muy Baja",'Riesgos de Gestión'!$AH$28="Leve"),CONCATENATE("R3C",'Riesgos de Gestión'!$V$28),"")</f>
        <v/>
      </c>
      <c r="N48" s="60" t="str">
        <f>IF(AND('Riesgos de Gestión'!$AF$29="Muy Baja",'Riesgos de Gestión'!$AH$29="Leve"),CONCATENATE("R3C",'Riesgos de Gestión'!$V$29),"")</f>
        <v/>
      </c>
      <c r="O48" s="61" t="str">
        <f>IF(AND('Riesgos de Gestión'!$AF$30="Muy Baja",'Riesgos de Gestión'!$AH$30="Leve"),CONCATENATE("R3C",'Riesgos de Gestión'!$V$30),"")</f>
        <v/>
      </c>
      <c r="P48" s="59" t="str">
        <f>IF(AND('Riesgos de Gestión'!$AF$25="Muy Baja",'Riesgos de Gestión'!$AH$25="Menor"),CONCATENATE("R3C",'Riesgos de Gestión'!$V$25),"")</f>
        <v/>
      </c>
      <c r="Q48" s="60" t="str">
        <f>IF(AND('Riesgos de Gestión'!$AF$26="Muy Baja",'Riesgos de Gestión'!$AH$26="Menor"),CONCATENATE("R3C",'Riesgos de Gestión'!$V$26),"")</f>
        <v/>
      </c>
      <c r="R48" s="60" t="str">
        <f>IF(AND('Riesgos de Gestión'!$AF$27="Muy Baja",'Riesgos de Gestión'!$AH$27="Menor"),CONCATENATE("R3C",'Riesgos de Gestión'!$V$27),"")</f>
        <v>R3C3</v>
      </c>
      <c r="S48" s="60" t="str">
        <f>IF(AND('Riesgos de Gestión'!$AF$28="Muy Baja",'Riesgos de Gestión'!$AH$28="Menor"),CONCATENATE("R3C",'Riesgos de Gestión'!$V$28),"")</f>
        <v/>
      </c>
      <c r="T48" s="60" t="str">
        <f>IF(AND('Riesgos de Gestión'!$AF$29="Muy Baja",'Riesgos de Gestión'!$AH$29="Menor"),CONCATENATE("R3C",'Riesgos de Gestión'!$V$29),"")</f>
        <v/>
      </c>
      <c r="U48" s="61" t="str">
        <f>IF(AND('Riesgos de Gestión'!$AF$30="Muy Baja",'Riesgos de Gestión'!$AH$30="Menor"),CONCATENATE("R3C",'Riesgos de Gestión'!$V$30),"")</f>
        <v/>
      </c>
      <c r="V48" s="50" t="str">
        <f>IF(AND('Riesgos de Gestión'!$AF$25="Muy Baja",'Riesgos de Gestión'!$AH$25="Moderado"),CONCATENATE("R3C",'Riesgos de Gestión'!$V$25),"")</f>
        <v/>
      </c>
      <c r="W48" s="51" t="str">
        <f>IF(AND('Riesgos de Gestión'!$AF$26="Muy Baja",'Riesgos de Gestión'!$AH$26="Moderado"),CONCATENATE("R3C",'Riesgos de Gestión'!$V$26),"")</f>
        <v/>
      </c>
      <c r="X48" s="51" t="str">
        <f>IF(AND('Riesgos de Gestión'!$AF$27="Muy Baja",'Riesgos de Gestión'!$AH$27="Moderado"),CONCATENATE("R3C",'Riesgos de Gestión'!$V$27),"")</f>
        <v/>
      </c>
      <c r="Y48" s="51" t="str">
        <f>IF(AND('Riesgos de Gestión'!$AF$28="Muy Baja",'Riesgos de Gestión'!$AH$28="Moderado"),CONCATENATE("R3C",'Riesgos de Gestión'!$V$28),"")</f>
        <v/>
      </c>
      <c r="Z48" s="51" t="str">
        <f>IF(AND('Riesgos de Gestión'!$AF$29="Muy Baja",'Riesgos de Gestión'!$AH$29="Moderado"),CONCATENATE("R3C",'Riesgos de Gestión'!$V$29),"")</f>
        <v/>
      </c>
      <c r="AA48" s="52" t="str">
        <f>IF(AND('Riesgos de Gestión'!$AF$30="Muy Baja",'Riesgos de Gestión'!$AH$30="Moderado"),CONCATENATE("R3C",'Riesgos de Gestión'!$V$30),"")</f>
        <v/>
      </c>
      <c r="AB48" s="35" t="str">
        <f>IF(AND('Riesgos de Gestión'!$AF$25="Muy Baja",'Riesgos de Gestión'!$AH$25="Mayor"),CONCATENATE("R3C",'Riesgos de Gestión'!$V$25),"")</f>
        <v/>
      </c>
      <c r="AC48" s="36" t="str">
        <f>IF(AND('Riesgos de Gestión'!$AF$26="Muy Baja",'Riesgos de Gestión'!$AH$26="Mayor"),CONCATENATE("R3C",'Riesgos de Gestión'!$V$26),"")</f>
        <v/>
      </c>
      <c r="AD48" s="36" t="str">
        <f>IF(AND('Riesgos de Gestión'!$AF$27="Muy Baja",'Riesgos de Gestión'!$AH$27="Mayor"),CONCATENATE("R3C",'Riesgos de Gestión'!$V$27),"")</f>
        <v/>
      </c>
      <c r="AE48" s="36" t="str">
        <f>IF(AND('Riesgos de Gestión'!$AF$28="Muy Baja",'Riesgos de Gestión'!$AH$28="Mayor"),CONCATENATE("R3C",'Riesgos de Gestión'!$V$28),"")</f>
        <v/>
      </c>
      <c r="AF48" s="36" t="str">
        <f>IF(AND('Riesgos de Gestión'!$AF$29="Muy Baja",'Riesgos de Gestión'!$AH$29="Mayor"),CONCATENATE("R3C",'Riesgos de Gestión'!$V$29),"")</f>
        <v/>
      </c>
      <c r="AG48" s="37" t="str">
        <f>IF(AND('Riesgos de Gestión'!$AF$30="Muy Baja",'Riesgos de Gestión'!$AH$30="Mayor"),CONCATENATE("R3C",'Riesgos de Gestión'!$V$30),"")</f>
        <v/>
      </c>
      <c r="AH48" s="38" t="str">
        <f>IF(AND('Riesgos de Gestión'!$AF$25="Muy Baja",'Riesgos de Gestión'!$AH$25="Catastrófico"),CONCATENATE("R3C",'Riesgos de Gestión'!$V$25),"")</f>
        <v/>
      </c>
      <c r="AI48" s="39" t="str">
        <f>IF(AND('Riesgos de Gestión'!$AF$26="Muy Baja",'Riesgos de Gestión'!$AH$26="Catastrófico"),CONCATENATE("R3C",'Riesgos de Gestión'!$V$26),"")</f>
        <v/>
      </c>
      <c r="AJ48" s="39" t="str">
        <f>IF(AND('Riesgos de Gestión'!$AF$27="Muy Baja",'Riesgos de Gestión'!$AH$27="Catastrófico"),CONCATENATE("R3C",'Riesgos de Gestión'!$V$27),"")</f>
        <v/>
      </c>
      <c r="AK48" s="39" t="str">
        <f>IF(AND('Riesgos de Gestión'!$AF$28="Muy Baja",'Riesgos de Gestión'!$AH$28="Catastrófico"),CONCATENATE("R3C",'Riesgos de Gestión'!$V$28),"")</f>
        <v/>
      </c>
      <c r="AL48" s="39" t="str">
        <f>IF(AND('Riesgos de Gestión'!$AF$29="Muy Baja",'Riesgos de Gestión'!$AH$29="Catastrófico"),CONCATENATE("R3C",'Riesgos de Gestión'!$V$29),"")</f>
        <v/>
      </c>
      <c r="AM48" s="40" t="str">
        <f>IF(AND('Riesgos de Gestión'!$AF$30="Muy Baja",'Riesgos de Gestión'!$AH$30="Catastrófico"),CONCATENATE("R3C",'Riesgos de Gestión'!$V$30),"")</f>
        <v/>
      </c>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row>
    <row r="49" spans="1:80" ht="15" customHeight="1" x14ac:dyDescent="0.2">
      <c r="A49" s="66"/>
      <c r="B49" s="487"/>
      <c r="C49" s="487"/>
      <c r="D49" s="488"/>
      <c r="E49" s="528"/>
      <c r="F49" s="529"/>
      <c r="G49" s="529"/>
      <c r="H49" s="529"/>
      <c r="I49" s="530"/>
      <c r="J49" s="59" t="str">
        <f>IF(AND('Riesgos de Gestión'!$AF$31="Muy Baja",'Riesgos de Gestión'!$AH$31="Leve"),CONCATENATE("R4C",'Riesgos de Gestión'!$V$31),"")</f>
        <v/>
      </c>
      <c r="K49" s="60" t="str">
        <f>IF(AND('Riesgos de Gestión'!$AF$32="Muy Baja",'Riesgos de Gestión'!$AH$32="Leve"),CONCATENATE("R4C",'Riesgos de Gestión'!$V$32),"")</f>
        <v/>
      </c>
      <c r="L49" s="60" t="str">
        <f>IF(AND('Riesgos de Gestión'!$AF$33="Muy Baja",'Riesgos de Gestión'!$AH$33="Leve"),CONCATENATE("R4C",'Riesgos de Gestión'!$V$33),"")</f>
        <v/>
      </c>
      <c r="M49" s="60" t="str">
        <f>IF(AND('Riesgos de Gestión'!$AF$34="Muy Baja",'Riesgos de Gestión'!$AH$34="Leve"),CONCATENATE("R4C",'Riesgos de Gestión'!$V$34),"")</f>
        <v/>
      </c>
      <c r="N49" s="60" t="str">
        <f>IF(AND('Riesgos de Gestión'!$AF$35="Muy Baja",'Riesgos de Gestión'!$AH$35="Leve"),CONCATENATE("R4C",'Riesgos de Gestión'!$V$35),"")</f>
        <v/>
      </c>
      <c r="O49" s="61" t="str">
        <f>IF(AND('Riesgos de Gestión'!$AF$36="Muy Baja",'Riesgos de Gestión'!$AH$36="Leve"),CONCATENATE("R4C",'Riesgos de Gestión'!$V$36),"")</f>
        <v/>
      </c>
      <c r="P49" s="59" t="str">
        <f>IF(AND('Riesgos de Gestión'!$AF$31="Muy Baja",'Riesgos de Gestión'!$AH$31="Menor"),CONCATENATE("R4C",'Riesgos de Gestión'!$V$31),"")</f>
        <v/>
      </c>
      <c r="Q49" s="60" t="str">
        <f>IF(AND('Riesgos de Gestión'!$AF$32="Muy Baja",'Riesgos de Gestión'!$AH$32="Menor"),CONCATENATE("R4C",'Riesgos de Gestión'!$V$32),"")</f>
        <v/>
      </c>
      <c r="R49" s="60" t="str">
        <f>IF(AND('Riesgos de Gestión'!$AF$33="Muy Baja",'Riesgos de Gestión'!$AH$33="Menor"),CONCATENATE("R4C",'Riesgos de Gestión'!$V$33),"")</f>
        <v/>
      </c>
      <c r="S49" s="60" t="str">
        <f>IF(AND('Riesgos de Gestión'!$AF$34="Muy Baja",'Riesgos de Gestión'!$AH$34="Menor"),CONCATENATE("R4C",'Riesgos de Gestión'!$V$34),"")</f>
        <v/>
      </c>
      <c r="T49" s="60" t="str">
        <f>IF(AND('Riesgos de Gestión'!$AF$35="Muy Baja",'Riesgos de Gestión'!$AH$35="Menor"),CONCATENATE("R4C",'Riesgos de Gestión'!$V$35),"")</f>
        <v/>
      </c>
      <c r="U49" s="61" t="str">
        <f>IF(AND('Riesgos de Gestión'!$AF$36="Muy Baja",'Riesgos de Gestión'!$AH$36="Menor"),CONCATENATE("R4C",'Riesgos de Gestión'!$V$36),"")</f>
        <v/>
      </c>
      <c r="V49" s="50" t="str">
        <f>IF(AND('Riesgos de Gestión'!$AF$31="Muy Baja",'Riesgos de Gestión'!$AH$31="Moderado"),CONCATENATE("R4C",'Riesgos de Gestión'!$V$31),"")</f>
        <v/>
      </c>
      <c r="W49" s="51" t="str">
        <f>IF(AND('Riesgos de Gestión'!$AF$32="Muy Baja",'Riesgos de Gestión'!$AH$32="Moderado"),CONCATENATE("R4C",'Riesgos de Gestión'!$V$32),"")</f>
        <v/>
      </c>
      <c r="X49" s="51" t="str">
        <f>IF(AND('Riesgos de Gestión'!$AF$33="Muy Baja",'Riesgos de Gestión'!$AH$33="Moderado"),CONCATENATE("R4C",'Riesgos de Gestión'!$V$33),"")</f>
        <v/>
      </c>
      <c r="Y49" s="51" t="str">
        <f>IF(AND('Riesgos de Gestión'!$AF$34="Muy Baja",'Riesgos de Gestión'!$AH$34="Moderado"),CONCATENATE("R4C",'Riesgos de Gestión'!$V$34),"")</f>
        <v/>
      </c>
      <c r="Z49" s="51" t="str">
        <f>IF(AND('Riesgos de Gestión'!$AF$35="Muy Baja",'Riesgos de Gestión'!$AH$35="Moderado"),CONCATENATE("R4C",'Riesgos de Gestión'!$V$35),"")</f>
        <v/>
      </c>
      <c r="AA49" s="52" t="str">
        <f>IF(AND('Riesgos de Gestión'!$AF$36="Muy Baja",'Riesgos de Gestión'!$AH$36="Moderado"),CONCATENATE("R4C",'Riesgos de Gestión'!$V$36),"")</f>
        <v/>
      </c>
      <c r="AB49" s="35" t="str">
        <f>IF(AND('Riesgos de Gestión'!$AF$31="Muy Baja",'Riesgos de Gestión'!$AH$31="Mayor"),CONCATENATE("R4C",'Riesgos de Gestión'!$V$31),"")</f>
        <v/>
      </c>
      <c r="AC49" s="36" t="str">
        <f>IF(AND('Riesgos de Gestión'!$AF$32="Muy Baja",'Riesgos de Gestión'!$AH$32="Mayor"),CONCATENATE("R4C",'Riesgos de Gestión'!$V$32),"")</f>
        <v/>
      </c>
      <c r="AD49" s="36" t="str">
        <f>IF(AND('Riesgos de Gestión'!$AF$33="Muy Baja",'Riesgos de Gestión'!$AH$33="Mayor"),CONCATENATE("R4C",'Riesgos de Gestión'!$V$33),"")</f>
        <v/>
      </c>
      <c r="AE49" s="36" t="str">
        <f>IF(AND('Riesgos de Gestión'!$AF$34="Muy Baja",'Riesgos de Gestión'!$AH$34="Mayor"),CONCATENATE("R4C",'Riesgos de Gestión'!$V$34),"")</f>
        <v/>
      </c>
      <c r="AF49" s="36" t="str">
        <f>IF(AND('Riesgos de Gestión'!$AF$35="Muy Baja",'Riesgos de Gestión'!$AH$35="Mayor"),CONCATENATE("R4C",'Riesgos de Gestión'!$V$35),"")</f>
        <v/>
      </c>
      <c r="AG49" s="37" t="str">
        <f>IF(AND('Riesgos de Gestión'!$AF$36="Muy Baja",'Riesgos de Gestión'!$AH$36="Mayor"),CONCATENATE("R4C",'Riesgos de Gestión'!$V$36),"")</f>
        <v/>
      </c>
      <c r="AH49" s="38" t="str">
        <f>IF(AND('Riesgos de Gestión'!$AF$31="Muy Baja",'Riesgos de Gestión'!$AH$31="Catastrófico"),CONCATENATE("R4C",'Riesgos de Gestión'!$V$31),"")</f>
        <v/>
      </c>
      <c r="AI49" s="39" t="str">
        <f>IF(AND('Riesgos de Gestión'!$AF$32="Muy Baja",'Riesgos de Gestión'!$AH$32="Catastrófico"),CONCATENATE("R4C",'Riesgos de Gestión'!$V$32),"")</f>
        <v/>
      </c>
      <c r="AJ49" s="39" t="str">
        <f>IF(AND('Riesgos de Gestión'!$AF$33="Muy Baja",'Riesgos de Gestión'!$AH$33="Catastrófico"),CONCATENATE("R4C",'Riesgos de Gestión'!$V$33),"")</f>
        <v/>
      </c>
      <c r="AK49" s="39" t="str">
        <f>IF(AND('Riesgos de Gestión'!$AF$34="Muy Baja",'Riesgos de Gestión'!$AH$34="Catastrófico"),CONCATENATE("R4C",'Riesgos de Gestión'!$V$34),"")</f>
        <v/>
      </c>
      <c r="AL49" s="39" t="str">
        <f>IF(AND('Riesgos de Gestión'!$AF$35="Muy Baja",'Riesgos de Gestión'!$AH$35="Catastrófico"),CONCATENATE("R4C",'Riesgos de Gestión'!$V$35),"")</f>
        <v/>
      </c>
      <c r="AM49" s="40" t="str">
        <f>IF(AND('Riesgos de Gestión'!$AF$36="Muy Baja",'Riesgos de Gestión'!$AH$36="Catastrófico"),CONCATENATE("R4C",'Riesgos de Gestión'!$V$36),"")</f>
        <v/>
      </c>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row>
    <row r="50" spans="1:80" ht="15" customHeight="1" x14ac:dyDescent="0.2">
      <c r="A50" s="66"/>
      <c r="B50" s="487"/>
      <c r="C50" s="487"/>
      <c r="D50" s="488"/>
      <c r="E50" s="528"/>
      <c r="F50" s="529"/>
      <c r="G50" s="529"/>
      <c r="H50" s="529"/>
      <c r="I50" s="530"/>
      <c r="J50" s="59" t="str">
        <f>IF(AND('Riesgos de Gestión'!$AF$37="Muy Baja",'Riesgos de Gestión'!$AH$37="Leve"),CONCATENATE("R5C",'Riesgos de Gestión'!$V$37),"")</f>
        <v/>
      </c>
      <c r="K50" s="60" t="str">
        <f>IF(AND('Riesgos de Gestión'!$AF$38="Muy Baja",'Riesgos de Gestión'!$AH$38="Leve"),CONCATENATE("R5C",'Riesgos de Gestión'!$V$38),"")</f>
        <v/>
      </c>
      <c r="L50" s="60" t="str">
        <f>IF(AND('Riesgos de Gestión'!$AF$39="Muy Baja",'Riesgos de Gestión'!$AH$39="Leve"),CONCATENATE("R5C",'Riesgos de Gestión'!$V$39),"")</f>
        <v/>
      </c>
      <c r="M50" s="60" t="str">
        <f>IF(AND('Riesgos de Gestión'!$AF$40="Muy Baja",'Riesgos de Gestión'!$AH$40="Leve"),CONCATENATE("R5C",'Riesgos de Gestión'!$V$40),"")</f>
        <v/>
      </c>
      <c r="N50" s="60" t="str">
        <f>IF(AND('Riesgos de Gestión'!$AF$41="Muy Baja",'Riesgos de Gestión'!$AH$41="Leve"),CONCATENATE("R5C",'Riesgos de Gestión'!$V$41),"")</f>
        <v/>
      </c>
      <c r="O50" s="61" t="str">
        <f>IF(AND('Riesgos de Gestión'!$AF$42="Muy Baja",'Riesgos de Gestión'!$AH$42="Leve"),CONCATENATE("R5C",'Riesgos de Gestión'!$V$42),"")</f>
        <v/>
      </c>
      <c r="P50" s="59" t="str">
        <f>IF(AND('Riesgos de Gestión'!$AF$37="Muy Baja",'Riesgos de Gestión'!$AH$37="Menor"),CONCATENATE("R5C",'Riesgos de Gestión'!$V$37),"")</f>
        <v/>
      </c>
      <c r="Q50" s="60" t="str">
        <f>IF(AND('Riesgos de Gestión'!$AF$38="Muy Baja",'Riesgos de Gestión'!$AH$38="Menor"),CONCATENATE("R5C",'Riesgos de Gestión'!$V$38),"")</f>
        <v/>
      </c>
      <c r="R50" s="60" t="str">
        <f>IF(AND('Riesgos de Gestión'!$AF$39="Muy Baja",'Riesgos de Gestión'!$AH$39="Menor"),CONCATENATE("R5C",'Riesgos de Gestión'!$V$39),"")</f>
        <v/>
      </c>
      <c r="S50" s="60" t="str">
        <f>IF(AND('Riesgos de Gestión'!$AF$40="Muy Baja",'Riesgos de Gestión'!$AH$40="Menor"),CONCATENATE("R5C",'Riesgos de Gestión'!$V$40),"")</f>
        <v/>
      </c>
      <c r="T50" s="60" t="str">
        <f>IF(AND('Riesgos de Gestión'!$AF$41="Muy Baja",'Riesgos de Gestión'!$AH$41="Menor"),CONCATENATE("R5C",'Riesgos de Gestión'!$V$41),"")</f>
        <v/>
      </c>
      <c r="U50" s="61" t="str">
        <f>IF(AND('Riesgos de Gestión'!$AF$42="Muy Baja",'Riesgos de Gestión'!$AH$42="Menor"),CONCATENATE("R5C",'Riesgos de Gestión'!$V$42),"")</f>
        <v/>
      </c>
      <c r="V50" s="50" t="str">
        <f>IF(AND('Riesgos de Gestión'!$AF$37="Muy Baja",'Riesgos de Gestión'!$AH$37="Moderado"),CONCATENATE("R5C",'Riesgos de Gestión'!$V$37),"")</f>
        <v/>
      </c>
      <c r="W50" s="51" t="str">
        <f>IF(AND('Riesgos de Gestión'!$AF$38="Muy Baja",'Riesgos de Gestión'!$AH$38="Moderado"),CONCATENATE("R5C",'Riesgos de Gestión'!$V$38),"")</f>
        <v/>
      </c>
      <c r="X50" s="51" t="str">
        <f>IF(AND('Riesgos de Gestión'!$AF$39="Muy Baja",'Riesgos de Gestión'!$AH$39="Moderado"),CONCATENATE("R5C",'Riesgos de Gestión'!$V$39),"")</f>
        <v/>
      </c>
      <c r="Y50" s="51" t="str">
        <f>IF(AND('Riesgos de Gestión'!$AF$40="Muy Baja",'Riesgos de Gestión'!$AH$40="Moderado"),CONCATENATE("R5C",'Riesgos de Gestión'!$V$40),"")</f>
        <v/>
      </c>
      <c r="Z50" s="51" t="str">
        <f>IF(AND('Riesgos de Gestión'!$AF$41="Muy Baja",'Riesgos de Gestión'!$AH$41="Moderado"),CONCATENATE("R5C",'Riesgos de Gestión'!$V$41),"")</f>
        <v/>
      </c>
      <c r="AA50" s="52" t="str">
        <f>IF(AND('Riesgos de Gestión'!$AF$42="Muy Baja",'Riesgos de Gestión'!$AH$42="Moderado"),CONCATENATE("R5C",'Riesgos de Gestión'!$V$42),"")</f>
        <v/>
      </c>
      <c r="AB50" s="35" t="str">
        <f>IF(AND('Riesgos de Gestión'!$AF$37="Muy Baja",'Riesgos de Gestión'!$AH$37="Mayor"),CONCATENATE("R5C",'Riesgos de Gestión'!$V$37),"")</f>
        <v/>
      </c>
      <c r="AC50" s="36" t="str">
        <f>IF(AND('Riesgos de Gestión'!$AF$38="Muy Baja",'Riesgos de Gestión'!$AH$38="Mayor"),CONCATENATE("R5C",'Riesgos de Gestión'!$V$38),"")</f>
        <v/>
      </c>
      <c r="AD50" s="36" t="str">
        <f>IF(AND('Riesgos de Gestión'!$AF$39="Muy Baja",'Riesgos de Gestión'!$AH$39="Mayor"),CONCATENATE("R5C",'Riesgos de Gestión'!$V$39),"")</f>
        <v/>
      </c>
      <c r="AE50" s="36" t="str">
        <f>IF(AND('Riesgos de Gestión'!$AF$40="Muy Baja",'Riesgos de Gestión'!$AH$40="Mayor"),CONCATENATE("R5C",'Riesgos de Gestión'!$V$40),"")</f>
        <v/>
      </c>
      <c r="AF50" s="36" t="str">
        <f>IF(AND('Riesgos de Gestión'!$AF$41="Muy Baja",'Riesgos de Gestión'!$AH$41="Mayor"),CONCATENATE("R5C",'Riesgos de Gestión'!$V$41),"")</f>
        <v/>
      </c>
      <c r="AG50" s="37" t="str">
        <f>IF(AND('Riesgos de Gestión'!$AF$42="Muy Baja",'Riesgos de Gestión'!$AH$42="Mayor"),CONCATENATE("R5C",'Riesgos de Gestión'!$V$42),"")</f>
        <v/>
      </c>
      <c r="AH50" s="38" t="str">
        <f>IF(AND('Riesgos de Gestión'!$AF$37="Muy Baja",'Riesgos de Gestión'!$AH$37="Catastrófico"),CONCATENATE("R5C",'Riesgos de Gestión'!$V$37),"")</f>
        <v/>
      </c>
      <c r="AI50" s="39" t="str">
        <f>IF(AND('Riesgos de Gestión'!$AF$38="Muy Baja",'Riesgos de Gestión'!$AH$38="Catastrófico"),CONCATENATE("R5C",'Riesgos de Gestión'!$V$38),"")</f>
        <v/>
      </c>
      <c r="AJ50" s="39" t="str">
        <f>IF(AND('Riesgos de Gestión'!$AF$39="Muy Baja",'Riesgos de Gestión'!$AH$39="Catastrófico"),CONCATENATE("R5C",'Riesgos de Gestión'!$V$39),"")</f>
        <v/>
      </c>
      <c r="AK50" s="39" t="str">
        <f>IF(AND('Riesgos de Gestión'!$AF$40="Muy Baja",'Riesgos de Gestión'!$AH$40="Catastrófico"),CONCATENATE("R5C",'Riesgos de Gestión'!$V$40),"")</f>
        <v/>
      </c>
      <c r="AL50" s="39" t="str">
        <f>IF(AND('Riesgos de Gestión'!$AF$41="Muy Baja",'Riesgos de Gestión'!$AH$41="Catastrófico"),CONCATENATE("R5C",'Riesgos de Gestión'!$V$41),"")</f>
        <v/>
      </c>
      <c r="AM50" s="40" t="str">
        <f>IF(AND('Riesgos de Gestión'!$AF$42="Muy Baja",'Riesgos de Gestión'!$AH$42="Catastrófico"),CONCATENATE("R5C",'Riesgos de Gestión'!$V$42),"")</f>
        <v/>
      </c>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row>
    <row r="51" spans="1:80" ht="15" customHeight="1" x14ac:dyDescent="0.2">
      <c r="A51" s="66"/>
      <c r="B51" s="487"/>
      <c r="C51" s="487"/>
      <c r="D51" s="488"/>
      <c r="E51" s="528"/>
      <c r="F51" s="529"/>
      <c r="G51" s="529"/>
      <c r="H51" s="529"/>
      <c r="I51" s="530"/>
      <c r="J51" s="59" t="str">
        <f>IF(AND('Riesgos de Gestión'!$AF$43="Muy Baja",'Riesgos de Gestión'!$AH$43="Leve"),CONCATENATE("R6C",'Riesgos de Gestión'!$V$43),"")</f>
        <v/>
      </c>
      <c r="K51" s="60" t="str">
        <f>IF(AND('Riesgos de Gestión'!$AF$44="Muy Baja",'Riesgos de Gestión'!$AH$44="Leve"),CONCATENATE("R6C",'Riesgos de Gestión'!$V$44),"")</f>
        <v/>
      </c>
      <c r="L51" s="60" t="str">
        <f>IF(AND('Riesgos de Gestión'!$AF$45="Muy Baja",'Riesgos de Gestión'!$AH$45="Leve"),CONCATENATE("R6C",'Riesgos de Gestión'!$V$45),"")</f>
        <v/>
      </c>
      <c r="M51" s="60" t="str">
        <f>IF(AND('Riesgos de Gestión'!$AF$46="Muy Baja",'Riesgos de Gestión'!$AH$46="Leve"),CONCATENATE("R6C",'Riesgos de Gestión'!$V$46),"")</f>
        <v/>
      </c>
      <c r="N51" s="60" t="str">
        <f>IF(AND('Riesgos de Gestión'!$AF$47="Muy Baja",'Riesgos de Gestión'!$AH$47="Leve"),CONCATENATE("R6C",'Riesgos de Gestión'!$V$47),"")</f>
        <v/>
      </c>
      <c r="O51" s="61" t="str">
        <f>IF(AND('Riesgos de Gestión'!$AF$48="Muy Baja",'Riesgos de Gestión'!$AH$48="Leve"),CONCATENATE("R6C",'Riesgos de Gestión'!$V$48),"")</f>
        <v/>
      </c>
      <c r="P51" s="59" t="str">
        <f>IF(AND('Riesgos de Gestión'!$AF$43="Muy Baja",'Riesgos de Gestión'!$AH$43="Menor"),CONCATENATE("R6C",'Riesgos de Gestión'!$V$43),"")</f>
        <v/>
      </c>
      <c r="Q51" s="60" t="str">
        <f>IF(AND('Riesgos de Gestión'!$AF$44="Muy Baja",'Riesgos de Gestión'!$AH$44="Menor"),CONCATENATE("R6C",'Riesgos de Gestión'!$V$44),"")</f>
        <v/>
      </c>
      <c r="R51" s="60" t="str">
        <f>IF(AND('Riesgos de Gestión'!$AF$45="Muy Baja",'Riesgos de Gestión'!$AH$45="Menor"),CONCATENATE("R6C",'Riesgos de Gestión'!$V$45),"")</f>
        <v/>
      </c>
      <c r="S51" s="60" t="str">
        <f>IF(AND('Riesgos de Gestión'!$AF$46="Muy Baja",'Riesgos de Gestión'!$AH$46="Menor"),CONCATENATE("R6C",'Riesgos de Gestión'!$V$46),"")</f>
        <v/>
      </c>
      <c r="T51" s="60" t="str">
        <f>IF(AND('Riesgos de Gestión'!$AF$47="Muy Baja",'Riesgos de Gestión'!$AH$47="Menor"),CONCATENATE("R6C",'Riesgos de Gestión'!$V$47),"")</f>
        <v/>
      </c>
      <c r="U51" s="61" t="str">
        <f>IF(AND('Riesgos de Gestión'!$AF$48="Muy Baja",'Riesgos de Gestión'!$AH$48="Menor"),CONCATENATE("R6C",'Riesgos de Gestión'!$V$48),"")</f>
        <v/>
      </c>
      <c r="V51" s="50" t="str">
        <f>IF(AND('Riesgos de Gestión'!$AF$43="Muy Baja",'Riesgos de Gestión'!$AH$43="Moderado"),CONCATENATE("R6C",'Riesgos de Gestión'!$V$43),"")</f>
        <v/>
      </c>
      <c r="W51" s="51" t="str">
        <f>IF(AND('Riesgos de Gestión'!$AF$44="Muy Baja",'Riesgos de Gestión'!$AH$44="Moderado"),CONCATENATE("R6C",'Riesgos de Gestión'!$V$44),"")</f>
        <v/>
      </c>
      <c r="X51" s="51" t="str">
        <f>IF(AND('Riesgos de Gestión'!$AF$45="Muy Baja",'Riesgos de Gestión'!$AH$45="Moderado"),CONCATENATE("R6C",'Riesgos de Gestión'!$V$45),"")</f>
        <v/>
      </c>
      <c r="Y51" s="51" t="str">
        <f>IF(AND('Riesgos de Gestión'!$AF$46="Muy Baja",'Riesgos de Gestión'!$AH$46="Moderado"),CONCATENATE("R6C",'Riesgos de Gestión'!$V$46),"")</f>
        <v/>
      </c>
      <c r="Z51" s="51" t="str">
        <f>IF(AND('Riesgos de Gestión'!$AF$47="Muy Baja",'Riesgos de Gestión'!$AH$47="Moderado"),CONCATENATE("R6C",'Riesgos de Gestión'!$V$47),"")</f>
        <v/>
      </c>
      <c r="AA51" s="52" t="str">
        <f>IF(AND('Riesgos de Gestión'!$AF$48="Muy Baja",'Riesgos de Gestión'!$AH$48="Moderado"),CONCATENATE("R6C",'Riesgos de Gestión'!$V$48),"")</f>
        <v/>
      </c>
      <c r="AB51" s="35" t="str">
        <f>IF(AND('Riesgos de Gestión'!$AF$43="Muy Baja",'Riesgos de Gestión'!$AH$43="Mayor"),CONCATENATE("R6C",'Riesgos de Gestión'!$V$43),"")</f>
        <v/>
      </c>
      <c r="AC51" s="36" t="str">
        <f>IF(AND('Riesgos de Gestión'!$AF$44="Muy Baja",'Riesgos de Gestión'!$AH$44="Mayor"),CONCATENATE("R6C",'Riesgos de Gestión'!$V$44),"")</f>
        <v/>
      </c>
      <c r="AD51" s="36" t="str">
        <f>IF(AND('Riesgos de Gestión'!$AF$45="Muy Baja",'Riesgos de Gestión'!$AH$45="Mayor"),CONCATENATE("R6C",'Riesgos de Gestión'!$V$45),"")</f>
        <v/>
      </c>
      <c r="AE51" s="36" t="str">
        <f>IF(AND('Riesgos de Gestión'!$AF$46="Muy Baja",'Riesgos de Gestión'!$AH$46="Mayor"),CONCATENATE("R6C",'Riesgos de Gestión'!$V$46),"")</f>
        <v/>
      </c>
      <c r="AF51" s="36" t="str">
        <f>IF(AND('Riesgos de Gestión'!$AF$47="Muy Baja",'Riesgos de Gestión'!$AH$47="Mayor"),CONCATENATE("R6C",'Riesgos de Gestión'!$V$47),"")</f>
        <v/>
      </c>
      <c r="AG51" s="37" t="str">
        <f>IF(AND('Riesgos de Gestión'!$AF$48="Muy Baja",'Riesgos de Gestión'!$AH$48="Mayor"),CONCATENATE("R6C",'Riesgos de Gestión'!$V$48),"")</f>
        <v/>
      </c>
      <c r="AH51" s="38" t="str">
        <f>IF(AND('Riesgos de Gestión'!$AF$43="Muy Baja",'Riesgos de Gestión'!$AH$43="Catastrófico"),CONCATENATE("R6C",'Riesgos de Gestión'!$V$43),"")</f>
        <v/>
      </c>
      <c r="AI51" s="39" t="str">
        <f>IF(AND('Riesgos de Gestión'!$AF$44="Muy Baja",'Riesgos de Gestión'!$AH$44="Catastrófico"),CONCATENATE("R6C",'Riesgos de Gestión'!$V$44),"")</f>
        <v/>
      </c>
      <c r="AJ51" s="39" t="str">
        <f>IF(AND('Riesgos de Gestión'!$AF$45="Muy Baja",'Riesgos de Gestión'!$AH$45="Catastrófico"),CONCATENATE("R6C",'Riesgos de Gestión'!$V$45),"")</f>
        <v/>
      </c>
      <c r="AK51" s="39" t="str">
        <f>IF(AND('Riesgos de Gestión'!$AF$46="Muy Baja",'Riesgos de Gestión'!$AH$46="Catastrófico"),CONCATENATE("R6C",'Riesgos de Gestión'!$V$46),"")</f>
        <v/>
      </c>
      <c r="AL51" s="39" t="str">
        <f>IF(AND('Riesgos de Gestión'!$AF$47="Muy Baja",'Riesgos de Gestión'!$AH$47="Catastrófico"),CONCATENATE("R6C",'Riesgos de Gestión'!$V$47),"")</f>
        <v/>
      </c>
      <c r="AM51" s="40" t="str">
        <f>IF(AND('Riesgos de Gestión'!$AF$48="Muy Baja",'Riesgos de Gestión'!$AH$48="Catastrófico"),CONCATENATE("R6C",'Riesgos de Gestión'!$V$48),"")</f>
        <v/>
      </c>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row>
    <row r="52" spans="1:80" ht="15" customHeight="1" x14ac:dyDescent="0.2">
      <c r="A52" s="66"/>
      <c r="B52" s="487"/>
      <c r="C52" s="487"/>
      <c r="D52" s="488"/>
      <c r="E52" s="528"/>
      <c r="F52" s="529"/>
      <c r="G52" s="529"/>
      <c r="H52" s="529"/>
      <c r="I52" s="530"/>
      <c r="J52" s="59" t="str">
        <f>IF(AND('Riesgos de Gestión'!$AF$49="Muy Baja",'Riesgos de Gestión'!$AH$49="Leve"),CONCATENATE("R7C",'Riesgos de Gestión'!$V$49),"")</f>
        <v/>
      </c>
      <c r="K52" s="60" t="str">
        <f>IF(AND('Riesgos de Gestión'!$AF$50="Muy Baja",'Riesgos de Gestión'!$AH$50="Leve"),CONCATENATE("R7C",'Riesgos de Gestión'!$V$50),"")</f>
        <v/>
      </c>
      <c r="L52" s="60" t="str">
        <f>IF(AND('Riesgos de Gestión'!$AF$51="Muy Baja",'Riesgos de Gestión'!$AH$51="Leve"),CONCATENATE("R7C",'Riesgos de Gestión'!$V$51),"")</f>
        <v/>
      </c>
      <c r="M52" s="60" t="str">
        <f>IF(AND('Riesgos de Gestión'!$AF$52="Muy Baja",'Riesgos de Gestión'!$AH$52="Leve"),CONCATENATE("R7C",'Riesgos de Gestión'!$V$52),"")</f>
        <v/>
      </c>
      <c r="N52" s="60" t="str">
        <f>IF(AND('Riesgos de Gestión'!$AF$53="Muy Baja",'Riesgos de Gestión'!$AH$53="Leve"),CONCATENATE("R7C",'Riesgos de Gestión'!$V$53),"")</f>
        <v/>
      </c>
      <c r="O52" s="61" t="str">
        <f>IF(AND('Riesgos de Gestión'!$AF$54="Muy Baja",'Riesgos de Gestión'!$AH$54="Leve"),CONCATENATE("R7C",'Riesgos de Gestión'!$V$54),"")</f>
        <v/>
      </c>
      <c r="P52" s="59" t="str">
        <f>IF(AND('Riesgos de Gestión'!$AF$49="Muy Baja",'Riesgos de Gestión'!$AH$49="Menor"),CONCATENATE("R7C",'Riesgos de Gestión'!$V$49),"")</f>
        <v/>
      </c>
      <c r="Q52" s="60" t="str">
        <f>IF(AND('Riesgos de Gestión'!$AF$50="Muy Baja",'Riesgos de Gestión'!$AH$50="Menor"),CONCATENATE("R7C",'Riesgos de Gestión'!$V$50),"")</f>
        <v/>
      </c>
      <c r="R52" s="60" t="str">
        <f>IF(AND('Riesgos de Gestión'!$AF$51="Muy Baja",'Riesgos de Gestión'!$AH$51="Menor"),CONCATENATE("R7C",'Riesgos de Gestión'!$V$51),"")</f>
        <v/>
      </c>
      <c r="S52" s="60" t="str">
        <f>IF(AND('Riesgos de Gestión'!$AF$52="Muy Baja",'Riesgos de Gestión'!$AH$52="Menor"),CONCATENATE("R7C",'Riesgos de Gestión'!$V$52),"")</f>
        <v/>
      </c>
      <c r="T52" s="60" t="str">
        <f>IF(AND('Riesgos de Gestión'!$AF$53="Muy Baja",'Riesgos de Gestión'!$AH$53="Menor"),CONCATENATE("R7C",'Riesgos de Gestión'!$V$53),"")</f>
        <v/>
      </c>
      <c r="U52" s="61" t="str">
        <f>IF(AND('Riesgos de Gestión'!$AF$54="Muy Baja",'Riesgos de Gestión'!$AH$54="Menor"),CONCATENATE("R7C",'Riesgos de Gestión'!$V$54),"")</f>
        <v/>
      </c>
      <c r="V52" s="50" t="str">
        <f>IF(AND('Riesgos de Gestión'!$AF$49="Muy Baja",'Riesgos de Gestión'!$AH$49="Moderado"),CONCATENATE("R7C",'Riesgos de Gestión'!$V$49),"")</f>
        <v/>
      </c>
      <c r="W52" s="51" t="str">
        <f>IF(AND('Riesgos de Gestión'!$AF$50="Muy Baja",'Riesgos de Gestión'!$AH$50="Moderado"),CONCATENATE("R7C",'Riesgos de Gestión'!$V$50),"")</f>
        <v/>
      </c>
      <c r="X52" s="51" t="str">
        <f>IF(AND('Riesgos de Gestión'!$AF$51="Muy Baja",'Riesgos de Gestión'!$AH$51="Moderado"),CONCATENATE("R7C",'Riesgos de Gestión'!$V$51),"")</f>
        <v/>
      </c>
      <c r="Y52" s="51" t="str">
        <f>IF(AND('Riesgos de Gestión'!$AF$52="Muy Baja",'Riesgos de Gestión'!$AH$52="Moderado"),CONCATENATE("R7C",'Riesgos de Gestión'!$V$52),"")</f>
        <v/>
      </c>
      <c r="Z52" s="51" t="str">
        <f>IF(AND('Riesgos de Gestión'!$AF$53="Muy Baja",'Riesgos de Gestión'!$AH$53="Moderado"),CONCATENATE("R7C",'Riesgos de Gestión'!$V$53),"")</f>
        <v/>
      </c>
      <c r="AA52" s="52" t="str">
        <f>IF(AND('Riesgos de Gestión'!$AF$54="Muy Baja",'Riesgos de Gestión'!$AH$54="Moderado"),CONCATENATE("R7C",'Riesgos de Gestión'!$V$54),"")</f>
        <v/>
      </c>
      <c r="AB52" s="35" t="str">
        <f>IF(AND('Riesgos de Gestión'!$AF$49="Muy Baja",'Riesgos de Gestión'!$AH$49="Mayor"),CONCATENATE("R7C",'Riesgos de Gestión'!$V$49),"")</f>
        <v/>
      </c>
      <c r="AC52" s="36" t="str">
        <f>IF(AND('Riesgos de Gestión'!$AF$50="Muy Baja",'Riesgos de Gestión'!$AH$50="Mayor"),CONCATENATE("R7C",'Riesgos de Gestión'!$V$50),"")</f>
        <v/>
      </c>
      <c r="AD52" s="36" t="str">
        <f>IF(AND('Riesgos de Gestión'!$AF$51="Muy Baja",'Riesgos de Gestión'!$AH$51="Mayor"),CONCATENATE("R7C",'Riesgos de Gestión'!$V$51),"")</f>
        <v/>
      </c>
      <c r="AE52" s="36" t="str">
        <f>IF(AND('Riesgos de Gestión'!$AF$52="Muy Baja",'Riesgos de Gestión'!$AH$52="Mayor"),CONCATENATE("R7C",'Riesgos de Gestión'!$V$52),"")</f>
        <v/>
      </c>
      <c r="AF52" s="36" t="str">
        <f>IF(AND('Riesgos de Gestión'!$AF$53="Muy Baja",'Riesgos de Gestión'!$AH$53="Mayor"),CONCATENATE("R7C",'Riesgos de Gestión'!$V$53),"")</f>
        <v/>
      </c>
      <c r="AG52" s="37" t="str">
        <f>IF(AND('Riesgos de Gestión'!$AF$54="Muy Baja",'Riesgos de Gestión'!$AH$54="Mayor"),CONCATENATE("R7C",'Riesgos de Gestión'!$V$54),"")</f>
        <v/>
      </c>
      <c r="AH52" s="38" t="str">
        <f>IF(AND('Riesgos de Gestión'!$AF$49="Muy Baja",'Riesgos de Gestión'!$AH$49="Catastrófico"),CONCATENATE("R7C",'Riesgos de Gestión'!$V$49),"")</f>
        <v/>
      </c>
      <c r="AI52" s="39" t="str">
        <f>IF(AND('Riesgos de Gestión'!$AF$50="Muy Baja",'Riesgos de Gestión'!$AH$50="Catastrófico"),CONCATENATE("R7C",'Riesgos de Gestión'!$V$50),"")</f>
        <v/>
      </c>
      <c r="AJ52" s="39" t="str">
        <f>IF(AND('Riesgos de Gestión'!$AF$51="Muy Baja",'Riesgos de Gestión'!$AH$51="Catastrófico"),CONCATENATE("R7C",'Riesgos de Gestión'!$V$51),"")</f>
        <v/>
      </c>
      <c r="AK52" s="39" t="str">
        <f>IF(AND('Riesgos de Gestión'!$AF$52="Muy Baja",'Riesgos de Gestión'!$AH$52="Catastrófico"),CONCATENATE("R7C",'Riesgos de Gestión'!$V$52),"")</f>
        <v/>
      </c>
      <c r="AL52" s="39" t="str">
        <f>IF(AND('Riesgos de Gestión'!$AF$53="Muy Baja",'Riesgos de Gestión'!$AH$53="Catastrófico"),CONCATENATE("R7C",'Riesgos de Gestión'!$V$53),"")</f>
        <v/>
      </c>
      <c r="AM52" s="40" t="str">
        <f>IF(AND('Riesgos de Gestión'!$AF$54="Muy Baja",'Riesgos de Gestión'!$AH$54="Catastrófico"),CONCATENATE("R7C",'Riesgos de Gestión'!$V$54),"")</f>
        <v/>
      </c>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row>
    <row r="53" spans="1:80" ht="15" customHeight="1" x14ac:dyDescent="0.2">
      <c r="A53" s="66"/>
      <c r="B53" s="487"/>
      <c r="C53" s="487"/>
      <c r="D53" s="488"/>
      <c r="E53" s="528"/>
      <c r="F53" s="529"/>
      <c r="G53" s="529"/>
      <c r="H53" s="529"/>
      <c r="I53" s="530"/>
      <c r="J53" s="59" t="str">
        <f>IF(AND('Riesgos de Gestión'!$AF$55="Muy Baja",'Riesgos de Gestión'!$AH$55="Leve"),CONCATENATE("R8C",'Riesgos de Gestión'!$V$55),"")</f>
        <v/>
      </c>
      <c r="K53" s="60" t="str">
        <f>IF(AND('Riesgos de Gestión'!$AF$56="Muy Baja",'Riesgos de Gestión'!$AH$56="Leve"),CONCATENATE("R8C",'Riesgos de Gestión'!$V$56),"")</f>
        <v/>
      </c>
      <c r="L53" s="60" t="str">
        <f>IF(AND('Riesgos de Gestión'!$AF$57="Muy Baja",'Riesgos de Gestión'!$AH$57="Leve"),CONCATENATE("R8C",'Riesgos de Gestión'!$V$57),"")</f>
        <v/>
      </c>
      <c r="M53" s="60" t="str">
        <f>IF(AND('Riesgos de Gestión'!$AF$58="Muy Baja",'Riesgos de Gestión'!$AH$58="Leve"),CONCATENATE("R8C",'Riesgos de Gestión'!$V$58),"")</f>
        <v/>
      </c>
      <c r="N53" s="60" t="str">
        <f>IF(AND('Riesgos de Gestión'!$AF$59="Muy Baja",'Riesgos de Gestión'!$AH$59="Leve"),CONCATENATE("R8C",'Riesgos de Gestión'!$V$59),"")</f>
        <v/>
      </c>
      <c r="O53" s="61" t="str">
        <f>IF(AND('Riesgos de Gestión'!$AF$60="Muy Baja",'Riesgos de Gestión'!$AH$60="Leve"),CONCATENATE("R8C",'Riesgos de Gestión'!$V$60),"")</f>
        <v/>
      </c>
      <c r="P53" s="59" t="str">
        <f>IF(AND('Riesgos de Gestión'!$AF$55="Muy Baja",'Riesgos de Gestión'!$AH$55="Menor"),CONCATENATE("R8C",'Riesgos de Gestión'!$V$55),"")</f>
        <v/>
      </c>
      <c r="Q53" s="60" t="str">
        <f>IF(AND('Riesgos de Gestión'!$AF$56="Muy Baja",'Riesgos de Gestión'!$AH$56="Menor"),CONCATENATE("R8C",'Riesgos de Gestión'!$V$56),"")</f>
        <v/>
      </c>
      <c r="R53" s="60" t="str">
        <f>IF(AND('Riesgos de Gestión'!$AF$57="Muy Baja",'Riesgos de Gestión'!$AH$57="Menor"),CONCATENATE("R8C",'Riesgos de Gestión'!$V$57),"")</f>
        <v/>
      </c>
      <c r="S53" s="60" t="str">
        <f>IF(AND('Riesgos de Gestión'!$AF$58="Muy Baja",'Riesgos de Gestión'!$AH$58="Menor"),CONCATENATE("R8C",'Riesgos de Gestión'!$V$58),"")</f>
        <v/>
      </c>
      <c r="T53" s="60" t="str">
        <f>IF(AND('Riesgos de Gestión'!$AF$59="Muy Baja",'Riesgos de Gestión'!$AH$59="Menor"),CONCATENATE("R8C",'Riesgos de Gestión'!$V$59),"")</f>
        <v/>
      </c>
      <c r="U53" s="61" t="str">
        <f>IF(AND('Riesgos de Gestión'!$AF$60="Muy Baja",'Riesgos de Gestión'!$AH$60="Menor"),CONCATENATE("R8C",'Riesgos de Gestión'!$V$60),"")</f>
        <v/>
      </c>
      <c r="V53" s="50" t="str">
        <f>IF(AND('Riesgos de Gestión'!$AF$55="Muy Baja",'Riesgos de Gestión'!$AH$55="Moderado"),CONCATENATE("R8C",'Riesgos de Gestión'!$V$55),"")</f>
        <v/>
      </c>
      <c r="W53" s="51" t="str">
        <f>IF(AND('Riesgos de Gestión'!$AF$56="Muy Baja",'Riesgos de Gestión'!$AH$56="Moderado"),CONCATENATE("R8C",'Riesgos de Gestión'!$V$56),"")</f>
        <v/>
      </c>
      <c r="X53" s="51" t="str">
        <f>IF(AND('Riesgos de Gestión'!$AF$57="Muy Baja",'Riesgos de Gestión'!$AH$57="Moderado"),CONCATENATE("R8C",'Riesgos de Gestión'!$V$57),"")</f>
        <v/>
      </c>
      <c r="Y53" s="51" t="str">
        <f>IF(AND('Riesgos de Gestión'!$AF$58="Muy Baja",'Riesgos de Gestión'!$AH$58="Moderado"),CONCATENATE("R8C",'Riesgos de Gestión'!$V$58),"")</f>
        <v/>
      </c>
      <c r="Z53" s="51" t="str">
        <f>IF(AND('Riesgos de Gestión'!$AF$59="Muy Baja",'Riesgos de Gestión'!$AH$59="Moderado"),CONCATENATE("R8C",'Riesgos de Gestión'!$V$59),"")</f>
        <v/>
      </c>
      <c r="AA53" s="52" t="str">
        <f>IF(AND('Riesgos de Gestión'!$AF$60="Muy Baja",'Riesgos de Gestión'!$AH$60="Moderado"),CONCATENATE("R8C",'Riesgos de Gestión'!$V$60),"")</f>
        <v/>
      </c>
      <c r="AB53" s="35" t="str">
        <f>IF(AND('Riesgos de Gestión'!$AF$55="Muy Baja",'Riesgos de Gestión'!$AH$55="Mayor"),CONCATENATE("R8C",'Riesgos de Gestión'!$V$55),"")</f>
        <v/>
      </c>
      <c r="AC53" s="36" t="str">
        <f>IF(AND('Riesgos de Gestión'!$AF$56="Muy Baja",'Riesgos de Gestión'!$AH$56="Mayor"),CONCATENATE("R8C",'Riesgos de Gestión'!$V$56),"")</f>
        <v/>
      </c>
      <c r="AD53" s="36" t="str">
        <f>IF(AND('Riesgos de Gestión'!$AF$57="Muy Baja",'Riesgos de Gestión'!$AH$57="Mayor"),CONCATENATE("R8C",'Riesgos de Gestión'!$V$57),"")</f>
        <v/>
      </c>
      <c r="AE53" s="36" t="str">
        <f>IF(AND('Riesgos de Gestión'!$AF$58="Muy Baja",'Riesgos de Gestión'!$AH$58="Mayor"),CONCATENATE("R8C",'Riesgos de Gestión'!$V$58),"")</f>
        <v/>
      </c>
      <c r="AF53" s="36" t="str">
        <f>IF(AND('Riesgos de Gestión'!$AF$59="Muy Baja",'Riesgos de Gestión'!$AH$59="Mayor"),CONCATENATE("R8C",'Riesgos de Gestión'!$V$59),"")</f>
        <v/>
      </c>
      <c r="AG53" s="37" t="str">
        <f>IF(AND('Riesgos de Gestión'!$AF$60="Muy Baja",'Riesgos de Gestión'!$AH$60="Mayor"),CONCATENATE("R8C",'Riesgos de Gestión'!$V$60),"")</f>
        <v/>
      </c>
      <c r="AH53" s="38" t="str">
        <f>IF(AND('Riesgos de Gestión'!$AF$55="Muy Baja",'Riesgos de Gestión'!$AH$55="Catastrófico"),CONCATENATE("R8C",'Riesgos de Gestión'!$V$55),"")</f>
        <v/>
      </c>
      <c r="AI53" s="39" t="str">
        <f>IF(AND('Riesgos de Gestión'!$AF$56="Muy Baja",'Riesgos de Gestión'!$AH$56="Catastrófico"),CONCATENATE("R8C",'Riesgos de Gestión'!$V$56),"")</f>
        <v/>
      </c>
      <c r="AJ53" s="39" t="str">
        <f>IF(AND('Riesgos de Gestión'!$AF$57="Muy Baja",'Riesgos de Gestión'!$AH$57="Catastrófico"),CONCATENATE("R8C",'Riesgos de Gestión'!$V$57),"")</f>
        <v/>
      </c>
      <c r="AK53" s="39" t="str">
        <f>IF(AND('Riesgos de Gestión'!$AF$58="Muy Baja",'Riesgos de Gestión'!$AH$58="Catastrófico"),CONCATENATE("R8C",'Riesgos de Gestión'!$V$58),"")</f>
        <v/>
      </c>
      <c r="AL53" s="39" t="str">
        <f>IF(AND('Riesgos de Gestión'!$AF$59="Muy Baja",'Riesgos de Gestión'!$AH$59="Catastrófico"),CONCATENATE("R8C",'Riesgos de Gestión'!$V$59),"")</f>
        <v/>
      </c>
      <c r="AM53" s="40" t="str">
        <f>IF(AND('Riesgos de Gestión'!$AF$60="Muy Baja",'Riesgos de Gestión'!$AH$60="Catastrófico"),CONCATENATE("R8C",'Riesgos de Gestión'!$V$60),"")</f>
        <v/>
      </c>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row>
    <row r="54" spans="1:80" ht="15" customHeight="1" x14ac:dyDescent="0.2">
      <c r="A54" s="66"/>
      <c r="B54" s="487"/>
      <c r="C54" s="487"/>
      <c r="D54" s="488"/>
      <c r="E54" s="528"/>
      <c r="F54" s="529"/>
      <c r="G54" s="529"/>
      <c r="H54" s="529"/>
      <c r="I54" s="530"/>
      <c r="J54" s="59" t="str">
        <f>IF(AND('Riesgos de Gestión'!$AF$61="Muy Baja",'Riesgos de Gestión'!$AH$61="Leve"),CONCATENATE("R9C",'Riesgos de Gestión'!$V$61),"")</f>
        <v/>
      </c>
      <c r="K54" s="60" t="str">
        <f>IF(AND('Riesgos de Gestión'!$AF$62="Muy Baja",'Riesgos de Gestión'!$AH$62="Leve"),CONCATENATE("R9C",'Riesgos de Gestión'!$V$62),"")</f>
        <v/>
      </c>
      <c r="L54" s="60" t="str">
        <f>IF(AND('Riesgos de Gestión'!$AF$63="Muy Baja",'Riesgos de Gestión'!$AH$63="Leve"),CONCATENATE("R9C",'Riesgos de Gestión'!$V$63),"")</f>
        <v/>
      </c>
      <c r="M54" s="60" t="str">
        <f>IF(AND('Riesgos de Gestión'!$AF$64="Muy Baja",'Riesgos de Gestión'!$AH$64="Leve"),CONCATENATE("R9C",'Riesgos de Gestión'!$V$64),"")</f>
        <v/>
      </c>
      <c r="N54" s="60" t="str">
        <f>IF(AND('Riesgos de Gestión'!$AF$65="Muy Baja",'Riesgos de Gestión'!$AH$65="Leve"),CONCATENATE("R9C",'Riesgos de Gestión'!$V$65),"")</f>
        <v/>
      </c>
      <c r="O54" s="61" t="str">
        <f>IF(AND('Riesgos de Gestión'!$AF$66="Muy Baja",'Riesgos de Gestión'!$AH$66="Leve"),CONCATENATE("R9C",'Riesgos de Gestión'!$V$66),"")</f>
        <v/>
      </c>
      <c r="P54" s="59" t="str">
        <f>IF(AND('Riesgos de Gestión'!$AF$61="Muy Baja",'Riesgos de Gestión'!$AH$61="Menor"),CONCATENATE("R9C",'Riesgos de Gestión'!$V$61),"")</f>
        <v/>
      </c>
      <c r="Q54" s="60" t="str">
        <f>IF(AND('Riesgos de Gestión'!$AF$62="Muy Baja",'Riesgos de Gestión'!$AH$62="Menor"),CONCATENATE("R9C",'Riesgos de Gestión'!$V$62),"")</f>
        <v/>
      </c>
      <c r="R54" s="60" t="str">
        <f>IF(AND('Riesgos de Gestión'!$AF$63="Muy Baja",'Riesgos de Gestión'!$AH$63="Menor"),CONCATENATE("R9C",'Riesgos de Gestión'!$V$63),"")</f>
        <v/>
      </c>
      <c r="S54" s="60" t="str">
        <f>IF(AND('Riesgos de Gestión'!$AF$64="Muy Baja",'Riesgos de Gestión'!$AH$64="Menor"),CONCATENATE("R9C",'Riesgos de Gestión'!$V$64),"")</f>
        <v/>
      </c>
      <c r="T54" s="60" t="str">
        <f>IF(AND('Riesgos de Gestión'!$AF$65="Muy Baja",'Riesgos de Gestión'!$AH$65="Menor"),CONCATENATE("R9C",'Riesgos de Gestión'!$V$65),"")</f>
        <v/>
      </c>
      <c r="U54" s="61" t="str">
        <f>IF(AND('Riesgos de Gestión'!$AF$66="Muy Baja",'Riesgos de Gestión'!$AH$66="Menor"),CONCATENATE("R9C",'Riesgos de Gestión'!$V$66),"")</f>
        <v/>
      </c>
      <c r="V54" s="50" t="str">
        <f>IF(AND('Riesgos de Gestión'!$AF$61="Muy Baja",'Riesgos de Gestión'!$AH$61="Moderado"),CONCATENATE("R9C",'Riesgos de Gestión'!$V$61),"")</f>
        <v/>
      </c>
      <c r="W54" s="51" t="str">
        <f>IF(AND('Riesgos de Gestión'!$AF$62="Muy Baja",'Riesgos de Gestión'!$AH$62="Moderado"),CONCATENATE("R9C",'Riesgos de Gestión'!$V$62),"")</f>
        <v/>
      </c>
      <c r="X54" s="51" t="str">
        <f>IF(AND('Riesgos de Gestión'!$AF$63="Muy Baja",'Riesgos de Gestión'!$AH$63="Moderado"),CONCATENATE("R9C",'Riesgos de Gestión'!$V$63),"")</f>
        <v/>
      </c>
      <c r="Y54" s="51" t="str">
        <f>IF(AND('Riesgos de Gestión'!$AF$64="Muy Baja",'Riesgos de Gestión'!$AH$64="Moderado"),CONCATENATE("R9C",'Riesgos de Gestión'!$V$64),"")</f>
        <v/>
      </c>
      <c r="Z54" s="51" t="str">
        <f>IF(AND('Riesgos de Gestión'!$AF$65="Muy Baja",'Riesgos de Gestión'!$AH$65="Moderado"),CONCATENATE("R9C",'Riesgos de Gestión'!$V$65),"")</f>
        <v/>
      </c>
      <c r="AA54" s="52" t="str">
        <f>IF(AND('Riesgos de Gestión'!$AF$66="Muy Baja",'Riesgos de Gestión'!$AH$66="Moderado"),CONCATENATE("R9C",'Riesgos de Gestión'!$V$66),"")</f>
        <v/>
      </c>
      <c r="AB54" s="35" t="str">
        <f>IF(AND('Riesgos de Gestión'!$AF$61="Muy Baja",'Riesgos de Gestión'!$AH$61="Mayor"),CONCATENATE("R9C",'Riesgos de Gestión'!$V$61),"")</f>
        <v/>
      </c>
      <c r="AC54" s="36" t="str">
        <f>IF(AND('Riesgos de Gestión'!$AF$62="Muy Baja",'Riesgos de Gestión'!$AH$62="Mayor"),CONCATENATE("R9C",'Riesgos de Gestión'!$V$62),"")</f>
        <v/>
      </c>
      <c r="AD54" s="36" t="str">
        <f>IF(AND('Riesgos de Gestión'!$AF$63="Muy Baja",'Riesgos de Gestión'!$AH$63="Mayor"),CONCATENATE("R9C",'Riesgos de Gestión'!$V$63),"")</f>
        <v/>
      </c>
      <c r="AE54" s="36" t="str">
        <f>IF(AND('Riesgos de Gestión'!$AF$64="Muy Baja",'Riesgos de Gestión'!$AH$64="Mayor"),CONCATENATE("R9C",'Riesgos de Gestión'!$V$64),"")</f>
        <v/>
      </c>
      <c r="AF54" s="36" t="str">
        <f>IF(AND('Riesgos de Gestión'!$AF$65="Muy Baja",'Riesgos de Gestión'!$AH$65="Mayor"),CONCATENATE("R9C",'Riesgos de Gestión'!$V$65),"")</f>
        <v/>
      </c>
      <c r="AG54" s="37" t="str">
        <f>IF(AND('Riesgos de Gestión'!$AF$66="Muy Baja",'Riesgos de Gestión'!$AH$66="Mayor"),CONCATENATE("R9C",'Riesgos de Gestión'!$V$66),"")</f>
        <v/>
      </c>
      <c r="AH54" s="38" t="str">
        <f>IF(AND('Riesgos de Gestión'!$AF$61="Muy Baja",'Riesgos de Gestión'!$AH$61="Catastrófico"),CONCATENATE("R9C",'Riesgos de Gestión'!$V$61),"")</f>
        <v/>
      </c>
      <c r="AI54" s="39" t="str">
        <f>IF(AND('Riesgos de Gestión'!$AF$62="Muy Baja",'Riesgos de Gestión'!$AH$62="Catastrófico"),CONCATENATE("R9C",'Riesgos de Gestión'!$V$62),"")</f>
        <v/>
      </c>
      <c r="AJ54" s="39" t="str">
        <f>IF(AND('Riesgos de Gestión'!$AF$63="Muy Baja",'Riesgos de Gestión'!$AH$63="Catastrófico"),CONCATENATE("R9C",'Riesgos de Gestión'!$V$63),"")</f>
        <v/>
      </c>
      <c r="AK54" s="39" t="str">
        <f>IF(AND('Riesgos de Gestión'!$AF$64="Muy Baja",'Riesgos de Gestión'!$AH$64="Catastrófico"),CONCATENATE("R9C",'Riesgos de Gestión'!$V$64),"")</f>
        <v/>
      </c>
      <c r="AL54" s="39" t="str">
        <f>IF(AND('Riesgos de Gestión'!$AF$65="Muy Baja",'Riesgos de Gestión'!$AH$65="Catastrófico"),CONCATENATE("R9C",'Riesgos de Gestión'!$V$65),"")</f>
        <v/>
      </c>
      <c r="AM54" s="40" t="str">
        <f>IF(AND('Riesgos de Gestión'!$AF$66="Muy Baja",'Riesgos de Gestión'!$AH$66="Catastrófico"),CONCATENATE("R9C",'Riesgos de Gestión'!$V$66),"")</f>
        <v/>
      </c>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row>
    <row r="55" spans="1:80" ht="15.75" customHeight="1" thickBot="1" x14ac:dyDescent="0.25">
      <c r="A55" s="66"/>
      <c r="B55" s="487"/>
      <c r="C55" s="487"/>
      <c r="D55" s="488"/>
      <c r="E55" s="531"/>
      <c r="F55" s="532"/>
      <c r="G55" s="532"/>
      <c r="H55" s="532"/>
      <c r="I55" s="533"/>
      <c r="J55" s="62" t="str">
        <f>IF(AND('Riesgos de Gestión'!$AF$67="Muy Baja",'Riesgos de Gestión'!$AH$67="Leve"),CONCATENATE("R10C",'Riesgos de Gestión'!$V$67),"")</f>
        <v/>
      </c>
      <c r="K55" s="63" t="str">
        <f>IF(AND('Riesgos de Gestión'!$AF$68="Muy Baja",'Riesgos de Gestión'!$AH$68="Leve"),CONCATENATE("R10C",'Riesgos de Gestión'!$V$68),"")</f>
        <v/>
      </c>
      <c r="L55" s="63" t="str">
        <f>IF(AND('Riesgos de Gestión'!$AF$69="Muy Baja",'Riesgos de Gestión'!$AH$69="Leve"),CONCATENATE("R10C",'Riesgos de Gestión'!$V$69),"")</f>
        <v/>
      </c>
      <c r="M55" s="63" t="str">
        <f>IF(AND('Riesgos de Gestión'!$AF$70="Muy Baja",'Riesgos de Gestión'!$AH$70="Leve"),CONCATENATE("R10C",'Riesgos de Gestión'!$V$70),"")</f>
        <v/>
      </c>
      <c r="N55" s="63" t="str">
        <f>IF(AND('Riesgos de Gestión'!$AF$71="Muy Baja",'Riesgos de Gestión'!$AH$71="Leve"),CONCATENATE("R10C",'Riesgos de Gestión'!$V$71),"")</f>
        <v/>
      </c>
      <c r="O55" s="64" t="str">
        <f>IF(AND('Riesgos de Gestión'!$AF$72="Muy Baja",'Riesgos de Gestión'!$AH$72="Leve"),CONCATENATE("R10C",'Riesgos de Gestión'!$V$72),"")</f>
        <v/>
      </c>
      <c r="P55" s="62" t="str">
        <f>IF(AND('Riesgos de Gestión'!$AF$67="Muy Baja",'Riesgos de Gestión'!$AH$67="Menor"),CONCATENATE("R10C",'Riesgos de Gestión'!$V$67),"")</f>
        <v/>
      </c>
      <c r="Q55" s="63" t="str">
        <f>IF(AND('Riesgos de Gestión'!$AF$68="Muy Baja",'Riesgos de Gestión'!$AH$68="Menor"),CONCATENATE("R10C",'Riesgos de Gestión'!$V$68),"")</f>
        <v/>
      </c>
      <c r="R55" s="63" t="str">
        <f>IF(AND('Riesgos de Gestión'!$AF$69="Muy Baja",'Riesgos de Gestión'!$AH$69="Menor"),CONCATENATE("R10C",'Riesgos de Gestión'!$V$69),"")</f>
        <v/>
      </c>
      <c r="S55" s="63" t="str">
        <f>IF(AND('Riesgos de Gestión'!$AF$70="Muy Baja",'Riesgos de Gestión'!$AH$70="Menor"),CONCATENATE("R10C",'Riesgos de Gestión'!$V$70),"")</f>
        <v/>
      </c>
      <c r="T55" s="63" t="str">
        <f>IF(AND('Riesgos de Gestión'!$AF$71="Muy Baja",'Riesgos de Gestión'!$AH$71="Menor"),CONCATENATE("R10C",'Riesgos de Gestión'!$V$71),"")</f>
        <v/>
      </c>
      <c r="U55" s="64" t="str">
        <f>IF(AND('Riesgos de Gestión'!$AF$72="Muy Baja",'Riesgos de Gestión'!$AH$72="Menor"),CONCATENATE("R10C",'Riesgos de Gestión'!$V$72),"")</f>
        <v/>
      </c>
      <c r="V55" s="53" t="str">
        <f>IF(AND('Riesgos de Gestión'!$AF$67="Muy Baja",'Riesgos de Gestión'!$AH$67="Moderado"),CONCATENATE("R10C",'Riesgos de Gestión'!$V$67),"")</f>
        <v/>
      </c>
      <c r="W55" s="54" t="str">
        <f>IF(AND('Riesgos de Gestión'!$AF$68="Muy Baja",'Riesgos de Gestión'!$AH$68="Moderado"),CONCATENATE("R10C",'Riesgos de Gestión'!$V$68),"")</f>
        <v/>
      </c>
      <c r="X55" s="54" t="str">
        <f>IF(AND('Riesgos de Gestión'!$AF$69="Muy Baja",'Riesgos de Gestión'!$AH$69="Moderado"),CONCATENATE("R10C",'Riesgos de Gestión'!$V$69),"")</f>
        <v/>
      </c>
      <c r="Y55" s="54" t="str">
        <f>IF(AND('Riesgos de Gestión'!$AF$70="Muy Baja",'Riesgos de Gestión'!$AH$70="Moderado"),CONCATENATE("R10C",'Riesgos de Gestión'!$V$70),"")</f>
        <v/>
      </c>
      <c r="Z55" s="54" t="str">
        <f>IF(AND('Riesgos de Gestión'!$AF$71="Muy Baja",'Riesgos de Gestión'!$AH$71="Moderado"),CONCATENATE("R10C",'Riesgos de Gestión'!$V$71),"")</f>
        <v/>
      </c>
      <c r="AA55" s="55" t="str">
        <f>IF(AND('Riesgos de Gestión'!$AF$72="Muy Baja",'Riesgos de Gestión'!$AH$72="Moderado"),CONCATENATE("R10C",'Riesgos de Gestión'!$V$72),"")</f>
        <v/>
      </c>
      <c r="AB55" s="41" t="str">
        <f>IF(AND('Riesgos de Gestión'!$AF$67="Muy Baja",'Riesgos de Gestión'!$AH$67="Mayor"),CONCATENATE("R10C",'Riesgos de Gestión'!$V$67),"")</f>
        <v/>
      </c>
      <c r="AC55" s="42" t="str">
        <f>IF(AND('Riesgos de Gestión'!$AF$68="Muy Baja",'Riesgos de Gestión'!$AH$68="Mayor"),CONCATENATE("R10C",'Riesgos de Gestión'!$V$68),"")</f>
        <v/>
      </c>
      <c r="AD55" s="42" t="str">
        <f>IF(AND('Riesgos de Gestión'!$AF$69="Muy Baja",'Riesgos de Gestión'!$AH$69="Mayor"),CONCATENATE("R10C",'Riesgos de Gestión'!$V$69),"")</f>
        <v/>
      </c>
      <c r="AE55" s="42" t="str">
        <f>IF(AND('Riesgos de Gestión'!$AF$70="Muy Baja",'Riesgos de Gestión'!$AH$70="Mayor"),CONCATENATE("R10C",'Riesgos de Gestión'!$V$70),"")</f>
        <v/>
      </c>
      <c r="AF55" s="42" t="str">
        <f>IF(AND('Riesgos de Gestión'!$AF$71="Muy Baja",'Riesgos de Gestión'!$AH$71="Mayor"),CONCATENATE("R10C",'Riesgos de Gestión'!$V$71),"")</f>
        <v/>
      </c>
      <c r="AG55" s="43" t="str">
        <f>IF(AND('Riesgos de Gestión'!$AF$72="Muy Baja",'Riesgos de Gestión'!$AH$72="Mayor"),CONCATENATE("R10C",'Riesgos de Gestión'!$V$72),"")</f>
        <v/>
      </c>
      <c r="AH55" s="44" t="str">
        <f>IF(AND('Riesgos de Gestión'!$AF$67="Muy Baja",'Riesgos de Gestión'!$AH$67="Catastrófico"),CONCATENATE("R10C",'Riesgos de Gestión'!$V$67),"")</f>
        <v/>
      </c>
      <c r="AI55" s="45" t="str">
        <f>IF(AND('Riesgos de Gestión'!$AF$68="Muy Baja",'Riesgos de Gestión'!$AH$68="Catastrófico"),CONCATENATE("R10C",'Riesgos de Gestión'!$V$68),"")</f>
        <v/>
      </c>
      <c r="AJ55" s="45" t="str">
        <f>IF(AND('Riesgos de Gestión'!$AF$69="Muy Baja",'Riesgos de Gestión'!$AH$69="Catastrófico"),CONCATENATE("R10C",'Riesgos de Gestión'!$V$69),"")</f>
        <v/>
      </c>
      <c r="AK55" s="45" t="str">
        <f>IF(AND('Riesgos de Gestión'!$AF$70="Muy Baja",'Riesgos de Gestión'!$AH$70="Catastrófico"),CONCATENATE("R10C",'Riesgos de Gestión'!$V$70),"")</f>
        <v/>
      </c>
      <c r="AL55" s="45" t="str">
        <f>IF(AND('Riesgos de Gestión'!$AF$71="Muy Baja",'Riesgos de Gestión'!$AH$71="Catastrófico"),CONCATENATE("R10C",'Riesgos de Gestión'!$V$71),"")</f>
        <v/>
      </c>
      <c r="AM55" s="46" t="str">
        <f>IF(AND('Riesgos de Gestión'!$AF$72="Muy Baja",'Riesgos de Gestión'!$AH$72="Catastrófico"),CONCATENATE("R10C",'Riesgos de Gestión'!$V$72),"")</f>
        <v/>
      </c>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row>
    <row r="56" spans="1:80" x14ac:dyDescent="0.2">
      <c r="A56" s="66"/>
      <c r="B56" s="66"/>
      <c r="C56" s="66"/>
      <c r="D56" s="66"/>
      <c r="E56" s="66"/>
      <c r="F56" s="66"/>
      <c r="G56" s="66"/>
      <c r="H56" s="66"/>
      <c r="I56" s="66"/>
      <c r="J56" s="525" t="s">
        <v>324</v>
      </c>
      <c r="K56" s="526"/>
      <c r="L56" s="526"/>
      <c r="M56" s="526"/>
      <c r="N56" s="526"/>
      <c r="O56" s="527"/>
      <c r="P56" s="525" t="s">
        <v>325</v>
      </c>
      <c r="Q56" s="526"/>
      <c r="R56" s="526"/>
      <c r="S56" s="526"/>
      <c r="T56" s="526"/>
      <c r="U56" s="527"/>
      <c r="V56" s="525" t="s">
        <v>326</v>
      </c>
      <c r="W56" s="526"/>
      <c r="X56" s="526"/>
      <c r="Y56" s="526"/>
      <c r="Z56" s="526"/>
      <c r="AA56" s="527"/>
      <c r="AB56" s="525" t="s">
        <v>327</v>
      </c>
      <c r="AC56" s="534"/>
      <c r="AD56" s="526"/>
      <c r="AE56" s="526"/>
      <c r="AF56" s="526"/>
      <c r="AG56" s="527"/>
      <c r="AH56" s="525" t="s">
        <v>328</v>
      </c>
      <c r="AI56" s="526"/>
      <c r="AJ56" s="526"/>
      <c r="AK56" s="526"/>
      <c r="AL56" s="526"/>
      <c r="AM56" s="527"/>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row>
    <row r="57" spans="1:80" x14ac:dyDescent="0.2">
      <c r="A57" s="66"/>
      <c r="B57" s="66"/>
      <c r="C57" s="66"/>
      <c r="D57" s="66"/>
      <c r="E57" s="66"/>
      <c r="F57" s="66"/>
      <c r="G57" s="66"/>
      <c r="H57" s="66"/>
      <c r="I57" s="66"/>
      <c r="J57" s="528"/>
      <c r="K57" s="529"/>
      <c r="L57" s="529"/>
      <c r="M57" s="529"/>
      <c r="N57" s="529"/>
      <c r="O57" s="530"/>
      <c r="P57" s="528"/>
      <c r="Q57" s="529"/>
      <c r="R57" s="529"/>
      <c r="S57" s="529"/>
      <c r="T57" s="529"/>
      <c r="U57" s="530"/>
      <c r="V57" s="528"/>
      <c r="W57" s="529"/>
      <c r="X57" s="529"/>
      <c r="Y57" s="529"/>
      <c r="Z57" s="529"/>
      <c r="AA57" s="530"/>
      <c r="AB57" s="528"/>
      <c r="AC57" s="529"/>
      <c r="AD57" s="529"/>
      <c r="AE57" s="529"/>
      <c r="AF57" s="529"/>
      <c r="AG57" s="530"/>
      <c r="AH57" s="528"/>
      <c r="AI57" s="529"/>
      <c r="AJ57" s="529"/>
      <c r="AK57" s="529"/>
      <c r="AL57" s="529"/>
      <c r="AM57" s="530"/>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row>
    <row r="58" spans="1:80" x14ac:dyDescent="0.2">
      <c r="A58" s="66"/>
      <c r="B58" s="66"/>
      <c r="C58" s="66"/>
      <c r="D58" s="66"/>
      <c r="E58" s="66"/>
      <c r="F58" s="66"/>
      <c r="G58" s="66"/>
      <c r="H58" s="66"/>
      <c r="I58" s="66"/>
      <c r="J58" s="528"/>
      <c r="K58" s="529"/>
      <c r="L58" s="529"/>
      <c r="M58" s="529"/>
      <c r="N58" s="529"/>
      <c r="O58" s="530"/>
      <c r="P58" s="528"/>
      <c r="Q58" s="529"/>
      <c r="R58" s="529"/>
      <c r="S58" s="529"/>
      <c r="T58" s="529"/>
      <c r="U58" s="530"/>
      <c r="V58" s="528"/>
      <c r="W58" s="529"/>
      <c r="X58" s="529"/>
      <c r="Y58" s="529"/>
      <c r="Z58" s="529"/>
      <c r="AA58" s="530"/>
      <c r="AB58" s="528"/>
      <c r="AC58" s="529"/>
      <c r="AD58" s="529"/>
      <c r="AE58" s="529"/>
      <c r="AF58" s="529"/>
      <c r="AG58" s="530"/>
      <c r="AH58" s="528"/>
      <c r="AI58" s="529"/>
      <c r="AJ58" s="529"/>
      <c r="AK58" s="529"/>
      <c r="AL58" s="529"/>
      <c r="AM58" s="530"/>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row>
    <row r="59" spans="1:80" x14ac:dyDescent="0.2">
      <c r="A59" s="66"/>
      <c r="B59" s="66"/>
      <c r="C59" s="66"/>
      <c r="D59" s="66"/>
      <c r="E59" s="66"/>
      <c r="F59" s="66"/>
      <c r="G59" s="66"/>
      <c r="H59" s="66"/>
      <c r="I59" s="66"/>
      <c r="J59" s="528"/>
      <c r="K59" s="529"/>
      <c r="L59" s="529"/>
      <c r="M59" s="529"/>
      <c r="N59" s="529"/>
      <c r="O59" s="530"/>
      <c r="P59" s="528"/>
      <c r="Q59" s="529"/>
      <c r="R59" s="529"/>
      <c r="S59" s="529"/>
      <c r="T59" s="529"/>
      <c r="U59" s="530"/>
      <c r="V59" s="528"/>
      <c r="W59" s="529"/>
      <c r="X59" s="529"/>
      <c r="Y59" s="529"/>
      <c r="Z59" s="529"/>
      <c r="AA59" s="530"/>
      <c r="AB59" s="528"/>
      <c r="AC59" s="529"/>
      <c r="AD59" s="529"/>
      <c r="AE59" s="529"/>
      <c r="AF59" s="529"/>
      <c r="AG59" s="530"/>
      <c r="AH59" s="528"/>
      <c r="AI59" s="529"/>
      <c r="AJ59" s="529"/>
      <c r="AK59" s="529"/>
      <c r="AL59" s="529"/>
      <c r="AM59" s="530"/>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row>
    <row r="60" spans="1:80" x14ac:dyDescent="0.2">
      <c r="A60" s="66"/>
      <c r="B60" s="66"/>
      <c r="C60" s="66"/>
      <c r="D60" s="66"/>
      <c r="E60" s="66"/>
      <c r="F60" s="66"/>
      <c r="G60" s="66"/>
      <c r="H60" s="66"/>
      <c r="I60" s="66"/>
      <c r="J60" s="528"/>
      <c r="K60" s="529"/>
      <c r="L60" s="529"/>
      <c r="M60" s="529"/>
      <c r="N60" s="529"/>
      <c r="O60" s="530"/>
      <c r="P60" s="528"/>
      <c r="Q60" s="529"/>
      <c r="R60" s="529"/>
      <c r="S60" s="529"/>
      <c r="T60" s="529"/>
      <c r="U60" s="530"/>
      <c r="V60" s="528"/>
      <c r="W60" s="529"/>
      <c r="X60" s="529"/>
      <c r="Y60" s="529"/>
      <c r="Z60" s="529"/>
      <c r="AA60" s="530"/>
      <c r="AB60" s="528"/>
      <c r="AC60" s="529"/>
      <c r="AD60" s="529"/>
      <c r="AE60" s="529"/>
      <c r="AF60" s="529"/>
      <c r="AG60" s="530"/>
      <c r="AH60" s="528"/>
      <c r="AI60" s="529"/>
      <c r="AJ60" s="529"/>
      <c r="AK60" s="529"/>
      <c r="AL60" s="529"/>
      <c r="AM60" s="530"/>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row>
    <row r="61" spans="1:80" ht="16" thickBot="1" x14ac:dyDescent="0.25">
      <c r="A61" s="66"/>
      <c r="B61" s="66"/>
      <c r="C61" s="66"/>
      <c r="D61" s="66"/>
      <c r="E61" s="66"/>
      <c r="F61" s="66"/>
      <c r="G61" s="66"/>
      <c r="H61" s="66"/>
      <c r="I61" s="66"/>
      <c r="J61" s="531"/>
      <c r="K61" s="532"/>
      <c r="L61" s="532"/>
      <c r="M61" s="532"/>
      <c r="N61" s="532"/>
      <c r="O61" s="533"/>
      <c r="P61" s="531"/>
      <c r="Q61" s="532"/>
      <c r="R61" s="532"/>
      <c r="S61" s="532"/>
      <c r="T61" s="532"/>
      <c r="U61" s="533"/>
      <c r="V61" s="531"/>
      <c r="W61" s="532"/>
      <c r="X61" s="532"/>
      <c r="Y61" s="532"/>
      <c r="Z61" s="532"/>
      <c r="AA61" s="533"/>
      <c r="AB61" s="531"/>
      <c r="AC61" s="532"/>
      <c r="AD61" s="532"/>
      <c r="AE61" s="532"/>
      <c r="AF61" s="532"/>
      <c r="AG61" s="533"/>
      <c r="AH61" s="531"/>
      <c r="AI61" s="532"/>
      <c r="AJ61" s="532"/>
      <c r="AK61" s="532"/>
      <c r="AL61" s="532"/>
      <c r="AM61" s="533"/>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row>
    <row r="62" spans="1:80" x14ac:dyDescent="0.2">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row>
    <row r="63" spans="1:80" ht="15" customHeight="1" x14ac:dyDescent="0.2">
      <c r="A63" s="66"/>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66"/>
      <c r="AV63" s="66"/>
      <c r="AW63" s="66"/>
      <c r="AX63" s="66"/>
      <c r="AY63" s="66"/>
      <c r="AZ63" s="66"/>
      <c r="BA63" s="66"/>
      <c r="BB63" s="66"/>
      <c r="BC63" s="66"/>
      <c r="BD63" s="66"/>
      <c r="BE63" s="66"/>
      <c r="BF63" s="66"/>
      <c r="BG63" s="66"/>
      <c r="BH63" s="66"/>
    </row>
    <row r="64" spans="1:80" ht="15" customHeight="1" x14ac:dyDescent="0.2">
      <c r="A64" s="66"/>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66"/>
      <c r="AV64" s="66"/>
      <c r="AW64" s="66"/>
      <c r="AX64" s="66"/>
      <c r="AY64" s="66"/>
      <c r="AZ64" s="66"/>
      <c r="BA64" s="66"/>
      <c r="BB64" s="66"/>
      <c r="BC64" s="66"/>
      <c r="BD64" s="66"/>
      <c r="BE64" s="66"/>
      <c r="BF64" s="66"/>
      <c r="BG64" s="66"/>
      <c r="BH64" s="66"/>
    </row>
    <row r="65" spans="1:60" x14ac:dyDescent="0.2">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row>
    <row r="66" spans="1:60" x14ac:dyDescent="0.2">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row>
    <row r="67" spans="1:60" x14ac:dyDescent="0.2">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row>
    <row r="68" spans="1:60" x14ac:dyDescent="0.2">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row>
    <row r="69" spans="1:60" x14ac:dyDescent="0.2">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row>
    <row r="70" spans="1:60" x14ac:dyDescent="0.2">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row>
    <row r="71" spans="1:60" x14ac:dyDescent="0.2">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row>
    <row r="72" spans="1:60" x14ac:dyDescent="0.2">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row>
    <row r="73" spans="1:60" x14ac:dyDescent="0.2">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row>
    <row r="74" spans="1:60" x14ac:dyDescent="0.2">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row>
    <row r="75" spans="1:60" x14ac:dyDescent="0.2">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row>
    <row r="76" spans="1:60" x14ac:dyDescent="0.2">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row>
    <row r="77" spans="1:60" x14ac:dyDescent="0.2">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row>
    <row r="78" spans="1:60" x14ac:dyDescent="0.2">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row>
    <row r="79" spans="1:60" x14ac:dyDescent="0.2">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row>
    <row r="80" spans="1:60" x14ac:dyDescent="0.2">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row>
    <row r="81" spans="1:60" x14ac:dyDescent="0.2">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c r="BG81" s="66"/>
      <c r="BH81" s="66"/>
    </row>
    <row r="82" spans="1:60" x14ac:dyDescent="0.2">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row>
    <row r="83" spans="1:60" x14ac:dyDescent="0.2">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row>
    <row r="84" spans="1:60" x14ac:dyDescent="0.2">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row>
    <row r="85" spans="1:60" x14ac:dyDescent="0.2">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row>
    <row r="86" spans="1:60" x14ac:dyDescent="0.2">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row>
    <row r="87" spans="1:60" x14ac:dyDescent="0.2">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row>
    <row r="88" spans="1:60" x14ac:dyDescent="0.2">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c r="BG88" s="66"/>
      <c r="BH88" s="66"/>
    </row>
    <row r="89" spans="1:60" x14ac:dyDescent="0.2">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row>
    <row r="90" spans="1:60" x14ac:dyDescent="0.2">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c r="BG90" s="66"/>
      <c r="BH90" s="66"/>
    </row>
    <row r="91" spans="1:60" x14ac:dyDescent="0.2">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row>
    <row r="92" spans="1:60" x14ac:dyDescent="0.2">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c r="BG92" s="66"/>
      <c r="BH92" s="66"/>
    </row>
    <row r="93" spans="1:60" x14ac:dyDescent="0.2">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row>
    <row r="94" spans="1:60" x14ac:dyDescent="0.2">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row>
    <row r="95" spans="1:60" x14ac:dyDescent="0.2">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row>
    <row r="96" spans="1:60" x14ac:dyDescent="0.2">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row>
    <row r="97" spans="1:60" x14ac:dyDescent="0.2">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row>
    <row r="98" spans="1:60" x14ac:dyDescent="0.2">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row>
    <row r="99" spans="1:60" x14ac:dyDescent="0.2">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row>
    <row r="100" spans="1:60" x14ac:dyDescent="0.2">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row>
    <row r="101" spans="1:60" x14ac:dyDescent="0.2">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row>
    <row r="102" spans="1:60" x14ac:dyDescent="0.2">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row>
    <row r="103" spans="1:60" x14ac:dyDescent="0.2">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row>
    <row r="104" spans="1:60" x14ac:dyDescent="0.2">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row>
    <row r="105" spans="1:60" x14ac:dyDescent="0.2">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row>
    <row r="106" spans="1:60"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row>
    <row r="107" spans="1:60" x14ac:dyDescent="0.2">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row>
    <row r="108" spans="1:60" x14ac:dyDescent="0.2">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row>
    <row r="109" spans="1:60" x14ac:dyDescent="0.2">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row>
    <row r="110" spans="1:60" x14ac:dyDescent="0.2">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row>
    <row r="111" spans="1:60" x14ac:dyDescent="0.2">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row>
    <row r="112" spans="1:60" x14ac:dyDescent="0.2">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row>
    <row r="113" spans="1:60" x14ac:dyDescent="0.2">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row>
    <row r="114" spans="1:60" x14ac:dyDescent="0.2">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row>
    <row r="115" spans="1:60" x14ac:dyDescent="0.2">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row>
    <row r="116" spans="1:60" x14ac:dyDescent="0.2">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row>
    <row r="117" spans="1:60" x14ac:dyDescent="0.2">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row>
    <row r="118" spans="1:60" x14ac:dyDescent="0.2">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row>
    <row r="119" spans="1:60" x14ac:dyDescent="0.2">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row>
    <row r="120" spans="1:60" x14ac:dyDescent="0.2">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row>
    <row r="121" spans="1:60" x14ac:dyDescent="0.2">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row>
    <row r="122" spans="1:60" x14ac:dyDescent="0.2">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row>
    <row r="123" spans="1:60" x14ac:dyDescent="0.2">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row>
    <row r="124" spans="1:60" x14ac:dyDescent="0.2">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row>
    <row r="125" spans="1:60" x14ac:dyDescent="0.2">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row>
    <row r="126" spans="1:60" x14ac:dyDescent="0.2">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row>
    <row r="127" spans="1:60" x14ac:dyDescent="0.2">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row>
    <row r="128" spans="1:60" x14ac:dyDescent="0.2">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row>
    <row r="129" spans="1:60" x14ac:dyDescent="0.2">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row>
    <row r="130" spans="1:60" x14ac:dyDescent="0.2">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row>
    <row r="131" spans="1:60" x14ac:dyDescent="0.2">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row>
    <row r="132" spans="1:60" x14ac:dyDescent="0.2">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row>
    <row r="133" spans="1:60" x14ac:dyDescent="0.2">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row>
    <row r="134" spans="1:60" x14ac:dyDescent="0.2">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row>
    <row r="135" spans="1:60" x14ac:dyDescent="0.2">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row>
    <row r="136" spans="1:60" x14ac:dyDescent="0.2">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row>
    <row r="137" spans="1:60" x14ac:dyDescent="0.2">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c r="BA137" s="66"/>
      <c r="BB137" s="66"/>
      <c r="BC137" s="66"/>
      <c r="BD137" s="66"/>
      <c r="BE137" s="66"/>
      <c r="BF137" s="66"/>
      <c r="BG137" s="66"/>
      <c r="BH137" s="66"/>
    </row>
    <row r="138" spans="1:60" x14ac:dyDescent="0.2">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66"/>
      <c r="BF138" s="66"/>
      <c r="BG138" s="66"/>
      <c r="BH138" s="66"/>
    </row>
    <row r="139" spans="1:60" x14ac:dyDescent="0.2">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c r="BG139" s="66"/>
      <c r="BH139" s="66"/>
    </row>
    <row r="140" spans="1:60" x14ac:dyDescent="0.2">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66"/>
      <c r="BG140" s="66"/>
      <c r="BH140" s="66"/>
    </row>
    <row r="141" spans="1:60" x14ac:dyDescent="0.2">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66"/>
      <c r="BG141" s="66"/>
      <c r="BH141" s="66"/>
    </row>
    <row r="142" spans="1:60" x14ac:dyDescent="0.2">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c r="AX142" s="66"/>
      <c r="AY142" s="66"/>
      <c r="AZ142" s="66"/>
      <c r="BA142" s="66"/>
      <c r="BB142" s="66"/>
      <c r="BC142" s="66"/>
      <c r="BD142" s="66"/>
      <c r="BE142" s="66"/>
      <c r="BF142" s="66"/>
      <c r="BG142" s="66"/>
      <c r="BH142" s="66"/>
    </row>
    <row r="143" spans="1:60" x14ac:dyDescent="0.2">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c r="BG143" s="66"/>
      <c r="BH143" s="66"/>
    </row>
    <row r="144" spans="1:60" x14ac:dyDescent="0.2">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c r="BG144" s="66"/>
      <c r="BH144" s="66"/>
    </row>
    <row r="145" spans="1:60" x14ac:dyDescent="0.2">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6"/>
    </row>
    <row r="146" spans="1:60" x14ac:dyDescent="0.2">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c r="BG146" s="66"/>
      <c r="BH146" s="66"/>
    </row>
    <row r="147" spans="1:60" x14ac:dyDescent="0.2">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66"/>
      <c r="BG147" s="66"/>
      <c r="BH147" s="66"/>
    </row>
    <row r="148" spans="1:60" x14ac:dyDescent="0.2">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row>
    <row r="149" spans="1:60" x14ac:dyDescent="0.2">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c r="BG149" s="66"/>
      <c r="BH149" s="66"/>
    </row>
    <row r="150" spans="1:60" x14ac:dyDescent="0.2">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6"/>
      <c r="AY150" s="66"/>
      <c r="AZ150" s="66"/>
      <c r="BA150" s="66"/>
      <c r="BB150" s="66"/>
      <c r="BC150" s="66"/>
      <c r="BD150" s="66"/>
      <c r="BE150" s="66"/>
      <c r="BF150" s="66"/>
      <c r="BG150" s="66"/>
      <c r="BH150" s="66"/>
    </row>
    <row r="151" spans="1:60" x14ac:dyDescent="0.2">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c r="BG151" s="66"/>
      <c r="BH151" s="66"/>
    </row>
    <row r="152" spans="1:60" x14ac:dyDescent="0.2">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c r="BG152" s="66"/>
      <c r="BH152" s="66"/>
    </row>
    <row r="153" spans="1:60" x14ac:dyDescent="0.2">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66"/>
      <c r="BG153" s="66"/>
      <c r="BH153" s="66"/>
    </row>
    <row r="154" spans="1:60" x14ac:dyDescent="0.2">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66"/>
      <c r="BB154" s="66"/>
      <c r="BC154" s="66"/>
      <c r="BD154" s="66"/>
      <c r="BE154" s="66"/>
      <c r="BF154" s="66"/>
      <c r="BG154" s="66"/>
      <c r="BH154" s="66"/>
    </row>
    <row r="155" spans="1:60" x14ac:dyDescent="0.2">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66"/>
      <c r="BG155" s="66"/>
      <c r="BH155" s="66"/>
    </row>
    <row r="156" spans="1:60" x14ac:dyDescent="0.2">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c r="BG156" s="66"/>
      <c r="BH156" s="66"/>
    </row>
    <row r="157" spans="1:60" x14ac:dyDescent="0.2">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c r="BG157" s="66"/>
      <c r="BH157" s="66"/>
    </row>
    <row r="158" spans="1:60" x14ac:dyDescent="0.2">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6"/>
      <c r="AY158" s="66"/>
      <c r="AZ158" s="66"/>
      <c r="BA158" s="66"/>
      <c r="BB158" s="66"/>
      <c r="BC158" s="66"/>
      <c r="BD158" s="66"/>
      <c r="BE158" s="66"/>
      <c r="BF158" s="66"/>
      <c r="BG158" s="66"/>
      <c r="BH158" s="66"/>
    </row>
    <row r="159" spans="1:60" x14ac:dyDescent="0.2">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6"/>
      <c r="BC159" s="66"/>
      <c r="BD159" s="66"/>
      <c r="BE159" s="66"/>
      <c r="BF159" s="66"/>
      <c r="BG159" s="66"/>
      <c r="BH159" s="66"/>
    </row>
    <row r="160" spans="1:60" x14ac:dyDescent="0.2">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66"/>
      <c r="BG160" s="66"/>
      <c r="BH160" s="66"/>
    </row>
    <row r="161" spans="1:60" x14ac:dyDescent="0.2">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c r="BG161" s="66"/>
      <c r="BH161" s="66"/>
    </row>
    <row r="162" spans="1:60" x14ac:dyDescent="0.2">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c r="BF162" s="66"/>
      <c r="BG162" s="66"/>
      <c r="BH162" s="66"/>
    </row>
    <row r="163" spans="1:60" x14ac:dyDescent="0.2">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66"/>
      <c r="BG163" s="66"/>
      <c r="BH163" s="66"/>
    </row>
    <row r="164" spans="1:60" x14ac:dyDescent="0.2">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6"/>
      <c r="BH164" s="66"/>
    </row>
    <row r="165" spans="1:60" x14ac:dyDescent="0.2">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c r="BG165" s="66"/>
      <c r="BH165" s="66"/>
    </row>
    <row r="166" spans="1:60" x14ac:dyDescent="0.2">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c r="BG166" s="66"/>
      <c r="BH166" s="66"/>
    </row>
    <row r="167" spans="1:60" x14ac:dyDescent="0.2">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c r="BG167" s="66"/>
      <c r="BH167" s="66"/>
    </row>
    <row r="168" spans="1:60" x14ac:dyDescent="0.2">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66"/>
      <c r="BG168" s="66"/>
      <c r="BH168" s="66"/>
    </row>
    <row r="169" spans="1:60" x14ac:dyDescent="0.2">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c r="BG169" s="66"/>
      <c r="BH169" s="66"/>
    </row>
    <row r="170" spans="1:60" x14ac:dyDescent="0.2">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66"/>
      <c r="BF170" s="66"/>
      <c r="BG170" s="66"/>
      <c r="BH170" s="66"/>
    </row>
    <row r="171" spans="1:60" x14ac:dyDescent="0.2">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c r="BF171" s="66"/>
      <c r="BG171" s="66"/>
      <c r="BH171" s="66"/>
    </row>
    <row r="172" spans="1:60" x14ac:dyDescent="0.2">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c r="BG172" s="66"/>
      <c r="BH172" s="66"/>
    </row>
    <row r="173" spans="1:60" x14ac:dyDescent="0.2">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c r="BG173" s="66"/>
      <c r="BH173" s="66"/>
    </row>
    <row r="174" spans="1:60" x14ac:dyDescent="0.2">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66"/>
      <c r="BG174" s="66"/>
      <c r="BH174" s="66"/>
    </row>
    <row r="175" spans="1:60" x14ac:dyDescent="0.2">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c r="BG175" s="66"/>
      <c r="BH175" s="66"/>
    </row>
    <row r="176" spans="1:60" x14ac:dyDescent="0.2">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c r="BG176" s="66"/>
      <c r="BH176" s="66"/>
    </row>
    <row r="177" spans="1:60" x14ac:dyDescent="0.2">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c r="BG177" s="66"/>
      <c r="BH177" s="66"/>
    </row>
    <row r="178" spans="1:60" x14ac:dyDescent="0.2">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c r="BG178" s="66"/>
      <c r="BH178" s="66"/>
    </row>
    <row r="179" spans="1:60" x14ac:dyDescent="0.2">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66"/>
      <c r="BG179" s="66"/>
      <c r="BH179" s="66"/>
    </row>
    <row r="180" spans="1:60" x14ac:dyDescent="0.2">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c r="BG180" s="66"/>
      <c r="BH180" s="66"/>
    </row>
    <row r="181" spans="1:60" x14ac:dyDescent="0.2">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c r="BG181" s="66"/>
      <c r="BH181" s="66"/>
    </row>
    <row r="182" spans="1:60" x14ac:dyDescent="0.2">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c r="BF182" s="66"/>
      <c r="BG182" s="66"/>
      <c r="BH182" s="66"/>
    </row>
    <row r="183" spans="1:60" x14ac:dyDescent="0.2">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66"/>
      <c r="BG183" s="66"/>
      <c r="BH183" s="66"/>
    </row>
    <row r="184" spans="1:60" x14ac:dyDescent="0.2">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66"/>
      <c r="BG184" s="66"/>
      <c r="BH184" s="66"/>
    </row>
    <row r="185" spans="1:60" x14ac:dyDescent="0.2">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66"/>
      <c r="BG185" s="66"/>
      <c r="BH185" s="66"/>
    </row>
    <row r="186" spans="1:60" x14ac:dyDescent="0.2">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c r="BG186" s="66"/>
      <c r="BH186" s="66"/>
    </row>
    <row r="187" spans="1:60" x14ac:dyDescent="0.2">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c r="AV187" s="66"/>
      <c r="AW187" s="66"/>
      <c r="AX187" s="66"/>
      <c r="AY187" s="66"/>
      <c r="AZ187" s="66"/>
      <c r="BA187" s="66"/>
      <c r="BB187" s="66"/>
      <c r="BC187" s="66"/>
      <c r="BD187" s="66"/>
      <c r="BE187" s="66"/>
      <c r="BF187" s="66"/>
      <c r="BG187" s="66"/>
      <c r="BH187" s="66"/>
    </row>
    <row r="188" spans="1:60" x14ac:dyDescent="0.2">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c r="BF188" s="66"/>
      <c r="BG188" s="66"/>
      <c r="BH188" s="66"/>
    </row>
    <row r="189" spans="1:60" x14ac:dyDescent="0.2">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66"/>
      <c r="BG189" s="66"/>
      <c r="BH189" s="66"/>
    </row>
    <row r="190" spans="1:60" x14ac:dyDescent="0.2">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c r="AW190" s="66"/>
      <c r="AX190" s="66"/>
      <c r="AY190" s="66"/>
      <c r="AZ190" s="66"/>
      <c r="BA190" s="66"/>
      <c r="BB190" s="66"/>
      <c r="BC190" s="66"/>
      <c r="BD190" s="66"/>
      <c r="BE190" s="66"/>
      <c r="BF190" s="66"/>
      <c r="BG190" s="66"/>
      <c r="BH190" s="66"/>
    </row>
    <row r="191" spans="1:60" x14ac:dyDescent="0.2">
      <c r="A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c r="BG191" s="66"/>
      <c r="BH191" s="66"/>
    </row>
    <row r="192" spans="1:60" x14ac:dyDescent="0.2">
      <c r="A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c r="BG192" s="66"/>
      <c r="BH192" s="66"/>
    </row>
    <row r="193" spans="1:60" x14ac:dyDescent="0.2">
      <c r="A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66"/>
      <c r="BG193" s="66"/>
      <c r="BH193" s="66"/>
    </row>
    <row r="194" spans="1:60" x14ac:dyDescent="0.2">
      <c r="A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c r="BF194" s="66"/>
      <c r="BG194" s="66"/>
      <c r="BH194" s="66"/>
    </row>
    <row r="195" spans="1:60" x14ac:dyDescent="0.2">
      <c r="A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c r="BF195" s="66"/>
      <c r="BG195" s="66"/>
      <c r="BH195" s="66"/>
    </row>
    <row r="196" spans="1:60" x14ac:dyDescent="0.2">
      <c r="A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c r="BF196" s="66"/>
      <c r="BG196" s="66"/>
      <c r="BH196" s="66"/>
    </row>
    <row r="197" spans="1:60" x14ac:dyDescent="0.2">
      <c r="A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c r="BF197" s="66"/>
      <c r="BG197" s="66"/>
      <c r="BH197" s="66"/>
    </row>
    <row r="198" spans="1:60" x14ac:dyDescent="0.2">
      <c r="A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c r="BF198" s="66"/>
      <c r="BG198" s="66"/>
      <c r="BH198" s="66"/>
    </row>
    <row r="199" spans="1:60" x14ac:dyDescent="0.2">
      <c r="A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c r="BG199" s="66"/>
      <c r="BH199" s="66"/>
    </row>
    <row r="200" spans="1:60" x14ac:dyDescent="0.2">
      <c r="A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c r="BF200" s="66"/>
      <c r="BG200" s="66"/>
      <c r="BH200" s="66"/>
    </row>
    <row r="201" spans="1:60" x14ac:dyDescent="0.2">
      <c r="A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66"/>
      <c r="BG201" s="66"/>
      <c r="BH201" s="66"/>
    </row>
    <row r="202" spans="1:60" x14ac:dyDescent="0.2">
      <c r="A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66"/>
      <c r="BG202" s="66"/>
      <c r="BH202" s="66"/>
    </row>
    <row r="203" spans="1:60" x14ac:dyDescent="0.2">
      <c r="A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c r="AW203" s="66"/>
      <c r="AX203" s="66"/>
      <c r="AY203" s="66"/>
      <c r="AZ203" s="66"/>
      <c r="BA203" s="66"/>
      <c r="BB203" s="66"/>
      <c r="BC203" s="66"/>
      <c r="BD203" s="66"/>
      <c r="BE203" s="66"/>
      <c r="BF203" s="66"/>
      <c r="BG203" s="66"/>
      <c r="BH203" s="66"/>
    </row>
    <row r="204" spans="1:60" x14ac:dyDescent="0.2">
      <c r="A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c r="AW204" s="66"/>
      <c r="AX204" s="66"/>
      <c r="AY204" s="66"/>
      <c r="AZ204" s="66"/>
      <c r="BA204" s="66"/>
      <c r="BB204" s="66"/>
      <c r="BC204" s="66"/>
      <c r="BD204" s="66"/>
      <c r="BE204" s="66"/>
      <c r="BF204" s="66"/>
      <c r="BG204" s="66"/>
      <c r="BH204" s="66"/>
    </row>
    <row r="205" spans="1:60" x14ac:dyDescent="0.2">
      <c r="A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c r="AW205" s="66"/>
      <c r="AX205" s="66"/>
      <c r="AY205" s="66"/>
      <c r="AZ205" s="66"/>
      <c r="BA205" s="66"/>
      <c r="BB205" s="66"/>
      <c r="BC205" s="66"/>
      <c r="BD205" s="66"/>
      <c r="BE205" s="66"/>
      <c r="BF205" s="66"/>
      <c r="BG205" s="66"/>
      <c r="BH205" s="66"/>
    </row>
    <row r="206" spans="1:60" x14ac:dyDescent="0.2">
      <c r="A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c r="BG206" s="66"/>
      <c r="BH206" s="66"/>
    </row>
    <row r="207" spans="1:60" x14ac:dyDescent="0.2">
      <c r="A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66"/>
      <c r="BC207" s="66"/>
      <c r="BD207" s="66"/>
      <c r="BE207" s="66"/>
      <c r="BF207" s="66"/>
      <c r="BG207" s="66"/>
      <c r="BH207" s="66"/>
    </row>
    <row r="208" spans="1:60" x14ac:dyDescent="0.2">
      <c r="A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66"/>
      <c r="BG208" s="66"/>
      <c r="BH208" s="66"/>
    </row>
    <row r="209" spans="1:60" x14ac:dyDescent="0.2">
      <c r="A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66"/>
      <c r="BG209" s="66"/>
      <c r="BH209" s="66"/>
    </row>
    <row r="210" spans="1:60" x14ac:dyDescent="0.2">
      <c r="A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c r="BG210" s="66"/>
      <c r="BH210" s="66"/>
    </row>
    <row r="211" spans="1:60" x14ac:dyDescent="0.2">
      <c r="A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66"/>
      <c r="BG211" s="66"/>
      <c r="BH211" s="66"/>
    </row>
    <row r="212" spans="1:60" x14ac:dyDescent="0.2">
      <c r="A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c r="BG212" s="66"/>
      <c r="BH212" s="66"/>
    </row>
    <row r="213" spans="1:60" x14ac:dyDescent="0.2">
      <c r="A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c r="AS213" s="66"/>
      <c r="AT213" s="66"/>
      <c r="AU213" s="66"/>
      <c r="AV213" s="66"/>
      <c r="AW213" s="66"/>
      <c r="AX213" s="66"/>
      <c r="AY213" s="66"/>
      <c r="AZ213" s="66"/>
      <c r="BA213" s="66"/>
      <c r="BB213" s="66"/>
      <c r="BC213" s="66"/>
      <c r="BD213" s="66"/>
      <c r="BE213" s="66"/>
      <c r="BF213" s="66"/>
      <c r="BG213" s="66"/>
      <c r="BH213" s="66"/>
    </row>
    <row r="214" spans="1:60" x14ac:dyDescent="0.2">
      <c r="A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c r="AS214" s="66"/>
      <c r="AT214" s="66"/>
      <c r="AU214" s="66"/>
      <c r="AV214" s="66"/>
      <c r="AW214" s="66"/>
      <c r="AX214" s="66"/>
      <c r="AY214" s="66"/>
      <c r="AZ214" s="66"/>
      <c r="BA214" s="66"/>
      <c r="BB214" s="66"/>
      <c r="BC214" s="66"/>
      <c r="BD214" s="66"/>
      <c r="BE214" s="66"/>
      <c r="BF214" s="66"/>
      <c r="BG214" s="66"/>
      <c r="BH214" s="66"/>
    </row>
    <row r="215" spans="1:60" x14ac:dyDescent="0.2">
      <c r="A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c r="AS215" s="66"/>
      <c r="AT215" s="66"/>
      <c r="AU215" s="66"/>
      <c r="AV215" s="66"/>
      <c r="AW215" s="66"/>
      <c r="AX215" s="66"/>
      <c r="AY215" s="66"/>
      <c r="AZ215" s="66"/>
      <c r="BA215" s="66"/>
      <c r="BB215" s="66"/>
      <c r="BC215" s="66"/>
      <c r="BD215" s="66"/>
      <c r="BE215" s="66"/>
      <c r="BF215" s="66"/>
      <c r="BG215" s="66"/>
      <c r="BH215" s="66"/>
    </row>
    <row r="216" spans="1:60" x14ac:dyDescent="0.2">
      <c r="A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c r="AV216" s="66"/>
      <c r="AW216" s="66"/>
      <c r="AX216" s="66"/>
      <c r="AY216" s="66"/>
      <c r="AZ216" s="66"/>
      <c r="BA216" s="66"/>
      <c r="BB216" s="66"/>
      <c r="BC216" s="66"/>
      <c r="BD216" s="66"/>
      <c r="BE216" s="66"/>
      <c r="BF216" s="66"/>
      <c r="BG216" s="66"/>
      <c r="BH216" s="66"/>
    </row>
    <row r="217" spans="1:60" x14ac:dyDescent="0.2">
      <c r="A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c r="AS217" s="66"/>
      <c r="AT217" s="66"/>
      <c r="AU217" s="66"/>
      <c r="AV217" s="66"/>
      <c r="AW217" s="66"/>
      <c r="AX217" s="66"/>
      <c r="AY217" s="66"/>
      <c r="AZ217" s="66"/>
      <c r="BA217" s="66"/>
      <c r="BB217" s="66"/>
      <c r="BC217" s="66"/>
      <c r="BD217" s="66"/>
      <c r="BE217" s="66"/>
      <c r="BF217" s="66"/>
      <c r="BG217" s="66"/>
      <c r="BH217" s="66"/>
    </row>
    <row r="218" spans="1:60" x14ac:dyDescent="0.2">
      <c r="A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6"/>
      <c r="BG218" s="66"/>
      <c r="BH218" s="66"/>
    </row>
    <row r="219" spans="1:60" x14ac:dyDescent="0.2">
      <c r="A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c r="AS219" s="66"/>
      <c r="AT219" s="66"/>
      <c r="AU219" s="66"/>
      <c r="AV219" s="66"/>
      <c r="AW219" s="66"/>
      <c r="AX219" s="66"/>
      <c r="AY219" s="66"/>
      <c r="AZ219" s="66"/>
      <c r="BA219" s="66"/>
      <c r="BB219" s="66"/>
      <c r="BC219" s="66"/>
      <c r="BD219" s="66"/>
      <c r="BE219" s="66"/>
      <c r="BF219" s="66"/>
      <c r="BG219" s="66"/>
      <c r="BH219" s="66"/>
    </row>
    <row r="220" spans="1:60" x14ac:dyDescent="0.2">
      <c r="A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c r="AS220" s="66"/>
      <c r="AT220" s="66"/>
      <c r="AU220" s="66"/>
      <c r="AV220" s="66"/>
      <c r="AW220" s="66"/>
      <c r="AX220" s="66"/>
      <c r="AY220" s="66"/>
      <c r="AZ220" s="66"/>
      <c r="BA220" s="66"/>
      <c r="BB220" s="66"/>
      <c r="BC220" s="66"/>
      <c r="BD220" s="66"/>
      <c r="BE220" s="66"/>
      <c r="BF220" s="66"/>
      <c r="BG220" s="66"/>
      <c r="BH220" s="66"/>
    </row>
    <row r="221" spans="1:60" x14ac:dyDescent="0.2">
      <c r="A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66"/>
      <c r="BG221" s="66"/>
      <c r="BH221" s="66"/>
    </row>
    <row r="222" spans="1:60" x14ac:dyDescent="0.2">
      <c r="A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66"/>
      <c r="BF222" s="66"/>
      <c r="BG222" s="66"/>
      <c r="BH222" s="66"/>
    </row>
    <row r="223" spans="1:60" x14ac:dyDescent="0.2">
      <c r="A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c r="BG223" s="66"/>
      <c r="BH223" s="66"/>
    </row>
    <row r="224" spans="1:60" x14ac:dyDescent="0.2">
      <c r="A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c r="AS224" s="66"/>
      <c r="AT224" s="66"/>
      <c r="AU224" s="66"/>
      <c r="AV224" s="66"/>
      <c r="AW224" s="66"/>
      <c r="AX224" s="66"/>
      <c r="AY224" s="66"/>
      <c r="AZ224" s="66"/>
      <c r="BA224" s="66"/>
      <c r="BB224" s="66"/>
      <c r="BC224" s="66"/>
      <c r="BD224" s="66"/>
      <c r="BE224" s="66"/>
      <c r="BF224" s="66"/>
      <c r="BG224" s="66"/>
      <c r="BH224" s="66"/>
    </row>
    <row r="225" spans="1:60" x14ac:dyDescent="0.2">
      <c r="A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6"/>
      <c r="BC225" s="66"/>
      <c r="BD225" s="66"/>
      <c r="BE225" s="66"/>
      <c r="BF225" s="66"/>
      <c r="BG225" s="66"/>
      <c r="BH225" s="66"/>
    </row>
    <row r="226" spans="1:60" x14ac:dyDescent="0.2">
      <c r="A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c r="AS226" s="66"/>
      <c r="AT226" s="66"/>
      <c r="AU226" s="66"/>
      <c r="AV226" s="66"/>
      <c r="AW226" s="66"/>
      <c r="AX226" s="66"/>
      <c r="AY226" s="66"/>
      <c r="AZ226" s="66"/>
      <c r="BA226" s="66"/>
      <c r="BB226" s="66"/>
      <c r="BC226" s="66"/>
      <c r="BD226" s="66"/>
      <c r="BE226" s="66"/>
      <c r="BF226" s="66"/>
      <c r="BG226" s="66"/>
      <c r="BH226" s="66"/>
    </row>
    <row r="227" spans="1:60" x14ac:dyDescent="0.2">
      <c r="A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c r="BG227" s="66"/>
      <c r="BH227" s="66"/>
    </row>
    <row r="228" spans="1:60" x14ac:dyDescent="0.2">
      <c r="A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c r="AS228" s="66"/>
      <c r="AT228" s="66"/>
      <c r="AU228" s="66"/>
      <c r="AV228" s="66"/>
      <c r="AW228" s="66"/>
      <c r="AX228" s="66"/>
      <c r="AY228" s="66"/>
      <c r="AZ228" s="66"/>
      <c r="BA228" s="66"/>
      <c r="BB228" s="66"/>
      <c r="BC228" s="66"/>
      <c r="BD228" s="66"/>
      <c r="BE228" s="66"/>
      <c r="BF228" s="66"/>
      <c r="BG228" s="66"/>
      <c r="BH228" s="66"/>
    </row>
    <row r="229" spans="1:60" x14ac:dyDescent="0.2">
      <c r="A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c r="AV229" s="66"/>
      <c r="AW229" s="66"/>
      <c r="AX229" s="66"/>
      <c r="AY229" s="66"/>
      <c r="AZ229" s="66"/>
      <c r="BA229" s="66"/>
      <c r="BB229" s="66"/>
      <c r="BC229" s="66"/>
      <c r="BD229" s="66"/>
      <c r="BE229" s="66"/>
      <c r="BF229" s="66"/>
      <c r="BG229" s="66"/>
      <c r="BH229" s="66"/>
    </row>
    <row r="230" spans="1:60" x14ac:dyDescent="0.2">
      <c r="A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66"/>
      <c r="BG230" s="66"/>
      <c r="BH230" s="66"/>
    </row>
    <row r="231" spans="1:60" x14ac:dyDescent="0.2">
      <c r="A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c r="BG231" s="66"/>
      <c r="BH231" s="66"/>
    </row>
    <row r="232" spans="1:60" x14ac:dyDescent="0.2">
      <c r="A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c r="BG232" s="66"/>
      <c r="BH232" s="66"/>
    </row>
    <row r="233" spans="1:60" x14ac:dyDescent="0.2">
      <c r="A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c r="AV233" s="66"/>
      <c r="AW233" s="66"/>
      <c r="AX233" s="66"/>
      <c r="AY233" s="66"/>
      <c r="AZ233" s="66"/>
      <c r="BA233" s="66"/>
      <c r="BB233" s="66"/>
      <c r="BC233" s="66"/>
      <c r="BD233" s="66"/>
      <c r="BE233" s="66"/>
      <c r="BF233" s="66"/>
      <c r="BG233" s="66"/>
      <c r="BH233" s="66"/>
    </row>
    <row r="234" spans="1:60" x14ac:dyDescent="0.2">
      <c r="A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c r="AR234" s="66"/>
      <c r="AS234" s="66"/>
      <c r="AT234" s="66"/>
      <c r="AU234" s="66"/>
      <c r="AV234" s="66"/>
      <c r="AW234" s="66"/>
      <c r="AX234" s="66"/>
      <c r="AY234" s="66"/>
      <c r="AZ234" s="66"/>
      <c r="BA234" s="66"/>
      <c r="BB234" s="66"/>
      <c r="BC234" s="66"/>
      <c r="BD234" s="66"/>
      <c r="BE234" s="66"/>
      <c r="BF234" s="66"/>
      <c r="BG234" s="66"/>
      <c r="BH234" s="66"/>
    </row>
    <row r="235" spans="1:60" x14ac:dyDescent="0.2">
      <c r="A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c r="AV235" s="66"/>
      <c r="AW235" s="66"/>
      <c r="AX235" s="66"/>
      <c r="AY235" s="66"/>
      <c r="AZ235" s="66"/>
      <c r="BA235" s="66"/>
      <c r="BB235" s="66"/>
      <c r="BC235" s="66"/>
      <c r="BD235" s="66"/>
      <c r="BE235" s="66"/>
      <c r="BF235" s="66"/>
      <c r="BG235" s="66"/>
      <c r="BH235" s="66"/>
    </row>
    <row r="236" spans="1:60" x14ac:dyDescent="0.2">
      <c r="A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c r="AQ236" s="66"/>
      <c r="AR236" s="66"/>
      <c r="AS236" s="66"/>
      <c r="AT236" s="66"/>
      <c r="AU236" s="66"/>
      <c r="AV236" s="66"/>
      <c r="AW236" s="66"/>
      <c r="AX236" s="66"/>
      <c r="AY236" s="66"/>
      <c r="AZ236" s="66"/>
      <c r="BA236" s="66"/>
      <c r="BB236" s="66"/>
      <c r="BC236" s="66"/>
      <c r="BD236" s="66"/>
      <c r="BE236" s="66"/>
      <c r="BF236" s="66"/>
      <c r="BG236" s="66"/>
      <c r="BH236" s="66"/>
    </row>
    <row r="237" spans="1:60" x14ac:dyDescent="0.2">
      <c r="A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c r="AQ237" s="66"/>
      <c r="AR237" s="66"/>
      <c r="AS237" s="66"/>
      <c r="AT237" s="66"/>
      <c r="AU237" s="66"/>
      <c r="AV237" s="66"/>
      <c r="AW237" s="66"/>
      <c r="AX237" s="66"/>
      <c r="AY237" s="66"/>
      <c r="AZ237" s="66"/>
      <c r="BA237" s="66"/>
      <c r="BB237" s="66"/>
      <c r="BC237" s="66"/>
      <c r="BD237" s="66"/>
      <c r="BE237" s="66"/>
      <c r="BF237" s="66"/>
      <c r="BG237" s="66"/>
      <c r="BH237" s="66"/>
    </row>
    <row r="238" spans="1:60" x14ac:dyDescent="0.2">
      <c r="A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c r="AQ238" s="66"/>
      <c r="AR238" s="66"/>
      <c r="AS238" s="66"/>
      <c r="AT238" s="66"/>
      <c r="AU238" s="66"/>
      <c r="AV238" s="66"/>
      <c r="AW238" s="66"/>
      <c r="AX238" s="66"/>
      <c r="AY238" s="66"/>
      <c r="AZ238" s="66"/>
      <c r="BA238" s="66"/>
      <c r="BB238" s="66"/>
      <c r="BC238" s="66"/>
      <c r="BD238" s="66"/>
      <c r="BE238" s="66"/>
      <c r="BF238" s="66"/>
      <c r="BG238" s="66"/>
      <c r="BH238" s="66"/>
    </row>
    <row r="239" spans="1:60" x14ac:dyDescent="0.2">
      <c r="A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c r="AQ239" s="66"/>
      <c r="AR239" s="66"/>
      <c r="AS239" s="66"/>
      <c r="AT239" s="66"/>
      <c r="AU239" s="66"/>
      <c r="AV239" s="66"/>
      <c r="AW239" s="66"/>
      <c r="AX239" s="66"/>
      <c r="AY239" s="66"/>
      <c r="AZ239" s="66"/>
      <c r="BA239" s="66"/>
      <c r="BB239" s="66"/>
      <c r="BC239" s="66"/>
      <c r="BD239" s="66"/>
      <c r="BE239" s="66"/>
      <c r="BF239" s="66"/>
      <c r="BG239" s="66"/>
      <c r="BH239" s="66"/>
    </row>
    <row r="240" spans="1:60" x14ac:dyDescent="0.2">
      <c r="A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c r="AQ240" s="66"/>
      <c r="AR240" s="66"/>
      <c r="AS240" s="66"/>
      <c r="AT240" s="66"/>
      <c r="AU240" s="66"/>
      <c r="AV240" s="66"/>
      <c r="AW240" s="66"/>
      <c r="AX240" s="66"/>
      <c r="AY240" s="66"/>
      <c r="AZ240" s="66"/>
      <c r="BA240" s="66"/>
      <c r="BB240" s="66"/>
      <c r="BC240" s="66"/>
      <c r="BD240" s="66"/>
      <c r="BE240" s="66"/>
      <c r="BF240" s="66"/>
      <c r="BG240" s="66"/>
      <c r="BH240" s="66"/>
    </row>
    <row r="241" spans="1:60" x14ac:dyDescent="0.2">
      <c r="A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c r="AQ241" s="66"/>
      <c r="AR241" s="66"/>
      <c r="AS241" s="66"/>
      <c r="AT241" s="66"/>
      <c r="AU241" s="66"/>
      <c r="AV241" s="66"/>
      <c r="AW241" s="66"/>
      <c r="AX241" s="66"/>
      <c r="AY241" s="66"/>
      <c r="AZ241" s="66"/>
      <c r="BA241" s="66"/>
      <c r="BB241" s="66"/>
      <c r="BC241" s="66"/>
      <c r="BD241" s="66"/>
      <c r="BE241" s="66"/>
      <c r="BF241" s="66"/>
      <c r="BG241" s="66"/>
      <c r="BH241" s="66"/>
    </row>
    <row r="242" spans="1:60" x14ac:dyDescent="0.2">
      <c r="A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c r="AQ242" s="66"/>
      <c r="AR242" s="66"/>
      <c r="AS242" s="66"/>
      <c r="AT242" s="66"/>
      <c r="AU242" s="66"/>
      <c r="AV242" s="66"/>
      <c r="AW242" s="66"/>
      <c r="AX242" s="66"/>
      <c r="AY242" s="66"/>
      <c r="AZ242" s="66"/>
      <c r="BA242" s="66"/>
      <c r="BB242" s="66"/>
      <c r="BC242" s="66"/>
      <c r="BD242" s="66"/>
      <c r="BE242" s="66"/>
      <c r="BF242" s="66"/>
      <c r="BG242" s="66"/>
      <c r="BH242" s="66"/>
    </row>
    <row r="243" spans="1:60" x14ac:dyDescent="0.2">
      <c r="A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c r="AQ243" s="66"/>
      <c r="AR243" s="66"/>
      <c r="AS243" s="66"/>
      <c r="AT243" s="66"/>
      <c r="AU243" s="66"/>
      <c r="AV243" s="66"/>
      <c r="AW243" s="66"/>
      <c r="AX243" s="66"/>
      <c r="AY243" s="66"/>
      <c r="AZ243" s="66"/>
      <c r="BA243" s="66"/>
      <c r="BB243" s="66"/>
      <c r="BC243" s="66"/>
      <c r="BD243" s="66"/>
      <c r="BE243" s="66"/>
      <c r="BF243" s="66"/>
      <c r="BG243" s="66"/>
      <c r="BH243" s="66"/>
    </row>
    <row r="244" spans="1:60" x14ac:dyDescent="0.2">
      <c r="A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c r="AQ244" s="66"/>
      <c r="AR244" s="66"/>
      <c r="AS244" s="66"/>
      <c r="AT244" s="66"/>
      <c r="AU244" s="66"/>
      <c r="AV244" s="66"/>
      <c r="AW244" s="66"/>
      <c r="AX244" s="66"/>
      <c r="AY244" s="66"/>
      <c r="AZ244" s="66"/>
      <c r="BA244" s="66"/>
      <c r="BB244" s="66"/>
      <c r="BC244" s="66"/>
      <c r="BD244" s="66"/>
      <c r="BE244" s="66"/>
      <c r="BF244" s="66"/>
      <c r="BG244" s="66"/>
      <c r="BH244" s="66"/>
    </row>
    <row r="245" spans="1:60" x14ac:dyDescent="0.2">
      <c r="A245" s="66"/>
    </row>
    <row r="246" spans="1:60" x14ac:dyDescent="0.2">
      <c r="A246" s="66"/>
    </row>
    <row r="247" spans="1:60" x14ac:dyDescent="0.2">
      <c r="A247" s="66"/>
    </row>
    <row r="248" spans="1:60" x14ac:dyDescent="0.2">
      <c r="A248" s="66"/>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14D1F-9FDD-463F-84AD-24712E22B4F0}">
  <sheetPr>
    <tabColor rgb="FF002060"/>
  </sheetPr>
  <dimension ref="A1:JL75"/>
  <sheetViews>
    <sheetView topLeftCell="A11" zoomScale="70" zoomScaleNormal="70" zoomScaleSheetLayoutView="50" zoomScalePageLayoutView="60" workbookViewId="0">
      <selection sqref="A1:C4"/>
    </sheetView>
  </sheetViews>
  <sheetFormatPr baseColWidth="10" defaultColWidth="11.5" defaultRowHeight="16" x14ac:dyDescent="0.2"/>
  <cols>
    <col min="1" max="1" width="6.5" style="226" customWidth="1"/>
    <col min="2" max="2" width="16" style="226" customWidth="1"/>
    <col min="3" max="3" width="19.1640625" style="226" customWidth="1"/>
    <col min="4" max="4" width="25.33203125" style="226" customWidth="1"/>
    <col min="5" max="5" width="40.1640625" style="226" customWidth="1"/>
    <col min="6" max="6" width="17.6640625" style="198" customWidth="1"/>
    <col min="7" max="7" width="16" style="198" customWidth="1"/>
    <col min="8" max="8" width="24.33203125" style="198" customWidth="1"/>
    <col min="9" max="10" width="28.5" style="198" customWidth="1"/>
    <col min="11" max="11" width="24.33203125" style="198" customWidth="1"/>
    <col min="12" max="12" width="19.5" style="198" customWidth="1"/>
    <col min="13" max="13" width="20.5" style="198" customWidth="1"/>
    <col min="14" max="14" width="14.6640625" style="227" customWidth="1"/>
    <col min="15" max="15" width="16.6640625" style="198" customWidth="1"/>
    <col min="16" max="16" width="10.5" style="198" customWidth="1"/>
    <col min="17" max="17" width="12.83203125" style="198" customWidth="1"/>
    <col min="18" max="18" width="35.83203125" style="198" hidden="1" customWidth="1"/>
    <col min="19" max="19" width="17.1640625" style="198" customWidth="1"/>
    <col min="20" max="20" width="17.5" style="198" customWidth="1"/>
    <col min="21" max="21" width="15" style="198" customWidth="1"/>
    <col min="22" max="22" width="16" style="198" customWidth="1"/>
    <col min="23" max="23" width="32.6640625" style="198" customWidth="1"/>
    <col min="24" max="24" width="26.83203125" style="198" hidden="1" customWidth="1"/>
    <col min="25" max="25" width="5.83203125" style="198" customWidth="1"/>
    <col min="26" max="26" width="6.83203125" style="198" customWidth="1"/>
    <col min="27" max="27" width="5" style="198" hidden="1" customWidth="1"/>
    <col min="28" max="28" width="5.5" style="198" customWidth="1"/>
    <col min="29" max="29" width="7.1640625" style="198" customWidth="1"/>
    <col min="30" max="30" width="6.6640625" style="198" customWidth="1"/>
    <col min="31" max="31" width="7.5" style="198" hidden="1" customWidth="1"/>
    <col min="32" max="32" width="8.5" style="198" customWidth="1"/>
    <col min="33" max="37" width="10.83203125" style="198" customWidth="1"/>
    <col min="38" max="38" width="10.83203125" style="225" customWidth="1"/>
    <col min="39" max="39" width="23" style="198" customWidth="1"/>
    <col min="40" max="40" width="18.83203125" style="198" customWidth="1"/>
    <col min="41" max="41" width="21.5" style="198" customWidth="1"/>
    <col min="42" max="42" width="22.5" style="198" customWidth="1"/>
    <col min="43" max="43" width="16.5" style="198" customWidth="1"/>
    <col min="44" max="44" width="20.5" style="198" customWidth="1"/>
    <col min="45" max="16384" width="11.5" style="198"/>
  </cols>
  <sheetData>
    <row r="1" spans="1:272" s="202" customFormat="1" ht="24" customHeight="1" x14ac:dyDescent="0.2">
      <c r="A1" s="418"/>
      <c r="B1" s="419"/>
      <c r="C1" s="420"/>
      <c r="D1" s="427" t="s">
        <v>208</v>
      </c>
      <c r="E1" s="427"/>
      <c r="F1" s="393"/>
      <c r="G1" s="393"/>
      <c r="H1" s="393"/>
      <c r="I1" s="393"/>
      <c r="J1" s="393"/>
      <c r="K1" s="393"/>
      <c r="L1" s="393"/>
      <c r="M1" s="393"/>
      <c r="N1" s="393"/>
      <c r="O1" s="393"/>
      <c r="P1" s="393"/>
      <c r="Q1" s="393"/>
      <c r="R1" s="393"/>
      <c r="S1" s="393"/>
      <c r="T1" s="393"/>
      <c r="U1" s="393"/>
      <c r="V1" s="428"/>
      <c r="W1" s="200"/>
      <c r="X1" s="392" t="s">
        <v>208</v>
      </c>
      <c r="Y1" s="393"/>
      <c r="Z1" s="393"/>
      <c r="AA1" s="393"/>
      <c r="AB1" s="393"/>
      <c r="AC1" s="393"/>
      <c r="AD1" s="393"/>
      <c r="AE1" s="393"/>
      <c r="AF1" s="393"/>
      <c r="AG1" s="393"/>
      <c r="AH1" s="393"/>
      <c r="AI1" s="393"/>
      <c r="AJ1" s="393"/>
      <c r="AK1" s="393"/>
      <c r="AL1" s="393"/>
      <c r="AM1" s="393"/>
      <c r="AN1" s="393"/>
      <c r="AO1" s="393"/>
      <c r="AP1" s="393"/>
      <c r="AQ1" s="393"/>
      <c r="AR1" s="393"/>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row>
    <row r="2" spans="1:272" s="202" customFormat="1" ht="24" customHeight="1" thickBot="1" x14ac:dyDescent="0.25">
      <c r="A2" s="421"/>
      <c r="B2" s="422"/>
      <c r="C2" s="423"/>
      <c r="D2" s="429"/>
      <c r="E2" s="429"/>
      <c r="F2" s="395"/>
      <c r="G2" s="395"/>
      <c r="H2" s="395"/>
      <c r="I2" s="395"/>
      <c r="J2" s="395"/>
      <c r="K2" s="395"/>
      <c r="L2" s="395"/>
      <c r="M2" s="395"/>
      <c r="N2" s="395"/>
      <c r="O2" s="395"/>
      <c r="P2" s="395"/>
      <c r="Q2" s="395"/>
      <c r="R2" s="395"/>
      <c r="S2" s="395"/>
      <c r="T2" s="395"/>
      <c r="U2" s="395"/>
      <c r="V2" s="430"/>
      <c r="W2" s="200"/>
      <c r="X2" s="394"/>
      <c r="Y2" s="395"/>
      <c r="Z2" s="395"/>
      <c r="AA2" s="395"/>
      <c r="AB2" s="395"/>
      <c r="AC2" s="395"/>
      <c r="AD2" s="395"/>
      <c r="AE2" s="395"/>
      <c r="AF2" s="395"/>
      <c r="AG2" s="395"/>
      <c r="AH2" s="395"/>
      <c r="AI2" s="395"/>
      <c r="AJ2" s="395"/>
      <c r="AK2" s="395"/>
      <c r="AL2" s="395"/>
      <c r="AM2" s="395"/>
      <c r="AN2" s="395"/>
      <c r="AO2" s="395"/>
      <c r="AP2" s="395"/>
      <c r="AQ2" s="395"/>
      <c r="AR2" s="395"/>
      <c r="AS2" s="201"/>
      <c r="AT2" s="201"/>
      <c r="AU2" s="201"/>
      <c r="AV2" s="201"/>
      <c r="AW2" s="201"/>
      <c r="AX2" s="201"/>
      <c r="AY2" s="201"/>
      <c r="AZ2" s="201"/>
      <c r="BA2" s="201"/>
      <c r="BB2" s="201"/>
      <c r="BC2" s="201"/>
      <c r="BD2" s="201"/>
      <c r="BE2" s="201"/>
      <c r="BF2" s="201"/>
      <c r="BG2" s="201"/>
      <c r="BH2" s="201"/>
      <c r="BI2" s="201"/>
      <c r="BJ2" s="201"/>
      <c r="BK2" s="201"/>
      <c r="BL2" s="201"/>
      <c r="BM2" s="201"/>
      <c r="BN2" s="201"/>
      <c r="BO2" s="201"/>
      <c r="BP2" s="201"/>
    </row>
    <row r="3" spans="1:272" s="202" customFormat="1" ht="24" customHeight="1" x14ac:dyDescent="0.2">
      <c r="A3" s="421"/>
      <c r="B3" s="422"/>
      <c r="C3" s="423"/>
      <c r="D3" s="431" t="s">
        <v>209</v>
      </c>
      <c r="E3" s="431"/>
      <c r="F3" s="432"/>
      <c r="G3" s="432"/>
      <c r="H3" s="432"/>
      <c r="I3" s="432"/>
      <c r="J3" s="432"/>
      <c r="K3" s="432"/>
      <c r="L3" s="432"/>
      <c r="M3" s="432"/>
      <c r="N3" s="432"/>
      <c r="O3" s="433" t="s">
        <v>210</v>
      </c>
      <c r="P3" s="433"/>
      <c r="Q3" s="433"/>
      <c r="R3" s="433"/>
      <c r="S3" s="433"/>
      <c r="T3" s="433"/>
      <c r="U3" s="433"/>
      <c r="V3" s="434"/>
      <c r="W3" s="200"/>
      <c r="X3" s="396" t="s">
        <v>211</v>
      </c>
      <c r="Y3" s="397"/>
      <c r="Z3" s="397"/>
      <c r="AA3" s="397"/>
      <c r="AB3" s="397"/>
      <c r="AC3" s="397"/>
      <c r="AD3" s="397"/>
      <c r="AE3" s="397"/>
      <c r="AF3" s="397"/>
      <c r="AG3" s="397"/>
      <c r="AH3" s="397"/>
      <c r="AI3" s="397"/>
      <c r="AJ3" s="397"/>
      <c r="AK3" s="397"/>
      <c r="AL3" s="397"/>
      <c r="AM3" s="397" t="s">
        <v>212</v>
      </c>
      <c r="AN3" s="397"/>
      <c r="AO3" s="397"/>
      <c r="AP3" s="397"/>
      <c r="AQ3" s="397"/>
      <c r="AR3" s="397"/>
      <c r="AS3" s="201"/>
      <c r="AT3" s="201"/>
      <c r="AU3" s="201"/>
      <c r="AV3" s="201"/>
      <c r="AW3" s="201"/>
      <c r="AX3" s="201"/>
      <c r="AY3" s="201"/>
      <c r="AZ3" s="201"/>
      <c r="BA3" s="201"/>
      <c r="BB3" s="201"/>
      <c r="BC3" s="201"/>
      <c r="BD3" s="201"/>
      <c r="BE3" s="201"/>
      <c r="BF3" s="201"/>
      <c r="BG3" s="201"/>
      <c r="BH3" s="201"/>
      <c r="BI3" s="201"/>
      <c r="BJ3" s="201"/>
      <c r="BK3" s="201"/>
      <c r="BL3" s="201"/>
      <c r="BM3" s="201"/>
      <c r="BN3" s="201"/>
      <c r="BO3" s="201"/>
      <c r="BP3" s="201"/>
    </row>
    <row r="4" spans="1:272" s="202" customFormat="1" ht="24" customHeight="1" thickBot="1" x14ac:dyDescent="0.25">
      <c r="A4" s="424"/>
      <c r="B4" s="425"/>
      <c r="C4" s="426"/>
      <c r="D4" s="435" t="s">
        <v>213</v>
      </c>
      <c r="E4" s="435"/>
      <c r="F4" s="399"/>
      <c r="G4" s="399"/>
      <c r="H4" s="399"/>
      <c r="I4" s="399"/>
      <c r="J4" s="399"/>
      <c r="K4" s="399"/>
      <c r="L4" s="399"/>
      <c r="M4" s="399"/>
      <c r="N4" s="399"/>
      <c r="O4" s="399"/>
      <c r="P4" s="399"/>
      <c r="Q4" s="399"/>
      <c r="R4" s="399"/>
      <c r="S4" s="399"/>
      <c r="T4" s="399"/>
      <c r="U4" s="399"/>
      <c r="V4" s="436"/>
      <c r="W4" s="200"/>
      <c r="X4" s="398" t="s">
        <v>214</v>
      </c>
      <c r="Y4" s="399"/>
      <c r="Z4" s="399"/>
      <c r="AA4" s="399"/>
      <c r="AB4" s="399"/>
      <c r="AC4" s="399"/>
      <c r="AD4" s="399"/>
      <c r="AE4" s="399"/>
      <c r="AF4" s="399"/>
      <c r="AG4" s="399"/>
      <c r="AH4" s="399"/>
      <c r="AI4" s="399"/>
      <c r="AJ4" s="399"/>
      <c r="AK4" s="399"/>
      <c r="AL4" s="399"/>
      <c r="AM4" s="399"/>
      <c r="AN4" s="399"/>
      <c r="AO4" s="399"/>
      <c r="AP4" s="399"/>
      <c r="AQ4" s="399"/>
      <c r="AR4" s="399"/>
      <c r="AS4" s="201"/>
      <c r="AT4" s="201"/>
      <c r="AU4" s="201"/>
      <c r="AV4" s="201"/>
      <c r="AW4" s="201"/>
      <c r="AX4" s="201"/>
      <c r="AY4" s="201"/>
      <c r="AZ4" s="201"/>
      <c r="BA4" s="201"/>
      <c r="BB4" s="201"/>
      <c r="BC4" s="201"/>
      <c r="BD4" s="201"/>
      <c r="BE4" s="201"/>
      <c r="BF4" s="201"/>
      <c r="BG4" s="201"/>
      <c r="BH4" s="201"/>
      <c r="BI4" s="201"/>
      <c r="BJ4" s="201"/>
      <c r="BK4" s="201"/>
      <c r="BL4" s="201"/>
      <c r="BM4" s="201"/>
      <c r="BN4" s="201"/>
      <c r="BO4" s="201"/>
      <c r="BP4" s="201"/>
    </row>
    <row r="5" spans="1:272" ht="17" thickBot="1" x14ac:dyDescent="0.25">
      <c r="A5" s="203"/>
      <c r="B5" s="204"/>
      <c r="C5" s="203"/>
      <c r="D5" s="203"/>
      <c r="E5" s="203"/>
      <c r="F5" s="205"/>
      <c r="G5" s="205"/>
      <c r="H5" s="205"/>
      <c r="I5" s="205"/>
      <c r="J5" s="205"/>
      <c r="K5" s="205"/>
      <c r="L5" s="205"/>
      <c r="M5" s="205"/>
      <c r="N5" s="206"/>
      <c r="O5" s="205"/>
      <c r="P5" s="205"/>
      <c r="Q5" s="205"/>
      <c r="R5" s="205"/>
      <c r="S5" s="205"/>
      <c r="T5" s="205"/>
      <c r="U5" s="205"/>
      <c r="V5" s="205"/>
      <c r="W5" s="205"/>
      <c r="X5" s="205"/>
      <c r="Y5" s="205"/>
      <c r="Z5" s="205"/>
      <c r="AA5" s="205"/>
      <c r="AB5" s="205"/>
      <c r="AC5" s="205"/>
      <c r="AD5" s="205"/>
      <c r="AE5" s="205"/>
      <c r="AF5" s="205"/>
      <c r="AG5" s="205"/>
      <c r="AH5" s="205"/>
      <c r="AI5" s="205"/>
      <c r="AJ5" s="205"/>
      <c r="AK5" s="205"/>
      <c r="AL5" s="207"/>
      <c r="AM5" s="205"/>
      <c r="AN5" s="205"/>
      <c r="AO5" s="205"/>
      <c r="AP5" s="205"/>
      <c r="AQ5" s="205"/>
      <c r="AR5" s="205"/>
      <c r="AS5" s="205"/>
      <c r="AT5" s="205"/>
      <c r="AU5" s="205"/>
      <c r="AV5" s="205"/>
      <c r="AW5" s="205"/>
      <c r="AX5" s="205"/>
      <c r="AY5" s="205"/>
      <c r="AZ5" s="205"/>
      <c r="BA5" s="205"/>
      <c r="BB5" s="205"/>
      <c r="BC5" s="205"/>
      <c r="BD5" s="205"/>
      <c r="BE5" s="205"/>
      <c r="BF5" s="205"/>
      <c r="BG5" s="205"/>
      <c r="BH5" s="205"/>
      <c r="BI5" s="205"/>
      <c r="BJ5" s="205"/>
      <c r="BK5" s="205"/>
      <c r="BL5" s="205"/>
      <c r="BM5" s="205"/>
      <c r="BN5" s="205"/>
      <c r="BO5" s="205"/>
      <c r="BP5" s="205"/>
    </row>
    <row r="6" spans="1:272" ht="27.75" customHeight="1" x14ac:dyDescent="0.2">
      <c r="A6" s="400" t="s">
        <v>215</v>
      </c>
      <c r="B6" s="401"/>
      <c r="C6" s="575"/>
      <c r="D6" s="576"/>
      <c r="E6" s="576"/>
      <c r="F6" s="576"/>
      <c r="G6" s="576"/>
      <c r="H6" s="576"/>
      <c r="I6" s="576"/>
      <c r="J6" s="576"/>
      <c r="K6" s="576"/>
      <c r="L6" s="576"/>
      <c r="M6" s="576"/>
      <c r="N6" s="576"/>
      <c r="O6" s="576"/>
      <c r="P6" s="576"/>
      <c r="Q6" s="576"/>
      <c r="R6" s="576"/>
      <c r="S6" s="576"/>
      <c r="T6" s="576"/>
      <c r="U6" s="576"/>
      <c r="V6" s="577"/>
      <c r="W6" s="409" t="s">
        <v>215</v>
      </c>
      <c r="X6" s="410"/>
      <c r="Y6" s="411"/>
      <c r="Z6" s="386">
        <f>C6</f>
        <v>0</v>
      </c>
      <c r="AA6" s="387"/>
      <c r="AB6" s="387"/>
      <c r="AC6" s="387"/>
      <c r="AD6" s="387"/>
      <c r="AE6" s="387"/>
      <c r="AF6" s="387"/>
      <c r="AG6" s="387"/>
      <c r="AH6" s="387"/>
      <c r="AI6" s="387"/>
      <c r="AJ6" s="387"/>
      <c r="AK6" s="387"/>
      <c r="AL6" s="387"/>
      <c r="AM6" s="387"/>
      <c r="AN6" s="387"/>
      <c r="AO6" s="387"/>
      <c r="AP6" s="387"/>
      <c r="AQ6" s="387"/>
      <c r="AR6" s="387"/>
      <c r="AS6" s="205"/>
      <c r="AT6" s="205"/>
      <c r="AU6" s="205"/>
      <c r="AV6" s="205"/>
      <c r="AW6" s="205"/>
      <c r="AX6" s="205"/>
      <c r="AY6" s="205"/>
      <c r="AZ6" s="205"/>
      <c r="BA6" s="205"/>
      <c r="BB6" s="205"/>
      <c r="BC6" s="205"/>
      <c r="BD6" s="205"/>
      <c r="BE6" s="205"/>
      <c r="BF6" s="205"/>
      <c r="BG6" s="205"/>
      <c r="BH6" s="205"/>
      <c r="BI6" s="205"/>
      <c r="BJ6" s="205"/>
      <c r="BK6" s="205"/>
      <c r="BL6" s="205"/>
      <c r="BM6" s="205"/>
      <c r="BN6" s="205"/>
      <c r="BO6" s="205"/>
      <c r="BP6" s="205"/>
    </row>
    <row r="7" spans="1:272" ht="36.75" customHeight="1" x14ac:dyDescent="0.2">
      <c r="A7" s="402" t="s">
        <v>216</v>
      </c>
      <c r="B7" s="403"/>
      <c r="C7" s="412"/>
      <c r="D7" s="413"/>
      <c r="E7" s="413"/>
      <c r="F7" s="413"/>
      <c r="G7" s="413"/>
      <c r="H7" s="413"/>
      <c r="I7" s="413"/>
      <c r="J7" s="413"/>
      <c r="K7" s="413"/>
      <c r="L7" s="413"/>
      <c r="M7" s="413"/>
      <c r="N7" s="413"/>
      <c r="O7" s="413"/>
      <c r="P7" s="413"/>
      <c r="Q7" s="413"/>
      <c r="R7" s="413"/>
      <c r="S7" s="413"/>
      <c r="T7" s="413"/>
      <c r="U7" s="413"/>
      <c r="V7" s="414"/>
      <c r="W7" s="208" t="s">
        <v>216</v>
      </c>
      <c r="X7" s="209"/>
      <c r="Y7" s="210"/>
      <c r="Z7" s="388">
        <f>C7</f>
        <v>0</v>
      </c>
      <c r="AA7" s="389"/>
      <c r="AB7" s="389"/>
      <c r="AC7" s="389"/>
      <c r="AD7" s="389"/>
      <c r="AE7" s="389"/>
      <c r="AF7" s="389"/>
      <c r="AG7" s="389"/>
      <c r="AH7" s="389"/>
      <c r="AI7" s="389"/>
      <c r="AJ7" s="389"/>
      <c r="AK7" s="389"/>
      <c r="AL7" s="389"/>
      <c r="AM7" s="389"/>
      <c r="AN7" s="389"/>
      <c r="AO7" s="389"/>
      <c r="AP7" s="389"/>
      <c r="AQ7" s="389"/>
      <c r="AR7" s="389"/>
      <c r="AS7" s="205"/>
      <c r="AT7" s="205"/>
      <c r="AU7" s="205"/>
      <c r="AV7" s="205"/>
      <c r="AW7" s="205"/>
      <c r="AX7" s="205"/>
      <c r="AY7" s="205"/>
      <c r="AZ7" s="205"/>
      <c r="BA7" s="205"/>
      <c r="BB7" s="205"/>
      <c r="BC7" s="205"/>
      <c r="BD7" s="205"/>
      <c r="BE7" s="205"/>
      <c r="BF7" s="205"/>
      <c r="BG7" s="205"/>
      <c r="BH7" s="205"/>
      <c r="BI7" s="205"/>
      <c r="BJ7" s="205"/>
      <c r="BK7" s="205"/>
      <c r="BL7" s="205"/>
      <c r="BM7" s="205"/>
      <c r="BN7" s="205"/>
      <c r="BO7" s="205"/>
      <c r="BP7" s="205"/>
    </row>
    <row r="8" spans="1:272" ht="30" customHeight="1" thickBot="1" x14ac:dyDescent="0.25">
      <c r="A8" s="404" t="s">
        <v>218</v>
      </c>
      <c r="B8" s="405"/>
      <c r="C8" s="415"/>
      <c r="D8" s="416"/>
      <c r="E8" s="416"/>
      <c r="F8" s="416"/>
      <c r="G8" s="416"/>
      <c r="H8" s="416"/>
      <c r="I8" s="416"/>
      <c r="J8" s="416"/>
      <c r="K8" s="416"/>
      <c r="L8" s="416"/>
      <c r="M8" s="416"/>
      <c r="N8" s="416"/>
      <c r="O8" s="416"/>
      <c r="P8" s="416"/>
      <c r="Q8" s="416"/>
      <c r="R8" s="416"/>
      <c r="S8" s="416"/>
      <c r="T8" s="416"/>
      <c r="U8" s="416"/>
      <c r="V8" s="417"/>
      <c r="W8" s="211" t="s">
        <v>218</v>
      </c>
      <c r="X8" s="212"/>
      <c r="Y8" s="213"/>
      <c r="Z8" s="390">
        <f>C8</f>
        <v>0</v>
      </c>
      <c r="AA8" s="391"/>
      <c r="AB8" s="391"/>
      <c r="AC8" s="391"/>
      <c r="AD8" s="391"/>
      <c r="AE8" s="391"/>
      <c r="AF8" s="391"/>
      <c r="AG8" s="391"/>
      <c r="AH8" s="391"/>
      <c r="AI8" s="391"/>
      <c r="AJ8" s="391"/>
      <c r="AK8" s="391"/>
      <c r="AL8" s="391"/>
      <c r="AM8" s="391"/>
      <c r="AN8" s="391"/>
      <c r="AO8" s="391"/>
      <c r="AP8" s="391"/>
      <c r="AQ8" s="391"/>
      <c r="AR8" s="391"/>
      <c r="AS8" s="205"/>
      <c r="AT8" s="205"/>
      <c r="AU8" s="205"/>
      <c r="AV8" s="205"/>
      <c r="AW8" s="205"/>
      <c r="AX8" s="205"/>
      <c r="AY8" s="205"/>
      <c r="AZ8" s="205"/>
      <c r="BA8" s="205"/>
      <c r="BB8" s="205"/>
      <c r="BC8" s="205"/>
      <c r="BD8" s="205"/>
      <c r="BE8" s="205"/>
      <c r="BF8" s="205"/>
      <c r="BG8" s="205"/>
      <c r="BH8" s="205"/>
      <c r="BI8" s="205"/>
      <c r="BJ8" s="205"/>
      <c r="BK8" s="205"/>
      <c r="BL8" s="205"/>
      <c r="BM8" s="205"/>
      <c r="BN8" s="205"/>
      <c r="BO8" s="205"/>
      <c r="BP8" s="205"/>
    </row>
    <row r="9" spans="1:272" ht="12" customHeight="1" x14ac:dyDescent="0.2">
      <c r="A9" s="214"/>
      <c r="B9" s="214"/>
      <c r="C9" s="215"/>
      <c r="D9" s="215"/>
      <c r="E9" s="215"/>
      <c r="F9" s="215"/>
      <c r="G9" s="215"/>
      <c r="H9" s="215"/>
      <c r="I9" s="215"/>
      <c r="J9" s="215"/>
      <c r="K9" s="215"/>
      <c r="L9" s="215"/>
      <c r="M9" s="215"/>
      <c r="N9" s="215"/>
      <c r="O9" s="215"/>
      <c r="P9" s="215"/>
      <c r="Q9" s="215"/>
      <c r="R9" s="215"/>
      <c r="S9" s="215"/>
      <c r="T9" s="215"/>
      <c r="U9" s="215"/>
      <c r="V9" s="215"/>
      <c r="W9" s="216"/>
      <c r="X9" s="216"/>
      <c r="Y9" s="216"/>
      <c r="Z9" s="217"/>
      <c r="AA9" s="217"/>
      <c r="AB9" s="217"/>
      <c r="AC9" s="217"/>
      <c r="AD9" s="217"/>
      <c r="AE9" s="217"/>
      <c r="AF9" s="217"/>
      <c r="AG9" s="217"/>
      <c r="AH9" s="217"/>
      <c r="AI9" s="217"/>
      <c r="AJ9" s="217"/>
      <c r="AK9" s="217"/>
      <c r="AL9" s="217"/>
      <c r="AM9" s="217"/>
      <c r="AN9" s="217"/>
      <c r="AO9" s="217"/>
      <c r="AP9" s="217"/>
      <c r="AQ9" s="217"/>
      <c r="AR9" s="217"/>
    </row>
    <row r="10" spans="1:272" ht="39" customHeight="1" x14ac:dyDescent="0.2">
      <c r="A10" s="375" t="s">
        <v>220</v>
      </c>
      <c r="B10" s="376"/>
      <c r="C10" s="376"/>
      <c r="D10" s="376"/>
      <c r="E10" s="376"/>
      <c r="F10" s="377"/>
      <c r="G10" s="354" t="s">
        <v>221</v>
      </c>
      <c r="H10" s="355"/>
      <c r="I10" s="355"/>
      <c r="J10" s="355"/>
      <c r="K10" s="356"/>
      <c r="L10" s="331" t="s">
        <v>222</v>
      </c>
      <c r="M10" s="332"/>
      <c r="N10" s="232"/>
      <c r="O10" s="232"/>
      <c r="P10" s="345" t="s">
        <v>223</v>
      </c>
      <c r="Q10" s="345"/>
      <c r="R10" s="345"/>
      <c r="S10" s="345"/>
      <c r="T10" s="345"/>
      <c r="U10" s="345"/>
      <c r="V10" s="345"/>
      <c r="W10" s="345" t="s">
        <v>224</v>
      </c>
      <c r="X10" s="345"/>
      <c r="Y10" s="345"/>
      <c r="Z10" s="345"/>
      <c r="AA10" s="345"/>
      <c r="AB10" s="345"/>
      <c r="AC10" s="345"/>
      <c r="AD10" s="345"/>
      <c r="AE10" s="345"/>
      <c r="AF10" s="333" t="s">
        <v>225</v>
      </c>
      <c r="AG10" s="334"/>
      <c r="AH10" s="334"/>
      <c r="AI10" s="334"/>
      <c r="AJ10" s="335"/>
      <c r="AK10" s="333" t="s">
        <v>226</v>
      </c>
      <c r="AL10" s="334"/>
      <c r="AM10" s="334"/>
      <c r="AN10" s="334"/>
      <c r="AO10" s="335"/>
      <c r="AP10" s="333" t="s">
        <v>227</v>
      </c>
      <c r="AQ10" s="334"/>
      <c r="AR10" s="335"/>
      <c r="AS10" s="205"/>
      <c r="AT10" s="205"/>
      <c r="AU10" s="205"/>
      <c r="AV10" s="205"/>
      <c r="AW10" s="205"/>
      <c r="AX10" s="205"/>
      <c r="AY10" s="205"/>
      <c r="AZ10" s="205"/>
      <c r="BA10" s="205"/>
      <c r="BB10" s="205"/>
      <c r="BC10" s="205"/>
      <c r="BD10" s="205"/>
      <c r="BE10" s="205"/>
      <c r="BF10" s="205"/>
      <c r="BG10" s="205"/>
      <c r="BH10" s="205"/>
      <c r="BI10" s="205"/>
      <c r="BJ10" s="205"/>
      <c r="BK10" s="205"/>
      <c r="BL10" s="205"/>
      <c r="BM10" s="205"/>
      <c r="BN10" s="205"/>
      <c r="BO10" s="205"/>
      <c r="BP10" s="205"/>
    </row>
    <row r="11" spans="1:272" ht="26.25" customHeight="1" x14ac:dyDescent="0.2">
      <c r="A11" s="380" t="s">
        <v>228</v>
      </c>
      <c r="B11" s="364" t="s">
        <v>15</v>
      </c>
      <c r="C11" s="378" t="s">
        <v>17</v>
      </c>
      <c r="D11" s="378" t="s">
        <v>19</v>
      </c>
      <c r="E11" s="364" t="s">
        <v>21</v>
      </c>
      <c r="F11" s="378" t="s">
        <v>23</v>
      </c>
      <c r="G11" s="366" t="s">
        <v>124</v>
      </c>
      <c r="H11" s="366" t="s">
        <v>330</v>
      </c>
      <c r="I11" s="366" t="s">
        <v>230</v>
      </c>
      <c r="J11" s="366" t="s">
        <v>231</v>
      </c>
      <c r="K11" s="366" t="s">
        <v>232</v>
      </c>
      <c r="L11" s="331"/>
      <c r="M11" s="332"/>
      <c r="N11" s="329" t="s">
        <v>233</v>
      </c>
      <c r="O11" s="329" t="s">
        <v>234</v>
      </c>
      <c r="P11" s="363" t="s">
        <v>235</v>
      </c>
      <c r="Q11" s="574" t="s">
        <v>236</v>
      </c>
      <c r="R11" s="329" t="s">
        <v>237</v>
      </c>
      <c r="S11" s="329" t="s">
        <v>238</v>
      </c>
      <c r="T11" s="363" t="s">
        <v>235</v>
      </c>
      <c r="U11" s="329" t="s">
        <v>29</v>
      </c>
      <c r="V11" s="343" t="s">
        <v>239</v>
      </c>
      <c r="W11" s="329" t="s">
        <v>31</v>
      </c>
      <c r="X11" s="329" t="s">
        <v>33</v>
      </c>
      <c r="Y11" s="329" t="s">
        <v>240</v>
      </c>
      <c r="Z11" s="329"/>
      <c r="AA11" s="329"/>
      <c r="AB11" s="329"/>
      <c r="AC11" s="329"/>
      <c r="AD11" s="329"/>
      <c r="AE11" s="343" t="s">
        <v>241</v>
      </c>
      <c r="AF11" s="343" t="s">
        <v>242</v>
      </c>
      <c r="AG11" s="343" t="s">
        <v>235</v>
      </c>
      <c r="AH11" s="343" t="s">
        <v>243</v>
      </c>
      <c r="AI11" s="343" t="s">
        <v>235</v>
      </c>
      <c r="AJ11" s="343" t="s">
        <v>244</v>
      </c>
      <c r="AK11" s="343" t="s">
        <v>49</v>
      </c>
      <c r="AL11" s="329" t="s">
        <v>245</v>
      </c>
      <c r="AM11" s="329" t="s">
        <v>246</v>
      </c>
      <c r="AN11" s="329" t="s">
        <v>247</v>
      </c>
      <c r="AO11" s="329" t="s">
        <v>248</v>
      </c>
      <c r="AP11" s="329" t="s">
        <v>249</v>
      </c>
      <c r="AQ11" s="329" t="s">
        <v>250</v>
      </c>
      <c r="AR11" s="329" t="s">
        <v>251</v>
      </c>
      <c r="AS11" s="205"/>
      <c r="AT11" s="205"/>
      <c r="AU11" s="205"/>
      <c r="AV11" s="205"/>
      <c r="AW11" s="205"/>
      <c r="AX11" s="205"/>
      <c r="AY11" s="205"/>
      <c r="AZ11" s="205"/>
      <c r="BA11" s="205"/>
      <c r="BB11" s="205"/>
      <c r="BC11" s="205"/>
      <c r="BD11" s="205"/>
      <c r="BE11" s="205"/>
      <c r="BF11" s="205"/>
      <c r="BG11" s="205"/>
      <c r="BH11" s="205"/>
      <c r="BI11" s="205"/>
      <c r="BJ11" s="205"/>
      <c r="BK11" s="205"/>
      <c r="BL11" s="205"/>
      <c r="BM11" s="205"/>
      <c r="BN11" s="205"/>
      <c r="BO11" s="205"/>
    </row>
    <row r="12" spans="1:272" s="221" customFormat="1" ht="73.5" customHeight="1" x14ac:dyDescent="0.2">
      <c r="A12" s="380"/>
      <c r="B12" s="364"/>
      <c r="C12" s="378"/>
      <c r="D12" s="378"/>
      <c r="E12" s="364"/>
      <c r="F12" s="378"/>
      <c r="G12" s="367"/>
      <c r="H12" s="367"/>
      <c r="I12" s="367"/>
      <c r="J12" s="367"/>
      <c r="K12" s="367"/>
      <c r="L12" s="258" t="s">
        <v>125</v>
      </c>
      <c r="M12" s="258" t="s">
        <v>252</v>
      </c>
      <c r="N12" s="329"/>
      <c r="O12" s="329"/>
      <c r="P12" s="363"/>
      <c r="Q12" s="574"/>
      <c r="R12" s="329"/>
      <c r="S12" s="363"/>
      <c r="T12" s="363"/>
      <c r="U12" s="329"/>
      <c r="V12" s="343"/>
      <c r="W12" s="329"/>
      <c r="X12" s="329"/>
      <c r="Y12" s="218" t="s">
        <v>253</v>
      </c>
      <c r="Z12" s="218" t="s">
        <v>254</v>
      </c>
      <c r="AA12" s="218" t="s">
        <v>255</v>
      </c>
      <c r="AB12" s="218" t="s">
        <v>256</v>
      </c>
      <c r="AC12" s="218" t="s">
        <v>257</v>
      </c>
      <c r="AD12" s="218" t="s">
        <v>258</v>
      </c>
      <c r="AE12" s="343"/>
      <c r="AF12" s="343"/>
      <c r="AG12" s="343"/>
      <c r="AH12" s="343"/>
      <c r="AI12" s="343"/>
      <c r="AJ12" s="343"/>
      <c r="AK12" s="343"/>
      <c r="AL12" s="329"/>
      <c r="AM12" s="329"/>
      <c r="AN12" s="329"/>
      <c r="AO12" s="329"/>
      <c r="AP12" s="329"/>
      <c r="AQ12" s="329"/>
      <c r="AR12" s="329"/>
      <c r="AS12" s="219"/>
      <c r="AT12" s="219"/>
      <c r="AU12" s="219"/>
      <c r="AV12" s="219"/>
      <c r="AW12" s="219"/>
      <c r="AX12" s="219"/>
      <c r="AY12" s="219"/>
      <c r="AZ12" s="219"/>
      <c r="BA12" s="219"/>
      <c r="BB12" s="219"/>
      <c r="BC12" s="219"/>
      <c r="BD12" s="219"/>
      <c r="BE12" s="219"/>
      <c r="BF12" s="219"/>
      <c r="BG12" s="219"/>
      <c r="BH12" s="219"/>
      <c r="BI12" s="219"/>
      <c r="BJ12" s="219"/>
      <c r="BK12" s="219"/>
      <c r="BL12" s="219"/>
      <c r="BM12" s="219"/>
      <c r="BN12" s="219"/>
      <c r="BO12" s="219"/>
      <c r="BP12" s="220"/>
      <c r="BQ12" s="220"/>
      <c r="BR12" s="220"/>
      <c r="BS12" s="220"/>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220"/>
      <c r="CY12" s="220"/>
      <c r="CZ12" s="220"/>
      <c r="DA12" s="220"/>
      <c r="DB12" s="220"/>
      <c r="DC12" s="220"/>
      <c r="DD12" s="220"/>
      <c r="DE12" s="220"/>
      <c r="DF12" s="220"/>
      <c r="DG12" s="220"/>
      <c r="DH12" s="220"/>
      <c r="DI12" s="220"/>
      <c r="DJ12" s="220"/>
      <c r="DK12" s="220"/>
      <c r="DL12" s="220"/>
      <c r="DM12" s="220"/>
      <c r="DN12" s="220"/>
      <c r="DO12" s="220"/>
      <c r="DP12" s="220"/>
      <c r="DQ12" s="220"/>
      <c r="DR12" s="220"/>
      <c r="DS12" s="220"/>
      <c r="DT12" s="220"/>
      <c r="DU12" s="220"/>
      <c r="DV12" s="220"/>
      <c r="DW12" s="220"/>
      <c r="DX12" s="220"/>
      <c r="DY12" s="220"/>
      <c r="DZ12" s="220"/>
      <c r="EA12" s="220"/>
      <c r="EB12" s="220"/>
      <c r="EC12" s="220"/>
      <c r="ED12" s="220"/>
      <c r="EE12" s="220"/>
      <c r="EF12" s="220"/>
      <c r="EG12" s="220"/>
      <c r="EH12" s="220"/>
      <c r="EI12" s="220"/>
      <c r="EJ12" s="220"/>
      <c r="EK12" s="220"/>
      <c r="EL12" s="220"/>
      <c r="EM12" s="220"/>
      <c r="EN12" s="220"/>
      <c r="EO12" s="220"/>
      <c r="EP12" s="220"/>
      <c r="EQ12" s="220"/>
      <c r="ER12" s="220"/>
      <c r="ES12" s="220"/>
      <c r="ET12" s="220"/>
      <c r="EU12" s="220"/>
      <c r="EV12" s="220"/>
      <c r="EW12" s="220"/>
      <c r="EX12" s="220"/>
      <c r="EY12" s="220"/>
      <c r="EZ12" s="220"/>
      <c r="FA12" s="220"/>
      <c r="FB12" s="220"/>
      <c r="FC12" s="220"/>
      <c r="FD12" s="220"/>
      <c r="FE12" s="220"/>
      <c r="FF12" s="220"/>
      <c r="FG12" s="220"/>
      <c r="FH12" s="220"/>
      <c r="FI12" s="220"/>
      <c r="FJ12" s="220"/>
      <c r="FK12" s="220"/>
      <c r="FL12" s="220"/>
      <c r="FM12" s="220"/>
      <c r="FN12" s="220"/>
      <c r="FO12" s="220"/>
      <c r="FP12" s="220"/>
      <c r="FQ12" s="220"/>
      <c r="FR12" s="220"/>
      <c r="FS12" s="220"/>
      <c r="FT12" s="220"/>
      <c r="FU12" s="220"/>
      <c r="FV12" s="220"/>
      <c r="FW12" s="220"/>
      <c r="FX12" s="220"/>
      <c r="FY12" s="220"/>
      <c r="FZ12" s="220"/>
      <c r="GA12" s="220"/>
      <c r="GB12" s="220"/>
      <c r="GC12" s="220"/>
      <c r="GD12" s="220"/>
      <c r="GE12" s="220"/>
      <c r="GF12" s="220"/>
      <c r="GG12" s="220"/>
      <c r="GH12" s="220"/>
      <c r="GI12" s="220"/>
      <c r="GJ12" s="220"/>
      <c r="GK12" s="220"/>
      <c r="GL12" s="220"/>
      <c r="GM12" s="220"/>
      <c r="GN12" s="220"/>
      <c r="GO12" s="220"/>
      <c r="GP12" s="220"/>
      <c r="GQ12" s="220"/>
      <c r="GR12" s="220"/>
      <c r="GS12" s="220"/>
      <c r="GT12" s="220"/>
      <c r="GU12" s="220"/>
      <c r="GV12" s="220"/>
      <c r="GW12" s="220"/>
      <c r="GX12" s="220"/>
      <c r="GY12" s="220"/>
      <c r="GZ12" s="220"/>
      <c r="HA12" s="220"/>
      <c r="HB12" s="220"/>
      <c r="HC12" s="220"/>
      <c r="HD12" s="220"/>
      <c r="HE12" s="220"/>
      <c r="HF12" s="220"/>
      <c r="HG12" s="220"/>
      <c r="HH12" s="220"/>
      <c r="HI12" s="220"/>
      <c r="HJ12" s="220"/>
      <c r="HK12" s="220"/>
      <c r="HL12" s="220"/>
      <c r="HM12" s="220"/>
      <c r="HN12" s="220"/>
      <c r="HO12" s="220"/>
      <c r="HP12" s="220"/>
      <c r="HQ12" s="220"/>
      <c r="HR12" s="220"/>
      <c r="HS12" s="220"/>
      <c r="HT12" s="220"/>
      <c r="HU12" s="220"/>
      <c r="HV12" s="220"/>
      <c r="HW12" s="220"/>
      <c r="HX12" s="220"/>
      <c r="HY12" s="220"/>
      <c r="HZ12" s="220"/>
      <c r="IA12" s="220"/>
      <c r="IB12" s="220"/>
      <c r="IC12" s="220"/>
      <c r="ID12" s="220"/>
      <c r="IE12" s="220"/>
      <c r="IF12" s="220"/>
      <c r="IG12" s="220"/>
      <c r="IH12" s="220"/>
      <c r="II12" s="220"/>
      <c r="IJ12" s="220"/>
      <c r="IK12" s="220"/>
      <c r="IL12" s="220"/>
      <c r="IM12" s="220"/>
      <c r="IN12" s="220"/>
      <c r="IO12" s="220"/>
      <c r="IP12" s="220"/>
      <c r="IQ12" s="220"/>
      <c r="IR12" s="220"/>
      <c r="IS12" s="220"/>
      <c r="IT12" s="220"/>
      <c r="IU12" s="220"/>
      <c r="IV12" s="220"/>
      <c r="IW12" s="220"/>
      <c r="IX12" s="220"/>
      <c r="IY12" s="220"/>
      <c r="IZ12" s="220"/>
      <c r="JA12" s="220"/>
      <c r="JB12" s="220"/>
      <c r="JC12" s="220"/>
      <c r="JD12" s="220"/>
      <c r="JE12" s="220"/>
      <c r="JF12" s="220"/>
      <c r="JG12" s="220"/>
      <c r="JH12" s="220"/>
      <c r="JI12" s="220"/>
      <c r="JJ12" s="220"/>
      <c r="JK12" s="220"/>
      <c r="JL12" s="220"/>
    </row>
    <row r="13" spans="1:272" s="223" customFormat="1" ht="103.5" customHeight="1" x14ac:dyDescent="0.2">
      <c r="A13" s="379">
        <v>1</v>
      </c>
      <c r="B13" s="365"/>
      <c r="C13" s="365"/>
      <c r="D13" s="365"/>
      <c r="E13" s="361"/>
      <c r="F13" s="365"/>
      <c r="G13" s="336"/>
      <c r="H13" s="336"/>
      <c r="I13" s="336"/>
      <c r="J13" s="336"/>
      <c r="K13" s="336"/>
      <c r="L13" s="336"/>
      <c r="M13" s="336"/>
      <c r="N13" s="362"/>
      <c r="O13" s="347" t="str">
        <f>IF(N13&lt;=0,"",IF(N13&lt;=2,"Muy Baja",IF(N13&lt;=24,"Baja",IF(N13&lt;=500,"Media",IF(N13&lt;=5000,"Alta","Muy Alta")))))</f>
        <v/>
      </c>
      <c r="P13" s="346" t="str">
        <f>IF(O13="","",IF(O13="Muy Baja",0.2,IF(O13="Baja",0.4,IF(O13="Media",0.6,IF(O13="Alta",0.8,IF(O13="Muy Alta",1,))))))</f>
        <v/>
      </c>
      <c r="Q13" s="330"/>
      <c r="R13" s="346">
        <f>IF(NOT(ISERROR(MATCH(Q13,'Tabla Impacto'!$B$222:$B$224,0))),'Tabla Impacto'!$F$224&amp;"Por favor no seleccionar los criterios de impacto(Afectación Económica o presupuestal y Pérdida Reputacional)",Q13)</f>
        <v>0</v>
      </c>
      <c r="S13" s="347" t="str">
        <f>IF(OR(R13='Tabla Impacto'!$C$12,R13='Tabla Impacto'!$D$12),"Leve",IF(OR(R13='Tabla Impacto'!$C$13,R13='Tabla Impacto'!$D$13),"Menor",IF(OR(R13='Tabla Impacto'!$C$14,R13='Tabla Impacto'!$D$14),"Moderado",IF(OR(R13='Tabla Impacto'!$C$15,R13='Tabla Impacto'!$D$15),"Mayor",IF(OR(R13='Tabla Impacto'!$C$16,R13='Tabla Impacto'!$D$16),"Catastrófico","")))))</f>
        <v/>
      </c>
      <c r="T13" s="346" t="str">
        <f>IF(S13="","",IF(S13="Leve",0.2,IF(S13="Menor",0.4,IF(S13="Moderado",0.6,IF(S13="Mayor",0.8,IF(S13="Catastrófico",1,))))))</f>
        <v/>
      </c>
      <c r="U13" s="339" t="str">
        <f>IF(OR(AND(O13="Muy Baja",S13="Leve"),AND(O13="Muy Baja",S13="Menor"),AND(O13="Baja",S13="Leve")),"Bajo",IF(OR(AND(O13="Muy baja",S13="Moderado"),AND(O13="Baja",S13="Menor"),AND(O13="Baja",S13="Moderado"),AND(O13="Media",S13="Leve"),AND(O13="Media",S13="Menor"),AND(O13="Media",S13="Moderado"),AND(O13="Alta",S13="Leve"),AND(O13="Alta",S13="Menor")),"Moderado",IF(OR(AND(O13="Muy Baja",S13="Mayor"),AND(O13="Baja",S13="Mayor"),AND(O13="Media",S13="Mayor"),AND(O13="Alta",S13="Moderado"),AND(O13="Alta",S13="Mayor"),AND(O13="Muy Alta",S13="Leve"),AND(O13="Muy Alta",S13="Menor"),AND(O13="Muy Alta",S13="Moderado"),AND(O13="Muy Alta",S13="Mayor")),"Alto",IF(OR(AND(O13="Muy Baja",S13="Catastrófico"),AND(O13="Baja",S13="Catastrófico"),AND(O13="Media",S13="Catastrófico"),AND(O13="Alta",S13="Catastrófico"),AND(O13="Muy Alta",S13="Catastrófico")),"Extremo",""))))</f>
        <v/>
      </c>
      <c r="V13" s="222">
        <v>1</v>
      </c>
      <c r="W13" s="248"/>
      <c r="X13" s="189" t="str">
        <f t="shared" ref="X13:X18" si="0">IF(OR(Y13="Preventivo",Y13="Detectivo"),"Probabilidad",IF(Y13="Correctivo","Impacto",""))</f>
        <v>Probabilidad</v>
      </c>
      <c r="Y13" s="190" t="s">
        <v>268</v>
      </c>
      <c r="Z13" s="190"/>
      <c r="AA13" s="191" t="str">
        <f>IF(AND(Y13="Preventivo",Z13="Automático"),"50%",IF(AND(Y13="Preventivo",Z13="Manual"),"40%",IF(AND(Y13="Detectivo",Z13="Automático"),"40%",IF(AND(Y13="Detectivo",Z13="Manual"),"30%",IF(AND(Y13="Correctivo",Z13="Automático"),"35%",IF(AND(Y13="Correctivo",Z13="Manual"),"25%",""))))))</f>
        <v/>
      </c>
      <c r="AB13" s="190"/>
      <c r="AC13" s="190"/>
      <c r="AD13" s="190"/>
      <c r="AE13" s="192" t="str">
        <f>IFERROR(IF(X13="Probabilidad",(P13-(+P13*AA13)),IF(X13="Impacto",P13,"")),"")</f>
        <v/>
      </c>
      <c r="AF13" s="193" t="str">
        <f>IFERROR(IF(AE13="","",IF(AE13&lt;=0.2,"Muy Baja",IF(AE13&lt;=0.4,"Baja",IF(AE13&lt;=0.6,"Media",IF(AE13&lt;=0.8,"Alta","Muy Alta"))))),"")</f>
        <v/>
      </c>
      <c r="AG13" s="191" t="str">
        <f>+AE13</f>
        <v/>
      </c>
      <c r="AH13" s="193" t="str">
        <f>IFERROR(IF(AI13="","",IF(AI13&lt;=0.2,"Leve",IF(AI13&lt;=0.4,"Menor",IF(AI13&lt;=0.6,"Moderado",IF(AI13&lt;=0.8,"Mayor","Catastrófico"))))),"")</f>
        <v/>
      </c>
      <c r="AI13" s="191" t="str">
        <f>IFERROR(IF(X13="Impacto",(T13-(+T13*AA13)),IF(X13="Probabilidad",T13,"")),"")</f>
        <v/>
      </c>
      <c r="AJ13" s="194" t="str">
        <f>IFERROR(IF(OR(AND(AF13="Muy Baja",AH13="Leve"),AND(AF13="Muy Baja",AH13="Menor"),AND(AF13="Baja",AH13="Leve")),"Bajo",IF(OR(AND(AF13="Muy baja",AH13="Moderado"),AND(AF13="Baja",AH13="Menor"),AND(AF13="Baja",AH13="Moderado"),AND(AF13="Media",AH13="Leve"),AND(AF13="Media",AH13="Menor"),AND(AF13="Media",AH13="Moderado"),AND(AF13="Alta",AH13="Leve"),AND(AF13="Alta",AH13="Menor")),"Moderado",IF(OR(AND(AF13="Muy Baja",AH13="Mayor"),AND(AF13="Baja",AH13="Mayor"),AND(AF13="Media",AH13="Mayor"),AND(AF13="Alta",AH13="Moderado"),AND(AF13="Alta",AH13="Mayor"),AND(AF13="Muy Alta",AH13="Leve"),AND(AF13="Muy Alta",AH13="Menor"),AND(AF13="Muy Alta",AH13="Moderado"),AND(AF13="Muy Alta",AH13="Mayor")),"Alto",IF(OR(AND(AF13="Muy Baja",AH13="Catastrófico"),AND(AF13="Baja",AH13="Catastrófico"),AND(AF13="Media",AH13="Catastrófico"),AND(AF13="Alta",AH13="Catastrófico"),AND(AF13="Muy Alta",AH13="Catastrófico")),"Extremo","")))),"")</f>
        <v/>
      </c>
      <c r="AK13" s="195"/>
      <c r="AL13" s="186"/>
      <c r="AM13" s="196"/>
      <c r="AN13" s="196"/>
      <c r="AO13" s="197"/>
      <c r="AP13" s="365"/>
      <c r="AQ13" s="365"/>
      <c r="AR13" s="365"/>
    </row>
    <row r="14" spans="1:272" ht="94.5" customHeight="1" x14ac:dyDescent="0.2">
      <c r="A14" s="379"/>
      <c r="B14" s="365"/>
      <c r="C14" s="365"/>
      <c r="D14" s="365"/>
      <c r="E14" s="361"/>
      <c r="F14" s="365"/>
      <c r="G14" s="337"/>
      <c r="H14" s="337"/>
      <c r="I14" s="337"/>
      <c r="J14" s="337"/>
      <c r="K14" s="337"/>
      <c r="L14" s="337"/>
      <c r="M14" s="337"/>
      <c r="N14" s="362"/>
      <c r="O14" s="347"/>
      <c r="P14" s="346"/>
      <c r="Q14" s="330"/>
      <c r="R14" s="346">
        <f>IF(NOT(ISERROR(MATCH(Q14,_xlfn.ANCHORARRAY(E25),0))),P27&amp;"Por favor no seleccionar los criterios de impacto",Q14)</f>
        <v>0</v>
      </c>
      <c r="S14" s="347"/>
      <c r="T14" s="346"/>
      <c r="U14" s="339"/>
      <c r="V14" s="222">
        <v>2</v>
      </c>
      <c r="W14" s="248"/>
      <c r="X14" s="189" t="str">
        <f t="shared" si="0"/>
        <v>Probabilidad</v>
      </c>
      <c r="Y14" s="190" t="s">
        <v>309</v>
      </c>
      <c r="Z14" s="190"/>
      <c r="AA14" s="191" t="str">
        <f t="shared" ref="AA14:AA18" si="1">IF(AND(Y14="Preventivo",Z14="Automático"),"50%",IF(AND(Y14="Preventivo",Z14="Manual"),"40%",IF(AND(Y14="Detectivo",Z14="Automático"),"40%",IF(AND(Y14="Detectivo",Z14="Manual"),"30%",IF(AND(Y14="Correctivo",Z14="Automático"),"35%",IF(AND(Y14="Correctivo",Z14="Manual"),"25%",""))))))</f>
        <v/>
      </c>
      <c r="AB14" s="190"/>
      <c r="AC14" s="190"/>
      <c r="AD14" s="190"/>
      <c r="AE14" s="192" t="str">
        <f>IFERROR(IF(AND(X13="Probabilidad",X14="Probabilidad"),(AG13-(+AG13*AA14)),IF(X14="Probabilidad",(P13-(+P13*AA14)),IF(X14="Impacto",AG13,""))),"")</f>
        <v/>
      </c>
      <c r="AF14" s="193" t="str">
        <f t="shared" ref="AF14:AF72" si="2">IFERROR(IF(AE14="","",IF(AE14&lt;=0.2,"Muy Baja",IF(AE14&lt;=0.4,"Baja",IF(AE14&lt;=0.6,"Media",IF(AE14&lt;=0.8,"Alta","Muy Alta"))))),"")</f>
        <v/>
      </c>
      <c r="AG14" s="191" t="str">
        <f t="shared" ref="AG14:AG18" si="3">+AE14</f>
        <v/>
      </c>
      <c r="AH14" s="193" t="str">
        <f t="shared" ref="AH14:AH72" si="4">IFERROR(IF(AI14="","",IF(AI14&lt;=0.2,"Leve",IF(AI14&lt;=0.4,"Menor",IF(AI14&lt;=0.6,"Moderado",IF(AI14&lt;=0.8,"Mayor","Catastrófico"))))),"")</f>
        <v/>
      </c>
      <c r="AI14" s="191" t="str">
        <f>IFERROR(IF(AND(X13="Impacto",X14="Impacto"),(AI13-(+AI13*AA14)),IF(X14="Impacto",($T$13-(+$T$13*AA14)),IF(X14="Probabilidad",AI13,""))),"")</f>
        <v/>
      </c>
      <c r="AJ14" s="194" t="str">
        <f t="shared" ref="AJ14:AJ18" si="5">IFERROR(IF(OR(AND(AF14="Muy Baja",AH14="Leve"),AND(AF14="Muy Baja",AH14="Menor"),AND(AF14="Baja",AH14="Leve")),"Bajo",IF(OR(AND(AF14="Muy baja",AH14="Moderado"),AND(AF14="Baja",AH14="Menor"),AND(AF14="Baja",AH14="Moderado"),AND(AF14="Media",AH14="Leve"),AND(AF14="Media",AH14="Menor"),AND(AF14="Media",AH14="Moderado"),AND(AF14="Alta",AH14="Leve"),AND(AF14="Alta",AH14="Menor")),"Moderado",IF(OR(AND(AF14="Muy Baja",AH14="Mayor"),AND(AF14="Baja",AH14="Mayor"),AND(AF14="Media",AH14="Mayor"),AND(AF14="Alta",AH14="Moderado"),AND(AF14="Alta",AH14="Mayor"),AND(AF14="Muy Alta",AH14="Leve"),AND(AF14="Muy Alta",AH14="Menor"),AND(AF14="Muy Alta",AH14="Moderado"),AND(AF14="Muy Alta",AH14="Mayor")),"Alto",IF(OR(AND(AF14="Muy Baja",AH14="Catastrófico"),AND(AF14="Baja",AH14="Catastrófico"),AND(AF14="Media",AH14="Catastrófico"),AND(AF14="Alta",AH14="Catastrófico"),AND(AF14="Muy Alta",AH14="Catastrófico")),"Extremo","")))),"")</f>
        <v/>
      </c>
      <c r="AK14" s="195" t="s">
        <v>121</v>
      </c>
      <c r="AL14" s="186"/>
      <c r="AM14" s="196"/>
      <c r="AN14" s="186"/>
      <c r="AO14" s="197"/>
      <c r="AP14" s="365"/>
      <c r="AQ14" s="365"/>
      <c r="AR14" s="365"/>
    </row>
    <row r="15" spans="1:272" ht="37.5" customHeight="1" x14ac:dyDescent="0.2">
      <c r="A15" s="379"/>
      <c r="B15" s="365"/>
      <c r="C15" s="365"/>
      <c r="D15" s="365"/>
      <c r="E15" s="361"/>
      <c r="F15" s="365"/>
      <c r="G15" s="337"/>
      <c r="H15" s="337"/>
      <c r="I15" s="337"/>
      <c r="J15" s="337"/>
      <c r="K15" s="337"/>
      <c r="L15" s="337"/>
      <c r="M15" s="337"/>
      <c r="N15" s="362"/>
      <c r="O15" s="347"/>
      <c r="P15" s="346"/>
      <c r="Q15" s="330"/>
      <c r="R15" s="346">
        <f>IF(NOT(ISERROR(MATCH(Q15,_xlfn.ANCHORARRAY(E26),0))),P28&amp;"Por favor no seleccionar los criterios de impacto",Q15)</f>
        <v>0</v>
      </c>
      <c r="S15" s="347"/>
      <c r="T15" s="346"/>
      <c r="U15" s="339"/>
      <c r="V15" s="222">
        <v>3</v>
      </c>
      <c r="W15" s="188"/>
      <c r="X15" s="189" t="str">
        <f t="shared" si="0"/>
        <v>Impacto</v>
      </c>
      <c r="Y15" s="190" t="s">
        <v>331</v>
      </c>
      <c r="Z15" s="190"/>
      <c r="AA15" s="191" t="str">
        <f t="shared" si="1"/>
        <v/>
      </c>
      <c r="AB15" s="190"/>
      <c r="AC15" s="190"/>
      <c r="AD15" s="190"/>
      <c r="AE15" s="192" t="str">
        <f>IFERROR(IF(AND(X14="Probabilidad",X15="Probabilidad"),(AG14-(+AG14*AA15)),IF(AND(X14="Impacto",X15="Probabilidad"),(AG13-(+AG13*AA15)),IF(X15="Impacto",AG14,""))),"")</f>
        <v/>
      </c>
      <c r="AF15" s="193" t="str">
        <f t="shared" si="2"/>
        <v/>
      </c>
      <c r="AG15" s="191" t="str">
        <f t="shared" si="3"/>
        <v/>
      </c>
      <c r="AH15" s="193" t="str">
        <f t="shared" si="4"/>
        <v/>
      </c>
      <c r="AI15" s="191" t="str">
        <f>IFERROR(IF(AND(X14="Impacto",X15="Impacto"),(AI14-(+AI14*AA15)),IF(AND(X14="Probabilidad",X15="Impacto"),(AI13-(+AI13*AA15)),IF(X15="Probabilidad",AI14,""))),"")</f>
        <v/>
      </c>
      <c r="AJ15" s="194" t="str">
        <f t="shared" si="5"/>
        <v/>
      </c>
      <c r="AK15" s="195"/>
      <c r="AL15" s="186"/>
      <c r="AM15" s="196"/>
      <c r="AN15" s="196"/>
      <c r="AO15" s="197"/>
      <c r="AP15" s="365"/>
      <c r="AQ15" s="365"/>
      <c r="AR15" s="365"/>
    </row>
    <row r="16" spans="1:272" ht="37.5" customHeight="1" x14ac:dyDescent="0.2">
      <c r="A16" s="379"/>
      <c r="B16" s="365"/>
      <c r="C16" s="365"/>
      <c r="D16" s="365"/>
      <c r="E16" s="361"/>
      <c r="F16" s="365"/>
      <c r="G16" s="337"/>
      <c r="H16" s="337"/>
      <c r="I16" s="337"/>
      <c r="J16" s="337"/>
      <c r="K16" s="337"/>
      <c r="L16" s="337"/>
      <c r="M16" s="337"/>
      <c r="N16" s="362"/>
      <c r="O16" s="347"/>
      <c r="P16" s="346"/>
      <c r="Q16" s="330"/>
      <c r="R16" s="346">
        <f>IF(NOT(ISERROR(MATCH(Q16,_xlfn.ANCHORARRAY(E27),0))),P29&amp;"Por favor no seleccionar los criterios de impacto",Q16)</f>
        <v>0</v>
      </c>
      <c r="S16" s="347"/>
      <c r="T16" s="346"/>
      <c r="U16" s="339"/>
      <c r="V16" s="222">
        <v>4</v>
      </c>
      <c r="W16" s="187"/>
      <c r="X16" s="189" t="str">
        <f t="shared" si="0"/>
        <v/>
      </c>
      <c r="Y16" s="190"/>
      <c r="Z16" s="190"/>
      <c r="AA16" s="191" t="str">
        <f t="shared" si="1"/>
        <v/>
      </c>
      <c r="AB16" s="190"/>
      <c r="AC16" s="190"/>
      <c r="AD16" s="190"/>
      <c r="AE16" s="192" t="str">
        <f t="shared" ref="AE16:AE18" si="6">IFERROR(IF(AND(X15="Probabilidad",X16="Probabilidad"),(AG15-(+AG15*AA16)),IF(AND(X15="Impacto",X16="Probabilidad"),(AG14-(+AG14*AA16)),IF(X16="Impacto",AG15,""))),"")</f>
        <v/>
      </c>
      <c r="AF16" s="193" t="str">
        <f t="shared" si="2"/>
        <v/>
      </c>
      <c r="AG16" s="191" t="str">
        <f t="shared" si="3"/>
        <v/>
      </c>
      <c r="AH16" s="193" t="str">
        <f t="shared" si="4"/>
        <v/>
      </c>
      <c r="AI16" s="191" t="str">
        <f t="shared" ref="AI16:AI18" si="7">IFERROR(IF(AND(X15="Impacto",X16="Impacto"),(AI15-(+AI15*AA16)),IF(AND(X15="Probabilidad",X16="Impacto"),(AI14-(+AI14*AA16)),IF(X16="Probabilidad",AI15,""))),"")</f>
        <v/>
      </c>
      <c r="AJ16" s="194" t="str">
        <f>IFERROR(IF(OR(AND(AF16="Muy Baja",AH16="Leve"),AND(AF16="Muy Baja",AH16="Menor"),AND(AF16="Baja",AH16="Leve")),"Bajo",IF(OR(AND(AF16="Muy baja",AH16="Moderado"),AND(AF16="Baja",AH16="Menor"),AND(AF16="Baja",AH16="Moderado"),AND(AF16="Media",AH16="Leve"),AND(AF16="Media",AH16="Menor"),AND(AF16="Media",AH16="Moderado"),AND(AF16="Alta",AH16="Leve"),AND(AF16="Alta",AH16="Menor")),"Moderado",IF(OR(AND(AF16="Muy Baja",AH16="Mayor"),AND(AF16="Baja",AH16="Mayor"),AND(AF16="Media",AH16="Mayor"),AND(AF16="Alta",AH16="Moderado"),AND(AF16="Alta",AH16="Mayor"),AND(AF16="Muy Alta",AH16="Leve"),AND(AF16="Muy Alta",AH16="Menor"),AND(AF16="Muy Alta",AH16="Moderado"),AND(AF16="Muy Alta",AH16="Mayor")),"Alto",IF(OR(AND(AF16="Muy Baja",AH16="Catastrófico"),AND(AF16="Baja",AH16="Catastrófico"),AND(AF16="Media",AH16="Catastrófico"),AND(AF16="Alta",AH16="Catastrófico"),AND(AF16="Muy Alta",AH16="Catastrófico")),"Extremo","")))),"")</f>
        <v/>
      </c>
      <c r="AK16" s="195"/>
      <c r="AL16" s="186"/>
      <c r="AM16" s="196"/>
      <c r="AN16" s="196"/>
      <c r="AO16" s="197"/>
      <c r="AP16" s="365"/>
      <c r="AQ16" s="365"/>
      <c r="AR16" s="365"/>
    </row>
    <row r="17" spans="1:44" ht="37.5" customHeight="1" x14ac:dyDescent="0.2">
      <c r="A17" s="379"/>
      <c r="B17" s="365"/>
      <c r="C17" s="365"/>
      <c r="D17" s="365"/>
      <c r="E17" s="361"/>
      <c r="F17" s="365"/>
      <c r="G17" s="337"/>
      <c r="H17" s="337"/>
      <c r="I17" s="337"/>
      <c r="J17" s="337"/>
      <c r="K17" s="337"/>
      <c r="L17" s="337"/>
      <c r="M17" s="337"/>
      <c r="N17" s="362"/>
      <c r="O17" s="347"/>
      <c r="P17" s="346"/>
      <c r="Q17" s="330"/>
      <c r="R17" s="346">
        <f>IF(NOT(ISERROR(MATCH(Q17,_xlfn.ANCHORARRAY(E28),0))),P30&amp;"Por favor no seleccionar los criterios de impacto",Q17)</f>
        <v>0</v>
      </c>
      <c r="S17" s="347"/>
      <c r="T17" s="346"/>
      <c r="U17" s="339"/>
      <c r="V17" s="222">
        <v>5</v>
      </c>
      <c r="W17" s="187"/>
      <c r="X17" s="189" t="str">
        <f t="shared" si="0"/>
        <v/>
      </c>
      <c r="Y17" s="190"/>
      <c r="Z17" s="190"/>
      <c r="AA17" s="191" t="str">
        <f t="shared" si="1"/>
        <v/>
      </c>
      <c r="AB17" s="190"/>
      <c r="AC17" s="190"/>
      <c r="AD17" s="190"/>
      <c r="AE17" s="192" t="str">
        <f t="shared" si="6"/>
        <v/>
      </c>
      <c r="AF17" s="193" t="str">
        <f t="shared" si="2"/>
        <v/>
      </c>
      <c r="AG17" s="191" t="str">
        <f t="shared" si="3"/>
        <v/>
      </c>
      <c r="AH17" s="193" t="str">
        <f t="shared" si="4"/>
        <v/>
      </c>
      <c r="AI17" s="191" t="str">
        <f t="shared" si="7"/>
        <v/>
      </c>
      <c r="AJ17" s="194" t="str">
        <f t="shared" si="5"/>
        <v/>
      </c>
      <c r="AK17" s="195"/>
      <c r="AL17" s="186"/>
      <c r="AM17" s="196"/>
      <c r="AN17" s="196"/>
      <c r="AO17" s="197"/>
      <c r="AP17" s="365"/>
      <c r="AQ17" s="365"/>
      <c r="AR17" s="365"/>
    </row>
    <row r="18" spans="1:44" ht="37.5" customHeight="1" x14ac:dyDescent="0.2">
      <c r="A18" s="379"/>
      <c r="B18" s="365"/>
      <c r="C18" s="365"/>
      <c r="D18" s="365"/>
      <c r="E18" s="361"/>
      <c r="F18" s="365"/>
      <c r="G18" s="338"/>
      <c r="H18" s="338"/>
      <c r="I18" s="338"/>
      <c r="J18" s="338"/>
      <c r="K18" s="338"/>
      <c r="L18" s="338"/>
      <c r="M18" s="338"/>
      <c r="N18" s="362"/>
      <c r="O18" s="347"/>
      <c r="P18" s="346"/>
      <c r="Q18" s="330"/>
      <c r="R18" s="346">
        <f>IF(NOT(ISERROR(MATCH(Q18,_xlfn.ANCHORARRAY(E29),0))),P31&amp;"Por favor no seleccionar los criterios de impacto",Q18)</f>
        <v>0</v>
      </c>
      <c r="S18" s="347"/>
      <c r="T18" s="346"/>
      <c r="U18" s="339"/>
      <c r="V18" s="222">
        <v>6</v>
      </c>
      <c r="W18" s="187"/>
      <c r="X18" s="189" t="str">
        <f t="shared" si="0"/>
        <v/>
      </c>
      <c r="Y18" s="190"/>
      <c r="Z18" s="190"/>
      <c r="AA18" s="191" t="str">
        <f t="shared" si="1"/>
        <v/>
      </c>
      <c r="AB18" s="190"/>
      <c r="AC18" s="190"/>
      <c r="AD18" s="190"/>
      <c r="AE18" s="192" t="str">
        <f t="shared" si="6"/>
        <v/>
      </c>
      <c r="AF18" s="193" t="str">
        <f t="shared" si="2"/>
        <v/>
      </c>
      <c r="AG18" s="191" t="str">
        <f t="shared" si="3"/>
        <v/>
      </c>
      <c r="AH18" s="193" t="str">
        <f t="shared" si="4"/>
        <v/>
      </c>
      <c r="AI18" s="191" t="str">
        <f t="shared" si="7"/>
        <v/>
      </c>
      <c r="AJ18" s="194" t="str">
        <f t="shared" si="5"/>
        <v/>
      </c>
      <c r="AK18" s="195"/>
      <c r="AL18" s="186"/>
      <c r="AM18" s="196"/>
      <c r="AN18" s="196"/>
      <c r="AO18" s="197"/>
      <c r="AP18" s="365"/>
      <c r="AQ18" s="365"/>
      <c r="AR18" s="365"/>
    </row>
    <row r="19" spans="1:44" ht="37.5" customHeight="1" x14ac:dyDescent="0.2">
      <c r="A19" s="379">
        <v>2</v>
      </c>
      <c r="B19" s="365"/>
      <c r="C19" s="365"/>
      <c r="D19" s="365"/>
      <c r="E19" s="361"/>
      <c r="F19" s="365"/>
      <c r="G19" s="336"/>
      <c r="H19" s="336"/>
      <c r="I19" s="336"/>
      <c r="J19" s="336"/>
      <c r="K19" s="336"/>
      <c r="L19" s="336"/>
      <c r="M19" s="336"/>
      <c r="N19" s="362"/>
      <c r="O19" s="347" t="str">
        <f>IF(N19&lt;=0,"",IF(N19&lt;=2,"Muy Baja",IF(N19&lt;=24,"Baja",IF(N19&lt;=500,"Media",IF(N19&lt;=5000,"Alta","Muy Alta")))))</f>
        <v/>
      </c>
      <c r="P19" s="346" t="str">
        <f>IF(O19="","",IF(O19="Muy Baja",0.2,IF(O19="Baja",0.4,IF(O19="Media",0.6,IF(O19="Alta",0.8,IF(O19="Muy Alta",1,))))))</f>
        <v/>
      </c>
      <c r="Q19" s="330"/>
      <c r="R19" s="346">
        <f>IF(NOT(ISERROR(MATCH(Q19,'Tabla Impacto'!$B$222:$B$224,0))),'Tabla Impacto'!$F$224&amp;"Por favor no seleccionar los criterios de impacto(Afectación Económica o presupuestal y Pérdida Reputacional)",Q19)</f>
        <v>0</v>
      </c>
      <c r="S19" s="347" t="str">
        <f>IF(OR(R19='Tabla Impacto'!$C$12,R19='Tabla Impacto'!$D$12),"Leve",IF(OR(R19='Tabla Impacto'!$C$13,R19='Tabla Impacto'!$D$13),"Menor",IF(OR(R19='Tabla Impacto'!$C$14,R19='Tabla Impacto'!$D$14),"Moderado",IF(OR(R19='Tabla Impacto'!$C$15,R19='Tabla Impacto'!$D$15),"Mayor",IF(OR(R19='Tabla Impacto'!$C$16,R19='Tabla Impacto'!$D$16),"Catastrófico","")))))</f>
        <v/>
      </c>
      <c r="T19" s="346" t="str">
        <f>IF(S19="","",IF(S19="Leve",0.2,IF(S19="Menor",0.4,IF(S19="Moderado",0.6,IF(S19="Mayor",0.8,IF(S19="Catastrófico",1,))))))</f>
        <v/>
      </c>
      <c r="U19" s="339" t="str">
        <f>IF(OR(AND(O19="Muy Baja",S19="Leve"),AND(O19="Muy Baja",S19="Menor"),AND(O19="Baja",S19="Leve")),"Bajo",IF(OR(AND(O19="Muy baja",S19="Moderado"),AND(O19="Baja",S19="Menor"),AND(O19="Baja",S19="Moderado"),AND(O19="Media",S19="Leve"),AND(O19="Media",S19="Menor"),AND(O19="Media",S19="Moderado"),AND(O19="Alta",S19="Leve"),AND(O19="Alta",S19="Menor")),"Moderado",IF(OR(AND(O19="Muy Baja",S19="Mayor"),AND(O19="Baja",S19="Mayor"),AND(O19="Media",S19="Mayor"),AND(O19="Alta",S19="Moderado"),AND(O19="Alta",S19="Mayor"),AND(O19="Muy Alta",S19="Leve"),AND(O19="Muy Alta",S19="Menor"),AND(O19="Muy Alta",S19="Moderado"),AND(O19="Muy Alta",S19="Mayor")),"Alto",IF(OR(AND(O19="Muy Baja",S19="Catastrófico"),AND(O19="Baja",S19="Catastrófico"),AND(O19="Media",S19="Catastrófico"),AND(O19="Alta",S19="Catastrófico"),AND(O19="Muy Alta",S19="Catastrófico")),"Extremo",""))))</f>
        <v/>
      </c>
      <c r="V19" s="222">
        <v>1</v>
      </c>
      <c r="W19" s="187"/>
      <c r="X19" s="189" t="str">
        <f>IF(OR(Y19="Preventivo",Y19="Detectivo"),"Probabilidad",IF(Y19="Correctivo","Impacto",""))</f>
        <v/>
      </c>
      <c r="Y19" s="190"/>
      <c r="Z19" s="190"/>
      <c r="AA19" s="191" t="str">
        <f>IF(AND(Y19="Preventivo",Z19="Automático"),"50%",IF(AND(Y19="Preventivo",Z19="Manual"),"40%",IF(AND(Y19="Detectivo",Z19="Automático"),"40%",IF(AND(Y19="Detectivo",Z19="Manual"),"30%",IF(AND(Y19="Correctivo",Z19="Automático"),"35%",IF(AND(Y19="Correctivo",Z19="Manual"),"25%",""))))))</f>
        <v/>
      </c>
      <c r="AB19" s="190"/>
      <c r="AC19" s="190"/>
      <c r="AD19" s="190"/>
      <c r="AE19" s="192" t="str">
        <f>IFERROR(IF(X19="Probabilidad",(P19-(+P19*AA19)),IF(X19="Impacto",P19,"")),"")</f>
        <v/>
      </c>
      <c r="AF19" s="193" t="str">
        <f>IFERROR(IF(AE19="","",IF(AE19&lt;=0.2,"Muy Baja",IF(AE19&lt;=0.4,"Baja",IF(AE19&lt;=0.6,"Media",IF(AE19&lt;=0.8,"Alta","Muy Alta"))))),"")</f>
        <v/>
      </c>
      <c r="AG19" s="191" t="str">
        <f>+AE19</f>
        <v/>
      </c>
      <c r="AH19" s="193" t="str">
        <f>IFERROR(IF(AI19="","",IF(AI19&lt;=0.2,"Leve",IF(AI19&lt;=0.4,"Menor",IF(AI19&lt;=0.6,"Moderado",IF(AI19&lt;=0.8,"Mayor","Catastrófico"))))),"")</f>
        <v/>
      </c>
      <c r="AI19" s="191" t="str">
        <f t="shared" ref="AI19" si="8">IFERROR(IF(X19="Impacto",(T19-(+T19*AA19)),IF(X19="Probabilidad",T19,"")),"")</f>
        <v/>
      </c>
      <c r="AJ19" s="194" t="str">
        <f>IFERROR(IF(OR(AND(AF19="Muy Baja",AH19="Leve"),AND(AF19="Muy Baja",AH19="Menor"),AND(AF19="Baja",AH19="Leve")),"Bajo",IF(OR(AND(AF19="Muy baja",AH19="Moderado"),AND(AF19="Baja",AH19="Menor"),AND(AF19="Baja",AH19="Moderado"),AND(AF19="Media",AH19="Leve"),AND(AF19="Media",AH19="Menor"),AND(AF19="Media",AH19="Moderado"),AND(AF19="Alta",AH19="Leve"),AND(AF19="Alta",AH19="Menor")),"Moderado",IF(OR(AND(AF19="Muy Baja",AH19="Mayor"),AND(AF19="Baja",AH19="Mayor"),AND(AF19="Media",AH19="Mayor"),AND(AF19="Alta",AH19="Moderado"),AND(AF19="Alta",AH19="Mayor"),AND(AF19="Muy Alta",AH19="Leve"),AND(AF19="Muy Alta",AH19="Menor"),AND(AF19="Muy Alta",AH19="Moderado"),AND(AF19="Muy Alta",AH19="Mayor")),"Alto",IF(OR(AND(AF19="Muy Baja",AH19="Catastrófico"),AND(AF19="Baja",AH19="Catastrófico"),AND(AF19="Media",AH19="Catastrófico"),AND(AF19="Alta",AH19="Catastrófico"),AND(AF19="Muy Alta",AH19="Catastrófico")),"Extremo","")))),"")</f>
        <v/>
      </c>
      <c r="AK19" s="195"/>
      <c r="AL19" s="186"/>
      <c r="AM19" s="196"/>
      <c r="AN19" s="196"/>
      <c r="AO19" s="197"/>
      <c r="AP19" s="362"/>
      <c r="AQ19" s="362"/>
      <c r="AR19" s="362"/>
    </row>
    <row r="20" spans="1:44" ht="37.5" customHeight="1" x14ac:dyDescent="0.2">
      <c r="A20" s="379"/>
      <c r="B20" s="365"/>
      <c r="C20" s="365"/>
      <c r="D20" s="365"/>
      <c r="E20" s="361"/>
      <c r="F20" s="365"/>
      <c r="G20" s="337"/>
      <c r="H20" s="337"/>
      <c r="I20" s="337"/>
      <c r="J20" s="337"/>
      <c r="K20" s="337"/>
      <c r="L20" s="337"/>
      <c r="M20" s="337"/>
      <c r="N20" s="362"/>
      <c r="O20" s="347"/>
      <c r="P20" s="346"/>
      <c r="Q20" s="330"/>
      <c r="R20" s="346">
        <f>IF(NOT(ISERROR(MATCH(Q20,_xlfn.ANCHORARRAY(E31),0))),P33&amp;"Por favor no seleccionar los criterios de impacto",Q20)</f>
        <v>0</v>
      </c>
      <c r="S20" s="347"/>
      <c r="T20" s="346"/>
      <c r="U20" s="339"/>
      <c r="V20" s="222">
        <v>2</v>
      </c>
      <c r="W20" s="187"/>
      <c r="X20" s="189" t="str">
        <f>IF(OR(Y20="Preventivo",Y20="Detectivo"),"Probabilidad",IF(Y20="Correctivo","Impacto",""))</f>
        <v/>
      </c>
      <c r="Y20" s="190"/>
      <c r="Z20" s="190"/>
      <c r="AA20" s="191" t="str">
        <f t="shared" ref="AA20:AA24" si="9">IF(AND(Y20="Preventivo",Z20="Automático"),"50%",IF(AND(Y20="Preventivo",Z20="Manual"),"40%",IF(AND(Y20="Detectivo",Z20="Automático"),"40%",IF(AND(Y20="Detectivo",Z20="Manual"),"30%",IF(AND(Y20="Correctivo",Z20="Automático"),"35%",IF(AND(Y20="Correctivo",Z20="Manual"),"25%",""))))))</f>
        <v/>
      </c>
      <c r="AB20" s="190"/>
      <c r="AC20" s="190"/>
      <c r="AD20" s="190"/>
      <c r="AE20" s="192" t="str">
        <f>IFERROR(IF(AND(X19="Probabilidad",X20="Probabilidad"),(AG19-(+AG19*AA20)),IF(X20="Probabilidad",(P19-(+P19*AA20)),IF(X20="Impacto",AG19,""))),"")</f>
        <v/>
      </c>
      <c r="AF20" s="193" t="str">
        <f t="shared" si="2"/>
        <v/>
      </c>
      <c r="AG20" s="191" t="str">
        <f t="shared" ref="AG20:AG24" si="10">+AE20</f>
        <v/>
      </c>
      <c r="AH20" s="193" t="str">
        <f t="shared" si="4"/>
        <v/>
      </c>
      <c r="AI20" s="191" t="str">
        <f t="shared" ref="AI20" si="11">IFERROR(IF(AND(X19="Impacto",X20="Impacto"),(AI19-(+AI19*AA20)),IF(X20="Impacto",($T$13-(+$T$13*AA20)),IF(X20="Probabilidad",AI19,""))),"")</f>
        <v/>
      </c>
      <c r="AJ20" s="194" t="str">
        <f t="shared" ref="AJ20:AJ21" si="12">IFERROR(IF(OR(AND(AF20="Muy Baja",AH20="Leve"),AND(AF20="Muy Baja",AH20="Menor"),AND(AF20="Baja",AH20="Leve")),"Bajo",IF(OR(AND(AF20="Muy baja",AH20="Moderado"),AND(AF20="Baja",AH20="Menor"),AND(AF20="Baja",AH20="Moderado"),AND(AF20="Media",AH20="Leve"),AND(AF20="Media",AH20="Menor"),AND(AF20="Media",AH20="Moderado"),AND(AF20="Alta",AH20="Leve"),AND(AF20="Alta",AH20="Menor")),"Moderado",IF(OR(AND(AF20="Muy Baja",AH20="Mayor"),AND(AF20="Baja",AH20="Mayor"),AND(AF20="Media",AH20="Mayor"),AND(AF20="Alta",AH20="Moderado"),AND(AF20="Alta",AH20="Mayor"),AND(AF20="Muy Alta",AH20="Leve"),AND(AF20="Muy Alta",AH20="Menor"),AND(AF20="Muy Alta",AH20="Moderado"),AND(AF20="Muy Alta",AH20="Mayor")),"Alto",IF(OR(AND(AF20="Muy Baja",AH20="Catastrófico"),AND(AF20="Baja",AH20="Catastrófico"),AND(AF20="Media",AH20="Catastrófico"),AND(AF20="Alta",AH20="Catastrófico"),AND(AF20="Muy Alta",AH20="Catastrófico")),"Extremo","")))),"")</f>
        <v/>
      </c>
      <c r="AK20" s="195"/>
      <c r="AL20" s="186"/>
      <c r="AM20" s="196"/>
      <c r="AN20" s="186"/>
      <c r="AO20" s="197"/>
      <c r="AP20" s="362"/>
      <c r="AQ20" s="362"/>
      <c r="AR20" s="362"/>
    </row>
    <row r="21" spans="1:44" ht="37.5" customHeight="1" x14ac:dyDescent="0.2">
      <c r="A21" s="379"/>
      <c r="B21" s="365"/>
      <c r="C21" s="365"/>
      <c r="D21" s="365"/>
      <c r="E21" s="361"/>
      <c r="F21" s="365"/>
      <c r="G21" s="337"/>
      <c r="H21" s="337"/>
      <c r="I21" s="337"/>
      <c r="J21" s="337"/>
      <c r="K21" s="337"/>
      <c r="L21" s="337"/>
      <c r="M21" s="337"/>
      <c r="N21" s="362"/>
      <c r="O21" s="347"/>
      <c r="P21" s="346"/>
      <c r="Q21" s="330"/>
      <c r="R21" s="346">
        <f>IF(NOT(ISERROR(MATCH(Q21,_xlfn.ANCHORARRAY(E32),0))),P34&amp;"Por favor no seleccionar los criterios de impacto",Q21)</f>
        <v>0</v>
      </c>
      <c r="S21" s="347"/>
      <c r="T21" s="346"/>
      <c r="U21" s="339"/>
      <c r="V21" s="222">
        <v>3</v>
      </c>
      <c r="W21" s="188"/>
      <c r="X21" s="189" t="str">
        <f>IF(OR(Y21="Preventivo",Y21="Detectivo"),"Probabilidad",IF(Y21="Correctivo","Impacto",""))</f>
        <v/>
      </c>
      <c r="Y21" s="190"/>
      <c r="Z21" s="190"/>
      <c r="AA21" s="191" t="str">
        <f t="shared" si="9"/>
        <v/>
      </c>
      <c r="AB21" s="190"/>
      <c r="AC21" s="190"/>
      <c r="AD21" s="190"/>
      <c r="AE21" s="192" t="str">
        <f>IFERROR(IF(AND(X20="Probabilidad",X21="Probabilidad"),(AG20-(+AG20*AA21)),IF(AND(X20="Impacto",X21="Probabilidad"),(AG19-(+AG19*AA21)),IF(X21="Impacto",AG20,""))),"")</f>
        <v/>
      </c>
      <c r="AF21" s="193" t="str">
        <f t="shared" si="2"/>
        <v/>
      </c>
      <c r="AG21" s="191" t="str">
        <f t="shared" si="10"/>
        <v/>
      </c>
      <c r="AH21" s="193" t="str">
        <f t="shared" si="4"/>
        <v/>
      </c>
      <c r="AI21" s="191" t="str">
        <f t="shared" ref="AI21:AI72" si="13">IFERROR(IF(AND(X20="Impacto",X21="Impacto"),(AI20-(+AI20*AA21)),IF(AND(X20="Probabilidad",X21="Impacto"),(AI19-(+AI19*AA21)),IF(X21="Probabilidad",AI20,""))),"")</f>
        <v/>
      </c>
      <c r="AJ21" s="194" t="str">
        <f t="shared" si="12"/>
        <v/>
      </c>
      <c r="AK21" s="195"/>
      <c r="AL21" s="186"/>
      <c r="AM21" s="196"/>
      <c r="AN21" s="196"/>
      <c r="AO21" s="197"/>
      <c r="AP21" s="362"/>
      <c r="AQ21" s="362"/>
      <c r="AR21" s="362"/>
    </row>
    <row r="22" spans="1:44" ht="37.5" customHeight="1" x14ac:dyDescent="0.2">
      <c r="A22" s="379"/>
      <c r="B22" s="365"/>
      <c r="C22" s="365"/>
      <c r="D22" s="365"/>
      <c r="E22" s="361"/>
      <c r="F22" s="365"/>
      <c r="G22" s="337"/>
      <c r="H22" s="337"/>
      <c r="I22" s="337"/>
      <c r="J22" s="337"/>
      <c r="K22" s="337"/>
      <c r="L22" s="337"/>
      <c r="M22" s="337"/>
      <c r="N22" s="362"/>
      <c r="O22" s="347"/>
      <c r="P22" s="346"/>
      <c r="Q22" s="330"/>
      <c r="R22" s="346">
        <f>IF(NOT(ISERROR(MATCH(Q22,_xlfn.ANCHORARRAY(E33),0))),P35&amp;"Por favor no seleccionar los criterios de impacto",Q22)</f>
        <v>0</v>
      </c>
      <c r="S22" s="347"/>
      <c r="T22" s="346"/>
      <c r="U22" s="339"/>
      <c r="V22" s="222">
        <v>4</v>
      </c>
      <c r="W22" s="187"/>
      <c r="X22" s="189" t="str">
        <f t="shared" ref="X22:X24" si="14">IF(OR(Y22="Preventivo",Y22="Detectivo"),"Probabilidad",IF(Y22="Correctivo","Impacto",""))</f>
        <v/>
      </c>
      <c r="Y22" s="190"/>
      <c r="Z22" s="190"/>
      <c r="AA22" s="191" t="str">
        <f t="shared" si="9"/>
        <v/>
      </c>
      <c r="AB22" s="190"/>
      <c r="AC22" s="190"/>
      <c r="AD22" s="190"/>
      <c r="AE22" s="192" t="str">
        <f t="shared" ref="AE22:AE24" si="15">IFERROR(IF(AND(X21="Probabilidad",X22="Probabilidad"),(AG21-(+AG21*AA22)),IF(AND(X21="Impacto",X22="Probabilidad"),(AG20-(+AG20*AA22)),IF(X22="Impacto",AG21,""))),"")</f>
        <v/>
      </c>
      <c r="AF22" s="193" t="str">
        <f t="shared" si="2"/>
        <v/>
      </c>
      <c r="AG22" s="191" t="str">
        <f t="shared" si="10"/>
        <v/>
      </c>
      <c r="AH22" s="193" t="str">
        <f t="shared" si="4"/>
        <v/>
      </c>
      <c r="AI22" s="191" t="str">
        <f t="shared" si="13"/>
        <v/>
      </c>
      <c r="AJ22" s="194" t="str">
        <f>IFERROR(IF(OR(AND(AF22="Muy Baja",AH22="Leve"),AND(AF22="Muy Baja",AH22="Menor"),AND(AF22="Baja",AH22="Leve")),"Bajo",IF(OR(AND(AF22="Muy baja",AH22="Moderado"),AND(AF22="Baja",AH22="Menor"),AND(AF22="Baja",AH22="Moderado"),AND(AF22="Media",AH22="Leve"),AND(AF22="Media",AH22="Menor"),AND(AF22="Media",AH22="Moderado"),AND(AF22="Alta",AH22="Leve"),AND(AF22="Alta",AH22="Menor")),"Moderado",IF(OR(AND(AF22="Muy Baja",AH22="Mayor"),AND(AF22="Baja",AH22="Mayor"),AND(AF22="Media",AH22="Mayor"),AND(AF22="Alta",AH22="Moderado"),AND(AF22="Alta",AH22="Mayor"),AND(AF22="Muy Alta",AH22="Leve"),AND(AF22="Muy Alta",AH22="Menor"),AND(AF22="Muy Alta",AH22="Moderado"),AND(AF22="Muy Alta",AH22="Mayor")),"Alto",IF(OR(AND(AF22="Muy Baja",AH22="Catastrófico"),AND(AF22="Baja",AH22="Catastrófico"),AND(AF22="Media",AH22="Catastrófico"),AND(AF22="Alta",AH22="Catastrófico"),AND(AF22="Muy Alta",AH22="Catastrófico")),"Extremo","")))),"")</f>
        <v/>
      </c>
      <c r="AK22" s="195"/>
      <c r="AL22" s="186"/>
      <c r="AM22" s="196"/>
      <c r="AN22" s="196"/>
      <c r="AO22" s="197"/>
      <c r="AP22" s="362"/>
      <c r="AQ22" s="362"/>
      <c r="AR22" s="362"/>
    </row>
    <row r="23" spans="1:44" ht="37.5" customHeight="1" x14ac:dyDescent="0.2">
      <c r="A23" s="379"/>
      <c r="B23" s="365"/>
      <c r="C23" s="365"/>
      <c r="D23" s="365"/>
      <c r="E23" s="361"/>
      <c r="F23" s="365"/>
      <c r="G23" s="337"/>
      <c r="H23" s="337"/>
      <c r="I23" s="337"/>
      <c r="J23" s="337"/>
      <c r="K23" s="337"/>
      <c r="L23" s="337"/>
      <c r="M23" s="337"/>
      <c r="N23" s="362"/>
      <c r="O23" s="347"/>
      <c r="P23" s="346"/>
      <c r="Q23" s="330"/>
      <c r="R23" s="346">
        <f>IF(NOT(ISERROR(MATCH(Q23,_xlfn.ANCHORARRAY(E34),0))),P36&amp;"Por favor no seleccionar los criterios de impacto",Q23)</f>
        <v>0</v>
      </c>
      <c r="S23" s="347"/>
      <c r="T23" s="346"/>
      <c r="U23" s="339"/>
      <c r="V23" s="222">
        <v>5</v>
      </c>
      <c r="W23" s="187"/>
      <c r="X23" s="189" t="str">
        <f t="shared" si="14"/>
        <v/>
      </c>
      <c r="Y23" s="190"/>
      <c r="Z23" s="190"/>
      <c r="AA23" s="191" t="str">
        <f t="shared" si="9"/>
        <v/>
      </c>
      <c r="AB23" s="190"/>
      <c r="AC23" s="190"/>
      <c r="AD23" s="190"/>
      <c r="AE23" s="192" t="str">
        <f t="shared" si="15"/>
        <v/>
      </c>
      <c r="AF23" s="193" t="str">
        <f t="shared" si="2"/>
        <v/>
      </c>
      <c r="AG23" s="191" t="str">
        <f t="shared" si="10"/>
        <v/>
      </c>
      <c r="AH23" s="193" t="str">
        <f t="shared" si="4"/>
        <v/>
      </c>
      <c r="AI23" s="191" t="str">
        <f t="shared" si="13"/>
        <v/>
      </c>
      <c r="AJ23" s="194" t="str">
        <f t="shared" ref="AJ23:AJ24" si="16">IFERROR(IF(OR(AND(AF23="Muy Baja",AH23="Leve"),AND(AF23="Muy Baja",AH23="Menor"),AND(AF23="Baja",AH23="Leve")),"Bajo",IF(OR(AND(AF23="Muy baja",AH23="Moderado"),AND(AF23="Baja",AH23="Menor"),AND(AF23="Baja",AH23="Moderado"),AND(AF23="Media",AH23="Leve"),AND(AF23="Media",AH23="Menor"),AND(AF23="Media",AH23="Moderado"),AND(AF23="Alta",AH23="Leve"),AND(AF23="Alta",AH23="Menor")),"Moderado",IF(OR(AND(AF23="Muy Baja",AH23="Mayor"),AND(AF23="Baja",AH23="Mayor"),AND(AF23="Media",AH23="Mayor"),AND(AF23="Alta",AH23="Moderado"),AND(AF23="Alta",AH23="Mayor"),AND(AF23="Muy Alta",AH23="Leve"),AND(AF23="Muy Alta",AH23="Menor"),AND(AF23="Muy Alta",AH23="Moderado"),AND(AF23="Muy Alta",AH23="Mayor")),"Alto",IF(OR(AND(AF23="Muy Baja",AH23="Catastrófico"),AND(AF23="Baja",AH23="Catastrófico"),AND(AF23="Media",AH23="Catastrófico"),AND(AF23="Alta",AH23="Catastrófico"),AND(AF23="Muy Alta",AH23="Catastrófico")),"Extremo","")))),"")</f>
        <v/>
      </c>
      <c r="AK23" s="195"/>
      <c r="AL23" s="186"/>
      <c r="AM23" s="196"/>
      <c r="AN23" s="196"/>
      <c r="AO23" s="197"/>
      <c r="AP23" s="362"/>
      <c r="AQ23" s="362"/>
      <c r="AR23" s="362"/>
    </row>
    <row r="24" spans="1:44" ht="37.5" customHeight="1" x14ac:dyDescent="0.2">
      <c r="A24" s="379"/>
      <c r="B24" s="365"/>
      <c r="C24" s="365"/>
      <c r="D24" s="365"/>
      <c r="E24" s="361"/>
      <c r="F24" s="365"/>
      <c r="G24" s="338"/>
      <c r="H24" s="338"/>
      <c r="I24" s="338"/>
      <c r="J24" s="338"/>
      <c r="K24" s="338"/>
      <c r="L24" s="338"/>
      <c r="M24" s="338"/>
      <c r="N24" s="362"/>
      <c r="O24" s="347"/>
      <c r="P24" s="346"/>
      <c r="Q24" s="330"/>
      <c r="R24" s="346">
        <f>IF(NOT(ISERROR(MATCH(Q24,_xlfn.ANCHORARRAY(E35),0))),P37&amp;"Por favor no seleccionar los criterios de impacto",Q24)</f>
        <v>0</v>
      </c>
      <c r="S24" s="347"/>
      <c r="T24" s="346"/>
      <c r="U24" s="339"/>
      <c r="V24" s="222">
        <v>6</v>
      </c>
      <c r="W24" s="187"/>
      <c r="X24" s="189" t="str">
        <f t="shared" si="14"/>
        <v/>
      </c>
      <c r="Y24" s="190"/>
      <c r="Z24" s="190"/>
      <c r="AA24" s="191" t="str">
        <f t="shared" si="9"/>
        <v/>
      </c>
      <c r="AB24" s="190"/>
      <c r="AC24" s="190"/>
      <c r="AD24" s="190"/>
      <c r="AE24" s="192" t="str">
        <f t="shared" si="15"/>
        <v/>
      </c>
      <c r="AF24" s="193" t="str">
        <f t="shared" si="2"/>
        <v/>
      </c>
      <c r="AG24" s="191" t="str">
        <f t="shared" si="10"/>
        <v/>
      </c>
      <c r="AH24" s="193" t="str">
        <f t="shared" si="4"/>
        <v/>
      </c>
      <c r="AI24" s="191" t="str">
        <f t="shared" si="13"/>
        <v/>
      </c>
      <c r="AJ24" s="194" t="str">
        <f t="shared" si="16"/>
        <v/>
      </c>
      <c r="AK24" s="195"/>
      <c r="AL24" s="186"/>
      <c r="AM24" s="196"/>
      <c r="AN24" s="196"/>
      <c r="AO24" s="197"/>
      <c r="AP24" s="362"/>
      <c r="AQ24" s="362"/>
      <c r="AR24" s="362"/>
    </row>
    <row r="25" spans="1:44" ht="37.5" customHeight="1" x14ac:dyDescent="0.2">
      <c r="A25" s="379">
        <v>3</v>
      </c>
      <c r="B25" s="365"/>
      <c r="C25" s="365"/>
      <c r="D25" s="365"/>
      <c r="E25" s="361"/>
      <c r="F25" s="365"/>
      <c r="G25" s="336"/>
      <c r="H25" s="336"/>
      <c r="I25" s="336"/>
      <c r="J25" s="336"/>
      <c r="K25" s="336"/>
      <c r="L25" s="336"/>
      <c r="M25" s="336"/>
      <c r="N25" s="362"/>
      <c r="O25" s="347" t="str">
        <f>IF(N25&lt;=0,"",IF(N25&lt;=2,"Muy Baja",IF(N25&lt;=24,"Baja",IF(N25&lt;=500,"Media",IF(N25&lt;=5000,"Alta","Muy Alta")))))</f>
        <v/>
      </c>
      <c r="P25" s="346" t="str">
        <f>IF(O25="","",IF(O25="Muy Baja",0.2,IF(O25="Baja",0.4,IF(O25="Media",0.6,IF(O25="Alta",0.8,IF(O25="Muy Alta",1,))))))</f>
        <v/>
      </c>
      <c r="Q25" s="330"/>
      <c r="R25" s="346">
        <f>IF(NOT(ISERROR(MATCH(Q25,'Tabla Impacto'!$B$222:$B$224,0))),'Tabla Impacto'!$F$224&amp;"Por favor no seleccionar los criterios de impacto(Afectación Económica o presupuestal y Pérdida Reputacional)",Q25)</f>
        <v>0</v>
      </c>
      <c r="S25" s="347" t="str">
        <f>IF(OR(R25='Tabla Impacto'!$C$12,R25='Tabla Impacto'!$D$12),"Leve",IF(OR(R25='Tabla Impacto'!$C$13,R25='Tabla Impacto'!$D$13),"Menor",IF(OR(R25='Tabla Impacto'!$C$14,R25='Tabla Impacto'!$D$14),"Moderado",IF(OR(R25='Tabla Impacto'!$C$15,R25='Tabla Impacto'!$D$15),"Mayor",IF(OR(R25='Tabla Impacto'!$C$16,R25='Tabla Impacto'!$D$16),"Catastrófico","")))))</f>
        <v/>
      </c>
      <c r="T25" s="346" t="str">
        <f>IF(S25="","",IF(S25="Leve",0.2,IF(S25="Menor",0.4,IF(S25="Moderado",0.6,IF(S25="Mayor",0.8,IF(S25="Catastrófico",1,))))))</f>
        <v/>
      </c>
      <c r="U25" s="339" t="str">
        <f>IF(OR(AND(O25="Muy Baja",S25="Leve"),AND(O25="Muy Baja",S25="Menor"),AND(O25="Baja",S25="Leve")),"Bajo",IF(OR(AND(O25="Muy baja",S25="Moderado"),AND(O25="Baja",S25="Menor"),AND(O25="Baja",S25="Moderado"),AND(O25="Media",S25="Leve"),AND(O25="Media",S25="Menor"),AND(O25="Media",S25="Moderado"),AND(O25="Alta",S25="Leve"),AND(O25="Alta",S25="Menor")),"Moderado",IF(OR(AND(O25="Muy Baja",S25="Mayor"),AND(O25="Baja",S25="Mayor"),AND(O25="Media",S25="Mayor"),AND(O25="Alta",S25="Moderado"),AND(O25="Alta",S25="Mayor"),AND(O25="Muy Alta",S25="Leve"),AND(O25="Muy Alta",S25="Menor"),AND(O25="Muy Alta",S25="Moderado"),AND(O25="Muy Alta",S25="Mayor")),"Alto",IF(OR(AND(O25="Muy Baja",S25="Catastrófico"),AND(O25="Baja",S25="Catastrófico"),AND(O25="Media",S25="Catastrófico"),AND(O25="Alta",S25="Catastrófico"),AND(O25="Muy Alta",S25="Catastrófico")),"Extremo",""))))</f>
        <v/>
      </c>
      <c r="V25" s="222">
        <v>1</v>
      </c>
      <c r="W25" s="187"/>
      <c r="X25" s="189" t="str">
        <f>IF(OR(Y25="Preventivo",Y25="Detectivo"),"Probabilidad",IF(Y25="Correctivo","Impacto",""))</f>
        <v/>
      </c>
      <c r="Y25" s="190"/>
      <c r="Z25" s="190"/>
      <c r="AA25" s="191" t="str">
        <f>IF(AND(Y25="Preventivo",Z25="Automático"),"50%",IF(AND(Y25="Preventivo",Z25="Manual"),"40%",IF(AND(Y25="Detectivo",Z25="Automático"),"40%",IF(AND(Y25="Detectivo",Z25="Manual"),"30%",IF(AND(Y25="Correctivo",Z25="Automático"),"35%",IF(AND(Y25="Correctivo",Z25="Manual"),"25%",""))))))</f>
        <v/>
      </c>
      <c r="AB25" s="190"/>
      <c r="AC25" s="190"/>
      <c r="AD25" s="190"/>
      <c r="AE25" s="192" t="str">
        <f>IFERROR(IF(X25="Probabilidad",(P25-(+P25*AA25)),IF(X25="Impacto",P25,"")),"")</f>
        <v/>
      </c>
      <c r="AF25" s="193" t="str">
        <f>IFERROR(IF(AE25="","",IF(AE25&lt;=0.2,"Muy Baja",IF(AE25&lt;=0.4,"Baja",IF(AE25&lt;=0.6,"Media",IF(AE25&lt;=0.8,"Alta","Muy Alta"))))),"")</f>
        <v/>
      </c>
      <c r="AG25" s="191" t="str">
        <f>+AE25</f>
        <v/>
      </c>
      <c r="AH25" s="193" t="str">
        <f>IFERROR(IF(AI25="","",IF(AI25&lt;=0.2,"Leve",IF(AI25&lt;=0.4,"Menor",IF(AI25&lt;=0.6,"Moderado",IF(AI25&lt;=0.8,"Mayor","Catastrófico"))))),"")</f>
        <v/>
      </c>
      <c r="AI25" s="191" t="str">
        <f t="shared" ref="AI25" si="17">IFERROR(IF(X25="Impacto",(T25-(+T25*AA25)),IF(X25="Probabilidad",T25,"")),"")</f>
        <v/>
      </c>
      <c r="AJ25" s="194" t="str">
        <f>IFERROR(IF(OR(AND(AF25="Muy Baja",AH25="Leve"),AND(AF25="Muy Baja",AH25="Menor"),AND(AF25="Baja",AH25="Leve")),"Bajo",IF(OR(AND(AF25="Muy baja",AH25="Moderado"),AND(AF25="Baja",AH25="Menor"),AND(AF25="Baja",AH25="Moderado"),AND(AF25="Media",AH25="Leve"),AND(AF25="Media",AH25="Menor"),AND(AF25="Media",AH25="Moderado"),AND(AF25="Alta",AH25="Leve"),AND(AF25="Alta",AH25="Menor")),"Moderado",IF(OR(AND(AF25="Muy Baja",AH25="Mayor"),AND(AF25="Baja",AH25="Mayor"),AND(AF25="Media",AH25="Mayor"),AND(AF25="Alta",AH25="Moderado"),AND(AF25="Alta",AH25="Mayor"),AND(AF25="Muy Alta",AH25="Leve"),AND(AF25="Muy Alta",AH25="Menor"),AND(AF25="Muy Alta",AH25="Moderado"),AND(AF25="Muy Alta",AH25="Mayor")),"Alto",IF(OR(AND(AF25="Muy Baja",AH25="Catastrófico"),AND(AF25="Baja",AH25="Catastrófico"),AND(AF25="Media",AH25="Catastrófico"),AND(AF25="Alta",AH25="Catastrófico"),AND(AF25="Muy Alta",AH25="Catastrófico")),"Extremo","")))),"")</f>
        <v/>
      </c>
      <c r="AK25" s="195"/>
      <c r="AL25" s="186"/>
      <c r="AM25" s="196"/>
      <c r="AN25" s="196"/>
      <c r="AO25" s="197"/>
      <c r="AP25" s="362"/>
      <c r="AQ25" s="362"/>
      <c r="AR25" s="362"/>
    </row>
    <row r="26" spans="1:44" ht="37.5" customHeight="1" x14ac:dyDescent="0.2">
      <c r="A26" s="379"/>
      <c r="B26" s="365"/>
      <c r="C26" s="365"/>
      <c r="D26" s="365"/>
      <c r="E26" s="361"/>
      <c r="F26" s="365"/>
      <c r="G26" s="337"/>
      <c r="H26" s="337"/>
      <c r="I26" s="337"/>
      <c r="J26" s="337"/>
      <c r="K26" s="337"/>
      <c r="L26" s="337"/>
      <c r="M26" s="337"/>
      <c r="N26" s="362"/>
      <c r="O26" s="347"/>
      <c r="P26" s="346"/>
      <c r="Q26" s="330"/>
      <c r="R26" s="346">
        <f>IF(NOT(ISERROR(MATCH(Q26,_xlfn.ANCHORARRAY(E37),0))),P39&amp;"Por favor no seleccionar los criterios de impacto",Q26)</f>
        <v>0</v>
      </c>
      <c r="S26" s="347"/>
      <c r="T26" s="346"/>
      <c r="U26" s="339"/>
      <c r="V26" s="222">
        <v>2</v>
      </c>
      <c r="W26" s="187"/>
      <c r="X26" s="189" t="str">
        <f>IF(OR(Y26="Preventivo",Y26="Detectivo"),"Probabilidad",IF(Y26="Correctivo","Impacto",""))</f>
        <v/>
      </c>
      <c r="Y26" s="190"/>
      <c r="Z26" s="190"/>
      <c r="AA26" s="191" t="str">
        <f t="shared" ref="AA26:AA30" si="18">IF(AND(Y26="Preventivo",Z26="Automático"),"50%",IF(AND(Y26="Preventivo",Z26="Manual"),"40%",IF(AND(Y26="Detectivo",Z26="Automático"),"40%",IF(AND(Y26="Detectivo",Z26="Manual"),"30%",IF(AND(Y26="Correctivo",Z26="Automático"),"35%",IF(AND(Y26="Correctivo",Z26="Manual"),"25%",""))))))</f>
        <v/>
      </c>
      <c r="AB26" s="190"/>
      <c r="AC26" s="190"/>
      <c r="AD26" s="190"/>
      <c r="AE26" s="192" t="str">
        <f>IFERROR(IF(AND(X25="Probabilidad",X26="Probabilidad"),(AG25-(+AG25*AA26)),IF(X26="Probabilidad",(P25-(+P25*AA26)),IF(X26="Impacto",AG25,""))),"")</f>
        <v/>
      </c>
      <c r="AF26" s="193" t="str">
        <f t="shared" si="2"/>
        <v/>
      </c>
      <c r="AG26" s="191" t="str">
        <f t="shared" ref="AG26:AG30" si="19">+AE26</f>
        <v/>
      </c>
      <c r="AH26" s="193" t="str">
        <f t="shared" si="4"/>
        <v/>
      </c>
      <c r="AI26" s="191" t="str">
        <f t="shared" ref="AI26" si="20">IFERROR(IF(AND(X25="Impacto",X26="Impacto"),(AI25-(+AI25*AA26)),IF(X26="Impacto",($T$13-(+$T$13*AA26)),IF(X26="Probabilidad",AI25,""))),"")</f>
        <v/>
      </c>
      <c r="AJ26" s="194" t="str">
        <f t="shared" ref="AJ26:AJ27" si="21">IFERROR(IF(OR(AND(AF26="Muy Baja",AH26="Leve"),AND(AF26="Muy Baja",AH26="Menor"),AND(AF26="Baja",AH26="Leve")),"Bajo",IF(OR(AND(AF26="Muy baja",AH26="Moderado"),AND(AF26="Baja",AH26="Menor"),AND(AF26="Baja",AH26="Moderado"),AND(AF26="Media",AH26="Leve"),AND(AF26="Media",AH26="Menor"),AND(AF26="Media",AH26="Moderado"),AND(AF26="Alta",AH26="Leve"),AND(AF26="Alta",AH26="Menor")),"Moderado",IF(OR(AND(AF26="Muy Baja",AH26="Mayor"),AND(AF26="Baja",AH26="Mayor"),AND(AF26="Media",AH26="Mayor"),AND(AF26="Alta",AH26="Moderado"),AND(AF26="Alta",AH26="Mayor"),AND(AF26="Muy Alta",AH26="Leve"),AND(AF26="Muy Alta",AH26="Menor"),AND(AF26="Muy Alta",AH26="Moderado"),AND(AF26="Muy Alta",AH26="Mayor")),"Alto",IF(OR(AND(AF26="Muy Baja",AH26="Catastrófico"),AND(AF26="Baja",AH26="Catastrófico"),AND(AF26="Media",AH26="Catastrófico"),AND(AF26="Alta",AH26="Catastrófico"),AND(AF26="Muy Alta",AH26="Catastrófico")),"Extremo","")))),"")</f>
        <v/>
      </c>
      <c r="AK26" s="195"/>
      <c r="AL26" s="186"/>
      <c r="AM26" s="196"/>
      <c r="AN26" s="196"/>
      <c r="AO26" s="197"/>
      <c r="AP26" s="362"/>
      <c r="AQ26" s="362"/>
      <c r="AR26" s="362"/>
    </row>
    <row r="27" spans="1:44" ht="37.5" customHeight="1" x14ac:dyDescent="0.2">
      <c r="A27" s="379"/>
      <c r="B27" s="365"/>
      <c r="C27" s="365"/>
      <c r="D27" s="365"/>
      <c r="E27" s="361"/>
      <c r="F27" s="365"/>
      <c r="G27" s="337"/>
      <c r="H27" s="337"/>
      <c r="I27" s="337"/>
      <c r="J27" s="337"/>
      <c r="K27" s="337"/>
      <c r="L27" s="337"/>
      <c r="M27" s="337"/>
      <c r="N27" s="362"/>
      <c r="O27" s="347"/>
      <c r="P27" s="346"/>
      <c r="Q27" s="330"/>
      <c r="R27" s="346">
        <f>IF(NOT(ISERROR(MATCH(Q27,_xlfn.ANCHORARRAY(E38),0))),P40&amp;"Por favor no seleccionar los criterios de impacto",Q27)</f>
        <v>0</v>
      </c>
      <c r="S27" s="347"/>
      <c r="T27" s="346"/>
      <c r="U27" s="339"/>
      <c r="V27" s="222">
        <v>3</v>
      </c>
      <c r="W27" s="187"/>
      <c r="X27" s="189" t="str">
        <f>IF(OR(Y27="Preventivo",Y27="Detectivo"),"Probabilidad",IF(Y27="Correctivo","Impacto",""))</f>
        <v/>
      </c>
      <c r="Y27" s="190"/>
      <c r="Z27" s="190"/>
      <c r="AA27" s="191" t="str">
        <f t="shared" si="18"/>
        <v/>
      </c>
      <c r="AB27" s="190"/>
      <c r="AC27" s="190"/>
      <c r="AD27" s="190"/>
      <c r="AE27" s="192" t="str">
        <f>IFERROR(IF(AND(X26="Probabilidad",X27="Probabilidad"),(AG26-(+AG26*AA27)),IF(AND(X26="Impacto",X27="Probabilidad"),(AG25-(+AG25*AA27)),IF(X27="Impacto",AG26,""))),"")</f>
        <v/>
      </c>
      <c r="AF27" s="193" t="str">
        <f t="shared" si="2"/>
        <v/>
      </c>
      <c r="AG27" s="191" t="str">
        <f t="shared" si="19"/>
        <v/>
      </c>
      <c r="AH27" s="193" t="str">
        <f t="shared" si="4"/>
        <v/>
      </c>
      <c r="AI27" s="191" t="str">
        <f t="shared" ref="AI27" si="22">IFERROR(IF(AND(X26="Impacto",X27="Impacto"),(AI26-(+AI26*AA27)),IF(AND(X26="Probabilidad",X27="Impacto"),(AI25-(+AI25*AA27)),IF(X27="Probabilidad",AI26,""))),"")</f>
        <v/>
      </c>
      <c r="AJ27" s="194" t="str">
        <f t="shared" si="21"/>
        <v/>
      </c>
      <c r="AK27" s="195"/>
      <c r="AL27" s="186"/>
      <c r="AM27" s="196"/>
      <c r="AN27" s="196"/>
      <c r="AO27" s="197"/>
      <c r="AP27" s="362"/>
      <c r="AQ27" s="362"/>
      <c r="AR27" s="362"/>
    </row>
    <row r="28" spans="1:44" ht="37.5" customHeight="1" x14ac:dyDescent="0.2">
      <c r="A28" s="379"/>
      <c r="B28" s="365"/>
      <c r="C28" s="365"/>
      <c r="D28" s="365"/>
      <c r="E28" s="361"/>
      <c r="F28" s="365"/>
      <c r="G28" s="337"/>
      <c r="H28" s="337"/>
      <c r="I28" s="337"/>
      <c r="J28" s="337"/>
      <c r="K28" s="337"/>
      <c r="L28" s="337"/>
      <c r="M28" s="337"/>
      <c r="N28" s="362"/>
      <c r="O28" s="347"/>
      <c r="P28" s="346"/>
      <c r="Q28" s="330"/>
      <c r="R28" s="346">
        <f>IF(NOT(ISERROR(MATCH(Q28,_xlfn.ANCHORARRAY(E39),0))),P41&amp;"Por favor no seleccionar los criterios de impacto",Q28)</f>
        <v>0</v>
      </c>
      <c r="S28" s="347"/>
      <c r="T28" s="346"/>
      <c r="U28" s="339"/>
      <c r="V28" s="222">
        <v>4</v>
      </c>
      <c r="W28" s="187"/>
      <c r="X28" s="189" t="str">
        <f t="shared" ref="X28:X30" si="23">IF(OR(Y28="Preventivo",Y28="Detectivo"),"Probabilidad",IF(Y28="Correctivo","Impacto",""))</f>
        <v/>
      </c>
      <c r="Y28" s="190"/>
      <c r="Z28" s="190"/>
      <c r="AA28" s="191" t="str">
        <f t="shared" si="18"/>
        <v/>
      </c>
      <c r="AB28" s="190"/>
      <c r="AC28" s="190"/>
      <c r="AD28" s="190"/>
      <c r="AE28" s="192" t="str">
        <f t="shared" ref="AE28:AE30" si="24">IFERROR(IF(AND(X27="Probabilidad",X28="Probabilidad"),(AG27-(+AG27*AA28)),IF(AND(X27="Impacto",X28="Probabilidad"),(AG26-(+AG26*AA28)),IF(X28="Impacto",AG27,""))),"")</f>
        <v/>
      </c>
      <c r="AF28" s="193" t="str">
        <f t="shared" si="2"/>
        <v/>
      </c>
      <c r="AG28" s="191" t="str">
        <f t="shared" si="19"/>
        <v/>
      </c>
      <c r="AH28" s="193" t="str">
        <f t="shared" si="4"/>
        <v/>
      </c>
      <c r="AI28" s="191" t="str">
        <f t="shared" si="13"/>
        <v/>
      </c>
      <c r="AJ28" s="194" t="str">
        <f>IFERROR(IF(OR(AND(AF28="Muy Baja",AH28="Leve"),AND(AF28="Muy Baja",AH28="Menor"),AND(AF28="Baja",AH28="Leve")),"Bajo",IF(OR(AND(AF28="Muy baja",AH28="Moderado"),AND(AF28="Baja",AH28="Menor"),AND(AF28="Baja",AH28="Moderado"),AND(AF28="Media",AH28="Leve"),AND(AF28="Media",AH28="Menor"),AND(AF28="Media",AH28="Moderado"),AND(AF28="Alta",AH28="Leve"),AND(AF28="Alta",AH28="Menor")),"Moderado",IF(OR(AND(AF28="Muy Baja",AH28="Mayor"),AND(AF28="Baja",AH28="Mayor"),AND(AF28="Media",AH28="Mayor"),AND(AF28="Alta",AH28="Moderado"),AND(AF28="Alta",AH28="Mayor"),AND(AF28="Muy Alta",AH28="Leve"),AND(AF28="Muy Alta",AH28="Menor"),AND(AF28="Muy Alta",AH28="Moderado"),AND(AF28="Muy Alta",AH28="Mayor")),"Alto",IF(OR(AND(AF28="Muy Baja",AH28="Catastrófico"),AND(AF28="Baja",AH28="Catastrófico"),AND(AF28="Media",AH28="Catastrófico"),AND(AF28="Alta",AH28="Catastrófico"),AND(AF28="Muy Alta",AH28="Catastrófico")),"Extremo","")))),"")</f>
        <v/>
      </c>
      <c r="AK28" s="195"/>
      <c r="AL28" s="186"/>
      <c r="AM28" s="196"/>
      <c r="AN28" s="196"/>
      <c r="AO28" s="197"/>
      <c r="AP28" s="362"/>
      <c r="AQ28" s="362"/>
      <c r="AR28" s="362"/>
    </row>
    <row r="29" spans="1:44" ht="37.5" customHeight="1" x14ac:dyDescent="0.2">
      <c r="A29" s="379"/>
      <c r="B29" s="365"/>
      <c r="C29" s="365"/>
      <c r="D29" s="365"/>
      <c r="E29" s="361"/>
      <c r="F29" s="365"/>
      <c r="G29" s="337"/>
      <c r="H29" s="337"/>
      <c r="I29" s="337"/>
      <c r="J29" s="337"/>
      <c r="K29" s="337"/>
      <c r="L29" s="337"/>
      <c r="M29" s="337"/>
      <c r="N29" s="362"/>
      <c r="O29" s="347"/>
      <c r="P29" s="346"/>
      <c r="Q29" s="330"/>
      <c r="R29" s="346">
        <f>IF(NOT(ISERROR(MATCH(Q29,_xlfn.ANCHORARRAY(E40),0))),P42&amp;"Por favor no seleccionar los criterios de impacto",Q29)</f>
        <v>0</v>
      </c>
      <c r="S29" s="347"/>
      <c r="T29" s="346"/>
      <c r="U29" s="339"/>
      <c r="V29" s="222">
        <v>5</v>
      </c>
      <c r="W29" s="187"/>
      <c r="X29" s="189" t="str">
        <f t="shared" si="23"/>
        <v/>
      </c>
      <c r="Y29" s="190"/>
      <c r="Z29" s="190"/>
      <c r="AA29" s="191" t="str">
        <f t="shared" si="18"/>
        <v/>
      </c>
      <c r="AB29" s="190"/>
      <c r="AC29" s="190"/>
      <c r="AD29" s="190"/>
      <c r="AE29" s="192" t="str">
        <f t="shared" si="24"/>
        <v/>
      </c>
      <c r="AF29" s="193" t="str">
        <f t="shared" si="2"/>
        <v/>
      </c>
      <c r="AG29" s="191" t="str">
        <f t="shared" si="19"/>
        <v/>
      </c>
      <c r="AH29" s="193" t="str">
        <f t="shared" si="4"/>
        <v/>
      </c>
      <c r="AI29" s="191" t="str">
        <f t="shared" si="13"/>
        <v/>
      </c>
      <c r="AJ29" s="194" t="str">
        <f t="shared" ref="AJ29:AJ30" si="25">IFERROR(IF(OR(AND(AF29="Muy Baja",AH29="Leve"),AND(AF29="Muy Baja",AH29="Menor"),AND(AF29="Baja",AH29="Leve")),"Bajo",IF(OR(AND(AF29="Muy baja",AH29="Moderado"),AND(AF29="Baja",AH29="Menor"),AND(AF29="Baja",AH29="Moderado"),AND(AF29="Media",AH29="Leve"),AND(AF29="Media",AH29="Menor"),AND(AF29="Media",AH29="Moderado"),AND(AF29="Alta",AH29="Leve"),AND(AF29="Alta",AH29="Menor")),"Moderado",IF(OR(AND(AF29="Muy Baja",AH29="Mayor"),AND(AF29="Baja",AH29="Mayor"),AND(AF29="Media",AH29="Mayor"),AND(AF29="Alta",AH29="Moderado"),AND(AF29="Alta",AH29="Mayor"),AND(AF29="Muy Alta",AH29="Leve"),AND(AF29="Muy Alta",AH29="Menor"),AND(AF29="Muy Alta",AH29="Moderado"),AND(AF29="Muy Alta",AH29="Mayor")),"Alto",IF(OR(AND(AF29="Muy Baja",AH29="Catastrófico"),AND(AF29="Baja",AH29="Catastrófico"),AND(AF29="Media",AH29="Catastrófico"),AND(AF29="Alta",AH29="Catastrófico"),AND(AF29="Muy Alta",AH29="Catastrófico")),"Extremo","")))),"")</f>
        <v/>
      </c>
      <c r="AK29" s="195"/>
      <c r="AL29" s="186"/>
      <c r="AM29" s="196"/>
      <c r="AN29" s="196"/>
      <c r="AO29" s="197"/>
      <c r="AP29" s="362"/>
      <c r="AQ29" s="362"/>
      <c r="AR29" s="362"/>
    </row>
    <row r="30" spans="1:44" ht="37.5" customHeight="1" x14ac:dyDescent="0.2">
      <c r="A30" s="379"/>
      <c r="B30" s="365"/>
      <c r="C30" s="365"/>
      <c r="D30" s="365"/>
      <c r="E30" s="361"/>
      <c r="F30" s="365"/>
      <c r="G30" s="338"/>
      <c r="H30" s="338"/>
      <c r="I30" s="338"/>
      <c r="J30" s="338"/>
      <c r="K30" s="338"/>
      <c r="L30" s="338"/>
      <c r="M30" s="338"/>
      <c r="N30" s="362"/>
      <c r="O30" s="347"/>
      <c r="P30" s="346"/>
      <c r="Q30" s="330"/>
      <c r="R30" s="346">
        <f>IF(NOT(ISERROR(MATCH(Q30,_xlfn.ANCHORARRAY(E41),0))),P43&amp;"Por favor no seleccionar los criterios de impacto",Q30)</f>
        <v>0</v>
      </c>
      <c r="S30" s="347"/>
      <c r="T30" s="346"/>
      <c r="U30" s="339"/>
      <c r="V30" s="222">
        <v>6</v>
      </c>
      <c r="W30" s="187"/>
      <c r="X30" s="189" t="str">
        <f t="shared" si="23"/>
        <v/>
      </c>
      <c r="Y30" s="190"/>
      <c r="Z30" s="190"/>
      <c r="AA30" s="191" t="str">
        <f t="shared" si="18"/>
        <v/>
      </c>
      <c r="AB30" s="190"/>
      <c r="AC30" s="190"/>
      <c r="AD30" s="190"/>
      <c r="AE30" s="192" t="str">
        <f t="shared" si="24"/>
        <v/>
      </c>
      <c r="AF30" s="193" t="str">
        <f t="shared" si="2"/>
        <v/>
      </c>
      <c r="AG30" s="191" t="str">
        <f t="shared" si="19"/>
        <v/>
      </c>
      <c r="AH30" s="193" t="str">
        <f t="shared" si="4"/>
        <v/>
      </c>
      <c r="AI30" s="191" t="str">
        <f t="shared" si="13"/>
        <v/>
      </c>
      <c r="AJ30" s="194" t="str">
        <f t="shared" si="25"/>
        <v/>
      </c>
      <c r="AK30" s="195"/>
      <c r="AL30" s="186"/>
      <c r="AM30" s="196"/>
      <c r="AN30" s="196"/>
      <c r="AO30" s="197"/>
      <c r="AP30" s="362"/>
      <c r="AQ30" s="362"/>
      <c r="AR30" s="362"/>
    </row>
    <row r="31" spans="1:44" ht="37.5" customHeight="1" x14ac:dyDescent="0.2">
      <c r="A31" s="379">
        <v>4</v>
      </c>
      <c r="B31" s="365"/>
      <c r="C31" s="365"/>
      <c r="D31" s="365"/>
      <c r="E31" s="365"/>
      <c r="F31" s="365"/>
      <c r="G31" s="336"/>
      <c r="H31" s="336"/>
      <c r="I31" s="336"/>
      <c r="J31" s="336"/>
      <c r="K31" s="336"/>
      <c r="L31" s="336"/>
      <c r="M31" s="336"/>
      <c r="N31" s="362"/>
      <c r="O31" s="347" t="str">
        <f>IF(N31&lt;=0,"",IF(N31&lt;=2,"Muy Baja",IF(N31&lt;=24,"Baja",IF(N31&lt;=500,"Media",IF(N31&lt;=5000,"Alta","Muy Alta")))))</f>
        <v/>
      </c>
      <c r="P31" s="346" t="str">
        <f>IF(O31="","",IF(O31="Muy Baja",0.2,IF(O31="Baja",0.4,IF(O31="Media",0.6,IF(O31="Alta",0.8,IF(O31="Muy Alta",1,))))))</f>
        <v/>
      </c>
      <c r="Q31" s="330"/>
      <c r="R31" s="346">
        <f>IF(NOT(ISERROR(MATCH(Q31,'Tabla Impacto'!$B$222:$B$224,0))),'Tabla Impacto'!$F$224&amp;"Por favor no seleccionar los criterios de impacto(Afectación Económica o presupuestal y Pérdida Reputacional)",Q31)</f>
        <v>0</v>
      </c>
      <c r="S31" s="347" t="str">
        <f>IF(OR(R31='Tabla Impacto'!$C$12,R31='Tabla Impacto'!$D$12),"Leve",IF(OR(R31='Tabla Impacto'!$C$13,R31='Tabla Impacto'!$D$13),"Menor",IF(OR(R31='Tabla Impacto'!$C$14,R31='Tabla Impacto'!$D$14),"Moderado",IF(OR(R31='Tabla Impacto'!$C$15,R31='Tabla Impacto'!$D$15),"Mayor",IF(OR(R31='Tabla Impacto'!$C$16,R31='Tabla Impacto'!$D$16),"Catastrófico","")))))</f>
        <v/>
      </c>
      <c r="T31" s="346" t="str">
        <f>IF(S31="","",IF(S31="Leve",0.2,IF(S31="Menor",0.4,IF(S31="Moderado",0.6,IF(S31="Mayor",0.8,IF(S31="Catastrófico",1,))))))</f>
        <v/>
      </c>
      <c r="U31" s="339" t="str">
        <f>IF(OR(AND(O31="Muy Baja",S31="Leve"),AND(O31="Muy Baja",S31="Menor"),AND(O31="Baja",S31="Leve")),"Bajo",IF(OR(AND(O31="Muy baja",S31="Moderado"),AND(O31="Baja",S31="Menor"),AND(O31="Baja",S31="Moderado"),AND(O31="Media",S31="Leve"),AND(O31="Media",S31="Menor"),AND(O31="Media",S31="Moderado"),AND(O31="Alta",S31="Leve"),AND(O31="Alta",S31="Menor")),"Moderado",IF(OR(AND(O31="Muy Baja",S31="Mayor"),AND(O31="Baja",S31="Mayor"),AND(O31="Media",S31="Mayor"),AND(O31="Alta",S31="Moderado"),AND(O31="Alta",S31="Mayor"),AND(O31="Muy Alta",S31="Leve"),AND(O31="Muy Alta",S31="Menor"),AND(O31="Muy Alta",S31="Moderado"),AND(O31="Muy Alta",S31="Mayor")),"Alto",IF(OR(AND(O31="Muy Baja",S31="Catastrófico"),AND(O31="Baja",S31="Catastrófico"),AND(O31="Media",S31="Catastrófico"),AND(O31="Alta",S31="Catastrófico"),AND(O31="Muy Alta",S31="Catastrófico")),"Extremo",""))))</f>
        <v/>
      </c>
      <c r="V31" s="222">
        <v>1</v>
      </c>
      <c r="W31" s="187"/>
      <c r="X31" s="189" t="str">
        <f>IF(OR(Y31="Preventivo",Y31="Detectivo"),"Probabilidad",IF(Y31="Correctivo","Impacto",""))</f>
        <v/>
      </c>
      <c r="Y31" s="190"/>
      <c r="Z31" s="190"/>
      <c r="AA31" s="191" t="str">
        <f>IF(AND(Y31="Preventivo",Z31="Automático"),"50%",IF(AND(Y31="Preventivo",Z31="Manual"),"40%",IF(AND(Y31="Detectivo",Z31="Automático"),"40%",IF(AND(Y31="Detectivo",Z31="Manual"),"30%",IF(AND(Y31="Correctivo",Z31="Automático"),"35%",IF(AND(Y31="Correctivo",Z31="Manual"),"25%",""))))))</f>
        <v/>
      </c>
      <c r="AB31" s="190"/>
      <c r="AC31" s="190"/>
      <c r="AD31" s="190"/>
      <c r="AE31" s="192" t="str">
        <f>IFERROR(IF(X31="Probabilidad",(P31-(+P31*AA31)),IF(X31="Impacto",P31,"")),"")</f>
        <v/>
      </c>
      <c r="AF31" s="193" t="str">
        <f>IFERROR(IF(AE31="","",IF(AE31&lt;=0.2,"Muy Baja",IF(AE31&lt;=0.4,"Baja",IF(AE31&lt;=0.6,"Media",IF(AE31&lt;=0.8,"Alta","Muy Alta"))))),"")</f>
        <v/>
      </c>
      <c r="AG31" s="191" t="str">
        <f>+AE31</f>
        <v/>
      </c>
      <c r="AH31" s="193" t="str">
        <f>IFERROR(IF(AI31="","",IF(AI31&lt;=0.2,"Leve",IF(AI31&lt;=0.4,"Menor",IF(AI31&lt;=0.6,"Moderado",IF(AI31&lt;=0.8,"Mayor","Catastrófico"))))),"")</f>
        <v/>
      </c>
      <c r="AI31" s="191" t="str">
        <f t="shared" ref="AI31" si="26">IFERROR(IF(X31="Impacto",(T31-(+T31*AA31)),IF(X31="Probabilidad",T31,"")),"")</f>
        <v/>
      </c>
      <c r="AJ31" s="194" t="str">
        <f>IFERROR(IF(OR(AND(AF31="Muy Baja",AH31="Leve"),AND(AF31="Muy Baja",AH31="Menor"),AND(AF31="Baja",AH31="Leve")),"Bajo",IF(OR(AND(AF31="Muy baja",AH31="Moderado"),AND(AF31="Baja",AH31="Menor"),AND(AF31="Baja",AH31="Moderado"),AND(AF31="Media",AH31="Leve"),AND(AF31="Media",AH31="Menor"),AND(AF31="Media",AH31="Moderado"),AND(AF31="Alta",AH31="Leve"),AND(AF31="Alta",AH31="Menor")),"Moderado",IF(OR(AND(AF31="Muy Baja",AH31="Mayor"),AND(AF31="Baja",AH31="Mayor"),AND(AF31="Media",AH31="Mayor"),AND(AF31="Alta",AH31="Moderado"),AND(AF31="Alta",AH31="Mayor"),AND(AF31="Muy Alta",AH31="Leve"),AND(AF31="Muy Alta",AH31="Menor"),AND(AF31="Muy Alta",AH31="Moderado"),AND(AF31="Muy Alta",AH31="Mayor")),"Alto",IF(OR(AND(AF31="Muy Baja",AH31="Catastrófico"),AND(AF31="Baja",AH31="Catastrófico"),AND(AF31="Media",AH31="Catastrófico"),AND(AF31="Alta",AH31="Catastrófico"),AND(AF31="Muy Alta",AH31="Catastrófico")),"Extremo","")))),"")</f>
        <v/>
      </c>
      <c r="AK31" s="195"/>
      <c r="AL31" s="186"/>
      <c r="AM31" s="196"/>
      <c r="AN31" s="196"/>
      <c r="AO31" s="197"/>
      <c r="AP31" s="362"/>
      <c r="AQ31" s="362"/>
      <c r="AR31" s="362"/>
    </row>
    <row r="32" spans="1:44" ht="37.5" customHeight="1" x14ac:dyDescent="0.2">
      <c r="A32" s="379"/>
      <c r="B32" s="365"/>
      <c r="C32" s="365"/>
      <c r="D32" s="365"/>
      <c r="E32" s="365"/>
      <c r="F32" s="365"/>
      <c r="G32" s="337"/>
      <c r="H32" s="337"/>
      <c r="I32" s="337"/>
      <c r="J32" s="337"/>
      <c r="K32" s="337"/>
      <c r="L32" s="337"/>
      <c r="M32" s="337"/>
      <c r="N32" s="362"/>
      <c r="O32" s="347"/>
      <c r="P32" s="346"/>
      <c r="Q32" s="330"/>
      <c r="R32" s="346">
        <f>IF(NOT(ISERROR(MATCH(Q32,_xlfn.ANCHORARRAY(E43),0))),P45&amp;"Por favor no seleccionar los criterios de impacto",Q32)</f>
        <v>0</v>
      </c>
      <c r="S32" s="347"/>
      <c r="T32" s="346"/>
      <c r="U32" s="339"/>
      <c r="V32" s="222">
        <v>2</v>
      </c>
      <c r="W32" s="187"/>
      <c r="X32" s="189" t="str">
        <f>IF(OR(Y32="Preventivo",Y32="Detectivo"),"Probabilidad",IF(Y32="Correctivo","Impacto",""))</f>
        <v/>
      </c>
      <c r="Y32" s="190"/>
      <c r="Z32" s="190"/>
      <c r="AA32" s="191" t="str">
        <f t="shared" ref="AA32:AA36" si="27">IF(AND(Y32="Preventivo",Z32="Automático"),"50%",IF(AND(Y32="Preventivo",Z32="Manual"),"40%",IF(AND(Y32="Detectivo",Z32="Automático"),"40%",IF(AND(Y32="Detectivo",Z32="Manual"),"30%",IF(AND(Y32="Correctivo",Z32="Automático"),"35%",IF(AND(Y32="Correctivo",Z32="Manual"),"25%",""))))))</f>
        <v/>
      </c>
      <c r="AB32" s="190"/>
      <c r="AC32" s="190"/>
      <c r="AD32" s="190"/>
      <c r="AE32" s="192" t="str">
        <f>IFERROR(IF(AND(X31="Probabilidad",X32="Probabilidad"),(AG31-(+AG31*AA32)),IF(X32="Probabilidad",(P31-(+P31*AA32)),IF(X32="Impacto",AG31,""))),"")</f>
        <v/>
      </c>
      <c r="AF32" s="193" t="str">
        <f t="shared" si="2"/>
        <v/>
      </c>
      <c r="AG32" s="191" t="str">
        <f t="shared" ref="AG32:AG36" si="28">+AE32</f>
        <v/>
      </c>
      <c r="AH32" s="193" t="str">
        <f t="shared" si="4"/>
        <v/>
      </c>
      <c r="AI32" s="191" t="str">
        <f t="shared" ref="AI32" si="29">IFERROR(IF(AND(X31="Impacto",X32="Impacto"),(AI31-(+AI31*AA32)),IF(X32="Impacto",($T$13-(+$T$13*AA32)),IF(X32="Probabilidad",AI31,""))),"")</f>
        <v/>
      </c>
      <c r="AJ32" s="194" t="str">
        <f t="shared" ref="AJ32:AJ33" si="30">IFERROR(IF(OR(AND(AF32="Muy Baja",AH32="Leve"),AND(AF32="Muy Baja",AH32="Menor"),AND(AF32="Baja",AH32="Leve")),"Bajo",IF(OR(AND(AF32="Muy baja",AH32="Moderado"),AND(AF32="Baja",AH32="Menor"),AND(AF32="Baja",AH32="Moderado"),AND(AF32="Media",AH32="Leve"),AND(AF32="Media",AH32="Menor"),AND(AF32="Media",AH32="Moderado"),AND(AF32="Alta",AH32="Leve"),AND(AF32="Alta",AH32="Menor")),"Moderado",IF(OR(AND(AF32="Muy Baja",AH32="Mayor"),AND(AF32="Baja",AH32="Mayor"),AND(AF32="Media",AH32="Mayor"),AND(AF32="Alta",AH32="Moderado"),AND(AF32="Alta",AH32="Mayor"),AND(AF32="Muy Alta",AH32="Leve"),AND(AF32="Muy Alta",AH32="Menor"),AND(AF32="Muy Alta",AH32="Moderado"),AND(AF32="Muy Alta",AH32="Mayor")),"Alto",IF(OR(AND(AF32="Muy Baja",AH32="Catastrófico"),AND(AF32="Baja",AH32="Catastrófico"),AND(AF32="Media",AH32="Catastrófico"),AND(AF32="Alta",AH32="Catastrófico"),AND(AF32="Muy Alta",AH32="Catastrófico")),"Extremo","")))),"")</f>
        <v/>
      </c>
      <c r="AK32" s="195"/>
      <c r="AL32" s="186"/>
      <c r="AM32" s="196"/>
      <c r="AN32" s="196"/>
      <c r="AO32" s="197"/>
      <c r="AP32" s="362"/>
      <c r="AQ32" s="362"/>
      <c r="AR32" s="362"/>
    </row>
    <row r="33" spans="1:44" ht="37.5" customHeight="1" x14ac:dyDescent="0.2">
      <c r="A33" s="379"/>
      <c r="B33" s="365"/>
      <c r="C33" s="365"/>
      <c r="D33" s="365"/>
      <c r="E33" s="365"/>
      <c r="F33" s="365"/>
      <c r="G33" s="337"/>
      <c r="H33" s="337"/>
      <c r="I33" s="337"/>
      <c r="J33" s="337"/>
      <c r="K33" s="337"/>
      <c r="L33" s="337"/>
      <c r="M33" s="337"/>
      <c r="N33" s="362"/>
      <c r="O33" s="347"/>
      <c r="P33" s="346"/>
      <c r="Q33" s="330"/>
      <c r="R33" s="346">
        <f>IF(NOT(ISERROR(MATCH(Q33,_xlfn.ANCHORARRAY(E44),0))),P46&amp;"Por favor no seleccionar los criterios de impacto",Q33)</f>
        <v>0</v>
      </c>
      <c r="S33" s="347"/>
      <c r="T33" s="346"/>
      <c r="U33" s="339"/>
      <c r="V33" s="222">
        <v>3</v>
      </c>
      <c r="W33" s="188"/>
      <c r="X33" s="189" t="str">
        <f>IF(OR(Y33="Preventivo",Y33="Detectivo"),"Probabilidad",IF(Y33="Correctivo","Impacto",""))</f>
        <v/>
      </c>
      <c r="Y33" s="190"/>
      <c r="Z33" s="190"/>
      <c r="AA33" s="191" t="str">
        <f t="shared" si="27"/>
        <v/>
      </c>
      <c r="AB33" s="190"/>
      <c r="AC33" s="190"/>
      <c r="AD33" s="190"/>
      <c r="AE33" s="192" t="str">
        <f>IFERROR(IF(AND(X32="Probabilidad",X33="Probabilidad"),(AG32-(+AG32*AA33)),IF(AND(X32="Impacto",X33="Probabilidad"),(AG31-(+AG31*AA33)),IF(X33="Impacto",AG32,""))),"")</f>
        <v/>
      </c>
      <c r="AF33" s="193" t="str">
        <f t="shared" si="2"/>
        <v/>
      </c>
      <c r="AG33" s="191" t="str">
        <f t="shared" si="28"/>
        <v/>
      </c>
      <c r="AH33" s="193" t="str">
        <f t="shared" si="4"/>
        <v/>
      </c>
      <c r="AI33" s="191" t="str">
        <f t="shared" ref="AI33" si="31">IFERROR(IF(AND(X32="Impacto",X33="Impacto"),(AI32-(+AI32*AA33)),IF(AND(X32="Probabilidad",X33="Impacto"),(AI31-(+AI31*AA33)),IF(X33="Probabilidad",AI32,""))),"")</f>
        <v/>
      </c>
      <c r="AJ33" s="194" t="str">
        <f t="shared" si="30"/>
        <v/>
      </c>
      <c r="AK33" s="195"/>
      <c r="AL33" s="186"/>
      <c r="AM33" s="196"/>
      <c r="AN33" s="196"/>
      <c r="AO33" s="197"/>
      <c r="AP33" s="362"/>
      <c r="AQ33" s="362"/>
      <c r="AR33" s="362"/>
    </row>
    <row r="34" spans="1:44" ht="37.5" customHeight="1" x14ac:dyDescent="0.2">
      <c r="A34" s="379"/>
      <c r="B34" s="365"/>
      <c r="C34" s="365"/>
      <c r="D34" s="365"/>
      <c r="E34" s="365"/>
      <c r="F34" s="365"/>
      <c r="G34" s="337"/>
      <c r="H34" s="337"/>
      <c r="I34" s="337"/>
      <c r="J34" s="337"/>
      <c r="K34" s="337"/>
      <c r="L34" s="337"/>
      <c r="M34" s="337"/>
      <c r="N34" s="362"/>
      <c r="O34" s="347"/>
      <c r="P34" s="346"/>
      <c r="Q34" s="330"/>
      <c r="R34" s="346">
        <f>IF(NOT(ISERROR(MATCH(Q34,_xlfn.ANCHORARRAY(E45),0))),P47&amp;"Por favor no seleccionar los criterios de impacto",Q34)</f>
        <v>0</v>
      </c>
      <c r="S34" s="347"/>
      <c r="T34" s="346"/>
      <c r="U34" s="339"/>
      <c r="V34" s="222">
        <v>4</v>
      </c>
      <c r="W34" s="187"/>
      <c r="X34" s="189" t="str">
        <f t="shared" ref="X34:X36" si="32">IF(OR(Y34="Preventivo",Y34="Detectivo"),"Probabilidad",IF(Y34="Correctivo","Impacto",""))</f>
        <v/>
      </c>
      <c r="Y34" s="190"/>
      <c r="Z34" s="190"/>
      <c r="AA34" s="191" t="str">
        <f t="shared" si="27"/>
        <v/>
      </c>
      <c r="AB34" s="190"/>
      <c r="AC34" s="190"/>
      <c r="AD34" s="190"/>
      <c r="AE34" s="192" t="str">
        <f t="shared" ref="AE34:AE36" si="33">IFERROR(IF(AND(X33="Probabilidad",X34="Probabilidad"),(AG33-(+AG33*AA34)),IF(AND(X33="Impacto",X34="Probabilidad"),(AG32-(+AG32*AA34)),IF(X34="Impacto",AG33,""))),"")</f>
        <v/>
      </c>
      <c r="AF34" s="193" t="str">
        <f t="shared" si="2"/>
        <v/>
      </c>
      <c r="AG34" s="191" t="str">
        <f t="shared" si="28"/>
        <v/>
      </c>
      <c r="AH34" s="193" t="str">
        <f t="shared" si="4"/>
        <v/>
      </c>
      <c r="AI34" s="191" t="str">
        <f t="shared" si="13"/>
        <v/>
      </c>
      <c r="AJ34" s="194" t="str">
        <f>IFERROR(IF(OR(AND(AF34="Muy Baja",AH34="Leve"),AND(AF34="Muy Baja",AH34="Menor"),AND(AF34="Baja",AH34="Leve")),"Bajo",IF(OR(AND(AF34="Muy baja",AH34="Moderado"),AND(AF34="Baja",AH34="Menor"),AND(AF34="Baja",AH34="Moderado"),AND(AF34="Media",AH34="Leve"),AND(AF34="Media",AH34="Menor"),AND(AF34="Media",AH34="Moderado"),AND(AF34="Alta",AH34="Leve"),AND(AF34="Alta",AH34="Menor")),"Moderado",IF(OR(AND(AF34="Muy Baja",AH34="Mayor"),AND(AF34="Baja",AH34="Mayor"),AND(AF34="Media",AH34="Mayor"),AND(AF34="Alta",AH34="Moderado"),AND(AF34="Alta",AH34="Mayor"),AND(AF34="Muy Alta",AH34="Leve"),AND(AF34="Muy Alta",AH34="Menor"),AND(AF34="Muy Alta",AH34="Moderado"),AND(AF34="Muy Alta",AH34="Mayor")),"Alto",IF(OR(AND(AF34="Muy Baja",AH34="Catastrófico"),AND(AF34="Baja",AH34="Catastrófico"),AND(AF34="Media",AH34="Catastrófico"),AND(AF34="Alta",AH34="Catastrófico"),AND(AF34="Muy Alta",AH34="Catastrófico")),"Extremo","")))),"")</f>
        <v/>
      </c>
      <c r="AK34" s="195"/>
      <c r="AL34" s="186"/>
      <c r="AM34" s="196"/>
      <c r="AN34" s="196"/>
      <c r="AO34" s="197"/>
      <c r="AP34" s="362"/>
      <c r="AQ34" s="362"/>
      <c r="AR34" s="362"/>
    </row>
    <row r="35" spans="1:44" ht="37.5" customHeight="1" x14ac:dyDescent="0.2">
      <c r="A35" s="379"/>
      <c r="B35" s="365"/>
      <c r="C35" s="365"/>
      <c r="D35" s="365"/>
      <c r="E35" s="365"/>
      <c r="F35" s="365"/>
      <c r="G35" s="337"/>
      <c r="H35" s="337"/>
      <c r="I35" s="337"/>
      <c r="J35" s="337"/>
      <c r="K35" s="337"/>
      <c r="L35" s="337"/>
      <c r="M35" s="337"/>
      <c r="N35" s="362"/>
      <c r="O35" s="347"/>
      <c r="P35" s="346"/>
      <c r="Q35" s="330"/>
      <c r="R35" s="346">
        <f>IF(NOT(ISERROR(MATCH(Q35,_xlfn.ANCHORARRAY(E46),0))),P48&amp;"Por favor no seleccionar los criterios de impacto",Q35)</f>
        <v>0</v>
      </c>
      <c r="S35" s="347"/>
      <c r="T35" s="346"/>
      <c r="U35" s="339"/>
      <c r="V35" s="222">
        <v>5</v>
      </c>
      <c r="W35" s="187"/>
      <c r="X35" s="189" t="str">
        <f t="shared" si="32"/>
        <v/>
      </c>
      <c r="Y35" s="190"/>
      <c r="Z35" s="190"/>
      <c r="AA35" s="191" t="str">
        <f t="shared" si="27"/>
        <v/>
      </c>
      <c r="AB35" s="190"/>
      <c r="AC35" s="190"/>
      <c r="AD35" s="190"/>
      <c r="AE35" s="192" t="str">
        <f t="shared" si="33"/>
        <v/>
      </c>
      <c r="AF35" s="193" t="str">
        <f>IFERROR(IF(AE35="","",IF(AE35&lt;=0.2,"Muy Baja",IF(AE35&lt;=0.4,"Baja",IF(AE35&lt;=0.6,"Media",IF(AE35&lt;=0.8,"Alta","Muy Alta"))))),"")</f>
        <v/>
      </c>
      <c r="AG35" s="191" t="str">
        <f t="shared" si="28"/>
        <v/>
      </c>
      <c r="AH35" s="193" t="str">
        <f t="shared" si="4"/>
        <v/>
      </c>
      <c r="AI35" s="191" t="str">
        <f t="shared" si="13"/>
        <v/>
      </c>
      <c r="AJ35" s="194" t="str">
        <f t="shared" ref="AJ35:AJ36" si="34">IFERROR(IF(OR(AND(AF35="Muy Baja",AH35="Leve"),AND(AF35="Muy Baja",AH35="Menor"),AND(AF35="Baja",AH35="Leve")),"Bajo",IF(OR(AND(AF35="Muy baja",AH35="Moderado"),AND(AF35="Baja",AH35="Menor"),AND(AF35="Baja",AH35="Moderado"),AND(AF35="Media",AH35="Leve"),AND(AF35="Media",AH35="Menor"),AND(AF35="Media",AH35="Moderado"),AND(AF35="Alta",AH35="Leve"),AND(AF35="Alta",AH35="Menor")),"Moderado",IF(OR(AND(AF35="Muy Baja",AH35="Mayor"),AND(AF35="Baja",AH35="Mayor"),AND(AF35="Media",AH35="Mayor"),AND(AF35="Alta",AH35="Moderado"),AND(AF35="Alta",AH35="Mayor"),AND(AF35="Muy Alta",AH35="Leve"),AND(AF35="Muy Alta",AH35="Menor"),AND(AF35="Muy Alta",AH35="Moderado"),AND(AF35="Muy Alta",AH35="Mayor")),"Alto",IF(OR(AND(AF35="Muy Baja",AH35="Catastrófico"),AND(AF35="Baja",AH35="Catastrófico"),AND(AF35="Media",AH35="Catastrófico"),AND(AF35="Alta",AH35="Catastrófico"),AND(AF35="Muy Alta",AH35="Catastrófico")),"Extremo","")))),"")</f>
        <v/>
      </c>
      <c r="AK35" s="195"/>
      <c r="AL35" s="186"/>
      <c r="AM35" s="196"/>
      <c r="AN35" s="196"/>
      <c r="AO35" s="197"/>
      <c r="AP35" s="362"/>
      <c r="AQ35" s="362"/>
      <c r="AR35" s="362"/>
    </row>
    <row r="36" spans="1:44" ht="37.5" customHeight="1" x14ac:dyDescent="0.2">
      <c r="A36" s="379"/>
      <c r="B36" s="365"/>
      <c r="C36" s="365"/>
      <c r="D36" s="365"/>
      <c r="E36" s="365"/>
      <c r="F36" s="365"/>
      <c r="G36" s="338"/>
      <c r="H36" s="338"/>
      <c r="I36" s="338"/>
      <c r="J36" s="338"/>
      <c r="K36" s="338"/>
      <c r="L36" s="338"/>
      <c r="M36" s="338"/>
      <c r="N36" s="362"/>
      <c r="O36" s="347"/>
      <c r="P36" s="346"/>
      <c r="Q36" s="330"/>
      <c r="R36" s="346">
        <f>IF(NOT(ISERROR(MATCH(Q36,_xlfn.ANCHORARRAY(E47),0))),P49&amp;"Por favor no seleccionar los criterios de impacto",Q36)</f>
        <v>0</v>
      </c>
      <c r="S36" s="347"/>
      <c r="T36" s="346"/>
      <c r="U36" s="339"/>
      <c r="V36" s="222">
        <v>6</v>
      </c>
      <c r="W36" s="187"/>
      <c r="X36" s="189" t="str">
        <f t="shared" si="32"/>
        <v/>
      </c>
      <c r="Y36" s="190"/>
      <c r="Z36" s="190"/>
      <c r="AA36" s="191" t="str">
        <f t="shared" si="27"/>
        <v/>
      </c>
      <c r="AB36" s="190"/>
      <c r="AC36" s="190"/>
      <c r="AD36" s="190"/>
      <c r="AE36" s="192" t="str">
        <f t="shared" si="33"/>
        <v/>
      </c>
      <c r="AF36" s="193" t="str">
        <f t="shared" si="2"/>
        <v/>
      </c>
      <c r="AG36" s="191" t="str">
        <f t="shared" si="28"/>
        <v/>
      </c>
      <c r="AH36" s="193" t="str">
        <f t="shared" si="4"/>
        <v/>
      </c>
      <c r="AI36" s="191" t="str">
        <f t="shared" si="13"/>
        <v/>
      </c>
      <c r="AJ36" s="194" t="str">
        <f t="shared" si="34"/>
        <v/>
      </c>
      <c r="AK36" s="195"/>
      <c r="AL36" s="186"/>
      <c r="AM36" s="196"/>
      <c r="AN36" s="196"/>
      <c r="AO36" s="197"/>
      <c r="AP36" s="362"/>
      <c r="AQ36" s="362"/>
      <c r="AR36" s="362"/>
    </row>
    <row r="37" spans="1:44" ht="37.5" customHeight="1" x14ac:dyDescent="0.2">
      <c r="A37" s="379">
        <v>5</v>
      </c>
      <c r="B37" s="365"/>
      <c r="C37" s="365"/>
      <c r="D37" s="365"/>
      <c r="E37" s="365"/>
      <c r="F37" s="365"/>
      <c r="G37" s="336"/>
      <c r="H37" s="336"/>
      <c r="I37" s="336"/>
      <c r="J37" s="336"/>
      <c r="K37" s="336"/>
      <c r="L37" s="336"/>
      <c r="M37" s="336"/>
      <c r="N37" s="362"/>
      <c r="O37" s="347" t="str">
        <f>IF(N37&lt;=0,"",IF(N37&lt;=2,"Muy Baja",IF(N37&lt;=24,"Baja",IF(N37&lt;=500,"Media",IF(N37&lt;=5000,"Alta","Muy Alta")))))</f>
        <v/>
      </c>
      <c r="P37" s="346" t="str">
        <f>IF(O37="","",IF(O37="Muy Baja",0.2,IF(O37="Baja",0.4,IF(O37="Media",0.6,IF(O37="Alta",0.8,IF(O37="Muy Alta",1,))))))</f>
        <v/>
      </c>
      <c r="Q37" s="330"/>
      <c r="R37" s="346">
        <f>IF(NOT(ISERROR(MATCH(Q37,'Tabla Impacto'!$B$222:$B$224,0))),'Tabla Impacto'!$F$224&amp;"Por favor no seleccionar los criterios de impacto(Afectación Económica o presupuestal y Pérdida Reputacional)",Q37)</f>
        <v>0</v>
      </c>
      <c r="S37" s="347" t="str">
        <f>IF(OR(R37='Tabla Impacto'!$C$12,R37='Tabla Impacto'!$D$12),"Leve",IF(OR(R37='Tabla Impacto'!$C$13,R37='Tabla Impacto'!$D$13),"Menor",IF(OR(R37='Tabla Impacto'!$C$14,R37='Tabla Impacto'!$D$14),"Moderado",IF(OR(R37='Tabla Impacto'!$C$15,R37='Tabla Impacto'!$D$15),"Mayor",IF(OR(R37='Tabla Impacto'!$C$16,R37='Tabla Impacto'!$D$16),"Catastrófico","")))))</f>
        <v/>
      </c>
      <c r="T37" s="346" t="str">
        <f>IF(S37="","",IF(S37="Leve",0.2,IF(S37="Menor",0.4,IF(S37="Moderado",0.6,IF(S37="Mayor",0.8,IF(S37="Catastrófico",1,))))))</f>
        <v/>
      </c>
      <c r="U37" s="339" t="str">
        <f>IF(OR(AND(O37="Muy Baja",S37="Leve"),AND(O37="Muy Baja",S37="Menor"),AND(O37="Baja",S37="Leve")),"Bajo",IF(OR(AND(O37="Muy baja",S37="Moderado"),AND(O37="Baja",S37="Menor"),AND(O37="Baja",S37="Moderado"),AND(O37="Media",S37="Leve"),AND(O37="Media",S37="Menor"),AND(O37="Media",S37="Moderado"),AND(O37="Alta",S37="Leve"),AND(O37="Alta",S37="Menor")),"Moderado",IF(OR(AND(O37="Muy Baja",S37="Mayor"),AND(O37="Baja",S37="Mayor"),AND(O37="Media",S37="Mayor"),AND(O37="Alta",S37="Moderado"),AND(O37="Alta",S37="Mayor"),AND(O37="Muy Alta",S37="Leve"),AND(O37="Muy Alta",S37="Menor"),AND(O37="Muy Alta",S37="Moderado"),AND(O37="Muy Alta",S37="Mayor")),"Alto",IF(OR(AND(O37="Muy Baja",S37="Catastrófico"),AND(O37="Baja",S37="Catastrófico"),AND(O37="Media",S37="Catastrófico"),AND(O37="Alta",S37="Catastrófico"),AND(O37="Muy Alta",S37="Catastrófico")),"Extremo",""))))</f>
        <v/>
      </c>
      <c r="V37" s="222">
        <v>1</v>
      </c>
      <c r="W37" s="187"/>
      <c r="X37" s="189" t="str">
        <f>IF(OR(Y37="Preventivo",Y37="Detectivo"),"Probabilidad",IF(Y37="Correctivo","Impacto",""))</f>
        <v/>
      </c>
      <c r="Y37" s="190"/>
      <c r="Z37" s="190"/>
      <c r="AA37" s="191" t="str">
        <f>IF(AND(Y37="Preventivo",Z37="Automático"),"50%",IF(AND(Y37="Preventivo",Z37="Manual"),"40%",IF(AND(Y37="Detectivo",Z37="Automático"),"40%",IF(AND(Y37="Detectivo",Z37="Manual"),"30%",IF(AND(Y37="Correctivo",Z37="Automático"),"35%",IF(AND(Y37="Correctivo",Z37="Manual"),"25%",""))))))</f>
        <v/>
      </c>
      <c r="AB37" s="190"/>
      <c r="AC37" s="190"/>
      <c r="AD37" s="190"/>
      <c r="AE37" s="192" t="str">
        <f>IFERROR(IF(X37="Probabilidad",(P37-(+P37*AA37)),IF(X37="Impacto",P37,"")),"")</f>
        <v/>
      </c>
      <c r="AF37" s="193" t="str">
        <f>IFERROR(IF(AE37="","",IF(AE37&lt;=0.2,"Muy Baja",IF(AE37&lt;=0.4,"Baja",IF(AE37&lt;=0.6,"Media",IF(AE37&lt;=0.8,"Alta","Muy Alta"))))),"")</f>
        <v/>
      </c>
      <c r="AG37" s="191" t="str">
        <f>+AE37</f>
        <v/>
      </c>
      <c r="AH37" s="193" t="str">
        <f>IFERROR(IF(AI37="","",IF(AI37&lt;=0.2,"Leve",IF(AI37&lt;=0.4,"Menor",IF(AI37&lt;=0.6,"Moderado",IF(AI37&lt;=0.8,"Mayor","Catastrófico"))))),"")</f>
        <v/>
      </c>
      <c r="AI37" s="191" t="str">
        <f t="shared" ref="AI37" si="35">IFERROR(IF(X37="Impacto",(T37-(+T37*AA37)),IF(X37="Probabilidad",T37,"")),"")</f>
        <v/>
      </c>
      <c r="AJ37" s="194" t="str">
        <f>IFERROR(IF(OR(AND(AF37="Muy Baja",AH37="Leve"),AND(AF37="Muy Baja",AH37="Menor"),AND(AF37="Baja",AH37="Leve")),"Bajo",IF(OR(AND(AF37="Muy baja",AH37="Moderado"),AND(AF37="Baja",AH37="Menor"),AND(AF37="Baja",AH37="Moderado"),AND(AF37="Media",AH37="Leve"),AND(AF37="Media",AH37="Menor"),AND(AF37="Media",AH37="Moderado"),AND(AF37="Alta",AH37="Leve"),AND(AF37="Alta",AH37="Menor")),"Moderado",IF(OR(AND(AF37="Muy Baja",AH37="Mayor"),AND(AF37="Baja",AH37="Mayor"),AND(AF37="Media",AH37="Mayor"),AND(AF37="Alta",AH37="Moderado"),AND(AF37="Alta",AH37="Mayor"),AND(AF37="Muy Alta",AH37="Leve"),AND(AF37="Muy Alta",AH37="Menor"),AND(AF37="Muy Alta",AH37="Moderado"),AND(AF37="Muy Alta",AH37="Mayor")),"Alto",IF(OR(AND(AF37="Muy Baja",AH37="Catastrófico"),AND(AF37="Baja",AH37="Catastrófico"),AND(AF37="Media",AH37="Catastrófico"),AND(AF37="Alta",AH37="Catastrófico"),AND(AF37="Muy Alta",AH37="Catastrófico")),"Extremo","")))),"")</f>
        <v/>
      </c>
      <c r="AK37" s="195"/>
      <c r="AL37" s="186"/>
      <c r="AM37" s="196"/>
      <c r="AN37" s="196"/>
      <c r="AO37" s="197"/>
      <c r="AP37" s="362"/>
      <c r="AQ37" s="362"/>
      <c r="AR37" s="362"/>
    </row>
    <row r="38" spans="1:44" ht="37.5" customHeight="1" x14ac:dyDescent="0.2">
      <c r="A38" s="379"/>
      <c r="B38" s="365"/>
      <c r="C38" s="365"/>
      <c r="D38" s="365"/>
      <c r="E38" s="365"/>
      <c r="F38" s="365"/>
      <c r="G38" s="337"/>
      <c r="H38" s="337"/>
      <c r="I38" s="337"/>
      <c r="J38" s="337"/>
      <c r="K38" s="337"/>
      <c r="L38" s="337"/>
      <c r="M38" s="337"/>
      <c r="N38" s="362"/>
      <c r="O38" s="347"/>
      <c r="P38" s="346"/>
      <c r="Q38" s="330"/>
      <c r="R38" s="346">
        <f>IF(NOT(ISERROR(MATCH(Q38,_xlfn.ANCHORARRAY(E49),0))),P51&amp;"Por favor no seleccionar los criterios de impacto",Q38)</f>
        <v>0</v>
      </c>
      <c r="S38" s="347"/>
      <c r="T38" s="346"/>
      <c r="U38" s="339"/>
      <c r="V38" s="222">
        <v>2</v>
      </c>
      <c r="W38" s="187"/>
      <c r="X38" s="189" t="str">
        <f>IF(OR(Y38="Preventivo",Y38="Detectivo"),"Probabilidad",IF(Y38="Correctivo","Impacto",""))</f>
        <v/>
      </c>
      <c r="Y38" s="190"/>
      <c r="Z38" s="190"/>
      <c r="AA38" s="191" t="str">
        <f t="shared" ref="AA38:AA42" si="36">IF(AND(Y38="Preventivo",Z38="Automático"),"50%",IF(AND(Y38="Preventivo",Z38="Manual"),"40%",IF(AND(Y38="Detectivo",Z38="Automático"),"40%",IF(AND(Y38="Detectivo",Z38="Manual"),"30%",IF(AND(Y38="Correctivo",Z38="Automático"),"35%",IF(AND(Y38="Correctivo",Z38="Manual"),"25%",""))))))</f>
        <v/>
      </c>
      <c r="AB38" s="190"/>
      <c r="AC38" s="190"/>
      <c r="AD38" s="190"/>
      <c r="AE38" s="192" t="str">
        <f>IFERROR(IF(AND(X37="Probabilidad",X38="Probabilidad"),(AG37-(+AG37*AA38)),IF(X38="Probabilidad",(P37-(+P37*AA38)),IF(X38="Impacto",AG37,""))),"")</f>
        <v/>
      </c>
      <c r="AF38" s="193" t="str">
        <f t="shared" si="2"/>
        <v/>
      </c>
      <c r="AG38" s="191" t="str">
        <f t="shared" ref="AG38:AG42" si="37">+AE38</f>
        <v/>
      </c>
      <c r="AH38" s="193" t="str">
        <f t="shared" si="4"/>
        <v/>
      </c>
      <c r="AI38" s="191" t="str">
        <f t="shared" ref="AI38" si="38">IFERROR(IF(AND(X37="Impacto",X38="Impacto"),(AI37-(+AI37*AA38)),IF(X38="Impacto",($T$13-(+$T$13*AA38)),IF(X38="Probabilidad",AI37,""))),"")</f>
        <v/>
      </c>
      <c r="AJ38" s="194" t="str">
        <f t="shared" ref="AJ38:AJ39" si="39">IFERROR(IF(OR(AND(AF38="Muy Baja",AH38="Leve"),AND(AF38="Muy Baja",AH38="Menor"),AND(AF38="Baja",AH38="Leve")),"Bajo",IF(OR(AND(AF38="Muy baja",AH38="Moderado"),AND(AF38="Baja",AH38="Menor"),AND(AF38="Baja",AH38="Moderado"),AND(AF38="Media",AH38="Leve"),AND(AF38="Media",AH38="Menor"),AND(AF38="Media",AH38="Moderado"),AND(AF38="Alta",AH38="Leve"),AND(AF38="Alta",AH38="Menor")),"Moderado",IF(OR(AND(AF38="Muy Baja",AH38="Mayor"),AND(AF38="Baja",AH38="Mayor"),AND(AF38="Media",AH38="Mayor"),AND(AF38="Alta",AH38="Moderado"),AND(AF38="Alta",AH38="Mayor"),AND(AF38="Muy Alta",AH38="Leve"),AND(AF38="Muy Alta",AH38="Menor"),AND(AF38="Muy Alta",AH38="Moderado"),AND(AF38="Muy Alta",AH38="Mayor")),"Alto",IF(OR(AND(AF38="Muy Baja",AH38="Catastrófico"),AND(AF38="Baja",AH38="Catastrófico"),AND(AF38="Media",AH38="Catastrófico"),AND(AF38="Alta",AH38="Catastrófico"),AND(AF38="Muy Alta",AH38="Catastrófico")),"Extremo","")))),"")</f>
        <v/>
      </c>
      <c r="AK38" s="195"/>
      <c r="AL38" s="186"/>
      <c r="AM38" s="196"/>
      <c r="AN38" s="196"/>
      <c r="AO38" s="197"/>
      <c r="AP38" s="362"/>
      <c r="AQ38" s="362"/>
      <c r="AR38" s="362"/>
    </row>
    <row r="39" spans="1:44" ht="37.5" customHeight="1" x14ac:dyDescent="0.2">
      <c r="A39" s="379"/>
      <c r="B39" s="365"/>
      <c r="C39" s="365"/>
      <c r="D39" s="365"/>
      <c r="E39" s="365"/>
      <c r="F39" s="365"/>
      <c r="G39" s="337"/>
      <c r="H39" s="337"/>
      <c r="I39" s="337"/>
      <c r="J39" s="337"/>
      <c r="K39" s="337"/>
      <c r="L39" s="337"/>
      <c r="M39" s="337"/>
      <c r="N39" s="362"/>
      <c r="O39" s="347"/>
      <c r="P39" s="346"/>
      <c r="Q39" s="330"/>
      <c r="R39" s="346">
        <f>IF(NOT(ISERROR(MATCH(Q39,_xlfn.ANCHORARRAY(E50),0))),P52&amp;"Por favor no seleccionar los criterios de impacto",Q39)</f>
        <v>0</v>
      </c>
      <c r="S39" s="347"/>
      <c r="T39" s="346"/>
      <c r="U39" s="339"/>
      <c r="V39" s="222">
        <v>3</v>
      </c>
      <c r="W39" s="188"/>
      <c r="X39" s="189" t="str">
        <f>IF(OR(Y39="Preventivo",Y39="Detectivo"),"Probabilidad",IF(Y39="Correctivo","Impacto",""))</f>
        <v/>
      </c>
      <c r="Y39" s="190"/>
      <c r="Z39" s="190"/>
      <c r="AA39" s="191" t="str">
        <f t="shared" si="36"/>
        <v/>
      </c>
      <c r="AB39" s="190"/>
      <c r="AC39" s="190"/>
      <c r="AD39" s="190"/>
      <c r="AE39" s="192" t="str">
        <f>IFERROR(IF(AND(X38="Probabilidad",X39="Probabilidad"),(AG38-(+AG38*AA39)),IF(AND(X38="Impacto",X39="Probabilidad"),(AG37-(+AG37*AA39)),IF(X39="Impacto",AG38,""))),"")</f>
        <v/>
      </c>
      <c r="AF39" s="193" t="str">
        <f t="shared" si="2"/>
        <v/>
      </c>
      <c r="AG39" s="191" t="str">
        <f t="shared" si="37"/>
        <v/>
      </c>
      <c r="AH39" s="193" t="str">
        <f t="shared" si="4"/>
        <v/>
      </c>
      <c r="AI39" s="191" t="str">
        <f t="shared" ref="AI39" si="40">IFERROR(IF(AND(X38="Impacto",X39="Impacto"),(AI38-(+AI38*AA39)),IF(AND(X38="Probabilidad",X39="Impacto"),(AI37-(+AI37*AA39)),IF(X39="Probabilidad",AI38,""))),"")</f>
        <v/>
      </c>
      <c r="AJ39" s="194" t="str">
        <f t="shared" si="39"/>
        <v/>
      </c>
      <c r="AK39" s="195"/>
      <c r="AL39" s="186"/>
      <c r="AM39" s="196"/>
      <c r="AN39" s="196"/>
      <c r="AO39" s="197"/>
      <c r="AP39" s="362"/>
      <c r="AQ39" s="362"/>
      <c r="AR39" s="362"/>
    </row>
    <row r="40" spans="1:44" ht="37.5" customHeight="1" x14ac:dyDescent="0.2">
      <c r="A40" s="379"/>
      <c r="B40" s="365"/>
      <c r="C40" s="365"/>
      <c r="D40" s="365"/>
      <c r="E40" s="365"/>
      <c r="F40" s="365"/>
      <c r="G40" s="337"/>
      <c r="H40" s="337"/>
      <c r="I40" s="337"/>
      <c r="J40" s="337"/>
      <c r="K40" s="337"/>
      <c r="L40" s="337"/>
      <c r="M40" s="337"/>
      <c r="N40" s="362"/>
      <c r="O40" s="347"/>
      <c r="P40" s="346"/>
      <c r="Q40" s="330"/>
      <c r="R40" s="346">
        <f>IF(NOT(ISERROR(MATCH(Q40,_xlfn.ANCHORARRAY(E51),0))),P53&amp;"Por favor no seleccionar los criterios de impacto",Q40)</f>
        <v>0</v>
      </c>
      <c r="S40" s="347"/>
      <c r="T40" s="346"/>
      <c r="U40" s="339"/>
      <c r="V40" s="222">
        <v>4</v>
      </c>
      <c r="W40" s="187"/>
      <c r="X40" s="189" t="str">
        <f t="shared" ref="X40:X42" si="41">IF(OR(Y40="Preventivo",Y40="Detectivo"),"Probabilidad",IF(Y40="Correctivo","Impacto",""))</f>
        <v/>
      </c>
      <c r="Y40" s="190"/>
      <c r="Z40" s="190"/>
      <c r="AA40" s="191" t="str">
        <f t="shared" si="36"/>
        <v/>
      </c>
      <c r="AB40" s="190"/>
      <c r="AC40" s="190"/>
      <c r="AD40" s="190"/>
      <c r="AE40" s="192" t="str">
        <f t="shared" ref="AE40:AE42" si="42">IFERROR(IF(AND(X39="Probabilidad",X40="Probabilidad"),(AG39-(+AG39*AA40)),IF(AND(X39="Impacto",X40="Probabilidad"),(AG38-(+AG38*AA40)),IF(X40="Impacto",AG39,""))),"")</f>
        <v/>
      </c>
      <c r="AF40" s="193" t="str">
        <f t="shared" si="2"/>
        <v/>
      </c>
      <c r="AG40" s="191" t="str">
        <f t="shared" si="37"/>
        <v/>
      </c>
      <c r="AH40" s="193" t="str">
        <f t="shared" si="4"/>
        <v/>
      </c>
      <c r="AI40" s="191" t="str">
        <f t="shared" si="13"/>
        <v/>
      </c>
      <c r="AJ40" s="194" t="str">
        <f>IFERROR(IF(OR(AND(AF40="Muy Baja",AH40="Leve"),AND(AF40="Muy Baja",AH40="Menor"),AND(AF40="Baja",AH40="Leve")),"Bajo",IF(OR(AND(AF40="Muy baja",AH40="Moderado"),AND(AF40="Baja",AH40="Menor"),AND(AF40="Baja",AH40="Moderado"),AND(AF40="Media",AH40="Leve"),AND(AF40="Media",AH40="Menor"),AND(AF40="Media",AH40="Moderado"),AND(AF40="Alta",AH40="Leve"),AND(AF40="Alta",AH40="Menor")),"Moderado",IF(OR(AND(AF40="Muy Baja",AH40="Mayor"),AND(AF40="Baja",AH40="Mayor"),AND(AF40="Media",AH40="Mayor"),AND(AF40="Alta",AH40="Moderado"),AND(AF40="Alta",AH40="Mayor"),AND(AF40="Muy Alta",AH40="Leve"),AND(AF40="Muy Alta",AH40="Menor"),AND(AF40="Muy Alta",AH40="Moderado"),AND(AF40="Muy Alta",AH40="Mayor")),"Alto",IF(OR(AND(AF40="Muy Baja",AH40="Catastrófico"),AND(AF40="Baja",AH40="Catastrófico"),AND(AF40="Media",AH40="Catastrófico"),AND(AF40="Alta",AH40="Catastrófico"),AND(AF40="Muy Alta",AH40="Catastrófico")),"Extremo","")))),"")</f>
        <v/>
      </c>
      <c r="AK40" s="195"/>
      <c r="AL40" s="186"/>
      <c r="AM40" s="196"/>
      <c r="AN40" s="196"/>
      <c r="AO40" s="197"/>
      <c r="AP40" s="362"/>
      <c r="AQ40" s="362"/>
      <c r="AR40" s="362"/>
    </row>
    <row r="41" spans="1:44" ht="37.5" customHeight="1" x14ac:dyDescent="0.2">
      <c r="A41" s="379"/>
      <c r="B41" s="365"/>
      <c r="C41" s="365"/>
      <c r="D41" s="365"/>
      <c r="E41" s="365"/>
      <c r="F41" s="365"/>
      <c r="G41" s="337"/>
      <c r="H41" s="337"/>
      <c r="I41" s="337"/>
      <c r="J41" s="337"/>
      <c r="K41" s="337"/>
      <c r="L41" s="337"/>
      <c r="M41" s="337"/>
      <c r="N41" s="362"/>
      <c r="O41" s="347"/>
      <c r="P41" s="346"/>
      <c r="Q41" s="330"/>
      <c r="R41" s="346">
        <f>IF(NOT(ISERROR(MATCH(Q41,_xlfn.ANCHORARRAY(E52),0))),P54&amp;"Por favor no seleccionar los criterios de impacto",Q41)</f>
        <v>0</v>
      </c>
      <c r="S41" s="347"/>
      <c r="T41" s="346"/>
      <c r="U41" s="339"/>
      <c r="V41" s="222">
        <v>5</v>
      </c>
      <c r="W41" s="187"/>
      <c r="X41" s="189" t="str">
        <f t="shared" si="41"/>
        <v/>
      </c>
      <c r="Y41" s="190"/>
      <c r="Z41" s="190"/>
      <c r="AA41" s="191" t="str">
        <f t="shared" si="36"/>
        <v/>
      </c>
      <c r="AB41" s="190"/>
      <c r="AC41" s="190"/>
      <c r="AD41" s="190"/>
      <c r="AE41" s="192" t="str">
        <f t="shared" si="42"/>
        <v/>
      </c>
      <c r="AF41" s="193" t="str">
        <f t="shared" si="2"/>
        <v/>
      </c>
      <c r="AG41" s="191" t="str">
        <f t="shared" si="37"/>
        <v/>
      </c>
      <c r="AH41" s="193" t="str">
        <f t="shared" si="4"/>
        <v/>
      </c>
      <c r="AI41" s="191" t="str">
        <f t="shared" si="13"/>
        <v/>
      </c>
      <c r="AJ41" s="194" t="str">
        <f t="shared" ref="AJ41:AJ42" si="43">IFERROR(IF(OR(AND(AF41="Muy Baja",AH41="Leve"),AND(AF41="Muy Baja",AH41="Menor"),AND(AF41="Baja",AH41="Leve")),"Bajo",IF(OR(AND(AF41="Muy baja",AH41="Moderado"),AND(AF41="Baja",AH41="Menor"),AND(AF41="Baja",AH41="Moderado"),AND(AF41="Media",AH41="Leve"),AND(AF41="Media",AH41="Menor"),AND(AF41="Media",AH41="Moderado"),AND(AF41="Alta",AH41="Leve"),AND(AF41="Alta",AH41="Menor")),"Moderado",IF(OR(AND(AF41="Muy Baja",AH41="Mayor"),AND(AF41="Baja",AH41="Mayor"),AND(AF41="Media",AH41="Mayor"),AND(AF41="Alta",AH41="Moderado"),AND(AF41="Alta",AH41="Mayor"),AND(AF41="Muy Alta",AH41="Leve"),AND(AF41="Muy Alta",AH41="Menor"),AND(AF41="Muy Alta",AH41="Moderado"),AND(AF41="Muy Alta",AH41="Mayor")),"Alto",IF(OR(AND(AF41="Muy Baja",AH41="Catastrófico"),AND(AF41="Baja",AH41="Catastrófico"),AND(AF41="Media",AH41="Catastrófico"),AND(AF41="Alta",AH41="Catastrófico"),AND(AF41="Muy Alta",AH41="Catastrófico")),"Extremo","")))),"")</f>
        <v/>
      </c>
      <c r="AK41" s="195"/>
      <c r="AL41" s="186"/>
      <c r="AM41" s="196"/>
      <c r="AN41" s="196"/>
      <c r="AO41" s="197"/>
      <c r="AP41" s="362"/>
      <c r="AQ41" s="362"/>
      <c r="AR41" s="362"/>
    </row>
    <row r="42" spans="1:44" ht="37.5" customHeight="1" x14ac:dyDescent="0.2">
      <c r="A42" s="379"/>
      <c r="B42" s="365"/>
      <c r="C42" s="365"/>
      <c r="D42" s="365"/>
      <c r="E42" s="365"/>
      <c r="F42" s="365"/>
      <c r="G42" s="338"/>
      <c r="H42" s="338"/>
      <c r="I42" s="338"/>
      <c r="J42" s="338"/>
      <c r="K42" s="338"/>
      <c r="L42" s="338"/>
      <c r="M42" s="338"/>
      <c r="N42" s="362"/>
      <c r="O42" s="347"/>
      <c r="P42" s="346"/>
      <c r="Q42" s="330"/>
      <c r="R42" s="346">
        <f>IF(NOT(ISERROR(MATCH(Q42,_xlfn.ANCHORARRAY(E53),0))),P55&amp;"Por favor no seleccionar los criterios de impacto",Q42)</f>
        <v>0</v>
      </c>
      <c r="S42" s="347"/>
      <c r="T42" s="346"/>
      <c r="U42" s="339"/>
      <c r="V42" s="222">
        <v>6</v>
      </c>
      <c r="W42" s="187"/>
      <c r="X42" s="189" t="str">
        <f t="shared" si="41"/>
        <v/>
      </c>
      <c r="Y42" s="190"/>
      <c r="Z42" s="190"/>
      <c r="AA42" s="191" t="str">
        <f t="shared" si="36"/>
        <v/>
      </c>
      <c r="AB42" s="190"/>
      <c r="AC42" s="190"/>
      <c r="AD42" s="190"/>
      <c r="AE42" s="192" t="str">
        <f t="shared" si="42"/>
        <v/>
      </c>
      <c r="AF42" s="193" t="str">
        <f t="shared" si="2"/>
        <v/>
      </c>
      <c r="AG42" s="191" t="str">
        <f t="shared" si="37"/>
        <v/>
      </c>
      <c r="AH42" s="193" t="str">
        <f t="shared" si="4"/>
        <v/>
      </c>
      <c r="AI42" s="191" t="str">
        <f t="shared" si="13"/>
        <v/>
      </c>
      <c r="AJ42" s="194" t="str">
        <f t="shared" si="43"/>
        <v/>
      </c>
      <c r="AK42" s="195"/>
      <c r="AL42" s="186"/>
      <c r="AM42" s="196"/>
      <c r="AN42" s="196"/>
      <c r="AO42" s="197"/>
      <c r="AP42" s="362"/>
      <c r="AQ42" s="362"/>
      <c r="AR42" s="362"/>
    </row>
    <row r="43" spans="1:44" ht="37.5" customHeight="1" x14ac:dyDescent="0.2">
      <c r="A43" s="379">
        <v>6</v>
      </c>
      <c r="B43" s="365"/>
      <c r="C43" s="365"/>
      <c r="D43" s="365"/>
      <c r="E43" s="336"/>
      <c r="F43" s="365"/>
      <c r="G43" s="336"/>
      <c r="H43" s="336"/>
      <c r="I43" s="336"/>
      <c r="J43" s="336"/>
      <c r="K43" s="336"/>
      <c r="L43" s="336"/>
      <c r="M43" s="336"/>
      <c r="N43" s="362"/>
      <c r="O43" s="347" t="str">
        <f>IF(N43&lt;=0,"",IF(N43&lt;=2,"Muy Baja",IF(N43&lt;=24,"Baja",IF(N43&lt;=500,"Media",IF(N43&lt;=5000,"Alta","Muy Alta")))))</f>
        <v/>
      </c>
      <c r="P43" s="346" t="str">
        <f>IF(O43="","",IF(O43="Muy Baja",0.2,IF(O43="Baja",0.4,IF(O43="Media",0.6,IF(O43="Alta",0.8,IF(O43="Muy Alta",1,))))))</f>
        <v/>
      </c>
      <c r="Q43" s="330"/>
      <c r="R43" s="346">
        <f>IF(NOT(ISERROR(MATCH(Q43,'Tabla Impacto'!$B$222:$B$224,0))),'Tabla Impacto'!$F$224&amp;"Por favor no seleccionar los criterios de impacto(Afectación Económica o presupuestal y Pérdida Reputacional)",Q43)</f>
        <v>0</v>
      </c>
      <c r="S43" s="347" t="str">
        <f>IF(OR(R43='Tabla Impacto'!$C$12,R43='Tabla Impacto'!$D$12),"Leve",IF(OR(R43='Tabla Impacto'!$C$13,R43='Tabla Impacto'!$D$13),"Menor",IF(OR(R43='Tabla Impacto'!$C$14,R43='Tabla Impacto'!$D$14),"Moderado",IF(OR(R43='Tabla Impacto'!$C$15,R43='Tabla Impacto'!$D$15),"Mayor",IF(OR(R43='Tabla Impacto'!$C$16,R43='Tabla Impacto'!$D$16),"Catastrófico","")))))</f>
        <v/>
      </c>
      <c r="T43" s="346" t="str">
        <f>IF(S43="","",IF(S43="Leve",0.2,IF(S43="Menor",0.4,IF(S43="Moderado",0.6,IF(S43="Mayor",0.8,IF(S43="Catastrófico",1,))))))</f>
        <v/>
      </c>
      <c r="U43" s="339" t="str">
        <f>IF(OR(AND(O43="Muy Baja",S43="Leve"),AND(O43="Muy Baja",S43="Menor"),AND(O43="Baja",S43="Leve")),"Bajo",IF(OR(AND(O43="Muy baja",S43="Moderado"),AND(O43="Baja",S43="Menor"),AND(O43="Baja",S43="Moderado"),AND(O43="Media",S43="Leve"),AND(O43="Media",S43="Menor"),AND(O43="Media",S43="Moderado"),AND(O43="Alta",S43="Leve"),AND(O43="Alta",S43="Menor")),"Moderado",IF(OR(AND(O43="Muy Baja",S43="Mayor"),AND(O43="Baja",S43="Mayor"),AND(O43="Media",S43="Mayor"),AND(O43="Alta",S43="Moderado"),AND(O43="Alta",S43="Mayor"),AND(O43="Muy Alta",S43="Leve"),AND(O43="Muy Alta",S43="Menor"),AND(O43="Muy Alta",S43="Moderado"),AND(O43="Muy Alta",S43="Mayor")),"Alto",IF(OR(AND(O43="Muy Baja",S43="Catastrófico"),AND(O43="Baja",S43="Catastrófico"),AND(O43="Media",S43="Catastrófico"),AND(O43="Alta",S43="Catastrófico"),AND(O43="Muy Alta",S43="Catastrófico")),"Extremo",""))))</f>
        <v/>
      </c>
      <c r="V43" s="222">
        <v>1</v>
      </c>
      <c r="W43" s="187"/>
      <c r="X43" s="189" t="str">
        <f>IF(OR(Y43="Preventivo",Y43="Detectivo"),"Probabilidad",IF(Y43="Correctivo","Impacto",""))</f>
        <v/>
      </c>
      <c r="Y43" s="190"/>
      <c r="Z43" s="190"/>
      <c r="AA43" s="191" t="str">
        <f>IF(AND(Y43="Preventivo",Z43="Automático"),"50%",IF(AND(Y43="Preventivo",Z43="Manual"),"40%",IF(AND(Y43="Detectivo",Z43="Automático"),"40%",IF(AND(Y43="Detectivo",Z43="Manual"),"30%",IF(AND(Y43="Correctivo",Z43="Automático"),"35%",IF(AND(Y43="Correctivo",Z43="Manual"),"25%",""))))))</f>
        <v/>
      </c>
      <c r="AB43" s="190"/>
      <c r="AC43" s="190"/>
      <c r="AD43" s="190"/>
      <c r="AE43" s="192" t="str">
        <f>IFERROR(IF(X43="Probabilidad",(P43-(+P43*AA43)),IF(X43="Impacto",P43,"")),"")</f>
        <v/>
      </c>
      <c r="AF43" s="193" t="str">
        <f>IFERROR(IF(AE43="","",IF(AE43&lt;=0.2,"Muy Baja",IF(AE43&lt;=0.4,"Baja",IF(AE43&lt;=0.6,"Media",IF(AE43&lt;=0.8,"Alta","Muy Alta"))))),"")</f>
        <v/>
      </c>
      <c r="AG43" s="191" t="str">
        <f>+AE43</f>
        <v/>
      </c>
      <c r="AH43" s="193" t="str">
        <f>IFERROR(IF(AI43="","",IF(AI43&lt;=0.2,"Leve",IF(AI43&lt;=0.4,"Menor",IF(AI43&lt;=0.6,"Moderado",IF(AI43&lt;=0.8,"Mayor","Catastrófico"))))),"")</f>
        <v/>
      </c>
      <c r="AI43" s="191" t="str">
        <f t="shared" ref="AI43" si="44">IFERROR(IF(X43="Impacto",(T43-(+T43*AA43)),IF(X43="Probabilidad",T43,"")),"")</f>
        <v/>
      </c>
      <c r="AJ43" s="194" t="str">
        <f>IFERROR(IF(OR(AND(AF43="Muy Baja",AH43="Leve"),AND(AF43="Muy Baja",AH43="Menor"),AND(AF43="Baja",AH43="Leve")),"Bajo",IF(OR(AND(AF43="Muy baja",AH43="Moderado"),AND(AF43="Baja",AH43="Menor"),AND(AF43="Baja",AH43="Moderado"),AND(AF43="Media",AH43="Leve"),AND(AF43="Media",AH43="Menor"),AND(AF43="Media",AH43="Moderado"),AND(AF43="Alta",AH43="Leve"),AND(AF43="Alta",AH43="Menor")),"Moderado",IF(OR(AND(AF43="Muy Baja",AH43="Mayor"),AND(AF43="Baja",AH43="Mayor"),AND(AF43="Media",AH43="Mayor"),AND(AF43="Alta",AH43="Moderado"),AND(AF43="Alta",AH43="Mayor"),AND(AF43="Muy Alta",AH43="Leve"),AND(AF43="Muy Alta",AH43="Menor"),AND(AF43="Muy Alta",AH43="Moderado"),AND(AF43="Muy Alta",AH43="Mayor")),"Alto",IF(OR(AND(AF43="Muy Baja",AH43="Catastrófico"),AND(AF43="Baja",AH43="Catastrófico"),AND(AF43="Media",AH43="Catastrófico"),AND(AF43="Alta",AH43="Catastrófico"),AND(AF43="Muy Alta",AH43="Catastrófico")),"Extremo","")))),"")</f>
        <v/>
      </c>
      <c r="AK43" s="190"/>
      <c r="AL43" s="186"/>
      <c r="AM43" s="196"/>
      <c r="AN43" s="196"/>
      <c r="AO43" s="197"/>
      <c r="AP43" s="362"/>
      <c r="AQ43" s="362"/>
      <c r="AR43" s="362"/>
    </row>
    <row r="44" spans="1:44" ht="37.5" customHeight="1" x14ac:dyDescent="0.2">
      <c r="A44" s="379"/>
      <c r="B44" s="365"/>
      <c r="C44" s="365"/>
      <c r="D44" s="365"/>
      <c r="E44" s="337"/>
      <c r="F44" s="365"/>
      <c r="G44" s="337"/>
      <c r="H44" s="337"/>
      <c r="I44" s="337"/>
      <c r="J44" s="337"/>
      <c r="K44" s="337"/>
      <c r="L44" s="337"/>
      <c r="M44" s="337"/>
      <c r="N44" s="362"/>
      <c r="O44" s="347"/>
      <c r="P44" s="346"/>
      <c r="Q44" s="330"/>
      <c r="R44" s="346">
        <f>IF(NOT(ISERROR(MATCH(Q44,_xlfn.ANCHORARRAY(E55),0))),P57&amp;"Por favor no seleccionar los criterios de impacto",Q44)</f>
        <v>0</v>
      </c>
      <c r="S44" s="347"/>
      <c r="T44" s="346"/>
      <c r="U44" s="339"/>
      <c r="V44" s="222">
        <v>2</v>
      </c>
      <c r="W44" s="187"/>
      <c r="X44" s="189" t="str">
        <f>IF(OR(Y44="Preventivo",Y44="Detectivo"),"Probabilidad",IF(Y44="Correctivo","Impacto",""))</f>
        <v/>
      </c>
      <c r="Y44" s="190"/>
      <c r="Z44" s="190"/>
      <c r="AA44" s="191" t="str">
        <f t="shared" ref="AA44:AA48" si="45">IF(AND(Y44="Preventivo",Z44="Automático"),"50%",IF(AND(Y44="Preventivo",Z44="Manual"),"40%",IF(AND(Y44="Detectivo",Z44="Automático"),"40%",IF(AND(Y44="Detectivo",Z44="Manual"),"30%",IF(AND(Y44="Correctivo",Z44="Automático"),"35%",IF(AND(Y44="Correctivo",Z44="Manual"),"25%",""))))))</f>
        <v/>
      </c>
      <c r="AB44" s="190"/>
      <c r="AC44" s="190"/>
      <c r="AD44" s="190"/>
      <c r="AE44" s="192" t="str">
        <f>IFERROR(IF(AND(X43="Probabilidad",X44="Probabilidad"),(AG43-(+AG43*AA44)),IF(X44="Probabilidad",(P43-(+P43*AA44)),IF(X44="Impacto",AG43,""))),"")</f>
        <v/>
      </c>
      <c r="AF44" s="193" t="str">
        <f t="shared" si="2"/>
        <v/>
      </c>
      <c r="AG44" s="191" t="str">
        <f t="shared" ref="AG44:AG48" si="46">+AE44</f>
        <v/>
      </c>
      <c r="AH44" s="193" t="str">
        <f t="shared" si="4"/>
        <v/>
      </c>
      <c r="AI44" s="191" t="str">
        <f t="shared" ref="AI44" si="47">IFERROR(IF(AND(X43="Impacto",X44="Impacto"),(AI43-(+AI43*AA44)),IF(X44="Impacto",($T$13-(+$T$13*AA44)),IF(X44="Probabilidad",AI43,""))),"")</f>
        <v/>
      </c>
      <c r="AJ44" s="194" t="str">
        <f t="shared" ref="AJ44:AJ45" si="48">IFERROR(IF(OR(AND(AF44="Muy Baja",AH44="Leve"),AND(AF44="Muy Baja",AH44="Menor"),AND(AF44="Baja",AH44="Leve")),"Bajo",IF(OR(AND(AF44="Muy baja",AH44="Moderado"),AND(AF44="Baja",AH44="Menor"),AND(AF44="Baja",AH44="Moderado"),AND(AF44="Media",AH44="Leve"),AND(AF44="Media",AH44="Menor"),AND(AF44="Media",AH44="Moderado"),AND(AF44="Alta",AH44="Leve"),AND(AF44="Alta",AH44="Menor")),"Moderado",IF(OR(AND(AF44="Muy Baja",AH44="Mayor"),AND(AF44="Baja",AH44="Mayor"),AND(AF44="Media",AH44="Mayor"),AND(AF44="Alta",AH44="Moderado"),AND(AF44="Alta",AH44="Mayor"),AND(AF44="Muy Alta",AH44="Leve"),AND(AF44="Muy Alta",AH44="Menor"),AND(AF44="Muy Alta",AH44="Moderado"),AND(AF44="Muy Alta",AH44="Mayor")),"Alto",IF(OR(AND(AF44="Muy Baja",AH44="Catastrófico"),AND(AF44="Baja",AH44="Catastrófico"),AND(AF44="Media",AH44="Catastrófico"),AND(AF44="Alta",AH44="Catastrófico"),AND(AF44="Muy Alta",AH44="Catastrófico")),"Extremo","")))),"")</f>
        <v/>
      </c>
      <c r="AK44" s="195"/>
      <c r="AL44" s="186"/>
      <c r="AM44" s="196"/>
      <c r="AN44" s="196"/>
      <c r="AO44" s="197"/>
      <c r="AP44" s="362"/>
      <c r="AQ44" s="362"/>
      <c r="AR44" s="362"/>
    </row>
    <row r="45" spans="1:44" ht="37.5" customHeight="1" x14ac:dyDescent="0.2">
      <c r="A45" s="379"/>
      <c r="B45" s="365"/>
      <c r="C45" s="365"/>
      <c r="D45" s="365"/>
      <c r="E45" s="337"/>
      <c r="F45" s="365"/>
      <c r="G45" s="337"/>
      <c r="H45" s="337"/>
      <c r="I45" s="337"/>
      <c r="J45" s="337"/>
      <c r="K45" s="337"/>
      <c r="L45" s="337"/>
      <c r="M45" s="337"/>
      <c r="N45" s="362"/>
      <c r="O45" s="347"/>
      <c r="P45" s="346"/>
      <c r="Q45" s="330"/>
      <c r="R45" s="346">
        <f>IF(NOT(ISERROR(MATCH(Q45,_xlfn.ANCHORARRAY(E56),0))),P58&amp;"Por favor no seleccionar los criterios de impacto",Q45)</f>
        <v>0</v>
      </c>
      <c r="S45" s="347"/>
      <c r="T45" s="346"/>
      <c r="U45" s="339"/>
      <c r="V45" s="222">
        <v>3</v>
      </c>
      <c r="W45" s="188"/>
      <c r="X45" s="189" t="str">
        <f>IF(OR(Y45="Preventivo",Y45="Detectivo"),"Probabilidad",IF(Y45="Correctivo","Impacto",""))</f>
        <v/>
      </c>
      <c r="Y45" s="190"/>
      <c r="Z45" s="190"/>
      <c r="AA45" s="191" t="str">
        <f t="shared" si="45"/>
        <v/>
      </c>
      <c r="AB45" s="190"/>
      <c r="AC45" s="190"/>
      <c r="AD45" s="190"/>
      <c r="AE45" s="192" t="str">
        <f>IFERROR(IF(AND(X44="Probabilidad",X45="Probabilidad"),(AG44-(+AG44*AA45)),IF(AND(X44="Impacto",X45="Probabilidad"),(AG43-(+AG43*AA45)),IF(X45="Impacto",AG44,""))),"")</f>
        <v/>
      </c>
      <c r="AF45" s="193" t="str">
        <f t="shared" si="2"/>
        <v/>
      </c>
      <c r="AG45" s="191" t="str">
        <f t="shared" si="46"/>
        <v/>
      </c>
      <c r="AH45" s="193" t="str">
        <f t="shared" si="4"/>
        <v/>
      </c>
      <c r="AI45" s="191" t="str">
        <f t="shared" ref="AI45" si="49">IFERROR(IF(AND(X44="Impacto",X45="Impacto"),(AI44-(+AI44*AA45)),IF(AND(X44="Probabilidad",X45="Impacto"),(AI43-(+AI43*AA45)),IF(X45="Probabilidad",AI44,""))),"")</f>
        <v/>
      </c>
      <c r="AJ45" s="194" t="str">
        <f t="shared" si="48"/>
        <v/>
      </c>
      <c r="AK45" s="195"/>
      <c r="AL45" s="186"/>
      <c r="AM45" s="196"/>
      <c r="AN45" s="196"/>
      <c r="AO45" s="197"/>
      <c r="AP45" s="362"/>
      <c r="AQ45" s="362"/>
      <c r="AR45" s="362"/>
    </row>
    <row r="46" spans="1:44" ht="37.5" customHeight="1" x14ac:dyDescent="0.2">
      <c r="A46" s="379"/>
      <c r="B46" s="365"/>
      <c r="C46" s="365"/>
      <c r="D46" s="365"/>
      <c r="E46" s="337"/>
      <c r="F46" s="365"/>
      <c r="G46" s="337"/>
      <c r="H46" s="337"/>
      <c r="I46" s="337"/>
      <c r="J46" s="337"/>
      <c r="K46" s="337"/>
      <c r="L46" s="337"/>
      <c r="M46" s="337"/>
      <c r="N46" s="362"/>
      <c r="O46" s="347"/>
      <c r="P46" s="346"/>
      <c r="Q46" s="330"/>
      <c r="R46" s="346">
        <f>IF(NOT(ISERROR(MATCH(Q46,_xlfn.ANCHORARRAY(E57),0))),P59&amp;"Por favor no seleccionar los criterios de impacto",Q46)</f>
        <v>0</v>
      </c>
      <c r="S46" s="347"/>
      <c r="T46" s="346"/>
      <c r="U46" s="339"/>
      <c r="V46" s="222">
        <v>4</v>
      </c>
      <c r="W46" s="187"/>
      <c r="X46" s="189" t="str">
        <f t="shared" ref="X46:X48" si="50">IF(OR(Y46="Preventivo",Y46="Detectivo"),"Probabilidad",IF(Y46="Correctivo","Impacto",""))</f>
        <v/>
      </c>
      <c r="Y46" s="190"/>
      <c r="Z46" s="190"/>
      <c r="AA46" s="191" t="str">
        <f t="shared" si="45"/>
        <v/>
      </c>
      <c r="AB46" s="190"/>
      <c r="AC46" s="190"/>
      <c r="AD46" s="190"/>
      <c r="AE46" s="192" t="str">
        <f t="shared" ref="AE46:AE48" si="51">IFERROR(IF(AND(X45="Probabilidad",X46="Probabilidad"),(AG45-(+AG45*AA46)),IF(AND(X45="Impacto",X46="Probabilidad"),(AG44-(+AG44*AA46)),IF(X46="Impacto",AG45,""))),"")</f>
        <v/>
      </c>
      <c r="AF46" s="193" t="str">
        <f t="shared" si="2"/>
        <v/>
      </c>
      <c r="AG46" s="191" t="str">
        <f t="shared" si="46"/>
        <v/>
      </c>
      <c r="AH46" s="193" t="str">
        <f t="shared" si="4"/>
        <v/>
      </c>
      <c r="AI46" s="191" t="str">
        <f t="shared" si="13"/>
        <v/>
      </c>
      <c r="AJ46" s="194" t="str">
        <f>IFERROR(IF(OR(AND(AF46="Muy Baja",AH46="Leve"),AND(AF46="Muy Baja",AH46="Menor"),AND(AF46="Baja",AH46="Leve")),"Bajo",IF(OR(AND(AF46="Muy baja",AH46="Moderado"),AND(AF46="Baja",AH46="Menor"),AND(AF46="Baja",AH46="Moderado"),AND(AF46="Media",AH46="Leve"),AND(AF46="Media",AH46="Menor"),AND(AF46="Media",AH46="Moderado"),AND(AF46="Alta",AH46="Leve"),AND(AF46="Alta",AH46="Menor")),"Moderado",IF(OR(AND(AF46="Muy Baja",AH46="Mayor"),AND(AF46="Baja",AH46="Mayor"),AND(AF46="Media",AH46="Mayor"),AND(AF46="Alta",AH46="Moderado"),AND(AF46="Alta",AH46="Mayor"),AND(AF46="Muy Alta",AH46="Leve"),AND(AF46="Muy Alta",AH46="Menor"),AND(AF46="Muy Alta",AH46="Moderado"),AND(AF46="Muy Alta",AH46="Mayor")),"Alto",IF(OR(AND(AF46="Muy Baja",AH46="Catastrófico"),AND(AF46="Baja",AH46="Catastrófico"),AND(AF46="Media",AH46="Catastrófico"),AND(AF46="Alta",AH46="Catastrófico"),AND(AF46="Muy Alta",AH46="Catastrófico")),"Extremo","")))),"")</f>
        <v/>
      </c>
      <c r="AK46" s="195"/>
      <c r="AL46" s="186"/>
      <c r="AM46" s="196"/>
      <c r="AN46" s="196"/>
      <c r="AO46" s="197"/>
      <c r="AP46" s="362"/>
      <c r="AQ46" s="362"/>
      <c r="AR46" s="362"/>
    </row>
    <row r="47" spans="1:44" ht="37.5" customHeight="1" x14ac:dyDescent="0.2">
      <c r="A47" s="379"/>
      <c r="B47" s="365"/>
      <c r="C47" s="365"/>
      <c r="D47" s="365"/>
      <c r="E47" s="337"/>
      <c r="F47" s="365"/>
      <c r="G47" s="337"/>
      <c r="H47" s="337"/>
      <c r="I47" s="337"/>
      <c r="J47" s="337"/>
      <c r="K47" s="337"/>
      <c r="L47" s="337"/>
      <c r="M47" s="337"/>
      <c r="N47" s="362"/>
      <c r="O47" s="347"/>
      <c r="P47" s="346"/>
      <c r="Q47" s="330"/>
      <c r="R47" s="346">
        <f>IF(NOT(ISERROR(MATCH(Q47,_xlfn.ANCHORARRAY(E58),0))),P60&amp;"Por favor no seleccionar los criterios de impacto",Q47)</f>
        <v>0</v>
      </c>
      <c r="S47" s="347"/>
      <c r="T47" s="346"/>
      <c r="U47" s="339"/>
      <c r="V47" s="222">
        <v>5</v>
      </c>
      <c r="W47" s="187"/>
      <c r="X47" s="189" t="str">
        <f t="shared" si="50"/>
        <v/>
      </c>
      <c r="Y47" s="190"/>
      <c r="Z47" s="190"/>
      <c r="AA47" s="191" t="str">
        <f t="shared" si="45"/>
        <v/>
      </c>
      <c r="AB47" s="190"/>
      <c r="AC47" s="190"/>
      <c r="AD47" s="190"/>
      <c r="AE47" s="192" t="str">
        <f t="shared" si="51"/>
        <v/>
      </c>
      <c r="AF47" s="193" t="str">
        <f t="shared" si="2"/>
        <v/>
      </c>
      <c r="AG47" s="191" t="str">
        <f t="shared" si="46"/>
        <v/>
      </c>
      <c r="AH47" s="193" t="str">
        <f t="shared" si="4"/>
        <v/>
      </c>
      <c r="AI47" s="191" t="str">
        <f t="shared" si="13"/>
        <v/>
      </c>
      <c r="AJ47" s="194" t="str">
        <f t="shared" ref="AJ47" si="52">IFERROR(IF(OR(AND(AF47="Muy Baja",AH47="Leve"),AND(AF47="Muy Baja",AH47="Menor"),AND(AF47="Baja",AH47="Leve")),"Bajo",IF(OR(AND(AF47="Muy baja",AH47="Moderado"),AND(AF47="Baja",AH47="Menor"),AND(AF47="Baja",AH47="Moderado"),AND(AF47="Media",AH47="Leve"),AND(AF47="Media",AH47="Menor"),AND(AF47="Media",AH47="Moderado"),AND(AF47="Alta",AH47="Leve"),AND(AF47="Alta",AH47="Menor")),"Moderado",IF(OR(AND(AF47="Muy Baja",AH47="Mayor"),AND(AF47="Baja",AH47="Mayor"),AND(AF47="Media",AH47="Mayor"),AND(AF47="Alta",AH47="Moderado"),AND(AF47="Alta",AH47="Mayor"),AND(AF47="Muy Alta",AH47="Leve"),AND(AF47="Muy Alta",AH47="Menor"),AND(AF47="Muy Alta",AH47="Moderado"),AND(AF47="Muy Alta",AH47="Mayor")),"Alto",IF(OR(AND(AF47="Muy Baja",AH47="Catastrófico"),AND(AF47="Baja",AH47="Catastrófico"),AND(AF47="Media",AH47="Catastrófico"),AND(AF47="Alta",AH47="Catastrófico"),AND(AF47="Muy Alta",AH47="Catastrófico")),"Extremo","")))),"")</f>
        <v/>
      </c>
      <c r="AK47" s="195"/>
      <c r="AL47" s="186"/>
      <c r="AM47" s="196"/>
      <c r="AN47" s="196"/>
      <c r="AO47" s="197"/>
      <c r="AP47" s="362"/>
      <c r="AQ47" s="362"/>
      <c r="AR47" s="362"/>
    </row>
    <row r="48" spans="1:44" ht="37.5" customHeight="1" x14ac:dyDescent="0.2">
      <c r="A48" s="379"/>
      <c r="B48" s="365"/>
      <c r="C48" s="365"/>
      <c r="D48" s="365"/>
      <c r="E48" s="338"/>
      <c r="F48" s="365"/>
      <c r="G48" s="338"/>
      <c r="H48" s="338"/>
      <c r="I48" s="338"/>
      <c r="J48" s="338"/>
      <c r="K48" s="338"/>
      <c r="L48" s="338"/>
      <c r="M48" s="338"/>
      <c r="N48" s="362"/>
      <c r="O48" s="347"/>
      <c r="P48" s="346"/>
      <c r="Q48" s="330"/>
      <c r="R48" s="346">
        <f>IF(NOT(ISERROR(MATCH(Q48,_xlfn.ANCHORARRAY(E59),0))),P61&amp;"Por favor no seleccionar los criterios de impacto",Q48)</f>
        <v>0</v>
      </c>
      <c r="S48" s="347"/>
      <c r="T48" s="346"/>
      <c r="U48" s="339"/>
      <c r="V48" s="222">
        <v>6</v>
      </c>
      <c r="W48" s="187"/>
      <c r="X48" s="189" t="str">
        <f t="shared" si="50"/>
        <v/>
      </c>
      <c r="Y48" s="190"/>
      <c r="Z48" s="190"/>
      <c r="AA48" s="191" t="str">
        <f t="shared" si="45"/>
        <v/>
      </c>
      <c r="AB48" s="190"/>
      <c r="AC48" s="190"/>
      <c r="AD48" s="190"/>
      <c r="AE48" s="192" t="str">
        <f t="shared" si="51"/>
        <v/>
      </c>
      <c r="AF48" s="193" t="str">
        <f t="shared" si="2"/>
        <v/>
      </c>
      <c r="AG48" s="191" t="str">
        <f t="shared" si="46"/>
        <v/>
      </c>
      <c r="AH48" s="193" t="str">
        <f>IFERROR(IF(AI48="","",IF(AI48&lt;=0.2,"Leve",IF(AI48&lt;=0.4,"Menor",IF(AI48&lt;=0.6,"Moderado",IF(AI48&lt;=0.8,"Mayor","Catastrófico"))))),"")</f>
        <v/>
      </c>
      <c r="AI48" s="191" t="str">
        <f t="shared" si="13"/>
        <v/>
      </c>
      <c r="AJ48" s="194" t="str">
        <f>IFERROR(IF(OR(AND(AF48="Muy Baja",AH48="Leve"),AND(AF48="Muy Baja",AH48="Menor"),AND(AF48="Baja",AH48="Leve")),"Bajo",IF(OR(AND(AF48="Muy baja",AH48="Moderado"),AND(AF48="Baja",AH48="Menor"),AND(AF48="Baja",AH48="Moderado"),AND(AF48="Media",AH48="Leve"),AND(AF48="Media",AH48="Menor"),AND(AF48="Media",AH48="Moderado"),AND(AF48="Alta",AH48="Leve"),AND(AF48="Alta",AH48="Menor")),"Moderado",IF(OR(AND(AF48="Muy Baja",AH48="Mayor"),AND(AF48="Baja",AH48="Mayor"),AND(AF48="Media",AH48="Mayor"),AND(AF48="Alta",AH48="Moderado"),AND(AF48="Alta",AH48="Mayor"),AND(AF48="Muy Alta",AH48="Leve"),AND(AF48="Muy Alta",AH48="Menor"),AND(AF48="Muy Alta",AH48="Moderado"),AND(AF48="Muy Alta",AH48="Mayor")),"Alto",IF(OR(AND(AF48="Muy Baja",AH48="Catastrófico"),AND(AF48="Baja",AH48="Catastrófico"),AND(AF48="Media",AH48="Catastrófico"),AND(AF48="Alta",AH48="Catastrófico"),AND(AF48="Muy Alta",AH48="Catastrófico")),"Extremo","")))),"")</f>
        <v/>
      </c>
      <c r="AK48" s="195"/>
      <c r="AL48" s="186"/>
      <c r="AM48" s="196"/>
      <c r="AN48" s="196"/>
      <c r="AO48" s="197"/>
      <c r="AP48" s="362"/>
      <c r="AQ48" s="362"/>
      <c r="AR48" s="362"/>
    </row>
    <row r="49" spans="1:44" ht="37.5" customHeight="1" x14ac:dyDescent="0.2">
      <c r="A49" s="379">
        <v>7</v>
      </c>
      <c r="B49" s="365"/>
      <c r="C49" s="365"/>
      <c r="D49" s="383"/>
      <c r="E49" s="365"/>
      <c r="F49" s="365"/>
      <c r="G49" s="336"/>
      <c r="H49" s="336"/>
      <c r="I49" s="336"/>
      <c r="J49" s="336"/>
      <c r="K49" s="336"/>
      <c r="L49" s="336"/>
      <c r="M49" s="336"/>
      <c r="N49" s="362"/>
      <c r="O49" s="347" t="str">
        <f>IF(N49&lt;=0,"",IF(N49&lt;=2,"Muy Baja",IF(N49&lt;=24,"Baja",IF(N49&lt;=500,"Media",IF(N49&lt;=5000,"Alta","Muy Alta")))))</f>
        <v/>
      </c>
      <c r="P49" s="346" t="str">
        <f>IF(O49="","",IF(O49="Muy Baja",0.2,IF(O49="Baja",0.4,IF(O49="Media",0.6,IF(O49="Alta",0.8,IF(O49="Muy Alta",1,))))))</f>
        <v/>
      </c>
      <c r="Q49" s="330"/>
      <c r="R49" s="346">
        <f>IF(NOT(ISERROR(MATCH(Q49,'Tabla Impacto'!$B$222:$B$224,0))),'Tabla Impacto'!$F$224&amp;"Por favor no seleccionar los criterios de impacto(Afectación Económica o presupuestal y Pérdida Reputacional)",Q49)</f>
        <v>0</v>
      </c>
      <c r="S49" s="347" t="str">
        <f>IF(OR(R49='Tabla Impacto'!$C$12,R49='Tabla Impacto'!$D$12),"Leve",IF(OR(R49='Tabla Impacto'!$C$13,R49='Tabla Impacto'!$D$13),"Menor",IF(OR(R49='Tabla Impacto'!$C$14,R49='Tabla Impacto'!$D$14),"Moderado",IF(OR(R49='Tabla Impacto'!$C$15,R49='Tabla Impacto'!$D$15),"Mayor",IF(OR(R49='Tabla Impacto'!$C$16,R49='Tabla Impacto'!$D$16),"Catastrófico","")))))</f>
        <v/>
      </c>
      <c r="T49" s="346" t="str">
        <f>IF(S49="","",IF(S49="Leve",0.2,IF(S49="Menor",0.4,IF(S49="Moderado",0.6,IF(S49="Mayor",0.8,IF(S49="Catastrófico",1,))))))</f>
        <v/>
      </c>
      <c r="U49" s="339" t="str">
        <f>IF(OR(AND(O49="Muy Baja",S49="Leve"),AND(O49="Muy Baja",S49="Menor"),AND(O49="Baja",S49="Leve")),"Bajo",IF(OR(AND(O49="Muy baja",S49="Moderado"),AND(O49="Baja",S49="Menor"),AND(O49="Baja",S49="Moderado"),AND(O49="Media",S49="Leve"),AND(O49="Media",S49="Menor"),AND(O49="Media",S49="Moderado"),AND(O49="Alta",S49="Leve"),AND(O49="Alta",S49="Menor")),"Moderado",IF(OR(AND(O49="Muy Baja",S49="Mayor"),AND(O49="Baja",S49="Mayor"),AND(O49="Media",S49="Mayor"),AND(O49="Alta",S49="Moderado"),AND(O49="Alta",S49="Mayor"),AND(O49="Muy Alta",S49="Leve"),AND(O49="Muy Alta",S49="Menor"),AND(O49="Muy Alta",S49="Moderado"),AND(O49="Muy Alta",S49="Mayor")),"Alto",IF(OR(AND(O49="Muy Baja",S49="Catastrófico"),AND(O49="Baja",S49="Catastrófico"),AND(O49="Media",S49="Catastrófico"),AND(O49="Alta",S49="Catastrófico"),AND(O49="Muy Alta",S49="Catastrófico")),"Extremo",""))))</f>
        <v/>
      </c>
      <c r="V49" s="222">
        <v>1</v>
      </c>
      <c r="W49" s="199"/>
      <c r="X49" s="189" t="str">
        <f>IF(OR(Y49="Preventivo",Y49="Detectivo"),"Probabilidad",IF(Y49="Correctivo","Impacto",""))</f>
        <v/>
      </c>
      <c r="Y49" s="190"/>
      <c r="Z49" s="190"/>
      <c r="AA49" s="191" t="str">
        <f>IF(AND(Y49="Preventivo",Z49="Automático"),"50%",IF(AND(Y49="Preventivo",Z49="Manual"),"40%",IF(AND(Y49="Detectivo",Z49="Automático"),"40%",IF(AND(Y49="Detectivo",Z49="Manual"),"30%",IF(AND(Y49="Correctivo",Z49="Automático"),"35%",IF(AND(Y49="Correctivo",Z49="Manual"),"25%",""))))))</f>
        <v/>
      </c>
      <c r="AB49" s="190"/>
      <c r="AC49" s="190"/>
      <c r="AD49" s="190"/>
      <c r="AE49" s="192" t="str">
        <f>IFERROR(IF(X49="Probabilidad",(P49-(+P49*AA49)),IF(X49="Impacto",P49,"")),"")</f>
        <v/>
      </c>
      <c r="AF49" s="193" t="str">
        <f>IFERROR(IF(AE49="","",IF(AE49&lt;=0.2,"Muy Baja",IF(AE49&lt;=0.4,"Baja",IF(AE49&lt;=0.6,"Media",IF(AE49&lt;=0.8,"Alta","Muy Alta"))))),"")</f>
        <v/>
      </c>
      <c r="AG49" s="191" t="str">
        <f>+AE49</f>
        <v/>
      </c>
      <c r="AH49" s="193" t="str">
        <f>IFERROR(IF(AI49="","",IF(AI49&lt;=0.2,"Leve",IF(AI49&lt;=0.4,"Menor",IF(AI49&lt;=0.6,"Moderado",IF(AI49&lt;=0.8,"Mayor","Catastrófico"))))),"")</f>
        <v/>
      </c>
      <c r="AI49" s="191" t="str">
        <f t="shared" ref="AI49" si="53">IFERROR(IF(X49="Impacto",(T49-(+T49*AA49)),IF(X49="Probabilidad",T49,"")),"")</f>
        <v/>
      </c>
      <c r="AJ49" s="194" t="str">
        <f>IFERROR(IF(OR(AND(AF49="Muy Baja",AH49="Leve"),AND(AF49="Muy Baja",AH49="Menor"),AND(AF49="Baja",AH49="Leve")),"Bajo",IF(OR(AND(AF49="Muy baja",AH49="Moderado"),AND(AF49="Baja",AH49="Menor"),AND(AF49="Baja",AH49="Moderado"),AND(AF49="Media",AH49="Leve"),AND(AF49="Media",AH49="Menor"),AND(AF49="Media",AH49="Moderado"),AND(AF49="Alta",AH49="Leve"),AND(AF49="Alta",AH49="Menor")),"Moderado",IF(OR(AND(AF49="Muy Baja",AH49="Mayor"),AND(AF49="Baja",AH49="Mayor"),AND(AF49="Media",AH49="Mayor"),AND(AF49="Alta",AH49="Moderado"),AND(AF49="Alta",AH49="Mayor"),AND(AF49="Muy Alta",AH49="Leve"),AND(AF49="Muy Alta",AH49="Menor"),AND(AF49="Muy Alta",AH49="Moderado"),AND(AF49="Muy Alta",AH49="Mayor")),"Alto",IF(OR(AND(AF49="Muy Baja",AH49="Catastrófico"),AND(AF49="Baja",AH49="Catastrófico"),AND(AF49="Media",AH49="Catastrófico"),AND(AF49="Alta",AH49="Catastrófico"),AND(AF49="Muy Alta",AH49="Catastrófico")),"Extremo","")))),"")</f>
        <v/>
      </c>
      <c r="AK49" s="195"/>
      <c r="AL49" s="186"/>
      <c r="AM49" s="196"/>
      <c r="AN49" s="196"/>
      <c r="AO49" s="197"/>
      <c r="AP49" s="362"/>
      <c r="AQ49" s="362"/>
      <c r="AR49" s="362"/>
    </row>
    <row r="50" spans="1:44" ht="37.5" customHeight="1" x14ac:dyDescent="0.2">
      <c r="A50" s="379"/>
      <c r="B50" s="365"/>
      <c r="C50" s="365"/>
      <c r="D50" s="383"/>
      <c r="E50" s="365"/>
      <c r="F50" s="365"/>
      <c r="G50" s="337"/>
      <c r="H50" s="337"/>
      <c r="I50" s="337"/>
      <c r="J50" s="337"/>
      <c r="K50" s="337"/>
      <c r="L50" s="337"/>
      <c r="M50" s="337"/>
      <c r="N50" s="362"/>
      <c r="O50" s="347"/>
      <c r="P50" s="346"/>
      <c r="Q50" s="330"/>
      <c r="R50" s="346">
        <f>IF(NOT(ISERROR(MATCH(Q50,_xlfn.ANCHORARRAY(E61),0))),P63&amp;"Por favor no seleccionar los criterios de impacto",Q50)</f>
        <v>0</v>
      </c>
      <c r="S50" s="347"/>
      <c r="T50" s="346"/>
      <c r="U50" s="339"/>
      <c r="V50" s="222">
        <v>2</v>
      </c>
      <c r="W50" s="187"/>
      <c r="X50" s="189" t="str">
        <f>IF(OR(Y50="Preventivo",Y50="Detectivo"),"Probabilidad",IF(Y50="Correctivo","Impacto",""))</f>
        <v/>
      </c>
      <c r="Y50" s="190"/>
      <c r="Z50" s="190"/>
      <c r="AA50" s="191" t="str">
        <f t="shared" ref="AA50:AA54" si="54">IF(AND(Y50="Preventivo",Z50="Automático"),"50%",IF(AND(Y50="Preventivo",Z50="Manual"),"40%",IF(AND(Y50="Detectivo",Z50="Automático"),"40%",IF(AND(Y50="Detectivo",Z50="Manual"),"30%",IF(AND(Y50="Correctivo",Z50="Automático"),"35%",IF(AND(Y50="Correctivo",Z50="Manual"),"25%",""))))))</f>
        <v/>
      </c>
      <c r="AB50" s="190"/>
      <c r="AC50" s="190"/>
      <c r="AD50" s="190"/>
      <c r="AE50" s="192" t="str">
        <f>IFERROR(IF(AND(X49="Probabilidad",X50="Probabilidad"),(AG49-(+AG49*AA50)),IF(X50="Probabilidad",(P49-(+P49*AA50)),IF(X50="Impacto",AG49,""))),"")</f>
        <v/>
      </c>
      <c r="AF50" s="193" t="str">
        <f t="shared" si="2"/>
        <v/>
      </c>
      <c r="AG50" s="191" t="str">
        <f t="shared" ref="AG50:AG54" si="55">+AE50</f>
        <v/>
      </c>
      <c r="AH50" s="193" t="str">
        <f t="shared" si="4"/>
        <v/>
      </c>
      <c r="AI50" s="191" t="str">
        <f t="shared" ref="AI50" si="56">IFERROR(IF(AND(X49="Impacto",X50="Impacto"),(AI49-(+AI49*AA50)),IF(X50="Impacto",($T$13-(+$T$13*AA50)),IF(X50="Probabilidad",AI49,""))),"")</f>
        <v/>
      </c>
      <c r="AJ50" s="194" t="str">
        <f t="shared" ref="AJ50:AJ51" si="57">IFERROR(IF(OR(AND(AF50="Muy Baja",AH50="Leve"),AND(AF50="Muy Baja",AH50="Menor"),AND(AF50="Baja",AH50="Leve")),"Bajo",IF(OR(AND(AF50="Muy baja",AH50="Moderado"),AND(AF50="Baja",AH50="Menor"),AND(AF50="Baja",AH50="Moderado"),AND(AF50="Media",AH50="Leve"),AND(AF50="Media",AH50="Menor"),AND(AF50="Media",AH50="Moderado"),AND(AF50="Alta",AH50="Leve"),AND(AF50="Alta",AH50="Menor")),"Moderado",IF(OR(AND(AF50="Muy Baja",AH50="Mayor"),AND(AF50="Baja",AH50="Mayor"),AND(AF50="Media",AH50="Mayor"),AND(AF50="Alta",AH50="Moderado"),AND(AF50="Alta",AH50="Mayor"),AND(AF50="Muy Alta",AH50="Leve"),AND(AF50="Muy Alta",AH50="Menor"),AND(AF50="Muy Alta",AH50="Moderado"),AND(AF50="Muy Alta",AH50="Mayor")),"Alto",IF(OR(AND(AF50="Muy Baja",AH50="Catastrófico"),AND(AF50="Baja",AH50="Catastrófico"),AND(AF50="Media",AH50="Catastrófico"),AND(AF50="Alta",AH50="Catastrófico"),AND(AF50="Muy Alta",AH50="Catastrófico")),"Extremo","")))),"")</f>
        <v/>
      </c>
      <c r="AK50" s="195"/>
      <c r="AL50" s="186"/>
      <c r="AM50" s="196"/>
      <c r="AN50" s="196"/>
      <c r="AO50" s="197"/>
      <c r="AP50" s="362"/>
      <c r="AQ50" s="362"/>
      <c r="AR50" s="362"/>
    </row>
    <row r="51" spans="1:44" ht="37.5" customHeight="1" x14ac:dyDescent="0.2">
      <c r="A51" s="379"/>
      <c r="B51" s="365"/>
      <c r="C51" s="365"/>
      <c r="D51" s="383"/>
      <c r="E51" s="365"/>
      <c r="F51" s="365"/>
      <c r="G51" s="337"/>
      <c r="H51" s="337"/>
      <c r="I51" s="337"/>
      <c r="J51" s="337"/>
      <c r="K51" s="337"/>
      <c r="L51" s="337"/>
      <c r="M51" s="337"/>
      <c r="N51" s="362"/>
      <c r="O51" s="347"/>
      <c r="P51" s="346"/>
      <c r="Q51" s="330"/>
      <c r="R51" s="346">
        <f>IF(NOT(ISERROR(MATCH(Q51,_xlfn.ANCHORARRAY(E62),0))),P64&amp;"Por favor no seleccionar los criterios de impacto",Q51)</f>
        <v>0</v>
      </c>
      <c r="S51" s="347"/>
      <c r="T51" s="346"/>
      <c r="U51" s="339"/>
      <c r="V51" s="222">
        <v>3</v>
      </c>
      <c r="W51" s="188"/>
      <c r="X51" s="189" t="str">
        <f>IF(OR(Y51="Preventivo",Y51="Detectivo"),"Probabilidad",IF(Y51="Correctivo","Impacto",""))</f>
        <v/>
      </c>
      <c r="Y51" s="190"/>
      <c r="Z51" s="190"/>
      <c r="AA51" s="191" t="str">
        <f t="shared" si="54"/>
        <v/>
      </c>
      <c r="AB51" s="190"/>
      <c r="AC51" s="190"/>
      <c r="AD51" s="190"/>
      <c r="AE51" s="192" t="str">
        <f>IFERROR(IF(AND(X50="Probabilidad",X51="Probabilidad"),(AG50-(+AG50*AA51)),IF(AND(X50="Impacto",X51="Probabilidad"),(AG49-(+AG49*AA51)),IF(X51="Impacto",AG50,""))),"")</f>
        <v/>
      </c>
      <c r="AF51" s="193" t="str">
        <f t="shared" si="2"/>
        <v/>
      </c>
      <c r="AG51" s="191" t="str">
        <f t="shared" si="55"/>
        <v/>
      </c>
      <c r="AH51" s="193" t="str">
        <f t="shared" si="4"/>
        <v/>
      </c>
      <c r="AI51" s="191" t="str">
        <f t="shared" ref="AI51" si="58">IFERROR(IF(AND(X50="Impacto",X51="Impacto"),(AI50-(+AI50*AA51)),IF(AND(X50="Probabilidad",X51="Impacto"),(AI49-(+AI49*AA51)),IF(X51="Probabilidad",AI50,""))),"")</f>
        <v/>
      </c>
      <c r="AJ51" s="194" t="str">
        <f t="shared" si="57"/>
        <v/>
      </c>
      <c r="AK51" s="195"/>
      <c r="AL51" s="186"/>
      <c r="AM51" s="196"/>
      <c r="AN51" s="196"/>
      <c r="AO51" s="197"/>
      <c r="AP51" s="362"/>
      <c r="AQ51" s="362"/>
      <c r="AR51" s="362"/>
    </row>
    <row r="52" spans="1:44" ht="37.5" customHeight="1" x14ac:dyDescent="0.2">
      <c r="A52" s="379"/>
      <c r="B52" s="365"/>
      <c r="C52" s="365"/>
      <c r="D52" s="383"/>
      <c r="E52" s="365"/>
      <c r="F52" s="365"/>
      <c r="G52" s="337"/>
      <c r="H52" s="337"/>
      <c r="I52" s="337"/>
      <c r="J52" s="337"/>
      <c r="K52" s="337"/>
      <c r="L52" s="337"/>
      <c r="M52" s="337"/>
      <c r="N52" s="362"/>
      <c r="O52" s="347"/>
      <c r="P52" s="346"/>
      <c r="Q52" s="330"/>
      <c r="R52" s="346">
        <f>IF(NOT(ISERROR(MATCH(Q52,_xlfn.ANCHORARRAY(E63),0))),P65&amp;"Por favor no seleccionar los criterios de impacto",Q52)</f>
        <v>0</v>
      </c>
      <c r="S52" s="347"/>
      <c r="T52" s="346"/>
      <c r="U52" s="339"/>
      <c r="V52" s="222">
        <v>4</v>
      </c>
      <c r="W52" s="187"/>
      <c r="X52" s="189" t="str">
        <f t="shared" ref="X52:X54" si="59">IF(OR(Y52="Preventivo",Y52="Detectivo"),"Probabilidad",IF(Y52="Correctivo","Impacto",""))</f>
        <v/>
      </c>
      <c r="Y52" s="190"/>
      <c r="Z52" s="190"/>
      <c r="AA52" s="191" t="str">
        <f t="shared" si="54"/>
        <v/>
      </c>
      <c r="AB52" s="190"/>
      <c r="AC52" s="190"/>
      <c r="AD52" s="190"/>
      <c r="AE52" s="192" t="str">
        <f t="shared" ref="AE52:AE54" si="60">IFERROR(IF(AND(X51="Probabilidad",X52="Probabilidad"),(AG51-(+AG51*AA52)),IF(AND(X51="Impacto",X52="Probabilidad"),(AG50-(+AG50*AA52)),IF(X52="Impacto",AG51,""))),"")</f>
        <v/>
      </c>
      <c r="AF52" s="193" t="str">
        <f t="shared" si="2"/>
        <v/>
      </c>
      <c r="AG52" s="191" t="str">
        <f t="shared" si="55"/>
        <v/>
      </c>
      <c r="AH52" s="193" t="str">
        <f t="shared" si="4"/>
        <v/>
      </c>
      <c r="AI52" s="191" t="str">
        <f t="shared" si="13"/>
        <v/>
      </c>
      <c r="AJ52" s="194" t="str">
        <f>IFERROR(IF(OR(AND(AF52="Muy Baja",AH52="Leve"),AND(AF52="Muy Baja",AH52="Menor"),AND(AF52="Baja",AH52="Leve")),"Bajo",IF(OR(AND(AF52="Muy baja",AH52="Moderado"),AND(AF52="Baja",AH52="Menor"),AND(AF52="Baja",AH52="Moderado"),AND(AF52="Media",AH52="Leve"),AND(AF52="Media",AH52="Menor"),AND(AF52="Media",AH52="Moderado"),AND(AF52="Alta",AH52="Leve"),AND(AF52="Alta",AH52="Menor")),"Moderado",IF(OR(AND(AF52="Muy Baja",AH52="Mayor"),AND(AF52="Baja",AH52="Mayor"),AND(AF52="Media",AH52="Mayor"),AND(AF52="Alta",AH52="Moderado"),AND(AF52="Alta",AH52="Mayor"),AND(AF52="Muy Alta",AH52="Leve"),AND(AF52="Muy Alta",AH52="Menor"),AND(AF52="Muy Alta",AH52="Moderado"),AND(AF52="Muy Alta",AH52="Mayor")),"Alto",IF(OR(AND(AF52="Muy Baja",AH52="Catastrófico"),AND(AF52="Baja",AH52="Catastrófico"),AND(AF52="Media",AH52="Catastrófico"),AND(AF52="Alta",AH52="Catastrófico"),AND(AF52="Muy Alta",AH52="Catastrófico")),"Extremo","")))),"")</f>
        <v/>
      </c>
      <c r="AK52" s="195"/>
      <c r="AL52" s="186"/>
      <c r="AM52" s="196"/>
      <c r="AN52" s="196"/>
      <c r="AO52" s="197"/>
      <c r="AP52" s="362"/>
      <c r="AQ52" s="362"/>
      <c r="AR52" s="362"/>
    </row>
    <row r="53" spans="1:44" ht="37.5" customHeight="1" x14ac:dyDescent="0.2">
      <c r="A53" s="379"/>
      <c r="B53" s="365"/>
      <c r="C53" s="365"/>
      <c r="D53" s="383"/>
      <c r="E53" s="365"/>
      <c r="F53" s="365"/>
      <c r="G53" s="337"/>
      <c r="H53" s="337"/>
      <c r="I53" s="337"/>
      <c r="J53" s="337"/>
      <c r="K53" s="337"/>
      <c r="L53" s="337"/>
      <c r="M53" s="337"/>
      <c r="N53" s="362"/>
      <c r="O53" s="347"/>
      <c r="P53" s="346"/>
      <c r="Q53" s="330"/>
      <c r="R53" s="346">
        <f>IF(NOT(ISERROR(MATCH(Q53,_xlfn.ANCHORARRAY(E64),0))),P66&amp;"Por favor no seleccionar los criterios de impacto",Q53)</f>
        <v>0</v>
      </c>
      <c r="S53" s="347"/>
      <c r="T53" s="346"/>
      <c r="U53" s="339"/>
      <c r="V53" s="222">
        <v>5</v>
      </c>
      <c r="W53" s="187"/>
      <c r="X53" s="189" t="str">
        <f t="shared" si="59"/>
        <v/>
      </c>
      <c r="Y53" s="190"/>
      <c r="Z53" s="190"/>
      <c r="AA53" s="191" t="str">
        <f t="shared" si="54"/>
        <v/>
      </c>
      <c r="AB53" s="190"/>
      <c r="AC53" s="190"/>
      <c r="AD53" s="190"/>
      <c r="AE53" s="192" t="str">
        <f t="shared" si="60"/>
        <v/>
      </c>
      <c r="AF53" s="193" t="str">
        <f t="shared" si="2"/>
        <v/>
      </c>
      <c r="AG53" s="191" t="str">
        <f t="shared" si="55"/>
        <v/>
      </c>
      <c r="AH53" s="193" t="str">
        <f t="shared" si="4"/>
        <v/>
      </c>
      <c r="AI53" s="191" t="str">
        <f t="shared" si="13"/>
        <v/>
      </c>
      <c r="AJ53" s="194" t="str">
        <f t="shared" ref="AJ53:AJ54" si="61">IFERROR(IF(OR(AND(AF53="Muy Baja",AH53="Leve"),AND(AF53="Muy Baja",AH53="Menor"),AND(AF53="Baja",AH53="Leve")),"Bajo",IF(OR(AND(AF53="Muy baja",AH53="Moderado"),AND(AF53="Baja",AH53="Menor"),AND(AF53="Baja",AH53="Moderado"),AND(AF53="Media",AH53="Leve"),AND(AF53="Media",AH53="Menor"),AND(AF53="Media",AH53="Moderado"),AND(AF53="Alta",AH53="Leve"),AND(AF53="Alta",AH53="Menor")),"Moderado",IF(OR(AND(AF53="Muy Baja",AH53="Mayor"),AND(AF53="Baja",AH53="Mayor"),AND(AF53="Media",AH53="Mayor"),AND(AF53="Alta",AH53="Moderado"),AND(AF53="Alta",AH53="Mayor"),AND(AF53="Muy Alta",AH53="Leve"),AND(AF53="Muy Alta",AH53="Menor"),AND(AF53="Muy Alta",AH53="Moderado"),AND(AF53="Muy Alta",AH53="Mayor")),"Alto",IF(OR(AND(AF53="Muy Baja",AH53="Catastrófico"),AND(AF53="Baja",AH53="Catastrófico"),AND(AF53="Media",AH53="Catastrófico"),AND(AF53="Alta",AH53="Catastrófico"),AND(AF53="Muy Alta",AH53="Catastrófico")),"Extremo","")))),"")</f>
        <v/>
      </c>
      <c r="AK53" s="195"/>
      <c r="AL53" s="186"/>
      <c r="AM53" s="196"/>
      <c r="AN53" s="196"/>
      <c r="AO53" s="197"/>
      <c r="AP53" s="362"/>
      <c r="AQ53" s="362"/>
      <c r="AR53" s="362"/>
    </row>
    <row r="54" spans="1:44" ht="37.5" customHeight="1" x14ac:dyDescent="0.2">
      <c r="A54" s="379"/>
      <c r="B54" s="365"/>
      <c r="C54" s="365"/>
      <c r="D54" s="383"/>
      <c r="E54" s="365"/>
      <c r="F54" s="365"/>
      <c r="G54" s="338"/>
      <c r="H54" s="338"/>
      <c r="I54" s="338"/>
      <c r="J54" s="338"/>
      <c r="K54" s="338"/>
      <c r="L54" s="338"/>
      <c r="M54" s="338"/>
      <c r="N54" s="362"/>
      <c r="O54" s="347"/>
      <c r="P54" s="346"/>
      <c r="Q54" s="330"/>
      <c r="R54" s="346">
        <f>IF(NOT(ISERROR(MATCH(Q54,_xlfn.ANCHORARRAY(E65),0))),P67&amp;"Por favor no seleccionar los criterios de impacto",Q54)</f>
        <v>0</v>
      </c>
      <c r="S54" s="347"/>
      <c r="T54" s="346"/>
      <c r="U54" s="339"/>
      <c r="V54" s="222">
        <v>6</v>
      </c>
      <c r="W54" s="187"/>
      <c r="X54" s="189" t="str">
        <f t="shared" si="59"/>
        <v/>
      </c>
      <c r="Y54" s="190"/>
      <c r="Z54" s="190"/>
      <c r="AA54" s="191" t="str">
        <f t="shared" si="54"/>
        <v/>
      </c>
      <c r="AB54" s="190"/>
      <c r="AC54" s="190"/>
      <c r="AD54" s="190"/>
      <c r="AE54" s="192" t="str">
        <f t="shared" si="60"/>
        <v/>
      </c>
      <c r="AF54" s="193" t="str">
        <f t="shared" si="2"/>
        <v/>
      </c>
      <c r="AG54" s="191" t="str">
        <f t="shared" si="55"/>
        <v/>
      </c>
      <c r="AH54" s="193" t="str">
        <f t="shared" si="4"/>
        <v/>
      </c>
      <c r="AI54" s="191" t="str">
        <f t="shared" si="13"/>
        <v/>
      </c>
      <c r="AJ54" s="194" t="str">
        <f t="shared" si="61"/>
        <v/>
      </c>
      <c r="AK54" s="195"/>
      <c r="AL54" s="186"/>
      <c r="AM54" s="196"/>
      <c r="AN54" s="196"/>
      <c r="AO54" s="197"/>
      <c r="AP54" s="362"/>
      <c r="AQ54" s="362"/>
      <c r="AR54" s="362"/>
    </row>
    <row r="55" spans="1:44" ht="37.5" customHeight="1" x14ac:dyDescent="0.2">
      <c r="A55" s="379">
        <v>8</v>
      </c>
      <c r="B55" s="365"/>
      <c r="C55" s="365"/>
      <c r="D55" s="365"/>
      <c r="E55" s="365"/>
      <c r="F55" s="365"/>
      <c r="G55" s="336"/>
      <c r="H55" s="336"/>
      <c r="I55" s="336"/>
      <c r="J55" s="336"/>
      <c r="K55" s="336"/>
      <c r="L55" s="336"/>
      <c r="M55" s="336"/>
      <c r="N55" s="362"/>
      <c r="O55" s="347" t="str">
        <f>IF(N55&lt;=0,"",IF(N55&lt;=2,"Muy Baja",IF(N55&lt;=24,"Baja",IF(N55&lt;=500,"Media",IF(N55&lt;=5000,"Alta","Muy Alta")))))</f>
        <v/>
      </c>
      <c r="P55" s="346" t="str">
        <f>IF(O55="","",IF(O55="Muy Baja",0.2,IF(O55="Baja",0.4,IF(O55="Media",0.6,IF(O55="Alta",0.8,IF(O55="Muy Alta",1,))))))</f>
        <v/>
      </c>
      <c r="Q55" s="330"/>
      <c r="R55" s="346">
        <f>IF(NOT(ISERROR(MATCH(Q55,'Tabla Impacto'!$B$222:$B$224,0))),'Tabla Impacto'!$F$224&amp;"Por favor no seleccionar los criterios de impacto(Afectación Económica o presupuestal y Pérdida Reputacional)",Q55)</f>
        <v>0</v>
      </c>
      <c r="S55" s="347" t="str">
        <f>IF(OR(R55='Tabla Impacto'!$C$12,R55='Tabla Impacto'!$D$12),"Leve",IF(OR(R55='Tabla Impacto'!$C$13,R55='Tabla Impacto'!$D$13),"Menor",IF(OR(R55='Tabla Impacto'!$C$14,R55='Tabla Impacto'!$D$14),"Moderado",IF(OR(R55='Tabla Impacto'!$C$15,R55='Tabla Impacto'!$D$15),"Mayor",IF(OR(R55='Tabla Impacto'!$C$16,R55='Tabla Impacto'!$D$16),"Catastrófico","")))))</f>
        <v/>
      </c>
      <c r="T55" s="346" t="str">
        <f>IF(S55="","",IF(S55="Leve",0.2,IF(S55="Menor",0.4,IF(S55="Moderado",0.6,IF(S55="Mayor",0.8,IF(S55="Catastrófico",1,))))))</f>
        <v/>
      </c>
      <c r="U55" s="339" t="str">
        <f>IF(OR(AND(O55="Muy Baja",S55="Leve"),AND(O55="Muy Baja",S55="Menor"),AND(O55="Baja",S55="Leve")),"Bajo",IF(OR(AND(O55="Muy baja",S55="Moderado"),AND(O55="Baja",S55="Menor"),AND(O55="Baja",S55="Moderado"),AND(O55="Media",S55="Leve"),AND(O55="Media",S55="Menor"),AND(O55="Media",S55="Moderado"),AND(O55="Alta",S55="Leve"),AND(O55="Alta",S55="Menor")),"Moderado",IF(OR(AND(O55="Muy Baja",S55="Mayor"),AND(O55="Baja",S55="Mayor"),AND(O55="Media",S55="Mayor"),AND(O55="Alta",S55="Moderado"),AND(O55="Alta",S55="Mayor"),AND(O55="Muy Alta",S55="Leve"),AND(O55="Muy Alta",S55="Menor"),AND(O55="Muy Alta",S55="Moderado"),AND(O55="Muy Alta",S55="Mayor")),"Alto",IF(OR(AND(O55="Muy Baja",S55="Catastrófico"),AND(O55="Baja",S55="Catastrófico"),AND(O55="Media",S55="Catastrófico"),AND(O55="Alta",S55="Catastrófico"),AND(O55="Muy Alta",S55="Catastrófico")),"Extremo",""))))</f>
        <v/>
      </c>
      <c r="V55" s="222">
        <v>1</v>
      </c>
      <c r="W55" s="187"/>
      <c r="X55" s="189" t="str">
        <f>IF(OR(Y55="Preventivo",Y55="Detectivo"),"Probabilidad",IF(Y55="Correctivo","Impacto",""))</f>
        <v/>
      </c>
      <c r="Y55" s="190"/>
      <c r="Z55" s="190"/>
      <c r="AA55" s="191" t="str">
        <f>IF(AND(Y55="Preventivo",Z55="Automático"),"50%",IF(AND(Y55="Preventivo",Z55="Manual"),"40%",IF(AND(Y55="Detectivo",Z55="Automático"),"40%",IF(AND(Y55="Detectivo",Z55="Manual"),"30%",IF(AND(Y55="Correctivo",Z55="Automático"),"35%",IF(AND(Y55="Correctivo",Z55="Manual"),"25%",""))))))</f>
        <v/>
      </c>
      <c r="AB55" s="190"/>
      <c r="AC55" s="190"/>
      <c r="AD55" s="190"/>
      <c r="AE55" s="192" t="str">
        <f>IFERROR(IF(X55="Probabilidad",(P55-(+P55*AA55)),IF(X55="Impacto",P55,"")),"")</f>
        <v/>
      </c>
      <c r="AF55" s="193" t="str">
        <f>IFERROR(IF(AE55="","",IF(AE55&lt;=0.2,"Muy Baja",IF(AE55&lt;=0.4,"Baja",IF(AE55&lt;=0.6,"Media",IF(AE55&lt;=0.8,"Alta","Muy Alta"))))),"")</f>
        <v/>
      </c>
      <c r="AG55" s="191" t="str">
        <f>+AE55</f>
        <v/>
      </c>
      <c r="AH55" s="193" t="str">
        <f>IFERROR(IF(AI55="","",IF(AI55&lt;=0.2,"Leve",IF(AI55&lt;=0.4,"Menor",IF(AI55&lt;=0.6,"Moderado",IF(AI55&lt;=0.8,"Mayor","Catastrófico"))))),"")</f>
        <v/>
      </c>
      <c r="AI55" s="191" t="str">
        <f t="shared" ref="AI55" si="62">IFERROR(IF(X55="Impacto",(T55-(+T55*AA55)),IF(X55="Probabilidad",T55,"")),"")</f>
        <v/>
      </c>
      <c r="AJ55" s="194" t="str">
        <f>IFERROR(IF(OR(AND(AF55="Muy Baja",AH55="Leve"),AND(AF55="Muy Baja",AH55="Menor"),AND(AF55="Baja",AH55="Leve")),"Bajo",IF(OR(AND(AF55="Muy baja",AH55="Moderado"),AND(AF55="Baja",AH55="Menor"),AND(AF55="Baja",AH55="Moderado"),AND(AF55="Media",AH55="Leve"),AND(AF55="Media",AH55="Menor"),AND(AF55="Media",AH55="Moderado"),AND(AF55="Alta",AH55="Leve"),AND(AF55="Alta",AH55="Menor")),"Moderado",IF(OR(AND(AF55="Muy Baja",AH55="Mayor"),AND(AF55="Baja",AH55="Mayor"),AND(AF55="Media",AH55="Mayor"),AND(AF55="Alta",AH55="Moderado"),AND(AF55="Alta",AH55="Mayor"),AND(AF55="Muy Alta",AH55="Leve"),AND(AF55="Muy Alta",AH55="Menor"),AND(AF55="Muy Alta",AH55="Moderado"),AND(AF55="Muy Alta",AH55="Mayor")),"Alto",IF(OR(AND(AF55="Muy Baja",AH55="Catastrófico"),AND(AF55="Baja",AH55="Catastrófico"),AND(AF55="Media",AH55="Catastrófico"),AND(AF55="Alta",AH55="Catastrófico"),AND(AF55="Muy Alta",AH55="Catastrófico")),"Extremo","")))),"")</f>
        <v/>
      </c>
      <c r="AK55" s="195"/>
      <c r="AL55" s="186"/>
      <c r="AM55" s="196"/>
      <c r="AN55" s="196"/>
      <c r="AO55" s="197"/>
      <c r="AP55" s="362"/>
      <c r="AQ55" s="362"/>
      <c r="AR55" s="362"/>
    </row>
    <row r="56" spans="1:44" ht="37.5" customHeight="1" x14ac:dyDescent="0.2">
      <c r="A56" s="379"/>
      <c r="B56" s="365"/>
      <c r="C56" s="365"/>
      <c r="D56" s="365"/>
      <c r="E56" s="365"/>
      <c r="F56" s="365"/>
      <c r="G56" s="337"/>
      <c r="H56" s="337"/>
      <c r="I56" s="337"/>
      <c r="J56" s="337"/>
      <c r="K56" s="337"/>
      <c r="L56" s="337"/>
      <c r="M56" s="337"/>
      <c r="N56" s="362"/>
      <c r="O56" s="347"/>
      <c r="P56" s="346"/>
      <c r="Q56" s="330"/>
      <c r="R56" s="346">
        <f>IF(NOT(ISERROR(MATCH(Q56,_xlfn.ANCHORARRAY(E67),0))),P69&amp;"Por favor no seleccionar los criterios de impacto",Q56)</f>
        <v>0</v>
      </c>
      <c r="S56" s="347"/>
      <c r="T56" s="346"/>
      <c r="U56" s="339"/>
      <c r="V56" s="222">
        <v>2</v>
      </c>
      <c r="W56" s="187"/>
      <c r="X56" s="189" t="str">
        <f>IF(OR(Y56="Preventivo",Y56="Detectivo"),"Probabilidad",IF(Y56="Correctivo","Impacto",""))</f>
        <v/>
      </c>
      <c r="Y56" s="190"/>
      <c r="Z56" s="190"/>
      <c r="AA56" s="191" t="str">
        <f t="shared" ref="AA56:AA60" si="63">IF(AND(Y56="Preventivo",Z56="Automático"),"50%",IF(AND(Y56="Preventivo",Z56="Manual"),"40%",IF(AND(Y56="Detectivo",Z56="Automático"),"40%",IF(AND(Y56="Detectivo",Z56="Manual"),"30%",IF(AND(Y56="Correctivo",Z56="Automático"),"35%",IF(AND(Y56="Correctivo",Z56="Manual"),"25%",""))))))</f>
        <v/>
      </c>
      <c r="AB56" s="190"/>
      <c r="AC56" s="190"/>
      <c r="AD56" s="190"/>
      <c r="AE56" s="192" t="str">
        <f>IFERROR(IF(AND(X55="Probabilidad",X56="Probabilidad"),(AG55-(+AG55*AA56)),IF(X56="Probabilidad",(P55-(+P55*AA56)),IF(X56="Impacto",AG55,""))),"")</f>
        <v/>
      </c>
      <c r="AF56" s="193" t="str">
        <f t="shared" si="2"/>
        <v/>
      </c>
      <c r="AG56" s="191" t="str">
        <f t="shared" ref="AG56:AG60" si="64">+AE56</f>
        <v/>
      </c>
      <c r="AH56" s="193" t="str">
        <f t="shared" si="4"/>
        <v/>
      </c>
      <c r="AI56" s="191" t="str">
        <f t="shared" ref="AI56" si="65">IFERROR(IF(AND(X55="Impacto",X56="Impacto"),(AI55-(+AI55*AA56)),IF(X56="Impacto",($T$13-(+$T$13*AA56)),IF(X56="Probabilidad",AI55,""))),"")</f>
        <v/>
      </c>
      <c r="AJ56" s="194" t="str">
        <f t="shared" ref="AJ56:AJ57" si="66">IFERROR(IF(OR(AND(AF56="Muy Baja",AH56="Leve"),AND(AF56="Muy Baja",AH56="Menor"),AND(AF56="Baja",AH56="Leve")),"Bajo",IF(OR(AND(AF56="Muy baja",AH56="Moderado"),AND(AF56="Baja",AH56="Menor"),AND(AF56="Baja",AH56="Moderado"),AND(AF56="Media",AH56="Leve"),AND(AF56="Media",AH56="Menor"),AND(AF56="Media",AH56="Moderado"),AND(AF56="Alta",AH56="Leve"),AND(AF56="Alta",AH56="Menor")),"Moderado",IF(OR(AND(AF56="Muy Baja",AH56="Mayor"),AND(AF56="Baja",AH56="Mayor"),AND(AF56="Media",AH56="Mayor"),AND(AF56="Alta",AH56="Moderado"),AND(AF56="Alta",AH56="Mayor"),AND(AF56="Muy Alta",AH56="Leve"),AND(AF56="Muy Alta",AH56="Menor"),AND(AF56="Muy Alta",AH56="Moderado"),AND(AF56="Muy Alta",AH56="Mayor")),"Alto",IF(OR(AND(AF56="Muy Baja",AH56="Catastrófico"),AND(AF56="Baja",AH56="Catastrófico"),AND(AF56="Media",AH56="Catastrófico"),AND(AF56="Alta",AH56="Catastrófico"),AND(AF56="Muy Alta",AH56="Catastrófico")),"Extremo","")))),"")</f>
        <v/>
      </c>
      <c r="AK56" s="195"/>
      <c r="AL56" s="186"/>
      <c r="AM56" s="196"/>
      <c r="AN56" s="196"/>
      <c r="AO56" s="197"/>
      <c r="AP56" s="362"/>
      <c r="AQ56" s="362"/>
      <c r="AR56" s="362"/>
    </row>
    <row r="57" spans="1:44" ht="37.5" customHeight="1" x14ac:dyDescent="0.2">
      <c r="A57" s="379"/>
      <c r="B57" s="365"/>
      <c r="C57" s="365"/>
      <c r="D57" s="365"/>
      <c r="E57" s="365"/>
      <c r="F57" s="365"/>
      <c r="G57" s="337"/>
      <c r="H57" s="337"/>
      <c r="I57" s="337"/>
      <c r="J57" s="337"/>
      <c r="K57" s="337"/>
      <c r="L57" s="337"/>
      <c r="M57" s="337"/>
      <c r="N57" s="362"/>
      <c r="O57" s="347"/>
      <c r="P57" s="346"/>
      <c r="Q57" s="330"/>
      <c r="R57" s="346">
        <f>IF(NOT(ISERROR(MATCH(Q57,_xlfn.ANCHORARRAY(E68),0))),P70&amp;"Por favor no seleccionar los criterios de impacto",Q57)</f>
        <v>0</v>
      </c>
      <c r="S57" s="347"/>
      <c r="T57" s="346"/>
      <c r="U57" s="339"/>
      <c r="V57" s="222">
        <v>3</v>
      </c>
      <c r="W57" s="188"/>
      <c r="X57" s="189" t="str">
        <f>IF(OR(Y57="Preventivo",Y57="Detectivo"),"Probabilidad",IF(Y57="Correctivo","Impacto",""))</f>
        <v/>
      </c>
      <c r="Y57" s="190"/>
      <c r="Z57" s="190"/>
      <c r="AA57" s="191" t="str">
        <f t="shared" si="63"/>
        <v/>
      </c>
      <c r="AB57" s="190"/>
      <c r="AC57" s="190"/>
      <c r="AD57" s="190"/>
      <c r="AE57" s="192" t="str">
        <f>IFERROR(IF(AND(X56="Probabilidad",X57="Probabilidad"),(AG56-(+AG56*AA57)),IF(AND(X56="Impacto",X57="Probabilidad"),(AG55-(+AG55*AA57)),IF(X57="Impacto",AG56,""))),"")</f>
        <v/>
      </c>
      <c r="AF57" s="193" t="str">
        <f t="shared" si="2"/>
        <v/>
      </c>
      <c r="AG57" s="191" t="str">
        <f t="shared" si="64"/>
        <v/>
      </c>
      <c r="AH57" s="193" t="str">
        <f t="shared" si="4"/>
        <v/>
      </c>
      <c r="AI57" s="191" t="str">
        <f t="shared" ref="AI57" si="67">IFERROR(IF(AND(X56="Impacto",X57="Impacto"),(AI56-(+AI56*AA57)),IF(AND(X56="Probabilidad",X57="Impacto"),(AI55-(+AI55*AA57)),IF(X57="Probabilidad",AI56,""))),"")</f>
        <v/>
      </c>
      <c r="AJ57" s="194" t="str">
        <f t="shared" si="66"/>
        <v/>
      </c>
      <c r="AK57" s="195"/>
      <c r="AL57" s="186"/>
      <c r="AM57" s="196"/>
      <c r="AN57" s="196"/>
      <c r="AO57" s="197"/>
      <c r="AP57" s="362"/>
      <c r="AQ57" s="362"/>
      <c r="AR57" s="362"/>
    </row>
    <row r="58" spans="1:44" ht="37.5" customHeight="1" x14ac:dyDescent="0.2">
      <c r="A58" s="379"/>
      <c r="B58" s="365"/>
      <c r="C58" s="365"/>
      <c r="D58" s="365"/>
      <c r="E58" s="365"/>
      <c r="F58" s="365"/>
      <c r="G58" s="337"/>
      <c r="H58" s="337"/>
      <c r="I58" s="337"/>
      <c r="J58" s="337"/>
      <c r="K58" s="337"/>
      <c r="L58" s="337"/>
      <c r="M58" s="337"/>
      <c r="N58" s="362"/>
      <c r="O58" s="347"/>
      <c r="P58" s="346"/>
      <c r="Q58" s="330"/>
      <c r="R58" s="346">
        <f>IF(NOT(ISERROR(MATCH(Q58,_xlfn.ANCHORARRAY(E69),0))),P71&amp;"Por favor no seleccionar los criterios de impacto",Q58)</f>
        <v>0</v>
      </c>
      <c r="S58" s="347"/>
      <c r="T58" s="346"/>
      <c r="U58" s="339"/>
      <c r="V58" s="222">
        <v>4</v>
      </c>
      <c r="W58" s="187"/>
      <c r="X58" s="189" t="str">
        <f t="shared" ref="X58:X60" si="68">IF(OR(Y58="Preventivo",Y58="Detectivo"),"Probabilidad",IF(Y58="Correctivo","Impacto",""))</f>
        <v/>
      </c>
      <c r="Y58" s="190"/>
      <c r="Z58" s="190"/>
      <c r="AA58" s="191" t="str">
        <f t="shared" si="63"/>
        <v/>
      </c>
      <c r="AB58" s="190"/>
      <c r="AC58" s="190"/>
      <c r="AD58" s="190"/>
      <c r="AE58" s="192" t="str">
        <f t="shared" ref="AE58:AE60" si="69">IFERROR(IF(AND(X57="Probabilidad",X58="Probabilidad"),(AG57-(+AG57*AA58)),IF(AND(X57="Impacto",X58="Probabilidad"),(AG56-(+AG56*AA58)),IF(X58="Impacto",AG57,""))),"")</f>
        <v/>
      </c>
      <c r="AF58" s="193" t="str">
        <f t="shared" si="2"/>
        <v/>
      </c>
      <c r="AG58" s="191" t="str">
        <f t="shared" si="64"/>
        <v/>
      </c>
      <c r="AH58" s="193" t="str">
        <f t="shared" si="4"/>
        <v/>
      </c>
      <c r="AI58" s="191" t="str">
        <f t="shared" si="13"/>
        <v/>
      </c>
      <c r="AJ58" s="194" t="str">
        <f>IFERROR(IF(OR(AND(AF58="Muy Baja",AH58="Leve"),AND(AF58="Muy Baja",AH58="Menor"),AND(AF58="Baja",AH58="Leve")),"Bajo",IF(OR(AND(AF58="Muy baja",AH58="Moderado"),AND(AF58="Baja",AH58="Menor"),AND(AF58="Baja",AH58="Moderado"),AND(AF58="Media",AH58="Leve"),AND(AF58="Media",AH58="Menor"),AND(AF58="Media",AH58="Moderado"),AND(AF58="Alta",AH58="Leve"),AND(AF58="Alta",AH58="Menor")),"Moderado",IF(OR(AND(AF58="Muy Baja",AH58="Mayor"),AND(AF58="Baja",AH58="Mayor"),AND(AF58="Media",AH58="Mayor"),AND(AF58="Alta",AH58="Moderado"),AND(AF58="Alta",AH58="Mayor"),AND(AF58="Muy Alta",AH58="Leve"),AND(AF58="Muy Alta",AH58="Menor"),AND(AF58="Muy Alta",AH58="Moderado"),AND(AF58="Muy Alta",AH58="Mayor")),"Alto",IF(OR(AND(AF58="Muy Baja",AH58="Catastrófico"),AND(AF58="Baja",AH58="Catastrófico"),AND(AF58="Media",AH58="Catastrófico"),AND(AF58="Alta",AH58="Catastrófico"),AND(AF58="Muy Alta",AH58="Catastrófico")),"Extremo","")))),"")</f>
        <v/>
      </c>
      <c r="AK58" s="195"/>
      <c r="AL58" s="186"/>
      <c r="AM58" s="196"/>
      <c r="AN58" s="196"/>
      <c r="AO58" s="197"/>
      <c r="AP58" s="362"/>
      <c r="AQ58" s="362"/>
      <c r="AR58" s="362"/>
    </row>
    <row r="59" spans="1:44" ht="37.5" customHeight="1" x14ac:dyDescent="0.2">
      <c r="A59" s="379"/>
      <c r="B59" s="365"/>
      <c r="C59" s="365"/>
      <c r="D59" s="365"/>
      <c r="E59" s="365"/>
      <c r="F59" s="365"/>
      <c r="G59" s="337"/>
      <c r="H59" s="337"/>
      <c r="I59" s="337"/>
      <c r="J59" s="337"/>
      <c r="K59" s="337"/>
      <c r="L59" s="337"/>
      <c r="M59" s="337"/>
      <c r="N59" s="362"/>
      <c r="O59" s="347"/>
      <c r="P59" s="346"/>
      <c r="Q59" s="330"/>
      <c r="R59" s="346">
        <f>IF(NOT(ISERROR(MATCH(Q59,_xlfn.ANCHORARRAY(E70),0))),P72&amp;"Por favor no seleccionar los criterios de impacto",Q59)</f>
        <v>0</v>
      </c>
      <c r="S59" s="347"/>
      <c r="T59" s="346"/>
      <c r="U59" s="339"/>
      <c r="V59" s="222">
        <v>5</v>
      </c>
      <c r="W59" s="187"/>
      <c r="X59" s="189" t="str">
        <f t="shared" si="68"/>
        <v/>
      </c>
      <c r="Y59" s="190"/>
      <c r="Z59" s="190"/>
      <c r="AA59" s="191" t="str">
        <f t="shared" si="63"/>
        <v/>
      </c>
      <c r="AB59" s="190"/>
      <c r="AC59" s="190"/>
      <c r="AD59" s="190"/>
      <c r="AE59" s="192" t="str">
        <f t="shared" si="69"/>
        <v/>
      </c>
      <c r="AF59" s="193" t="str">
        <f t="shared" si="2"/>
        <v/>
      </c>
      <c r="AG59" s="191" t="str">
        <f t="shared" si="64"/>
        <v/>
      </c>
      <c r="AH59" s="193" t="str">
        <f t="shared" si="4"/>
        <v/>
      </c>
      <c r="AI59" s="191" t="str">
        <f t="shared" si="13"/>
        <v/>
      </c>
      <c r="AJ59" s="194" t="str">
        <f t="shared" ref="AJ59:AJ60" si="70">IFERROR(IF(OR(AND(AF59="Muy Baja",AH59="Leve"),AND(AF59="Muy Baja",AH59="Menor"),AND(AF59="Baja",AH59="Leve")),"Bajo",IF(OR(AND(AF59="Muy baja",AH59="Moderado"),AND(AF59="Baja",AH59="Menor"),AND(AF59="Baja",AH59="Moderado"),AND(AF59="Media",AH59="Leve"),AND(AF59="Media",AH59="Menor"),AND(AF59="Media",AH59="Moderado"),AND(AF59="Alta",AH59="Leve"),AND(AF59="Alta",AH59="Menor")),"Moderado",IF(OR(AND(AF59="Muy Baja",AH59="Mayor"),AND(AF59="Baja",AH59="Mayor"),AND(AF59="Media",AH59="Mayor"),AND(AF59="Alta",AH59="Moderado"),AND(AF59="Alta",AH59="Mayor"),AND(AF59="Muy Alta",AH59="Leve"),AND(AF59="Muy Alta",AH59="Menor"),AND(AF59="Muy Alta",AH59="Moderado"),AND(AF59="Muy Alta",AH59="Mayor")),"Alto",IF(OR(AND(AF59="Muy Baja",AH59="Catastrófico"),AND(AF59="Baja",AH59="Catastrófico"),AND(AF59="Media",AH59="Catastrófico"),AND(AF59="Alta",AH59="Catastrófico"),AND(AF59="Muy Alta",AH59="Catastrófico")),"Extremo","")))),"")</f>
        <v/>
      </c>
      <c r="AK59" s="195"/>
      <c r="AL59" s="186"/>
      <c r="AM59" s="196"/>
      <c r="AN59" s="196"/>
      <c r="AO59" s="197"/>
      <c r="AP59" s="362"/>
      <c r="AQ59" s="362"/>
      <c r="AR59" s="362"/>
    </row>
    <row r="60" spans="1:44" ht="37.5" customHeight="1" x14ac:dyDescent="0.2">
      <c r="A60" s="379"/>
      <c r="B60" s="365"/>
      <c r="C60" s="365"/>
      <c r="D60" s="365"/>
      <c r="E60" s="365"/>
      <c r="F60" s="365"/>
      <c r="G60" s="338"/>
      <c r="H60" s="338"/>
      <c r="I60" s="338"/>
      <c r="J60" s="338"/>
      <c r="K60" s="338"/>
      <c r="L60" s="338"/>
      <c r="M60" s="338"/>
      <c r="N60" s="362"/>
      <c r="O60" s="347"/>
      <c r="P60" s="346"/>
      <c r="Q60" s="330"/>
      <c r="R60" s="346">
        <f>IF(NOT(ISERROR(MATCH(Q60,_xlfn.ANCHORARRAY(E71),0))),Q73&amp;"Por favor no seleccionar los criterios de impacto",Q60)</f>
        <v>0</v>
      </c>
      <c r="S60" s="347"/>
      <c r="T60" s="346"/>
      <c r="U60" s="339"/>
      <c r="V60" s="222">
        <v>6</v>
      </c>
      <c r="W60" s="187"/>
      <c r="X60" s="189" t="str">
        <f t="shared" si="68"/>
        <v/>
      </c>
      <c r="Y60" s="190"/>
      <c r="Z60" s="190"/>
      <c r="AA60" s="191" t="str">
        <f t="shared" si="63"/>
        <v/>
      </c>
      <c r="AB60" s="190"/>
      <c r="AC60" s="190"/>
      <c r="AD60" s="190"/>
      <c r="AE60" s="192" t="str">
        <f t="shared" si="69"/>
        <v/>
      </c>
      <c r="AF60" s="193" t="str">
        <f t="shared" si="2"/>
        <v/>
      </c>
      <c r="AG60" s="191" t="str">
        <f t="shared" si="64"/>
        <v/>
      </c>
      <c r="AH60" s="193" t="str">
        <f t="shared" si="4"/>
        <v/>
      </c>
      <c r="AI60" s="191" t="str">
        <f t="shared" si="13"/>
        <v/>
      </c>
      <c r="AJ60" s="194" t="str">
        <f t="shared" si="70"/>
        <v/>
      </c>
      <c r="AK60" s="195"/>
      <c r="AL60" s="186"/>
      <c r="AM60" s="196"/>
      <c r="AN60" s="196"/>
      <c r="AO60" s="197"/>
      <c r="AP60" s="362"/>
      <c r="AQ60" s="362"/>
      <c r="AR60" s="362"/>
    </row>
    <row r="61" spans="1:44" ht="37.5" customHeight="1" x14ac:dyDescent="0.2">
      <c r="A61" s="379">
        <v>9</v>
      </c>
      <c r="B61" s="365"/>
      <c r="C61" s="365"/>
      <c r="D61" s="365"/>
      <c r="E61" s="365"/>
      <c r="F61" s="365"/>
      <c r="G61" s="336"/>
      <c r="H61" s="336"/>
      <c r="I61" s="229"/>
      <c r="J61" s="229"/>
      <c r="K61" s="229"/>
      <c r="L61" s="336"/>
      <c r="M61" s="336"/>
      <c r="N61" s="362"/>
      <c r="O61" s="347" t="str">
        <f>IF(N61&lt;=0,"",IF(N61&lt;=2,"Muy Baja",IF(N61&lt;=24,"Baja",IF(N61&lt;=500,"Media",IF(N61&lt;=5000,"Alta","Muy Alta")))))</f>
        <v/>
      </c>
      <c r="P61" s="346" t="str">
        <f>IF(O61="","",IF(O61="Muy Baja",0.2,IF(O61="Baja",0.4,IF(O61="Media",0.6,IF(O61="Alta",0.8,IF(O61="Muy Alta",1,))))))</f>
        <v/>
      </c>
      <c r="Q61" s="330"/>
      <c r="R61" s="346">
        <f>IF(NOT(ISERROR(MATCH(Q61,'Tabla Impacto'!$B$222:$B$224,0))),'Tabla Impacto'!$F$224&amp;"Por favor no seleccionar los criterios de impacto(Afectación Económica o presupuestal y Pérdida Reputacional)",Q61)</f>
        <v>0</v>
      </c>
      <c r="S61" s="347" t="str">
        <f>IF(OR(R61='Tabla Impacto'!$C$12,R61='Tabla Impacto'!$D$12),"Leve",IF(OR(R61='Tabla Impacto'!$C$13,R61='Tabla Impacto'!$D$13),"Menor",IF(OR(R61='Tabla Impacto'!$C$14,R61='Tabla Impacto'!$D$14),"Moderado",IF(OR(R61='Tabla Impacto'!$C$15,R61='Tabla Impacto'!$D$15),"Mayor",IF(OR(R61='Tabla Impacto'!$C$16,R61='Tabla Impacto'!$D$16),"Catastrófico","")))))</f>
        <v/>
      </c>
      <c r="T61" s="346" t="str">
        <f>IF(S61="","",IF(S61="Leve",0.2,IF(S61="Menor",0.4,IF(S61="Moderado",0.6,IF(S61="Mayor",0.8,IF(S61="Catastrófico",1,))))))</f>
        <v/>
      </c>
      <c r="U61" s="339" t="str">
        <f>IF(OR(AND(O61="Muy Baja",S61="Leve"),AND(O61="Muy Baja",S61="Menor"),AND(O61="Baja",S61="Leve")),"Bajo",IF(OR(AND(O61="Muy baja",S61="Moderado"),AND(O61="Baja",S61="Menor"),AND(O61="Baja",S61="Moderado"),AND(O61="Media",S61="Leve"),AND(O61="Media",S61="Menor"),AND(O61="Media",S61="Moderado"),AND(O61="Alta",S61="Leve"),AND(O61="Alta",S61="Menor")),"Moderado",IF(OR(AND(O61="Muy Baja",S61="Mayor"),AND(O61="Baja",S61="Mayor"),AND(O61="Media",S61="Mayor"),AND(O61="Alta",S61="Moderado"),AND(O61="Alta",S61="Mayor"),AND(O61="Muy Alta",S61="Leve"),AND(O61="Muy Alta",S61="Menor"),AND(O61="Muy Alta",S61="Moderado"),AND(O61="Muy Alta",S61="Mayor")),"Alto",IF(OR(AND(O61="Muy Baja",S61="Catastrófico"),AND(O61="Baja",S61="Catastrófico"),AND(O61="Media",S61="Catastrófico"),AND(O61="Alta",S61="Catastrófico"),AND(O61="Muy Alta",S61="Catastrófico")),"Extremo",""))))</f>
        <v/>
      </c>
      <c r="V61" s="222">
        <v>1</v>
      </c>
      <c r="W61" s="187"/>
      <c r="X61" s="189" t="str">
        <f>IF(OR(Y61="Preventivo",Y61="Detectivo"),"Probabilidad",IF(Y61="Correctivo","Impacto",""))</f>
        <v/>
      </c>
      <c r="Y61" s="190"/>
      <c r="Z61" s="190"/>
      <c r="AA61" s="191" t="str">
        <f>IF(AND(Y61="Preventivo",Z61="Automático"),"50%",IF(AND(Y61="Preventivo",Z61="Manual"),"40%",IF(AND(Y61="Detectivo",Z61="Automático"),"40%",IF(AND(Y61="Detectivo",Z61="Manual"),"30%",IF(AND(Y61="Correctivo",Z61="Automático"),"35%",IF(AND(Y61="Correctivo",Z61="Manual"),"25%",""))))))</f>
        <v/>
      </c>
      <c r="AB61" s="190"/>
      <c r="AC61" s="190"/>
      <c r="AD61" s="190"/>
      <c r="AE61" s="192" t="str">
        <f>IFERROR(IF(X61="Probabilidad",(P61-(+P61*AA61)),IF(X61="Impacto",P61,"")),"")</f>
        <v/>
      </c>
      <c r="AF61" s="193" t="str">
        <f>IFERROR(IF(AE61="","",IF(AE61&lt;=0.2,"Muy Baja",IF(AE61&lt;=0.4,"Baja",IF(AE61&lt;=0.6,"Media",IF(AE61&lt;=0.8,"Alta","Muy Alta"))))),"")</f>
        <v/>
      </c>
      <c r="AG61" s="191" t="str">
        <f>+AE61</f>
        <v/>
      </c>
      <c r="AH61" s="193" t="str">
        <f>IFERROR(IF(AI61="","",IF(AI61&lt;=0.2,"Leve",IF(AI61&lt;=0.4,"Menor",IF(AI61&lt;=0.6,"Moderado",IF(AI61&lt;=0.8,"Mayor","Catastrófico"))))),"")</f>
        <v/>
      </c>
      <c r="AI61" s="191" t="str">
        <f t="shared" ref="AI61" si="71">IFERROR(IF(X61="Impacto",(T61-(+T61*AA61)),IF(X61="Probabilidad",T61,"")),"")</f>
        <v/>
      </c>
      <c r="AJ61" s="194" t="str">
        <f>IFERROR(IF(OR(AND(AF61="Muy Baja",AH61="Leve"),AND(AF61="Muy Baja",AH61="Menor"),AND(AF61="Baja",AH61="Leve")),"Bajo",IF(OR(AND(AF61="Muy baja",AH61="Moderado"),AND(AF61="Baja",AH61="Menor"),AND(AF61="Baja",AH61="Moderado"),AND(AF61="Media",AH61="Leve"),AND(AF61="Media",AH61="Menor"),AND(AF61="Media",AH61="Moderado"),AND(AF61="Alta",AH61="Leve"),AND(AF61="Alta",AH61="Menor")),"Moderado",IF(OR(AND(AF61="Muy Baja",AH61="Mayor"),AND(AF61="Baja",AH61="Mayor"),AND(AF61="Media",AH61="Mayor"),AND(AF61="Alta",AH61="Moderado"),AND(AF61="Alta",AH61="Mayor"),AND(AF61="Muy Alta",AH61="Leve"),AND(AF61="Muy Alta",AH61="Menor"),AND(AF61="Muy Alta",AH61="Moderado"),AND(AF61="Muy Alta",AH61="Mayor")),"Alto",IF(OR(AND(AF61="Muy Baja",AH61="Catastrófico"),AND(AF61="Baja",AH61="Catastrófico"),AND(AF61="Media",AH61="Catastrófico"),AND(AF61="Alta",AH61="Catastrófico"),AND(AF61="Muy Alta",AH61="Catastrófico")),"Extremo","")))),"")</f>
        <v/>
      </c>
      <c r="AK61" s="195"/>
      <c r="AL61" s="186"/>
      <c r="AM61" s="196"/>
      <c r="AN61" s="196"/>
      <c r="AO61" s="197"/>
      <c r="AP61" s="362"/>
      <c r="AQ61" s="362"/>
      <c r="AR61" s="362"/>
    </row>
    <row r="62" spans="1:44" ht="37.5" customHeight="1" x14ac:dyDescent="0.2">
      <c r="A62" s="379"/>
      <c r="B62" s="365"/>
      <c r="C62" s="365"/>
      <c r="D62" s="365"/>
      <c r="E62" s="365"/>
      <c r="F62" s="365"/>
      <c r="G62" s="337"/>
      <c r="H62" s="337"/>
      <c r="I62" s="230"/>
      <c r="J62" s="230"/>
      <c r="K62" s="230"/>
      <c r="L62" s="337"/>
      <c r="M62" s="337"/>
      <c r="N62" s="362"/>
      <c r="O62" s="347"/>
      <c r="P62" s="346"/>
      <c r="Q62" s="330"/>
      <c r="R62" s="346">
        <f>IF(NOT(ISERROR(MATCH(Q62,_xlfn.ANCHORARRAY(F73),0))),Q75&amp;"Por favor no seleccionar los criterios de impacto",Q62)</f>
        <v>0</v>
      </c>
      <c r="S62" s="347"/>
      <c r="T62" s="346"/>
      <c r="U62" s="339"/>
      <c r="V62" s="222">
        <v>2</v>
      </c>
      <c r="W62" s="187"/>
      <c r="X62" s="189" t="str">
        <f>IF(OR(Y62="Preventivo",Y62="Detectivo"),"Probabilidad",IF(Y62="Correctivo","Impacto",""))</f>
        <v/>
      </c>
      <c r="Y62" s="190"/>
      <c r="Z62" s="190"/>
      <c r="AA62" s="191" t="str">
        <f t="shared" ref="AA62:AA66" si="72">IF(AND(Y62="Preventivo",Z62="Automático"),"50%",IF(AND(Y62="Preventivo",Z62="Manual"),"40%",IF(AND(Y62="Detectivo",Z62="Automático"),"40%",IF(AND(Y62="Detectivo",Z62="Manual"),"30%",IF(AND(Y62="Correctivo",Z62="Automático"),"35%",IF(AND(Y62="Correctivo",Z62="Manual"),"25%",""))))))</f>
        <v/>
      </c>
      <c r="AB62" s="190"/>
      <c r="AC62" s="190"/>
      <c r="AD62" s="190"/>
      <c r="AE62" s="192" t="str">
        <f>IFERROR(IF(AND(X61="Probabilidad",X62="Probabilidad"),(AG61-(+AG61*AA62)),IF(X62="Probabilidad",(P61-(+P61*AA62)),IF(X62="Impacto",AG61,""))),"")</f>
        <v/>
      </c>
      <c r="AF62" s="193" t="str">
        <f t="shared" si="2"/>
        <v/>
      </c>
      <c r="AG62" s="191" t="str">
        <f t="shared" ref="AG62:AG66" si="73">+AE62</f>
        <v/>
      </c>
      <c r="AH62" s="193" t="str">
        <f t="shared" si="4"/>
        <v/>
      </c>
      <c r="AI62" s="191" t="str">
        <f t="shared" ref="AI62" si="74">IFERROR(IF(AND(X61="Impacto",X62="Impacto"),(AI61-(+AI61*AA62)),IF(X62="Impacto",($T$13-(+$T$13*AA62)),IF(X62="Probabilidad",AI61,""))),"")</f>
        <v/>
      </c>
      <c r="AJ62" s="194" t="str">
        <f t="shared" ref="AJ62:AJ63" si="75">IFERROR(IF(OR(AND(AF62="Muy Baja",AH62="Leve"),AND(AF62="Muy Baja",AH62="Menor"),AND(AF62="Baja",AH62="Leve")),"Bajo",IF(OR(AND(AF62="Muy baja",AH62="Moderado"),AND(AF62="Baja",AH62="Menor"),AND(AF62="Baja",AH62="Moderado"),AND(AF62="Media",AH62="Leve"),AND(AF62="Media",AH62="Menor"),AND(AF62="Media",AH62="Moderado"),AND(AF62="Alta",AH62="Leve"),AND(AF62="Alta",AH62="Menor")),"Moderado",IF(OR(AND(AF62="Muy Baja",AH62="Mayor"),AND(AF62="Baja",AH62="Mayor"),AND(AF62="Media",AH62="Mayor"),AND(AF62="Alta",AH62="Moderado"),AND(AF62="Alta",AH62="Mayor"),AND(AF62="Muy Alta",AH62="Leve"),AND(AF62="Muy Alta",AH62="Menor"),AND(AF62="Muy Alta",AH62="Moderado"),AND(AF62="Muy Alta",AH62="Mayor")),"Alto",IF(OR(AND(AF62="Muy Baja",AH62="Catastrófico"),AND(AF62="Baja",AH62="Catastrófico"),AND(AF62="Media",AH62="Catastrófico"),AND(AF62="Alta",AH62="Catastrófico"),AND(AF62="Muy Alta",AH62="Catastrófico")),"Extremo","")))),"")</f>
        <v/>
      </c>
      <c r="AK62" s="195"/>
      <c r="AL62" s="186"/>
      <c r="AM62" s="196"/>
      <c r="AN62" s="196"/>
      <c r="AO62" s="197"/>
      <c r="AP62" s="362"/>
      <c r="AQ62" s="362"/>
      <c r="AR62" s="362"/>
    </row>
    <row r="63" spans="1:44" ht="37.5" customHeight="1" x14ac:dyDescent="0.2">
      <c r="A63" s="379"/>
      <c r="B63" s="365"/>
      <c r="C63" s="365"/>
      <c r="D63" s="365"/>
      <c r="E63" s="365"/>
      <c r="F63" s="365"/>
      <c r="G63" s="337"/>
      <c r="H63" s="337"/>
      <c r="I63" s="230"/>
      <c r="J63" s="230"/>
      <c r="K63" s="230"/>
      <c r="L63" s="337"/>
      <c r="M63" s="337"/>
      <c r="N63" s="362"/>
      <c r="O63" s="347"/>
      <c r="P63" s="346"/>
      <c r="Q63" s="330"/>
      <c r="R63" s="346">
        <f>IF(NOT(ISERROR(MATCH(Q63,_xlfn.ANCHORARRAY(F74),0))),Q76&amp;"Por favor no seleccionar los criterios de impacto",Q63)</f>
        <v>0</v>
      </c>
      <c r="S63" s="347"/>
      <c r="T63" s="346"/>
      <c r="U63" s="339"/>
      <c r="V63" s="222">
        <v>3</v>
      </c>
      <c r="W63" s="187"/>
      <c r="X63" s="189" t="str">
        <f>IF(OR(Y63="Preventivo",Y63="Detectivo"),"Probabilidad",IF(Y63="Correctivo","Impacto",""))</f>
        <v/>
      </c>
      <c r="Y63" s="190"/>
      <c r="Z63" s="190"/>
      <c r="AA63" s="191" t="str">
        <f t="shared" si="72"/>
        <v/>
      </c>
      <c r="AB63" s="190"/>
      <c r="AC63" s="190"/>
      <c r="AD63" s="190"/>
      <c r="AE63" s="192" t="str">
        <f>IFERROR(IF(AND(X62="Probabilidad",X63="Probabilidad"),(AG62-(+AG62*AA63)),IF(AND(X62="Impacto",X63="Probabilidad"),(AG61-(+AG61*AA63)),IF(X63="Impacto",AG62,""))),"")</f>
        <v/>
      </c>
      <c r="AF63" s="193" t="str">
        <f t="shared" si="2"/>
        <v/>
      </c>
      <c r="AG63" s="191" t="str">
        <f t="shared" si="73"/>
        <v/>
      </c>
      <c r="AH63" s="193" t="str">
        <f t="shared" si="4"/>
        <v/>
      </c>
      <c r="AI63" s="191" t="str">
        <f t="shared" ref="AI63" si="76">IFERROR(IF(AND(X62="Impacto",X63="Impacto"),(AI62-(+AI62*AA63)),IF(AND(X62="Probabilidad",X63="Impacto"),(AI61-(+AI61*AA63)),IF(X63="Probabilidad",AI62,""))),"")</f>
        <v/>
      </c>
      <c r="AJ63" s="194" t="str">
        <f t="shared" si="75"/>
        <v/>
      </c>
      <c r="AK63" s="195"/>
      <c r="AL63" s="186"/>
      <c r="AM63" s="196"/>
      <c r="AN63" s="196"/>
      <c r="AO63" s="197"/>
      <c r="AP63" s="362"/>
      <c r="AQ63" s="362"/>
      <c r="AR63" s="362"/>
    </row>
    <row r="64" spans="1:44" ht="37.5" customHeight="1" x14ac:dyDescent="0.2">
      <c r="A64" s="379"/>
      <c r="B64" s="365"/>
      <c r="C64" s="365"/>
      <c r="D64" s="365"/>
      <c r="E64" s="365"/>
      <c r="F64" s="365"/>
      <c r="G64" s="337"/>
      <c r="H64" s="337"/>
      <c r="I64" s="230"/>
      <c r="J64" s="230"/>
      <c r="K64" s="230"/>
      <c r="L64" s="337"/>
      <c r="M64" s="337"/>
      <c r="N64" s="362"/>
      <c r="O64" s="347"/>
      <c r="P64" s="346"/>
      <c r="Q64" s="330"/>
      <c r="R64" s="346">
        <f>IF(NOT(ISERROR(MATCH(Q64,_xlfn.ANCHORARRAY(F75),0))),Q77&amp;"Por favor no seleccionar los criterios de impacto",Q64)</f>
        <v>0</v>
      </c>
      <c r="S64" s="347"/>
      <c r="T64" s="346"/>
      <c r="U64" s="339"/>
      <c r="V64" s="222">
        <v>4</v>
      </c>
      <c r="W64" s="187"/>
      <c r="X64" s="189" t="str">
        <f t="shared" ref="X64:X66" si="77">IF(OR(Y64="Preventivo",Y64="Detectivo"),"Probabilidad",IF(Y64="Correctivo","Impacto",""))</f>
        <v/>
      </c>
      <c r="Y64" s="190"/>
      <c r="Z64" s="190"/>
      <c r="AA64" s="191" t="str">
        <f t="shared" si="72"/>
        <v/>
      </c>
      <c r="AB64" s="190"/>
      <c r="AC64" s="190"/>
      <c r="AD64" s="190"/>
      <c r="AE64" s="192" t="str">
        <f t="shared" ref="AE64:AE66" si="78">IFERROR(IF(AND(X63="Probabilidad",X64="Probabilidad"),(AG63-(+AG63*AA64)),IF(AND(X63="Impacto",X64="Probabilidad"),(AG62-(+AG62*AA64)),IF(X64="Impacto",AG63,""))),"")</f>
        <v/>
      </c>
      <c r="AF64" s="193" t="str">
        <f t="shared" si="2"/>
        <v/>
      </c>
      <c r="AG64" s="191" t="str">
        <f t="shared" si="73"/>
        <v/>
      </c>
      <c r="AH64" s="193" t="str">
        <f t="shared" si="4"/>
        <v/>
      </c>
      <c r="AI64" s="191" t="str">
        <f t="shared" si="13"/>
        <v/>
      </c>
      <c r="AJ64" s="194" t="str">
        <f>IFERROR(IF(OR(AND(AF64="Muy Baja",AH64="Leve"),AND(AF64="Muy Baja",AH64="Menor"),AND(AF64="Baja",AH64="Leve")),"Bajo",IF(OR(AND(AF64="Muy baja",AH64="Moderado"),AND(AF64="Baja",AH64="Menor"),AND(AF64="Baja",AH64="Moderado"),AND(AF64="Media",AH64="Leve"),AND(AF64="Media",AH64="Menor"),AND(AF64="Media",AH64="Moderado"),AND(AF64="Alta",AH64="Leve"),AND(AF64="Alta",AH64="Menor")),"Moderado",IF(OR(AND(AF64="Muy Baja",AH64="Mayor"),AND(AF64="Baja",AH64="Mayor"),AND(AF64="Media",AH64="Mayor"),AND(AF64="Alta",AH64="Moderado"),AND(AF64="Alta",AH64="Mayor"),AND(AF64="Muy Alta",AH64="Leve"),AND(AF64="Muy Alta",AH64="Menor"),AND(AF64="Muy Alta",AH64="Moderado"),AND(AF64="Muy Alta",AH64="Mayor")),"Alto",IF(OR(AND(AF64="Muy Baja",AH64="Catastrófico"),AND(AF64="Baja",AH64="Catastrófico"),AND(AF64="Media",AH64="Catastrófico"),AND(AF64="Alta",AH64="Catastrófico"),AND(AF64="Muy Alta",AH64="Catastrófico")),"Extremo","")))),"")</f>
        <v/>
      </c>
      <c r="AK64" s="195"/>
      <c r="AL64" s="186"/>
      <c r="AM64" s="196"/>
      <c r="AN64" s="196"/>
      <c r="AO64" s="197"/>
      <c r="AP64" s="362"/>
      <c r="AQ64" s="362"/>
      <c r="AR64" s="362"/>
    </row>
    <row r="65" spans="1:44" ht="37.5" customHeight="1" x14ac:dyDescent="0.2">
      <c r="A65" s="379"/>
      <c r="B65" s="365"/>
      <c r="C65" s="365"/>
      <c r="D65" s="365"/>
      <c r="E65" s="365"/>
      <c r="F65" s="365"/>
      <c r="G65" s="337"/>
      <c r="H65" s="337"/>
      <c r="I65" s="230"/>
      <c r="J65" s="230"/>
      <c r="K65" s="230"/>
      <c r="L65" s="337"/>
      <c r="M65" s="337"/>
      <c r="N65" s="362"/>
      <c r="O65" s="347"/>
      <c r="P65" s="346"/>
      <c r="Q65" s="330"/>
      <c r="R65" s="346">
        <f>IF(NOT(ISERROR(MATCH(Q65,_xlfn.ANCHORARRAY(F76),0))),Q78&amp;"Por favor no seleccionar los criterios de impacto",Q65)</f>
        <v>0</v>
      </c>
      <c r="S65" s="347"/>
      <c r="T65" s="346"/>
      <c r="U65" s="339"/>
      <c r="V65" s="222">
        <v>5</v>
      </c>
      <c r="W65" s="187"/>
      <c r="X65" s="189" t="str">
        <f t="shared" si="77"/>
        <v/>
      </c>
      <c r="Y65" s="190"/>
      <c r="Z65" s="190"/>
      <c r="AA65" s="191" t="str">
        <f t="shared" si="72"/>
        <v/>
      </c>
      <c r="AB65" s="190"/>
      <c r="AC65" s="190"/>
      <c r="AD65" s="190"/>
      <c r="AE65" s="192" t="str">
        <f t="shared" si="78"/>
        <v/>
      </c>
      <c r="AF65" s="193" t="str">
        <f t="shared" si="2"/>
        <v/>
      </c>
      <c r="AG65" s="191" t="str">
        <f t="shared" si="73"/>
        <v/>
      </c>
      <c r="AH65" s="193" t="str">
        <f t="shared" si="4"/>
        <v/>
      </c>
      <c r="AI65" s="191" t="str">
        <f t="shared" si="13"/>
        <v/>
      </c>
      <c r="AJ65" s="194" t="str">
        <f t="shared" ref="AJ65:AJ66" si="79">IFERROR(IF(OR(AND(AF65="Muy Baja",AH65="Leve"),AND(AF65="Muy Baja",AH65="Menor"),AND(AF65="Baja",AH65="Leve")),"Bajo",IF(OR(AND(AF65="Muy baja",AH65="Moderado"),AND(AF65="Baja",AH65="Menor"),AND(AF65="Baja",AH65="Moderado"),AND(AF65="Media",AH65="Leve"),AND(AF65="Media",AH65="Menor"),AND(AF65="Media",AH65="Moderado"),AND(AF65="Alta",AH65="Leve"),AND(AF65="Alta",AH65="Menor")),"Moderado",IF(OR(AND(AF65="Muy Baja",AH65="Mayor"),AND(AF65="Baja",AH65="Mayor"),AND(AF65="Media",AH65="Mayor"),AND(AF65="Alta",AH65="Moderado"),AND(AF65="Alta",AH65="Mayor"),AND(AF65="Muy Alta",AH65="Leve"),AND(AF65="Muy Alta",AH65="Menor"),AND(AF65="Muy Alta",AH65="Moderado"),AND(AF65="Muy Alta",AH65="Mayor")),"Alto",IF(OR(AND(AF65="Muy Baja",AH65="Catastrófico"),AND(AF65="Baja",AH65="Catastrófico"),AND(AF65="Media",AH65="Catastrófico"),AND(AF65="Alta",AH65="Catastrófico"),AND(AF65="Muy Alta",AH65="Catastrófico")),"Extremo","")))),"")</f>
        <v/>
      </c>
      <c r="AK65" s="195"/>
      <c r="AL65" s="186"/>
      <c r="AM65" s="196"/>
      <c r="AN65" s="196"/>
      <c r="AO65" s="197"/>
      <c r="AP65" s="362"/>
      <c r="AQ65" s="362"/>
      <c r="AR65" s="362"/>
    </row>
    <row r="66" spans="1:44" ht="37.5" customHeight="1" x14ac:dyDescent="0.2">
      <c r="A66" s="379"/>
      <c r="B66" s="365"/>
      <c r="C66" s="365"/>
      <c r="D66" s="365"/>
      <c r="E66" s="365"/>
      <c r="F66" s="365"/>
      <c r="G66" s="338"/>
      <c r="H66" s="338"/>
      <c r="I66" s="231"/>
      <c r="J66" s="231"/>
      <c r="K66" s="231"/>
      <c r="L66" s="338"/>
      <c r="M66" s="338"/>
      <c r="N66" s="362"/>
      <c r="O66" s="347"/>
      <c r="P66" s="346"/>
      <c r="Q66" s="330"/>
      <c r="R66" s="346">
        <f>IF(NOT(ISERROR(MATCH(Q66,_xlfn.ANCHORARRAY(F77),0))),Q79&amp;"Por favor no seleccionar los criterios de impacto",Q66)</f>
        <v>0</v>
      </c>
      <c r="S66" s="347"/>
      <c r="T66" s="346"/>
      <c r="U66" s="339"/>
      <c r="V66" s="222">
        <v>6</v>
      </c>
      <c r="W66" s="187"/>
      <c r="X66" s="189" t="str">
        <f t="shared" si="77"/>
        <v/>
      </c>
      <c r="Y66" s="190"/>
      <c r="Z66" s="190"/>
      <c r="AA66" s="191" t="str">
        <f t="shared" si="72"/>
        <v/>
      </c>
      <c r="AB66" s="190"/>
      <c r="AC66" s="190"/>
      <c r="AD66" s="190"/>
      <c r="AE66" s="192" t="str">
        <f t="shared" si="78"/>
        <v/>
      </c>
      <c r="AF66" s="193" t="str">
        <f t="shared" si="2"/>
        <v/>
      </c>
      <c r="AG66" s="191" t="str">
        <f t="shared" si="73"/>
        <v/>
      </c>
      <c r="AH66" s="193" t="str">
        <f t="shared" si="4"/>
        <v/>
      </c>
      <c r="AI66" s="191" t="str">
        <f t="shared" si="13"/>
        <v/>
      </c>
      <c r="AJ66" s="194" t="str">
        <f t="shared" si="79"/>
        <v/>
      </c>
      <c r="AK66" s="195"/>
      <c r="AL66" s="186"/>
      <c r="AM66" s="196"/>
      <c r="AN66" s="196"/>
      <c r="AO66" s="197"/>
      <c r="AP66" s="362"/>
      <c r="AQ66" s="362"/>
      <c r="AR66" s="362"/>
    </row>
    <row r="67" spans="1:44" ht="37.5" customHeight="1" x14ac:dyDescent="0.2">
      <c r="A67" s="379">
        <v>10</v>
      </c>
      <c r="B67" s="365"/>
      <c r="C67" s="365"/>
      <c r="D67" s="365"/>
      <c r="E67" s="365"/>
      <c r="F67" s="365"/>
      <c r="G67" s="336"/>
      <c r="H67" s="336"/>
      <c r="I67" s="229"/>
      <c r="J67" s="229"/>
      <c r="K67" s="229"/>
      <c r="L67" s="336"/>
      <c r="M67" s="336"/>
      <c r="N67" s="362"/>
      <c r="O67" s="347" t="str">
        <f>IF(N67&lt;=0,"",IF(N67&lt;=2,"Muy Baja",IF(N67&lt;=24,"Baja",IF(N67&lt;=500,"Media",IF(N67&lt;=5000,"Alta","Muy Alta")))))</f>
        <v/>
      </c>
      <c r="P67" s="346" t="str">
        <f>IF(O67="","",IF(O67="Muy Baja",0.2,IF(O67="Baja",0.4,IF(O67="Media",0.6,IF(O67="Alta",0.8,IF(O67="Muy Alta",1,))))))</f>
        <v/>
      </c>
      <c r="Q67" s="330"/>
      <c r="R67" s="346">
        <f>IF(NOT(ISERROR(MATCH(Q67,'Tabla Impacto'!$B$222:$B$224,0))),'Tabla Impacto'!$F$224&amp;"Por favor no seleccionar los criterios de impacto(Afectación Económica o presupuestal y Pérdida Reputacional)",Q67)</f>
        <v>0</v>
      </c>
      <c r="S67" s="347" t="str">
        <f>IF(OR(R67='Tabla Impacto'!$C$12,R67='Tabla Impacto'!$D$12),"Leve",IF(OR(R67='Tabla Impacto'!$C$13,R67='Tabla Impacto'!$D$13),"Menor",IF(OR(R67='Tabla Impacto'!$C$14,R67='Tabla Impacto'!$D$14),"Moderado",IF(OR(R67='Tabla Impacto'!$C$15,R67='Tabla Impacto'!$D$15),"Mayor",IF(OR(R67='Tabla Impacto'!$C$16,R67='Tabla Impacto'!$D$16),"Catastrófico","")))))</f>
        <v/>
      </c>
      <c r="T67" s="346" t="str">
        <f>IF(S67="","",IF(S67="Leve",0.2,IF(S67="Menor",0.4,IF(S67="Moderado",0.6,IF(S67="Mayor",0.8,IF(S67="Catastrófico",1,))))))</f>
        <v/>
      </c>
      <c r="U67" s="339" t="str">
        <f>IF(OR(AND(O67="Muy Baja",S67="Leve"),AND(O67="Muy Baja",S67="Menor"),AND(O67="Baja",S67="Leve")),"Bajo",IF(OR(AND(O67="Muy baja",S67="Moderado"),AND(O67="Baja",S67="Menor"),AND(O67="Baja",S67="Moderado"),AND(O67="Media",S67="Leve"),AND(O67="Media",S67="Menor"),AND(O67="Media",S67="Moderado"),AND(O67="Alta",S67="Leve"),AND(O67="Alta",S67="Menor")),"Moderado",IF(OR(AND(O67="Muy Baja",S67="Mayor"),AND(O67="Baja",S67="Mayor"),AND(O67="Media",S67="Mayor"),AND(O67="Alta",S67="Moderado"),AND(O67="Alta",S67="Mayor"),AND(O67="Muy Alta",S67="Leve"),AND(O67="Muy Alta",S67="Menor"),AND(O67="Muy Alta",S67="Moderado"),AND(O67="Muy Alta",S67="Mayor")),"Alto",IF(OR(AND(O67="Muy Baja",S67="Catastrófico"),AND(O67="Baja",S67="Catastrófico"),AND(O67="Media",S67="Catastrófico"),AND(O67="Alta",S67="Catastrófico"),AND(O67="Muy Alta",S67="Catastrófico")),"Extremo",""))))</f>
        <v/>
      </c>
      <c r="V67" s="222">
        <v>1</v>
      </c>
      <c r="W67" s="187"/>
      <c r="X67" s="189" t="str">
        <f>IF(OR(Y67="Preventivo",Y67="Detectivo"),"Probabilidad",IF(Y67="Correctivo","Impacto",""))</f>
        <v/>
      </c>
      <c r="Y67" s="190"/>
      <c r="Z67" s="190"/>
      <c r="AA67" s="191" t="str">
        <f>IF(AND(Y67="Preventivo",Z67="Automático"),"50%",IF(AND(Y67="Preventivo",Z67="Manual"),"40%",IF(AND(Y67="Detectivo",Z67="Automático"),"40%",IF(AND(Y67="Detectivo",Z67="Manual"),"30%",IF(AND(Y67="Correctivo",Z67="Automático"),"35%",IF(AND(Y67="Correctivo",Z67="Manual"),"25%",""))))))</f>
        <v/>
      </c>
      <c r="AB67" s="190"/>
      <c r="AC67" s="190"/>
      <c r="AD67" s="190"/>
      <c r="AE67" s="192" t="str">
        <f>IFERROR(IF(X67="Probabilidad",(P67-(+P67*AA67)),IF(X67="Impacto",P67,"")),"")</f>
        <v/>
      </c>
      <c r="AF67" s="193" t="str">
        <f>IFERROR(IF(AE67="","",IF(AE67&lt;=0.2,"Muy Baja",IF(AE67&lt;=0.4,"Baja",IF(AE67&lt;=0.6,"Media",IF(AE67&lt;=0.8,"Alta","Muy Alta"))))),"")</f>
        <v/>
      </c>
      <c r="AG67" s="191" t="str">
        <f>+AE67</f>
        <v/>
      </c>
      <c r="AH67" s="193" t="str">
        <f>IFERROR(IF(AI67="","",IF(AI67&lt;=0.2,"Leve",IF(AI67&lt;=0.4,"Menor",IF(AI67&lt;=0.6,"Moderado",IF(AI67&lt;=0.8,"Mayor","Catastrófico"))))),"")</f>
        <v/>
      </c>
      <c r="AI67" s="191" t="str">
        <f t="shared" ref="AI67" si="80">IFERROR(IF(X67="Impacto",(T67-(+T67*AA67)),IF(X67="Probabilidad",T67,"")),"")</f>
        <v/>
      </c>
      <c r="AJ67" s="194" t="str">
        <f>IFERROR(IF(OR(AND(AF67="Muy Baja",AH67="Leve"),AND(AF67="Muy Baja",AH67="Menor"),AND(AF67="Baja",AH67="Leve")),"Bajo",IF(OR(AND(AF67="Muy baja",AH67="Moderado"),AND(AF67="Baja",AH67="Menor"),AND(AF67="Baja",AH67="Moderado"),AND(AF67="Media",AH67="Leve"),AND(AF67="Media",AH67="Menor"),AND(AF67="Media",AH67="Moderado"),AND(AF67="Alta",AH67="Leve"),AND(AF67="Alta",AH67="Menor")),"Moderado",IF(OR(AND(AF67="Muy Baja",AH67="Mayor"),AND(AF67="Baja",AH67="Mayor"),AND(AF67="Media",AH67="Mayor"),AND(AF67="Alta",AH67="Moderado"),AND(AF67="Alta",AH67="Mayor"),AND(AF67="Muy Alta",AH67="Leve"),AND(AF67="Muy Alta",AH67="Menor"),AND(AF67="Muy Alta",AH67="Moderado"),AND(AF67="Muy Alta",AH67="Mayor")),"Alto",IF(OR(AND(AF67="Muy Baja",AH67="Catastrófico"),AND(AF67="Baja",AH67="Catastrófico"),AND(AF67="Media",AH67="Catastrófico"),AND(AF67="Alta",AH67="Catastrófico"),AND(AF67="Muy Alta",AH67="Catastrófico")),"Extremo","")))),"")</f>
        <v/>
      </c>
      <c r="AK67" s="195"/>
      <c r="AL67" s="186"/>
      <c r="AM67" s="196"/>
      <c r="AN67" s="196"/>
      <c r="AO67" s="197"/>
      <c r="AP67" s="362"/>
      <c r="AQ67" s="362"/>
      <c r="AR67" s="362"/>
    </row>
    <row r="68" spans="1:44" ht="37.5" customHeight="1" x14ac:dyDescent="0.2">
      <c r="A68" s="379"/>
      <c r="B68" s="365"/>
      <c r="C68" s="365"/>
      <c r="D68" s="365"/>
      <c r="E68" s="365"/>
      <c r="F68" s="365"/>
      <c r="G68" s="337"/>
      <c r="H68" s="337"/>
      <c r="I68" s="230"/>
      <c r="J68" s="230"/>
      <c r="K68" s="230"/>
      <c r="L68" s="337"/>
      <c r="M68" s="337"/>
      <c r="N68" s="362"/>
      <c r="O68" s="347"/>
      <c r="P68" s="346"/>
      <c r="Q68" s="330"/>
      <c r="R68" s="346">
        <f>IF(NOT(ISERROR(MATCH(Q68,_xlfn.ANCHORARRAY(F79),0))),Q81&amp;"Por favor no seleccionar los criterios de impacto",Q68)</f>
        <v>0</v>
      </c>
      <c r="S68" s="347"/>
      <c r="T68" s="346"/>
      <c r="U68" s="339"/>
      <c r="V68" s="222">
        <v>2</v>
      </c>
      <c r="W68" s="187"/>
      <c r="X68" s="189" t="str">
        <f>IF(OR(Y68="Preventivo",Y68="Detectivo"),"Probabilidad",IF(Y68="Correctivo","Impacto",""))</f>
        <v/>
      </c>
      <c r="Y68" s="190"/>
      <c r="Z68" s="190"/>
      <c r="AA68" s="191" t="str">
        <f t="shared" ref="AA68:AA72" si="81">IF(AND(Y68="Preventivo",Z68="Automático"),"50%",IF(AND(Y68="Preventivo",Z68="Manual"),"40%",IF(AND(Y68="Detectivo",Z68="Automático"),"40%",IF(AND(Y68="Detectivo",Z68="Manual"),"30%",IF(AND(Y68="Correctivo",Z68="Automático"),"35%",IF(AND(Y68="Correctivo",Z68="Manual"),"25%",""))))))</f>
        <v/>
      </c>
      <c r="AB68" s="190"/>
      <c r="AC68" s="190"/>
      <c r="AD68" s="190"/>
      <c r="AE68" s="192" t="str">
        <f>IFERROR(IF(AND(X67="Probabilidad",X68="Probabilidad"),(AG67-(+AG67*AA68)),IF(X68="Probabilidad",(P67-(+P67*AA68)),IF(X68="Impacto",AG67,""))),"")</f>
        <v/>
      </c>
      <c r="AF68" s="193" t="str">
        <f t="shared" si="2"/>
        <v/>
      </c>
      <c r="AG68" s="191" t="str">
        <f t="shared" ref="AG68:AG72" si="82">+AE68</f>
        <v/>
      </c>
      <c r="AH68" s="193" t="str">
        <f t="shared" si="4"/>
        <v/>
      </c>
      <c r="AI68" s="191" t="str">
        <f t="shared" ref="AI68" si="83">IFERROR(IF(AND(X67="Impacto",X68="Impacto"),(AI67-(+AI67*AA68)),IF(X68="Impacto",($T$13-(+$T$13*AA68)),IF(X68="Probabilidad",AI67,""))),"")</f>
        <v/>
      </c>
      <c r="AJ68" s="194" t="str">
        <f t="shared" ref="AJ68:AJ69" si="84">IFERROR(IF(OR(AND(AF68="Muy Baja",AH68="Leve"),AND(AF68="Muy Baja",AH68="Menor"),AND(AF68="Baja",AH68="Leve")),"Bajo",IF(OR(AND(AF68="Muy baja",AH68="Moderado"),AND(AF68="Baja",AH68="Menor"),AND(AF68="Baja",AH68="Moderado"),AND(AF68="Media",AH68="Leve"),AND(AF68="Media",AH68="Menor"),AND(AF68="Media",AH68="Moderado"),AND(AF68="Alta",AH68="Leve"),AND(AF68="Alta",AH68="Menor")),"Moderado",IF(OR(AND(AF68="Muy Baja",AH68="Mayor"),AND(AF68="Baja",AH68="Mayor"),AND(AF68="Media",AH68="Mayor"),AND(AF68="Alta",AH68="Moderado"),AND(AF68="Alta",AH68="Mayor"),AND(AF68="Muy Alta",AH68="Leve"),AND(AF68="Muy Alta",AH68="Menor"),AND(AF68="Muy Alta",AH68="Moderado"),AND(AF68="Muy Alta",AH68="Mayor")),"Alto",IF(OR(AND(AF68="Muy Baja",AH68="Catastrófico"),AND(AF68="Baja",AH68="Catastrófico"),AND(AF68="Media",AH68="Catastrófico"),AND(AF68="Alta",AH68="Catastrófico"),AND(AF68="Muy Alta",AH68="Catastrófico")),"Extremo","")))),"")</f>
        <v/>
      </c>
      <c r="AK68" s="195"/>
      <c r="AL68" s="186"/>
      <c r="AM68" s="196"/>
      <c r="AN68" s="196"/>
      <c r="AO68" s="197"/>
      <c r="AP68" s="362"/>
      <c r="AQ68" s="362"/>
      <c r="AR68" s="362"/>
    </row>
    <row r="69" spans="1:44" ht="37.5" customHeight="1" x14ac:dyDescent="0.2">
      <c r="A69" s="379"/>
      <c r="B69" s="365"/>
      <c r="C69" s="365"/>
      <c r="D69" s="365"/>
      <c r="E69" s="365"/>
      <c r="F69" s="365"/>
      <c r="G69" s="337"/>
      <c r="H69" s="337"/>
      <c r="I69" s="230"/>
      <c r="J69" s="230"/>
      <c r="K69" s="230"/>
      <c r="L69" s="337"/>
      <c r="M69" s="337"/>
      <c r="N69" s="362"/>
      <c r="O69" s="347"/>
      <c r="P69" s="346"/>
      <c r="Q69" s="330"/>
      <c r="R69" s="346">
        <f>IF(NOT(ISERROR(MATCH(Q69,_xlfn.ANCHORARRAY(F80),0))),Q82&amp;"Por favor no seleccionar los criterios de impacto",Q69)</f>
        <v>0</v>
      </c>
      <c r="S69" s="347"/>
      <c r="T69" s="346"/>
      <c r="U69" s="339"/>
      <c r="V69" s="222">
        <v>3</v>
      </c>
      <c r="W69" s="187"/>
      <c r="X69" s="189" t="str">
        <f>IF(OR(Y69="Preventivo",Y69="Detectivo"),"Probabilidad",IF(Y69="Correctivo","Impacto",""))</f>
        <v/>
      </c>
      <c r="Y69" s="190"/>
      <c r="Z69" s="190"/>
      <c r="AA69" s="191" t="str">
        <f t="shared" si="81"/>
        <v/>
      </c>
      <c r="AB69" s="190"/>
      <c r="AC69" s="190"/>
      <c r="AD69" s="190"/>
      <c r="AE69" s="192" t="str">
        <f>IFERROR(IF(AND(X68="Probabilidad",X69="Probabilidad"),(AG68-(+AG68*AA69)),IF(AND(X68="Impacto",X69="Probabilidad"),(AG67-(+AG67*AA69)),IF(X69="Impacto",AG68,""))),"")</f>
        <v/>
      </c>
      <c r="AF69" s="193" t="str">
        <f t="shared" si="2"/>
        <v/>
      </c>
      <c r="AG69" s="191" t="str">
        <f t="shared" si="82"/>
        <v/>
      </c>
      <c r="AH69" s="193" t="str">
        <f t="shared" si="4"/>
        <v/>
      </c>
      <c r="AI69" s="191" t="str">
        <f t="shared" ref="AI69" si="85">IFERROR(IF(AND(X68="Impacto",X69="Impacto"),(AI68-(+AI68*AA69)),IF(AND(X68="Probabilidad",X69="Impacto"),(AI67-(+AI67*AA69)),IF(X69="Probabilidad",AI68,""))),"")</f>
        <v/>
      </c>
      <c r="AJ69" s="194" t="str">
        <f t="shared" si="84"/>
        <v/>
      </c>
      <c r="AK69" s="195"/>
      <c r="AL69" s="186"/>
      <c r="AM69" s="196"/>
      <c r="AN69" s="196"/>
      <c r="AO69" s="197"/>
      <c r="AP69" s="362"/>
      <c r="AQ69" s="362"/>
      <c r="AR69" s="362"/>
    </row>
    <row r="70" spans="1:44" ht="37.5" customHeight="1" x14ac:dyDescent="0.2">
      <c r="A70" s="379"/>
      <c r="B70" s="365"/>
      <c r="C70" s="365"/>
      <c r="D70" s="365"/>
      <c r="E70" s="365"/>
      <c r="F70" s="365"/>
      <c r="G70" s="337"/>
      <c r="H70" s="337"/>
      <c r="I70" s="230"/>
      <c r="J70" s="230"/>
      <c r="K70" s="230"/>
      <c r="L70" s="337"/>
      <c r="M70" s="337"/>
      <c r="N70" s="362"/>
      <c r="O70" s="347"/>
      <c r="P70" s="346"/>
      <c r="Q70" s="330"/>
      <c r="R70" s="346">
        <f>IF(NOT(ISERROR(MATCH(Q70,_xlfn.ANCHORARRAY(F81),0))),Q83&amp;"Por favor no seleccionar los criterios de impacto",Q70)</f>
        <v>0</v>
      </c>
      <c r="S70" s="347"/>
      <c r="T70" s="346"/>
      <c r="U70" s="339"/>
      <c r="V70" s="222">
        <v>4</v>
      </c>
      <c r="W70" s="187"/>
      <c r="X70" s="189" t="str">
        <f t="shared" ref="X70:X72" si="86">IF(OR(Y70="Preventivo",Y70="Detectivo"),"Probabilidad",IF(Y70="Correctivo","Impacto",""))</f>
        <v/>
      </c>
      <c r="Y70" s="190"/>
      <c r="Z70" s="190"/>
      <c r="AA70" s="191" t="str">
        <f t="shared" si="81"/>
        <v/>
      </c>
      <c r="AB70" s="190"/>
      <c r="AC70" s="190"/>
      <c r="AD70" s="190"/>
      <c r="AE70" s="192" t="str">
        <f t="shared" ref="AE70:AE72" si="87">IFERROR(IF(AND(X69="Probabilidad",X70="Probabilidad"),(AG69-(+AG69*AA70)),IF(AND(X69="Impacto",X70="Probabilidad"),(AG68-(+AG68*AA70)),IF(X70="Impacto",AG69,""))),"")</f>
        <v/>
      </c>
      <c r="AF70" s="193" t="str">
        <f t="shared" si="2"/>
        <v/>
      </c>
      <c r="AG70" s="191" t="str">
        <f t="shared" si="82"/>
        <v/>
      </c>
      <c r="AH70" s="193" t="str">
        <f t="shared" si="4"/>
        <v/>
      </c>
      <c r="AI70" s="191" t="str">
        <f t="shared" si="13"/>
        <v/>
      </c>
      <c r="AJ70" s="194" t="str">
        <f>IFERROR(IF(OR(AND(AF70="Muy Baja",AH70="Leve"),AND(AF70="Muy Baja",AH70="Menor"),AND(AF70="Baja",AH70="Leve")),"Bajo",IF(OR(AND(AF70="Muy baja",AH70="Moderado"),AND(AF70="Baja",AH70="Menor"),AND(AF70="Baja",AH70="Moderado"),AND(AF70="Media",AH70="Leve"),AND(AF70="Media",AH70="Menor"),AND(AF70="Media",AH70="Moderado"),AND(AF70="Alta",AH70="Leve"),AND(AF70="Alta",AH70="Menor")),"Moderado",IF(OR(AND(AF70="Muy Baja",AH70="Mayor"),AND(AF70="Baja",AH70="Mayor"),AND(AF70="Media",AH70="Mayor"),AND(AF70="Alta",AH70="Moderado"),AND(AF70="Alta",AH70="Mayor"),AND(AF70="Muy Alta",AH70="Leve"),AND(AF70="Muy Alta",AH70="Menor"),AND(AF70="Muy Alta",AH70="Moderado"),AND(AF70="Muy Alta",AH70="Mayor")),"Alto",IF(OR(AND(AF70="Muy Baja",AH70="Catastrófico"),AND(AF70="Baja",AH70="Catastrófico"),AND(AF70="Media",AH70="Catastrófico"),AND(AF70="Alta",AH70="Catastrófico"),AND(AF70="Muy Alta",AH70="Catastrófico")),"Extremo","")))),"")</f>
        <v/>
      </c>
      <c r="AK70" s="195"/>
      <c r="AL70" s="186"/>
      <c r="AM70" s="196"/>
      <c r="AN70" s="196"/>
      <c r="AO70" s="197"/>
      <c r="AP70" s="362"/>
      <c r="AQ70" s="362"/>
      <c r="AR70" s="362"/>
    </row>
    <row r="71" spans="1:44" ht="37.5" customHeight="1" x14ac:dyDescent="0.2">
      <c r="A71" s="379"/>
      <c r="B71" s="365"/>
      <c r="C71" s="365"/>
      <c r="D71" s="365"/>
      <c r="E71" s="365"/>
      <c r="F71" s="365"/>
      <c r="G71" s="337"/>
      <c r="H71" s="337"/>
      <c r="I71" s="230"/>
      <c r="J71" s="230"/>
      <c r="K71" s="230"/>
      <c r="L71" s="337"/>
      <c r="M71" s="337"/>
      <c r="N71" s="362"/>
      <c r="O71" s="347"/>
      <c r="P71" s="346"/>
      <c r="Q71" s="330"/>
      <c r="R71" s="346">
        <f>IF(NOT(ISERROR(MATCH(Q71,_xlfn.ANCHORARRAY(F82),0))),Q84&amp;"Por favor no seleccionar los criterios de impacto",Q71)</f>
        <v>0</v>
      </c>
      <c r="S71" s="347"/>
      <c r="T71" s="346"/>
      <c r="U71" s="339"/>
      <c r="V71" s="222">
        <v>5</v>
      </c>
      <c r="W71" s="187"/>
      <c r="X71" s="189" t="str">
        <f t="shared" si="86"/>
        <v/>
      </c>
      <c r="Y71" s="190"/>
      <c r="Z71" s="190"/>
      <c r="AA71" s="191" t="str">
        <f t="shared" si="81"/>
        <v/>
      </c>
      <c r="AB71" s="190"/>
      <c r="AC71" s="190"/>
      <c r="AD71" s="190"/>
      <c r="AE71" s="192" t="str">
        <f t="shared" si="87"/>
        <v/>
      </c>
      <c r="AF71" s="193" t="str">
        <f t="shared" si="2"/>
        <v/>
      </c>
      <c r="AG71" s="191" t="str">
        <f t="shared" si="82"/>
        <v/>
      </c>
      <c r="AH71" s="193" t="str">
        <f t="shared" si="4"/>
        <v/>
      </c>
      <c r="AI71" s="191" t="str">
        <f t="shared" si="13"/>
        <v/>
      </c>
      <c r="AJ71" s="194" t="str">
        <f t="shared" ref="AJ71:AJ72" si="88">IFERROR(IF(OR(AND(AF71="Muy Baja",AH71="Leve"),AND(AF71="Muy Baja",AH71="Menor"),AND(AF71="Baja",AH71="Leve")),"Bajo",IF(OR(AND(AF71="Muy baja",AH71="Moderado"),AND(AF71="Baja",AH71="Menor"),AND(AF71="Baja",AH71="Moderado"),AND(AF71="Media",AH71="Leve"),AND(AF71="Media",AH71="Menor"),AND(AF71="Media",AH71="Moderado"),AND(AF71="Alta",AH71="Leve"),AND(AF71="Alta",AH71="Menor")),"Moderado",IF(OR(AND(AF71="Muy Baja",AH71="Mayor"),AND(AF71="Baja",AH71="Mayor"),AND(AF71="Media",AH71="Mayor"),AND(AF71="Alta",AH71="Moderado"),AND(AF71="Alta",AH71="Mayor"),AND(AF71="Muy Alta",AH71="Leve"),AND(AF71="Muy Alta",AH71="Menor"),AND(AF71="Muy Alta",AH71="Moderado"),AND(AF71="Muy Alta",AH71="Mayor")),"Alto",IF(OR(AND(AF71="Muy Baja",AH71="Catastrófico"),AND(AF71="Baja",AH71="Catastrófico"),AND(AF71="Media",AH71="Catastrófico"),AND(AF71="Alta",AH71="Catastrófico"),AND(AF71="Muy Alta",AH71="Catastrófico")),"Extremo","")))),"")</f>
        <v/>
      </c>
      <c r="AK71" s="195"/>
      <c r="AL71" s="186"/>
      <c r="AM71" s="196"/>
      <c r="AN71" s="196"/>
      <c r="AO71" s="197"/>
      <c r="AP71" s="362"/>
      <c r="AQ71" s="362"/>
      <c r="AR71" s="362"/>
    </row>
    <row r="72" spans="1:44" ht="37.5" customHeight="1" x14ac:dyDescent="0.2">
      <c r="A72" s="379"/>
      <c r="B72" s="365"/>
      <c r="C72" s="365"/>
      <c r="D72" s="365"/>
      <c r="E72" s="365"/>
      <c r="F72" s="365"/>
      <c r="G72" s="338"/>
      <c r="H72" s="338"/>
      <c r="I72" s="231"/>
      <c r="J72" s="231"/>
      <c r="K72" s="231"/>
      <c r="L72" s="338"/>
      <c r="M72" s="338"/>
      <c r="N72" s="362"/>
      <c r="O72" s="347"/>
      <c r="P72" s="346"/>
      <c r="Q72" s="330"/>
      <c r="R72" s="346">
        <f>IF(NOT(ISERROR(MATCH(Q72,_xlfn.ANCHORARRAY(F83),0))),Q85&amp;"Por favor no seleccionar los criterios de impacto",Q72)</f>
        <v>0</v>
      </c>
      <c r="S72" s="347"/>
      <c r="T72" s="346"/>
      <c r="U72" s="339"/>
      <c r="V72" s="222">
        <v>6</v>
      </c>
      <c r="W72" s="187"/>
      <c r="X72" s="189" t="str">
        <f t="shared" si="86"/>
        <v/>
      </c>
      <c r="Y72" s="190"/>
      <c r="Z72" s="190"/>
      <c r="AA72" s="191" t="str">
        <f t="shared" si="81"/>
        <v/>
      </c>
      <c r="AB72" s="190"/>
      <c r="AC72" s="190"/>
      <c r="AD72" s="190"/>
      <c r="AE72" s="192" t="str">
        <f t="shared" si="87"/>
        <v/>
      </c>
      <c r="AF72" s="193" t="str">
        <f t="shared" si="2"/>
        <v/>
      </c>
      <c r="AG72" s="191" t="str">
        <f t="shared" si="82"/>
        <v/>
      </c>
      <c r="AH72" s="193" t="str">
        <f t="shared" si="4"/>
        <v/>
      </c>
      <c r="AI72" s="191" t="str">
        <f t="shared" si="13"/>
        <v/>
      </c>
      <c r="AJ72" s="194" t="str">
        <f t="shared" si="88"/>
        <v/>
      </c>
      <c r="AK72" s="195"/>
      <c r="AL72" s="186"/>
      <c r="AM72" s="196"/>
      <c r="AN72" s="196"/>
      <c r="AO72" s="197"/>
      <c r="AP72" s="362"/>
      <c r="AQ72" s="362"/>
      <c r="AR72" s="362"/>
    </row>
    <row r="73" spans="1:44" ht="49.5" customHeight="1" x14ac:dyDescent="0.2">
      <c r="A73" s="224"/>
      <c r="B73" s="384" t="s">
        <v>311</v>
      </c>
      <c r="C73" s="385"/>
      <c r="D73" s="385"/>
      <c r="E73" s="385"/>
      <c r="F73" s="385"/>
      <c r="G73" s="385"/>
      <c r="H73" s="385"/>
      <c r="I73" s="385"/>
      <c r="J73" s="385"/>
      <c r="K73" s="385"/>
      <c r="L73" s="385"/>
      <c r="M73" s="385"/>
      <c r="N73" s="385"/>
      <c r="O73" s="385"/>
      <c r="P73" s="385"/>
      <c r="Q73" s="385"/>
      <c r="R73" s="385"/>
      <c r="S73" s="385"/>
      <c r="T73" s="385"/>
      <c r="U73" s="385"/>
      <c r="V73" s="385"/>
      <c r="W73" s="385"/>
      <c r="X73" s="385"/>
      <c r="Y73" s="385"/>
      <c r="Z73" s="385"/>
      <c r="AA73" s="385"/>
      <c r="AB73" s="385"/>
      <c r="AC73" s="385"/>
      <c r="AD73" s="385"/>
      <c r="AE73" s="385"/>
      <c r="AF73" s="385"/>
      <c r="AG73" s="385"/>
      <c r="AH73" s="385"/>
      <c r="AI73" s="385"/>
      <c r="AJ73" s="385"/>
      <c r="AK73" s="385"/>
      <c r="AL73" s="385"/>
      <c r="AM73" s="385"/>
      <c r="AN73" s="385"/>
      <c r="AO73" s="385"/>
      <c r="AP73" s="385"/>
    </row>
    <row r="75" spans="1:44" x14ac:dyDescent="0.2">
      <c r="A75" s="198"/>
      <c r="B75" s="214" t="s">
        <v>312</v>
      </c>
      <c r="C75" s="198"/>
      <c r="D75" s="198"/>
      <c r="E75" s="198"/>
      <c r="N75" s="198"/>
    </row>
  </sheetData>
  <dataConsolidate/>
  <mergeCells count="299">
    <mergeCell ref="A6:B6"/>
    <mergeCell ref="C6:V6"/>
    <mergeCell ref="W6:Y6"/>
    <mergeCell ref="Z6:AR6"/>
    <mergeCell ref="A7:B7"/>
    <mergeCell ref="C7:V7"/>
    <mergeCell ref="Z7:AR7"/>
    <mergeCell ref="A1:C4"/>
    <mergeCell ref="D1:V2"/>
    <mergeCell ref="X1:AR2"/>
    <mergeCell ref="D3:N3"/>
    <mergeCell ref="O3:V3"/>
    <mergeCell ref="X3:AL3"/>
    <mergeCell ref="AM3:AR3"/>
    <mergeCell ref="D4:V4"/>
    <mergeCell ref="X4:AR4"/>
    <mergeCell ref="A8:B8"/>
    <mergeCell ref="C8:V8"/>
    <mergeCell ref="Z8:AR8"/>
    <mergeCell ref="A10:F10"/>
    <mergeCell ref="G10:K10"/>
    <mergeCell ref="P10:V10"/>
    <mergeCell ref="W10:AE10"/>
    <mergeCell ref="AF10:AJ10"/>
    <mergeCell ref="AK10:AO10"/>
    <mergeCell ref="AP10:AR10"/>
    <mergeCell ref="A11:A12"/>
    <mergeCell ref="B11:B12"/>
    <mergeCell ref="C11:C12"/>
    <mergeCell ref="D11:D12"/>
    <mergeCell ref="E11:E12"/>
    <mergeCell ref="F11:F12"/>
    <mergeCell ref="G11:G12"/>
    <mergeCell ref="H11:H12"/>
    <mergeCell ref="I11:I12"/>
    <mergeCell ref="U13:U18"/>
    <mergeCell ref="AP13:AP18"/>
    <mergeCell ref="AQ13:AQ18"/>
    <mergeCell ref="AR11:AR12"/>
    <mergeCell ref="A13:A18"/>
    <mergeCell ref="B13:B18"/>
    <mergeCell ref="C13:C18"/>
    <mergeCell ref="D13:D18"/>
    <mergeCell ref="E13:E18"/>
    <mergeCell ref="F13:F18"/>
    <mergeCell ref="AI11:AI12"/>
    <mergeCell ref="AJ11:AJ12"/>
    <mergeCell ref="AK11:AK12"/>
    <mergeCell ref="AL11:AL12"/>
    <mergeCell ref="AM11:AM12"/>
    <mergeCell ref="AN11:AN12"/>
    <mergeCell ref="X11:X12"/>
    <mergeCell ref="Y11:AD11"/>
    <mergeCell ref="AE11:AE12"/>
    <mergeCell ref="AF11:AF12"/>
    <mergeCell ref="AG11:AG12"/>
    <mergeCell ref="AH11:AH12"/>
    <mergeCell ref="R11:R12"/>
    <mergeCell ref="S11:S12"/>
    <mergeCell ref="AO11:AO12"/>
    <mergeCell ref="AP11:AP12"/>
    <mergeCell ref="AQ11:AQ12"/>
    <mergeCell ref="W11:W12"/>
    <mergeCell ref="J11:J12"/>
    <mergeCell ref="K11:K12"/>
    <mergeCell ref="N11:N12"/>
    <mergeCell ref="O11:O12"/>
    <mergeCell ref="P11:P12"/>
    <mergeCell ref="Q11:Q12"/>
    <mergeCell ref="T11:T12"/>
    <mergeCell ref="U11:U12"/>
    <mergeCell ref="V11:V12"/>
    <mergeCell ref="AR13:AR18"/>
    <mergeCell ref="M13:M18"/>
    <mergeCell ref="N13:N18"/>
    <mergeCell ref="O13:O18"/>
    <mergeCell ref="P13:P18"/>
    <mergeCell ref="Q13:Q18"/>
    <mergeCell ref="R13:R18"/>
    <mergeCell ref="G19:G24"/>
    <mergeCell ref="H19:H24"/>
    <mergeCell ref="I19:I24"/>
    <mergeCell ref="J19:J24"/>
    <mergeCell ref="K19:K24"/>
    <mergeCell ref="L19:L24"/>
    <mergeCell ref="AP19:AP24"/>
    <mergeCell ref="AQ19:AQ24"/>
    <mergeCell ref="AR19:AR24"/>
    <mergeCell ref="G13:G18"/>
    <mergeCell ref="H13:H18"/>
    <mergeCell ref="I13:I18"/>
    <mergeCell ref="J13:J18"/>
    <mergeCell ref="K13:K18"/>
    <mergeCell ref="L13:L18"/>
    <mergeCell ref="S13:S18"/>
    <mergeCell ref="T13:T18"/>
    <mergeCell ref="A19:A24"/>
    <mergeCell ref="B19:B24"/>
    <mergeCell ref="C19:C24"/>
    <mergeCell ref="D19:D24"/>
    <mergeCell ref="E19:E24"/>
    <mergeCell ref="F19:F24"/>
    <mergeCell ref="S19:S24"/>
    <mergeCell ref="T19:T24"/>
    <mergeCell ref="U19:U24"/>
    <mergeCell ref="M19:M24"/>
    <mergeCell ref="N19:N24"/>
    <mergeCell ref="O19:O24"/>
    <mergeCell ref="P19:P24"/>
    <mergeCell ref="Q19:Q24"/>
    <mergeCell ref="R19:R24"/>
    <mergeCell ref="G25:G30"/>
    <mergeCell ref="H25:H30"/>
    <mergeCell ref="I25:I30"/>
    <mergeCell ref="J25:J30"/>
    <mergeCell ref="K25:K30"/>
    <mergeCell ref="L25:L30"/>
    <mergeCell ref="A25:A30"/>
    <mergeCell ref="B25:B30"/>
    <mergeCell ref="C25:C30"/>
    <mergeCell ref="D25:D30"/>
    <mergeCell ref="E25:E30"/>
    <mergeCell ref="F25:F30"/>
    <mergeCell ref="S25:S30"/>
    <mergeCell ref="T25:T30"/>
    <mergeCell ref="U25:U30"/>
    <mergeCell ref="AP25:AP30"/>
    <mergeCell ref="AQ25:AQ30"/>
    <mergeCell ref="AR25:AR30"/>
    <mergeCell ref="M25:M30"/>
    <mergeCell ref="N25:N30"/>
    <mergeCell ref="O25:O30"/>
    <mergeCell ref="P25:P30"/>
    <mergeCell ref="Q25:Q30"/>
    <mergeCell ref="R25:R30"/>
    <mergeCell ref="G31:G36"/>
    <mergeCell ref="H31:H36"/>
    <mergeCell ref="I31:I36"/>
    <mergeCell ref="J31:J36"/>
    <mergeCell ref="K31:K36"/>
    <mergeCell ref="L31:L36"/>
    <mergeCell ref="A31:A36"/>
    <mergeCell ref="B31:B36"/>
    <mergeCell ref="C31:C36"/>
    <mergeCell ref="D31:D36"/>
    <mergeCell ref="E31:E36"/>
    <mergeCell ref="F31:F36"/>
    <mergeCell ref="S31:S36"/>
    <mergeCell ref="T31:T36"/>
    <mergeCell ref="U31:U36"/>
    <mergeCell ref="AP31:AP36"/>
    <mergeCell ref="AQ31:AQ36"/>
    <mergeCell ref="AR31:AR36"/>
    <mergeCell ref="M31:M36"/>
    <mergeCell ref="N31:N36"/>
    <mergeCell ref="O31:O36"/>
    <mergeCell ref="P31:P36"/>
    <mergeCell ref="Q31:Q36"/>
    <mergeCell ref="R31:R36"/>
    <mergeCell ref="G37:G42"/>
    <mergeCell ref="H37:H42"/>
    <mergeCell ref="I37:I42"/>
    <mergeCell ref="J37:J42"/>
    <mergeCell ref="K37:K42"/>
    <mergeCell ref="L37:L42"/>
    <mergeCell ref="A37:A42"/>
    <mergeCell ref="B37:B42"/>
    <mergeCell ref="C37:C42"/>
    <mergeCell ref="D37:D42"/>
    <mergeCell ref="E37:E42"/>
    <mergeCell ref="F37:F42"/>
    <mergeCell ref="S37:S42"/>
    <mergeCell ref="T37:T42"/>
    <mergeCell ref="U37:U42"/>
    <mergeCell ref="AP37:AP42"/>
    <mergeCell ref="AQ37:AQ42"/>
    <mergeCell ref="AR37:AR42"/>
    <mergeCell ref="M37:M42"/>
    <mergeCell ref="N37:N42"/>
    <mergeCell ref="O37:O42"/>
    <mergeCell ref="P37:P42"/>
    <mergeCell ref="Q37:Q42"/>
    <mergeCell ref="R37:R42"/>
    <mergeCell ref="G43:G48"/>
    <mergeCell ref="H43:H48"/>
    <mergeCell ref="I43:I48"/>
    <mergeCell ref="J43:J48"/>
    <mergeCell ref="K43:K48"/>
    <mergeCell ref="L43:L48"/>
    <mergeCell ref="A43:A48"/>
    <mergeCell ref="B43:B48"/>
    <mergeCell ref="C43:C48"/>
    <mergeCell ref="D43:D48"/>
    <mergeCell ref="E43:E48"/>
    <mergeCell ref="F43:F48"/>
    <mergeCell ref="S43:S48"/>
    <mergeCell ref="T43:T48"/>
    <mergeCell ref="U43:U48"/>
    <mergeCell ref="AP43:AP48"/>
    <mergeCell ref="AQ43:AQ48"/>
    <mergeCell ref="AR43:AR48"/>
    <mergeCell ref="M43:M48"/>
    <mergeCell ref="N43:N48"/>
    <mergeCell ref="O43:O48"/>
    <mergeCell ref="P43:P48"/>
    <mergeCell ref="Q43:Q48"/>
    <mergeCell ref="R43:R48"/>
    <mergeCell ref="G49:G54"/>
    <mergeCell ref="H49:H54"/>
    <mergeCell ref="I49:I54"/>
    <mergeCell ref="J49:J54"/>
    <mergeCell ref="K49:K54"/>
    <mergeCell ref="L49:L54"/>
    <mergeCell ref="A49:A54"/>
    <mergeCell ref="B49:B54"/>
    <mergeCell ref="C49:C54"/>
    <mergeCell ref="D49:D54"/>
    <mergeCell ref="E49:E54"/>
    <mergeCell ref="F49:F54"/>
    <mergeCell ref="S49:S54"/>
    <mergeCell ref="T49:T54"/>
    <mergeCell ref="U49:U54"/>
    <mergeCell ref="AP49:AP54"/>
    <mergeCell ref="AQ49:AQ54"/>
    <mergeCell ref="AR49:AR54"/>
    <mergeCell ref="M49:M54"/>
    <mergeCell ref="N49:N54"/>
    <mergeCell ref="O49:O54"/>
    <mergeCell ref="P49:P54"/>
    <mergeCell ref="Q49:Q54"/>
    <mergeCell ref="R49:R54"/>
    <mergeCell ref="G55:G60"/>
    <mergeCell ref="H55:H60"/>
    <mergeCell ref="I55:I60"/>
    <mergeCell ref="J55:J60"/>
    <mergeCell ref="K55:K60"/>
    <mergeCell ref="L55:L60"/>
    <mergeCell ref="A55:A60"/>
    <mergeCell ref="B55:B60"/>
    <mergeCell ref="C55:C60"/>
    <mergeCell ref="D55:D60"/>
    <mergeCell ref="E55:E60"/>
    <mergeCell ref="F55:F60"/>
    <mergeCell ref="T55:T60"/>
    <mergeCell ref="U55:U60"/>
    <mergeCell ref="AP55:AP60"/>
    <mergeCell ref="AQ55:AQ60"/>
    <mergeCell ref="AR55:AR60"/>
    <mergeCell ref="M55:M60"/>
    <mergeCell ref="N55:N60"/>
    <mergeCell ref="O55:O60"/>
    <mergeCell ref="P55:P60"/>
    <mergeCell ref="Q55:Q60"/>
    <mergeCell ref="R55:R60"/>
    <mergeCell ref="A67:A72"/>
    <mergeCell ref="B67:B72"/>
    <mergeCell ref="C67:C72"/>
    <mergeCell ref="D67:D72"/>
    <mergeCell ref="E67:E72"/>
    <mergeCell ref="F67:F72"/>
    <mergeCell ref="G67:G72"/>
    <mergeCell ref="P61:P66"/>
    <mergeCell ref="Q61:Q66"/>
    <mergeCell ref="G61:G66"/>
    <mergeCell ref="H61:H66"/>
    <mergeCell ref="L61:L66"/>
    <mergeCell ref="M61:M66"/>
    <mergeCell ref="N61:N66"/>
    <mergeCell ref="O61:O66"/>
    <mergeCell ref="A61:A66"/>
    <mergeCell ref="B61:B66"/>
    <mergeCell ref="C61:C66"/>
    <mergeCell ref="D61:D66"/>
    <mergeCell ref="E61:E66"/>
    <mergeCell ref="F61:F66"/>
    <mergeCell ref="AQ67:AQ72"/>
    <mergeCell ref="AR67:AR72"/>
    <mergeCell ref="B73:AP73"/>
    <mergeCell ref="L10:M11"/>
    <mergeCell ref="Q67:Q72"/>
    <mergeCell ref="R67:R72"/>
    <mergeCell ref="S67:S72"/>
    <mergeCell ref="T67:T72"/>
    <mergeCell ref="U67:U72"/>
    <mergeCell ref="AP67:AP72"/>
    <mergeCell ref="H67:H72"/>
    <mergeCell ref="L67:L72"/>
    <mergeCell ref="M67:M72"/>
    <mergeCell ref="N67:N72"/>
    <mergeCell ref="O67:O72"/>
    <mergeCell ref="P67:P72"/>
    <mergeCell ref="AP61:AP66"/>
    <mergeCell ref="AQ61:AQ66"/>
    <mergeCell ref="AR61:AR66"/>
    <mergeCell ref="R61:R66"/>
    <mergeCell ref="S61:S66"/>
    <mergeCell ref="T61:T66"/>
    <mergeCell ref="U61:U66"/>
    <mergeCell ref="S55:S60"/>
  </mergeCells>
  <conditionalFormatting sqref="O13 O19">
    <cfRule type="cellIs" dxfId="469" priority="227" operator="equal">
      <formula>"Muy Alta"</formula>
    </cfRule>
    <cfRule type="cellIs" dxfId="468" priority="228" operator="equal">
      <formula>"Alta"</formula>
    </cfRule>
    <cfRule type="cellIs" dxfId="467" priority="229" operator="equal">
      <formula>"Media"</formula>
    </cfRule>
    <cfRule type="cellIs" dxfId="466" priority="230" operator="equal">
      <formula>"Baja"</formula>
    </cfRule>
    <cfRule type="cellIs" dxfId="465" priority="231" operator="equal">
      <formula>"Muy Baja"</formula>
    </cfRule>
  </conditionalFormatting>
  <conditionalFormatting sqref="S13 S19 S25 S31 S37 S43 S49 S55 S61 S67">
    <cfRule type="cellIs" dxfId="464" priority="222" operator="equal">
      <formula>"Catastrófico"</formula>
    </cfRule>
    <cfRule type="cellIs" dxfId="463" priority="223" operator="equal">
      <formula>"Mayor"</formula>
    </cfRule>
    <cfRule type="cellIs" dxfId="462" priority="224" operator="equal">
      <formula>"Moderado"</formula>
    </cfRule>
    <cfRule type="cellIs" dxfId="461" priority="225" operator="equal">
      <formula>"Menor"</formula>
    </cfRule>
    <cfRule type="cellIs" dxfId="460" priority="226" operator="equal">
      <formula>"Leve"</formula>
    </cfRule>
  </conditionalFormatting>
  <conditionalFormatting sqref="U13">
    <cfRule type="cellIs" dxfId="459" priority="218" operator="equal">
      <formula>"Extremo"</formula>
    </cfRule>
    <cfRule type="cellIs" dxfId="458" priority="219" operator="equal">
      <formula>"Alto"</formula>
    </cfRule>
    <cfRule type="cellIs" dxfId="457" priority="220" operator="equal">
      <formula>"Moderado"</formula>
    </cfRule>
    <cfRule type="cellIs" dxfId="456" priority="221" operator="equal">
      <formula>"Bajo"</formula>
    </cfRule>
  </conditionalFormatting>
  <conditionalFormatting sqref="AF13:AF18">
    <cfRule type="cellIs" dxfId="455" priority="213" operator="equal">
      <formula>"Muy Alta"</formula>
    </cfRule>
    <cfRule type="cellIs" dxfId="454" priority="214" operator="equal">
      <formula>"Alta"</formula>
    </cfRule>
    <cfRule type="cellIs" dxfId="453" priority="215" operator="equal">
      <formula>"Media"</formula>
    </cfRule>
    <cfRule type="cellIs" dxfId="452" priority="216" operator="equal">
      <formula>"Baja"</formula>
    </cfRule>
    <cfRule type="cellIs" dxfId="451" priority="217" operator="equal">
      <formula>"Muy Baja"</formula>
    </cfRule>
  </conditionalFormatting>
  <conditionalFormatting sqref="AH13:AH18">
    <cfRule type="cellIs" dxfId="450" priority="208" operator="equal">
      <formula>"Catastrófico"</formula>
    </cfRule>
    <cfRule type="cellIs" dxfId="449" priority="209" operator="equal">
      <formula>"Mayor"</formula>
    </cfRule>
    <cfRule type="cellIs" dxfId="448" priority="210" operator="equal">
      <formula>"Moderado"</formula>
    </cfRule>
    <cfRule type="cellIs" dxfId="447" priority="211" operator="equal">
      <formula>"Menor"</formula>
    </cfRule>
    <cfRule type="cellIs" dxfId="446" priority="212" operator="equal">
      <formula>"Leve"</formula>
    </cfRule>
  </conditionalFormatting>
  <conditionalFormatting sqref="AJ13:AJ18">
    <cfRule type="cellIs" dxfId="445" priority="204" operator="equal">
      <formula>"Extremo"</formula>
    </cfRule>
    <cfRule type="cellIs" dxfId="444" priority="205" operator="equal">
      <formula>"Alto"</formula>
    </cfRule>
    <cfRule type="cellIs" dxfId="443" priority="206" operator="equal">
      <formula>"Moderado"</formula>
    </cfRule>
    <cfRule type="cellIs" dxfId="442" priority="207" operator="equal">
      <formula>"Bajo"</formula>
    </cfRule>
  </conditionalFormatting>
  <conditionalFormatting sqref="O61">
    <cfRule type="cellIs" dxfId="441" priority="48" operator="equal">
      <formula>"Muy Alta"</formula>
    </cfRule>
    <cfRule type="cellIs" dxfId="440" priority="49" operator="equal">
      <formula>"Alta"</formula>
    </cfRule>
    <cfRule type="cellIs" dxfId="439" priority="50" operator="equal">
      <formula>"Media"</formula>
    </cfRule>
    <cfRule type="cellIs" dxfId="438" priority="51" operator="equal">
      <formula>"Baja"</formula>
    </cfRule>
    <cfRule type="cellIs" dxfId="437" priority="52" operator="equal">
      <formula>"Muy Baja"</formula>
    </cfRule>
  </conditionalFormatting>
  <conditionalFormatting sqref="U19">
    <cfRule type="cellIs" dxfId="436" priority="200" operator="equal">
      <formula>"Extremo"</formula>
    </cfRule>
    <cfRule type="cellIs" dxfId="435" priority="201" operator="equal">
      <formula>"Alto"</formula>
    </cfRule>
    <cfRule type="cellIs" dxfId="434" priority="202" operator="equal">
      <formula>"Moderado"</formula>
    </cfRule>
    <cfRule type="cellIs" dxfId="433" priority="203" operator="equal">
      <formula>"Bajo"</formula>
    </cfRule>
  </conditionalFormatting>
  <conditionalFormatting sqref="AF19:AF24">
    <cfRule type="cellIs" dxfId="432" priority="195" operator="equal">
      <formula>"Muy Alta"</formula>
    </cfRule>
    <cfRule type="cellIs" dxfId="431" priority="196" operator="equal">
      <formula>"Alta"</formula>
    </cfRule>
    <cfRule type="cellIs" dxfId="430" priority="197" operator="equal">
      <formula>"Media"</formula>
    </cfRule>
    <cfRule type="cellIs" dxfId="429" priority="198" operator="equal">
      <formula>"Baja"</formula>
    </cfRule>
    <cfRule type="cellIs" dxfId="428" priority="199" operator="equal">
      <formula>"Muy Baja"</formula>
    </cfRule>
  </conditionalFormatting>
  <conditionalFormatting sqref="AH19:AH24">
    <cfRule type="cellIs" dxfId="427" priority="190" operator="equal">
      <formula>"Catastrófico"</formula>
    </cfRule>
    <cfRule type="cellIs" dxfId="426" priority="191" operator="equal">
      <formula>"Mayor"</formula>
    </cfRule>
    <cfRule type="cellIs" dxfId="425" priority="192" operator="equal">
      <formula>"Moderado"</formula>
    </cfRule>
    <cfRule type="cellIs" dxfId="424" priority="193" operator="equal">
      <formula>"Menor"</formula>
    </cfRule>
    <cfRule type="cellIs" dxfId="423" priority="194" operator="equal">
      <formula>"Leve"</formula>
    </cfRule>
  </conditionalFormatting>
  <conditionalFormatting sqref="AJ19:AJ24">
    <cfRule type="cellIs" dxfId="422" priority="186" operator="equal">
      <formula>"Extremo"</formula>
    </cfRule>
    <cfRule type="cellIs" dxfId="421" priority="187" operator="equal">
      <formula>"Alto"</formula>
    </cfRule>
    <cfRule type="cellIs" dxfId="420" priority="188" operator="equal">
      <formula>"Moderado"</formula>
    </cfRule>
    <cfRule type="cellIs" dxfId="419" priority="189" operator="equal">
      <formula>"Bajo"</formula>
    </cfRule>
  </conditionalFormatting>
  <conditionalFormatting sqref="O25">
    <cfRule type="cellIs" dxfId="418" priority="181" operator="equal">
      <formula>"Muy Alta"</formula>
    </cfRule>
    <cfRule type="cellIs" dxfId="417" priority="182" operator="equal">
      <formula>"Alta"</formula>
    </cfRule>
    <cfRule type="cellIs" dxfId="416" priority="183" operator="equal">
      <formula>"Media"</formula>
    </cfRule>
    <cfRule type="cellIs" dxfId="415" priority="184" operator="equal">
      <formula>"Baja"</formula>
    </cfRule>
    <cfRule type="cellIs" dxfId="414" priority="185" operator="equal">
      <formula>"Muy Baja"</formula>
    </cfRule>
  </conditionalFormatting>
  <conditionalFormatting sqref="U25">
    <cfRule type="cellIs" dxfId="413" priority="177" operator="equal">
      <formula>"Extremo"</formula>
    </cfRule>
    <cfRule type="cellIs" dxfId="412" priority="178" operator="equal">
      <formula>"Alto"</formula>
    </cfRule>
    <cfRule type="cellIs" dxfId="411" priority="179" operator="equal">
      <formula>"Moderado"</formula>
    </cfRule>
    <cfRule type="cellIs" dxfId="410" priority="180" operator="equal">
      <formula>"Bajo"</formula>
    </cfRule>
  </conditionalFormatting>
  <conditionalFormatting sqref="AF25:AF30">
    <cfRule type="cellIs" dxfId="409" priority="172" operator="equal">
      <formula>"Muy Alta"</formula>
    </cfRule>
    <cfRule type="cellIs" dxfId="408" priority="173" operator="equal">
      <formula>"Alta"</formula>
    </cfRule>
    <cfRule type="cellIs" dxfId="407" priority="174" operator="equal">
      <formula>"Media"</formula>
    </cfRule>
    <cfRule type="cellIs" dxfId="406" priority="175" operator="equal">
      <formula>"Baja"</formula>
    </cfRule>
    <cfRule type="cellIs" dxfId="405" priority="176" operator="equal">
      <formula>"Muy Baja"</formula>
    </cfRule>
  </conditionalFormatting>
  <conditionalFormatting sqref="AH25:AH30">
    <cfRule type="cellIs" dxfId="404" priority="167" operator="equal">
      <formula>"Catastrófico"</formula>
    </cfRule>
    <cfRule type="cellIs" dxfId="403" priority="168" operator="equal">
      <formula>"Mayor"</formula>
    </cfRule>
    <cfRule type="cellIs" dxfId="402" priority="169" operator="equal">
      <formula>"Moderado"</formula>
    </cfRule>
    <cfRule type="cellIs" dxfId="401" priority="170" operator="equal">
      <formula>"Menor"</formula>
    </cfRule>
    <cfRule type="cellIs" dxfId="400" priority="171" operator="equal">
      <formula>"Leve"</formula>
    </cfRule>
  </conditionalFormatting>
  <conditionalFormatting sqref="AJ25:AJ30">
    <cfRule type="cellIs" dxfId="399" priority="163" operator="equal">
      <formula>"Extremo"</formula>
    </cfRule>
    <cfRule type="cellIs" dxfId="398" priority="164" operator="equal">
      <formula>"Alto"</formula>
    </cfRule>
    <cfRule type="cellIs" dxfId="397" priority="165" operator="equal">
      <formula>"Moderado"</formula>
    </cfRule>
    <cfRule type="cellIs" dxfId="396" priority="166" operator="equal">
      <formula>"Bajo"</formula>
    </cfRule>
  </conditionalFormatting>
  <conditionalFormatting sqref="O31">
    <cfRule type="cellIs" dxfId="395" priority="158" operator="equal">
      <formula>"Muy Alta"</formula>
    </cfRule>
    <cfRule type="cellIs" dxfId="394" priority="159" operator="equal">
      <formula>"Alta"</formula>
    </cfRule>
    <cfRule type="cellIs" dxfId="393" priority="160" operator="equal">
      <formula>"Media"</formula>
    </cfRule>
    <cfRule type="cellIs" dxfId="392" priority="161" operator="equal">
      <formula>"Baja"</formula>
    </cfRule>
    <cfRule type="cellIs" dxfId="391" priority="162" operator="equal">
      <formula>"Muy Baja"</formula>
    </cfRule>
  </conditionalFormatting>
  <conditionalFormatting sqref="U31">
    <cfRule type="cellIs" dxfId="390" priority="154" operator="equal">
      <formula>"Extremo"</formula>
    </cfRule>
    <cfRule type="cellIs" dxfId="389" priority="155" operator="equal">
      <formula>"Alto"</formula>
    </cfRule>
    <cfRule type="cellIs" dxfId="388" priority="156" operator="equal">
      <formula>"Moderado"</formula>
    </cfRule>
    <cfRule type="cellIs" dxfId="387" priority="157" operator="equal">
      <formula>"Bajo"</formula>
    </cfRule>
  </conditionalFormatting>
  <conditionalFormatting sqref="AF31:AF36">
    <cfRule type="cellIs" dxfId="386" priority="149" operator="equal">
      <formula>"Muy Alta"</formula>
    </cfRule>
    <cfRule type="cellIs" dxfId="385" priority="150" operator="equal">
      <formula>"Alta"</formula>
    </cfRule>
    <cfRule type="cellIs" dxfId="384" priority="151" operator="equal">
      <formula>"Media"</formula>
    </cfRule>
    <cfRule type="cellIs" dxfId="383" priority="152" operator="equal">
      <formula>"Baja"</formula>
    </cfRule>
    <cfRule type="cellIs" dxfId="382" priority="153" operator="equal">
      <formula>"Muy Baja"</formula>
    </cfRule>
  </conditionalFormatting>
  <conditionalFormatting sqref="AH31:AH36">
    <cfRule type="cellIs" dxfId="381" priority="144" operator="equal">
      <formula>"Catastrófico"</formula>
    </cfRule>
    <cfRule type="cellIs" dxfId="380" priority="145" operator="equal">
      <formula>"Mayor"</formula>
    </cfRule>
    <cfRule type="cellIs" dxfId="379" priority="146" operator="equal">
      <formula>"Moderado"</formula>
    </cfRule>
    <cfRule type="cellIs" dxfId="378" priority="147" operator="equal">
      <formula>"Menor"</formula>
    </cfRule>
    <cfRule type="cellIs" dxfId="377" priority="148" operator="equal">
      <formula>"Leve"</formula>
    </cfRule>
  </conditionalFormatting>
  <conditionalFormatting sqref="AJ31:AJ36">
    <cfRule type="cellIs" dxfId="376" priority="140" operator="equal">
      <formula>"Extremo"</formula>
    </cfRule>
    <cfRule type="cellIs" dxfId="375" priority="141" operator="equal">
      <formula>"Alto"</formula>
    </cfRule>
    <cfRule type="cellIs" dxfId="374" priority="142" operator="equal">
      <formula>"Moderado"</formula>
    </cfRule>
    <cfRule type="cellIs" dxfId="373" priority="143" operator="equal">
      <formula>"Bajo"</formula>
    </cfRule>
  </conditionalFormatting>
  <conditionalFormatting sqref="O37">
    <cfRule type="cellIs" dxfId="372" priority="135" operator="equal">
      <formula>"Muy Alta"</formula>
    </cfRule>
    <cfRule type="cellIs" dxfId="371" priority="136" operator="equal">
      <formula>"Alta"</formula>
    </cfRule>
    <cfRule type="cellIs" dxfId="370" priority="137" operator="equal">
      <formula>"Media"</formula>
    </cfRule>
    <cfRule type="cellIs" dxfId="369" priority="138" operator="equal">
      <formula>"Baja"</formula>
    </cfRule>
    <cfRule type="cellIs" dxfId="368" priority="139" operator="equal">
      <formula>"Muy Baja"</formula>
    </cfRule>
  </conditionalFormatting>
  <conditionalFormatting sqref="U37">
    <cfRule type="cellIs" dxfId="367" priority="131" operator="equal">
      <formula>"Extremo"</formula>
    </cfRule>
    <cfRule type="cellIs" dxfId="366" priority="132" operator="equal">
      <formula>"Alto"</formula>
    </cfRule>
    <cfRule type="cellIs" dxfId="365" priority="133" operator="equal">
      <formula>"Moderado"</formula>
    </cfRule>
    <cfRule type="cellIs" dxfId="364" priority="134" operator="equal">
      <formula>"Bajo"</formula>
    </cfRule>
  </conditionalFormatting>
  <conditionalFormatting sqref="AF37:AF42">
    <cfRule type="cellIs" dxfId="363" priority="126" operator="equal">
      <formula>"Muy Alta"</formula>
    </cfRule>
    <cfRule type="cellIs" dxfId="362" priority="127" operator="equal">
      <formula>"Alta"</formula>
    </cfRule>
    <cfRule type="cellIs" dxfId="361" priority="128" operator="equal">
      <formula>"Media"</formula>
    </cfRule>
    <cfRule type="cellIs" dxfId="360" priority="129" operator="equal">
      <formula>"Baja"</formula>
    </cfRule>
    <cfRule type="cellIs" dxfId="359" priority="130" operator="equal">
      <formula>"Muy Baja"</formula>
    </cfRule>
  </conditionalFormatting>
  <conditionalFormatting sqref="AH37:AH42">
    <cfRule type="cellIs" dxfId="358" priority="121" operator="equal">
      <formula>"Catastrófico"</formula>
    </cfRule>
    <cfRule type="cellIs" dxfId="357" priority="122" operator="equal">
      <formula>"Mayor"</formula>
    </cfRule>
    <cfRule type="cellIs" dxfId="356" priority="123" operator="equal">
      <formula>"Moderado"</formula>
    </cfRule>
    <cfRule type="cellIs" dxfId="355" priority="124" operator="equal">
      <formula>"Menor"</formula>
    </cfRule>
    <cfRule type="cellIs" dxfId="354" priority="125" operator="equal">
      <formula>"Leve"</formula>
    </cfRule>
  </conditionalFormatting>
  <conditionalFormatting sqref="AJ37:AJ42">
    <cfRule type="cellIs" dxfId="353" priority="117" operator="equal">
      <formula>"Extremo"</formula>
    </cfRule>
    <cfRule type="cellIs" dxfId="352" priority="118" operator="equal">
      <formula>"Alto"</formula>
    </cfRule>
    <cfRule type="cellIs" dxfId="351" priority="119" operator="equal">
      <formula>"Moderado"</formula>
    </cfRule>
    <cfRule type="cellIs" dxfId="350" priority="120" operator="equal">
      <formula>"Bajo"</formula>
    </cfRule>
  </conditionalFormatting>
  <conditionalFormatting sqref="O43">
    <cfRule type="cellIs" dxfId="349" priority="112" operator="equal">
      <formula>"Muy Alta"</formula>
    </cfRule>
    <cfRule type="cellIs" dxfId="348" priority="113" operator="equal">
      <formula>"Alta"</formula>
    </cfRule>
    <cfRule type="cellIs" dxfId="347" priority="114" operator="equal">
      <formula>"Media"</formula>
    </cfRule>
    <cfRule type="cellIs" dxfId="346" priority="115" operator="equal">
      <formula>"Baja"</formula>
    </cfRule>
    <cfRule type="cellIs" dxfId="345" priority="116" operator="equal">
      <formula>"Muy Baja"</formula>
    </cfRule>
  </conditionalFormatting>
  <conditionalFormatting sqref="U43">
    <cfRule type="cellIs" dxfId="344" priority="108" operator="equal">
      <formula>"Extremo"</formula>
    </cfRule>
    <cfRule type="cellIs" dxfId="343" priority="109" operator="equal">
      <formula>"Alto"</formula>
    </cfRule>
    <cfRule type="cellIs" dxfId="342" priority="110" operator="equal">
      <formula>"Moderado"</formula>
    </cfRule>
    <cfRule type="cellIs" dxfId="341" priority="111" operator="equal">
      <formula>"Bajo"</formula>
    </cfRule>
  </conditionalFormatting>
  <conditionalFormatting sqref="AF43:AF48">
    <cfRule type="cellIs" dxfId="340" priority="103" operator="equal">
      <formula>"Muy Alta"</formula>
    </cfRule>
    <cfRule type="cellIs" dxfId="339" priority="104" operator="equal">
      <formula>"Alta"</formula>
    </cfRule>
    <cfRule type="cellIs" dxfId="338" priority="105" operator="equal">
      <formula>"Media"</formula>
    </cfRule>
    <cfRule type="cellIs" dxfId="337" priority="106" operator="equal">
      <formula>"Baja"</formula>
    </cfRule>
    <cfRule type="cellIs" dxfId="336" priority="107" operator="equal">
      <formula>"Muy Baja"</formula>
    </cfRule>
  </conditionalFormatting>
  <conditionalFormatting sqref="AH43:AH48">
    <cfRule type="cellIs" dxfId="335" priority="98" operator="equal">
      <formula>"Catastrófico"</formula>
    </cfRule>
    <cfRule type="cellIs" dxfId="334" priority="99" operator="equal">
      <formula>"Mayor"</formula>
    </cfRule>
    <cfRule type="cellIs" dxfId="333" priority="100" operator="equal">
      <formula>"Moderado"</formula>
    </cfRule>
    <cfRule type="cellIs" dxfId="332" priority="101" operator="equal">
      <formula>"Menor"</formula>
    </cfRule>
    <cfRule type="cellIs" dxfId="331" priority="102" operator="equal">
      <formula>"Leve"</formula>
    </cfRule>
  </conditionalFormatting>
  <conditionalFormatting sqref="AJ43:AJ48">
    <cfRule type="cellIs" dxfId="330" priority="94" operator="equal">
      <formula>"Extremo"</formula>
    </cfRule>
    <cfRule type="cellIs" dxfId="329" priority="95" operator="equal">
      <formula>"Alto"</formula>
    </cfRule>
    <cfRule type="cellIs" dxfId="328" priority="96" operator="equal">
      <formula>"Moderado"</formula>
    </cfRule>
    <cfRule type="cellIs" dxfId="327" priority="97" operator="equal">
      <formula>"Bajo"</formula>
    </cfRule>
  </conditionalFormatting>
  <conditionalFormatting sqref="O49">
    <cfRule type="cellIs" dxfId="326" priority="89" operator="equal">
      <formula>"Muy Alta"</formula>
    </cfRule>
    <cfRule type="cellIs" dxfId="325" priority="90" operator="equal">
      <formula>"Alta"</formula>
    </cfRule>
    <cfRule type="cellIs" dxfId="324" priority="91" operator="equal">
      <formula>"Media"</formula>
    </cfRule>
    <cfRule type="cellIs" dxfId="323" priority="92" operator="equal">
      <formula>"Baja"</formula>
    </cfRule>
    <cfRule type="cellIs" dxfId="322" priority="93" operator="equal">
      <formula>"Muy Baja"</formula>
    </cfRule>
  </conditionalFormatting>
  <conditionalFormatting sqref="U49">
    <cfRule type="cellIs" dxfId="321" priority="85" operator="equal">
      <formula>"Extremo"</formula>
    </cfRule>
    <cfRule type="cellIs" dxfId="320" priority="86" operator="equal">
      <formula>"Alto"</formula>
    </cfRule>
    <cfRule type="cellIs" dxfId="319" priority="87" operator="equal">
      <formula>"Moderado"</formula>
    </cfRule>
    <cfRule type="cellIs" dxfId="318" priority="88" operator="equal">
      <formula>"Bajo"</formula>
    </cfRule>
  </conditionalFormatting>
  <conditionalFormatting sqref="AF49:AF54">
    <cfRule type="cellIs" dxfId="317" priority="80" operator="equal">
      <formula>"Muy Alta"</formula>
    </cfRule>
    <cfRule type="cellIs" dxfId="316" priority="81" operator="equal">
      <formula>"Alta"</formula>
    </cfRule>
    <cfRule type="cellIs" dxfId="315" priority="82" operator="equal">
      <formula>"Media"</formula>
    </cfRule>
    <cfRule type="cellIs" dxfId="314" priority="83" operator="equal">
      <formula>"Baja"</formula>
    </cfRule>
    <cfRule type="cellIs" dxfId="313" priority="84" operator="equal">
      <formula>"Muy Baja"</formula>
    </cfRule>
  </conditionalFormatting>
  <conditionalFormatting sqref="AH49:AH54">
    <cfRule type="cellIs" dxfId="312" priority="75" operator="equal">
      <formula>"Catastrófico"</formula>
    </cfRule>
    <cfRule type="cellIs" dxfId="311" priority="76" operator="equal">
      <formula>"Mayor"</formula>
    </cfRule>
    <cfRule type="cellIs" dxfId="310" priority="77" operator="equal">
      <formula>"Moderado"</formula>
    </cfRule>
    <cfRule type="cellIs" dxfId="309" priority="78" operator="equal">
      <formula>"Menor"</formula>
    </cfRule>
    <cfRule type="cellIs" dxfId="308" priority="79" operator="equal">
      <formula>"Leve"</formula>
    </cfRule>
  </conditionalFormatting>
  <conditionalFormatting sqref="AJ49:AJ54">
    <cfRule type="cellIs" dxfId="307" priority="71" operator="equal">
      <formula>"Extremo"</formula>
    </cfRule>
    <cfRule type="cellIs" dxfId="306" priority="72" operator="equal">
      <formula>"Alto"</formula>
    </cfRule>
    <cfRule type="cellIs" dxfId="305" priority="73" operator="equal">
      <formula>"Moderado"</formula>
    </cfRule>
    <cfRule type="cellIs" dxfId="304" priority="74" operator="equal">
      <formula>"Bajo"</formula>
    </cfRule>
  </conditionalFormatting>
  <conditionalFormatting sqref="U55">
    <cfRule type="cellIs" dxfId="303" priority="67" operator="equal">
      <formula>"Extremo"</formula>
    </cfRule>
    <cfRule type="cellIs" dxfId="302" priority="68" operator="equal">
      <formula>"Alto"</formula>
    </cfRule>
    <cfRule type="cellIs" dxfId="301" priority="69" operator="equal">
      <formula>"Moderado"</formula>
    </cfRule>
    <cfRule type="cellIs" dxfId="300" priority="70" operator="equal">
      <formula>"Bajo"</formula>
    </cfRule>
  </conditionalFormatting>
  <conditionalFormatting sqref="AF55:AF60">
    <cfRule type="cellIs" dxfId="299" priority="62" operator="equal">
      <formula>"Muy Alta"</formula>
    </cfRule>
    <cfRule type="cellIs" dxfId="298" priority="63" operator="equal">
      <formula>"Alta"</formula>
    </cfRule>
    <cfRule type="cellIs" dxfId="297" priority="64" operator="equal">
      <formula>"Media"</formula>
    </cfRule>
    <cfRule type="cellIs" dxfId="296" priority="65" operator="equal">
      <formula>"Baja"</formula>
    </cfRule>
    <cfRule type="cellIs" dxfId="295" priority="66" operator="equal">
      <formula>"Muy Baja"</formula>
    </cfRule>
  </conditionalFormatting>
  <conditionalFormatting sqref="AH55:AH60">
    <cfRule type="cellIs" dxfId="294" priority="57" operator="equal">
      <formula>"Catastrófico"</formula>
    </cfRule>
    <cfRule type="cellIs" dxfId="293" priority="58" operator="equal">
      <formula>"Mayor"</formula>
    </cfRule>
    <cfRule type="cellIs" dxfId="292" priority="59" operator="equal">
      <formula>"Moderado"</formula>
    </cfRule>
    <cfRule type="cellIs" dxfId="291" priority="60" operator="equal">
      <formula>"Menor"</formula>
    </cfRule>
    <cfRule type="cellIs" dxfId="290" priority="61" operator="equal">
      <formula>"Leve"</formula>
    </cfRule>
  </conditionalFormatting>
  <conditionalFormatting sqref="AJ55:AJ60">
    <cfRule type="cellIs" dxfId="289" priority="53" operator="equal">
      <formula>"Extremo"</formula>
    </cfRule>
    <cfRule type="cellIs" dxfId="288" priority="54" operator="equal">
      <formula>"Alto"</formula>
    </cfRule>
    <cfRule type="cellIs" dxfId="287" priority="55" operator="equal">
      <formula>"Moderado"</formula>
    </cfRule>
    <cfRule type="cellIs" dxfId="286" priority="56" operator="equal">
      <formula>"Bajo"</formula>
    </cfRule>
  </conditionalFormatting>
  <conditionalFormatting sqref="U61">
    <cfRule type="cellIs" dxfId="285" priority="44" operator="equal">
      <formula>"Extremo"</formula>
    </cfRule>
    <cfRule type="cellIs" dxfId="284" priority="45" operator="equal">
      <formula>"Alto"</formula>
    </cfRule>
    <cfRule type="cellIs" dxfId="283" priority="46" operator="equal">
      <formula>"Moderado"</formula>
    </cfRule>
    <cfRule type="cellIs" dxfId="282" priority="47" operator="equal">
      <formula>"Bajo"</formula>
    </cfRule>
  </conditionalFormatting>
  <conditionalFormatting sqref="AF61:AF66">
    <cfRule type="cellIs" dxfId="281" priority="39" operator="equal">
      <formula>"Muy Alta"</formula>
    </cfRule>
    <cfRule type="cellIs" dxfId="280" priority="40" operator="equal">
      <formula>"Alta"</formula>
    </cfRule>
    <cfRule type="cellIs" dxfId="279" priority="41" operator="equal">
      <formula>"Media"</formula>
    </cfRule>
    <cfRule type="cellIs" dxfId="278" priority="42" operator="equal">
      <formula>"Baja"</formula>
    </cfRule>
    <cfRule type="cellIs" dxfId="277" priority="43" operator="equal">
      <formula>"Muy Baja"</formula>
    </cfRule>
  </conditionalFormatting>
  <conditionalFormatting sqref="AH61:AH66">
    <cfRule type="cellIs" dxfId="276" priority="34" operator="equal">
      <formula>"Catastrófico"</formula>
    </cfRule>
    <cfRule type="cellIs" dxfId="275" priority="35" operator="equal">
      <formula>"Mayor"</formula>
    </cfRule>
    <cfRule type="cellIs" dxfId="274" priority="36" operator="equal">
      <formula>"Moderado"</formula>
    </cfRule>
    <cfRule type="cellIs" dxfId="273" priority="37" operator="equal">
      <formula>"Menor"</formula>
    </cfRule>
    <cfRule type="cellIs" dxfId="272" priority="38" operator="equal">
      <formula>"Leve"</formula>
    </cfRule>
  </conditionalFormatting>
  <conditionalFormatting sqref="AJ61:AJ66">
    <cfRule type="cellIs" dxfId="271" priority="30" operator="equal">
      <formula>"Extremo"</formula>
    </cfRule>
    <cfRule type="cellIs" dxfId="270" priority="31" operator="equal">
      <formula>"Alto"</formula>
    </cfRule>
    <cfRule type="cellIs" dxfId="269" priority="32" operator="equal">
      <formula>"Moderado"</formula>
    </cfRule>
    <cfRule type="cellIs" dxfId="268" priority="33" operator="equal">
      <formula>"Bajo"</formula>
    </cfRule>
  </conditionalFormatting>
  <conditionalFormatting sqref="O67">
    <cfRule type="cellIs" dxfId="267" priority="25" operator="equal">
      <formula>"Muy Alta"</formula>
    </cfRule>
    <cfRule type="cellIs" dxfId="266" priority="26" operator="equal">
      <formula>"Alta"</formula>
    </cfRule>
    <cfRule type="cellIs" dxfId="265" priority="27" operator="equal">
      <formula>"Media"</formula>
    </cfRule>
    <cfRule type="cellIs" dxfId="264" priority="28" operator="equal">
      <formula>"Baja"</formula>
    </cfRule>
    <cfRule type="cellIs" dxfId="263" priority="29" operator="equal">
      <formula>"Muy Baja"</formula>
    </cfRule>
  </conditionalFormatting>
  <conditionalFormatting sqref="U67">
    <cfRule type="cellIs" dxfId="262" priority="21" operator="equal">
      <formula>"Extremo"</formula>
    </cfRule>
    <cfRule type="cellIs" dxfId="261" priority="22" operator="equal">
      <formula>"Alto"</formula>
    </cfRule>
    <cfRule type="cellIs" dxfId="260" priority="23" operator="equal">
      <formula>"Moderado"</formula>
    </cfRule>
    <cfRule type="cellIs" dxfId="259" priority="24" operator="equal">
      <formula>"Bajo"</formula>
    </cfRule>
  </conditionalFormatting>
  <conditionalFormatting sqref="AF67:AF72">
    <cfRule type="cellIs" dxfId="258" priority="16" operator="equal">
      <formula>"Muy Alta"</formula>
    </cfRule>
    <cfRule type="cellIs" dxfId="257" priority="17" operator="equal">
      <formula>"Alta"</formula>
    </cfRule>
    <cfRule type="cellIs" dxfId="256" priority="18" operator="equal">
      <formula>"Media"</formula>
    </cfRule>
    <cfRule type="cellIs" dxfId="255" priority="19" operator="equal">
      <formula>"Baja"</formula>
    </cfRule>
    <cfRule type="cellIs" dxfId="254" priority="20" operator="equal">
      <formula>"Muy Baja"</formula>
    </cfRule>
  </conditionalFormatting>
  <conditionalFormatting sqref="AH67:AH72">
    <cfRule type="cellIs" dxfId="253" priority="11" operator="equal">
      <formula>"Catastrófico"</formula>
    </cfRule>
    <cfRule type="cellIs" dxfId="252" priority="12" operator="equal">
      <formula>"Mayor"</formula>
    </cfRule>
    <cfRule type="cellIs" dxfId="251" priority="13" operator="equal">
      <formula>"Moderado"</formula>
    </cfRule>
    <cfRule type="cellIs" dxfId="250" priority="14" operator="equal">
      <formula>"Menor"</formula>
    </cfRule>
    <cfRule type="cellIs" dxfId="249" priority="15" operator="equal">
      <formula>"Leve"</formula>
    </cfRule>
  </conditionalFormatting>
  <conditionalFormatting sqref="AJ67:AJ72">
    <cfRule type="cellIs" dxfId="248" priority="7" operator="equal">
      <formula>"Extremo"</formula>
    </cfRule>
    <cfRule type="cellIs" dxfId="247" priority="8" operator="equal">
      <formula>"Alto"</formula>
    </cfRule>
    <cfRule type="cellIs" dxfId="246" priority="9" operator="equal">
      <formula>"Moderado"</formula>
    </cfRule>
    <cfRule type="cellIs" dxfId="245" priority="10" operator="equal">
      <formula>"Bajo"</formula>
    </cfRule>
  </conditionalFormatting>
  <conditionalFormatting sqref="R13:R72">
    <cfRule type="containsText" dxfId="244" priority="6" operator="containsText" text="❌">
      <formula>NOT(ISERROR(SEARCH("❌",R13)))</formula>
    </cfRule>
  </conditionalFormatting>
  <conditionalFormatting sqref="O55">
    <cfRule type="cellIs" dxfId="243" priority="1" operator="equal">
      <formula>"Muy Alta"</formula>
    </cfRule>
    <cfRule type="cellIs" dxfId="242" priority="2" operator="equal">
      <formula>"Alta"</formula>
    </cfRule>
    <cfRule type="cellIs" dxfId="241" priority="3" operator="equal">
      <formula>"Media"</formula>
    </cfRule>
    <cfRule type="cellIs" dxfId="240" priority="4" operator="equal">
      <formula>"Baja"</formula>
    </cfRule>
    <cfRule type="cellIs" dxfId="239" priority="5" operator="equal">
      <formula>"Muy Baja"</formula>
    </cfRule>
  </conditionalFormatting>
  <pageMargins left="0.70866141732283472" right="0.70866141732283472" top="0.74803149606299213" bottom="0.74803149606299213" header="0.31496062992125984" footer="0.31496062992125984"/>
  <pageSetup scale="31" orientation="landscape" r:id="rId1"/>
  <headerFooter>
    <oddFooter>&amp;LAvenida Calle 26 No. 69-76,Edificio Elemento ,   Torre Aire , Piso 3, CP-111071
PBX:(+57) 601-3779555 - Información: Línea 195
Sede Operativa - Atención al Ciudadano: Calle 22D No. 120-40 
www.umv.gov.co&amp;CDESI-FM-018
Página &amp;P de &amp;N</oddFooter>
  </headerFooter>
  <rowBreaks count="2" manualBreakCount="2">
    <brk id="24" max="40" man="1"/>
    <brk id="30" max="37" man="1"/>
  </rowBreaks>
  <colBreaks count="1" manualBreakCount="1">
    <brk id="22" max="23" man="1"/>
  </colBreaks>
  <drawing r:id="rId2"/>
  <extLst>
    <ext xmlns:x14="http://schemas.microsoft.com/office/spreadsheetml/2009/9/main" uri="{CCE6A557-97BC-4b89-ADB6-D9C93CAAB3DF}">
      <x14:dataValidations xmlns:xm="http://schemas.microsoft.com/office/excel/2006/main" count="17">
        <x14:dataValidation type="list" allowBlank="1" showInputMessage="1" showErrorMessage="1" xr:uid="{F658C02B-993D-424E-BB84-44117E492661}">
          <x14:formula1>
            <xm:f>Listas!$H$14:$H$18</xm:f>
          </x14:formula1>
          <xm:sqref>M13:M72</xm:sqref>
        </x14:dataValidation>
        <x14:dataValidation type="list" allowBlank="1" showInputMessage="1" showErrorMessage="1" xr:uid="{40312BE1-7798-450E-AF3E-05C67AC8BF93}">
          <x14:formula1>
            <xm:f>Listas!$H$8:$H$12</xm:f>
          </x14:formula1>
          <xm:sqref>L13:L72</xm:sqref>
        </x14:dataValidation>
        <x14:dataValidation type="list" allowBlank="1" showInputMessage="1" showErrorMessage="1" xr:uid="{AA2E5EA3-1692-46F4-901A-D93807733420}">
          <x14:formula1>
            <xm:f>Intructivo!$C$300:$C$316</xm:f>
          </x14:formula1>
          <xm:sqref>C6:V6</xm:sqref>
        </x14:dataValidation>
        <x14:dataValidation type="list" allowBlank="1" showInputMessage="1" showErrorMessage="1" xr:uid="{03DE59EA-53B5-45A4-8E26-599EB4253647}">
          <x14:formula1>
            <xm:f>Listas!$F$8:$F$9</xm:f>
          </x14:formula1>
          <xm:sqref>G13:G72</xm:sqref>
        </x14:dataValidation>
        <x14:dataValidation type="list" allowBlank="1" showInputMessage="1" showErrorMessage="1" xr:uid="{4606DDEB-9F54-40BD-9BAC-47E32FED934C}">
          <x14:formula1>
            <xm:f>Listas!$B$17:$B$19</xm:f>
          </x14:formula1>
          <xm:sqref>F13:F72</xm:sqref>
        </x14:dataValidation>
        <x14:dataValidation type="custom" allowBlank="1" showInputMessage="1" showErrorMessage="1" error="Recuerde que las acciones se generan bajo la medida de mitigar el riesgo" xr:uid="{3A1535EF-A4E0-4446-B8FF-E932552AAE11}">
          <x14:formula1>
            <xm:f>IF(OR(#REF!=Listas!$B$2,#REF!=Listas!$B$3,#REF!=Listas!$B$4),ISBLANK(#REF!),ISTEXT(#REF!))</xm:f>
          </x14:formula1>
          <xm:sqref>AP19:AR19 AP67:AR67 AP61:AR61 AP55:AR55 AP49:AR49 AP43:AR43 AP37:AR37 AP31:AR31 AP25:AR25</xm:sqref>
        </x14:dataValidation>
        <x14:dataValidation type="custom" allowBlank="1" showInputMessage="1" showErrorMessage="1" error="Recuerde que las acciones se generan bajo la medida de mitigar el riesgo" xr:uid="{AA9175A0-CB05-4998-B8F8-10A451EF5F1C}">
          <x14:formula1>
            <xm:f>IF(OR(AK13=Listas!$B$2,AK13=Listas!$B$3,AK13=Listas!$B$4),ISBLANK(AK13),ISTEXT(AK13))</xm:f>
          </x14:formula1>
          <xm:sqref>AO13:AO72</xm:sqref>
        </x14:dataValidation>
        <x14:dataValidation type="custom" allowBlank="1" showInputMessage="1" showErrorMessage="1" error="Recuerde que las acciones se generan bajo la medida de mitigar el riesgo" xr:uid="{48EDACE9-40D2-48FB-8B67-F9268CF4FC6E}">
          <x14:formula1>
            <xm:f>IF(OR(AK13=Listas!$B$2,AK13=Listas!$B$3,AK13=Listas!$B$4),ISBLANK(AK13),ISTEXT(AK13))</xm:f>
          </x14:formula1>
          <xm:sqref>AM13:AN72</xm:sqref>
        </x14:dataValidation>
        <x14:dataValidation type="custom" allowBlank="1" showInputMessage="1" showErrorMessage="1" error="Recuerde que las acciones se generan bajo la medida de mitigar el riesgo" xr:uid="{6A45456E-39EC-4679-A0FE-E15BB6BF45C3}">
          <x14:formula1>
            <xm:f>IF(OR(AK13=Listas!$B$2,AK13=Listas!$B$3,AK13=Listas!$B$4),ISBLANK(AK13),ISTEXT(AK13))</xm:f>
          </x14:formula1>
          <xm:sqref>AL13:AL72</xm:sqref>
        </x14:dataValidation>
        <x14:dataValidation type="list" allowBlank="1" showInputMessage="1" showErrorMessage="1" xr:uid="{BA3C577B-DF51-41B8-800C-3C49B635B328}">
          <x14:formula1>
            <xm:f>Listas!$B$2:$B$5</xm:f>
          </x14:formula1>
          <xm:sqref>AK13:AK72</xm:sqref>
        </x14:dataValidation>
        <x14:dataValidation type="list" allowBlank="1" showInputMessage="1" showErrorMessage="1" xr:uid="{A7E97360-E878-482D-944B-FEFCE41EF2DD}">
          <x14:formula1>
            <xm:f>Listas!$E$2:$E$4</xm:f>
          </x14:formula1>
          <xm:sqref>B13:B72</xm:sqref>
        </x14:dataValidation>
        <x14:dataValidation type="list" allowBlank="1" showInputMessage="1" showErrorMessage="1" xr:uid="{81C7FE65-3E9A-49D2-8D53-7625D18167FA}">
          <x14:formula1>
            <xm:f>'Tabla Valoración controles'!$D$13:$D$14</xm:f>
          </x14:formula1>
          <xm:sqref>AD13:AD72</xm:sqref>
        </x14:dataValidation>
        <x14:dataValidation type="list" allowBlank="1" showInputMessage="1" showErrorMessage="1" xr:uid="{75D2C17F-7073-40C7-BC59-5A01C7A822CF}">
          <x14:formula1>
            <xm:f>'Tabla Valoración controles'!$D$11:$D$12</xm:f>
          </x14:formula1>
          <xm:sqref>AC13:AC72</xm:sqref>
        </x14:dataValidation>
        <x14:dataValidation type="list" allowBlank="1" showInputMessage="1" showErrorMessage="1" xr:uid="{015BB405-A86D-4571-9891-19202338A1E6}">
          <x14:formula1>
            <xm:f>'Tabla Valoración controles'!$D$9:$D$10</xm:f>
          </x14:formula1>
          <xm:sqref>AB13:AB72</xm:sqref>
        </x14:dataValidation>
        <x14:dataValidation type="list" allowBlank="1" showInputMessage="1" showErrorMessage="1" xr:uid="{64B71EBA-5AD1-4DF5-9300-D6F7874916B7}">
          <x14:formula1>
            <xm:f>'Tabla Valoración controles'!$D$7:$D$8</xm:f>
          </x14:formula1>
          <xm:sqref>Z13:Z72</xm:sqref>
        </x14:dataValidation>
        <x14:dataValidation type="list" allowBlank="1" showInputMessage="1" showErrorMessage="1" xr:uid="{EBBABF09-1E74-4DDE-947E-E544CB741FC0}">
          <x14:formula1>
            <xm:f>'Tabla Valoración controles'!$D$4:$D$6</xm:f>
          </x14:formula1>
          <xm:sqref>Y13:Y72</xm:sqref>
        </x14:dataValidation>
        <x14:dataValidation type="list" allowBlank="1" showInputMessage="1" showErrorMessage="1" xr:uid="{D541873E-5750-49B0-B960-2521B212E76B}">
          <x14:formula1>
            <xm:f>'Tabla Impacto'!$F$220:$F$222</xm:f>
          </x14:formula1>
          <xm:sqref>Q13:Q72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F29"/>
  <sheetViews>
    <sheetView topLeftCell="A20" zoomScaleNormal="100" zoomScaleSheetLayoutView="90" workbookViewId="0">
      <selection activeCell="B25" sqref="B25:F25"/>
    </sheetView>
  </sheetViews>
  <sheetFormatPr baseColWidth="10" defaultColWidth="11.5" defaultRowHeight="14" x14ac:dyDescent="0.2"/>
  <cols>
    <col min="1" max="1" width="2.1640625" style="148" customWidth="1"/>
    <col min="2" max="2" width="11.5" style="148"/>
    <col min="3" max="3" width="34.33203125" style="148" customWidth="1"/>
    <col min="4" max="4" width="36.5" style="148" customWidth="1"/>
    <col min="5" max="6" width="13.83203125" style="148" customWidth="1"/>
    <col min="7" max="7" width="1.33203125" style="148" customWidth="1"/>
    <col min="8" max="16384" width="11.5" style="148"/>
  </cols>
  <sheetData>
    <row r="1" spans="2:6" ht="11.25" customHeight="1" thickBot="1" x14ac:dyDescent="0.25"/>
    <row r="2" spans="2:6" ht="18.75" customHeight="1" thickBot="1" x14ac:dyDescent="0.25">
      <c r="B2" s="579" t="s">
        <v>332</v>
      </c>
      <c r="C2" s="580"/>
      <c r="D2" s="580"/>
      <c r="E2" s="580"/>
      <c r="F2" s="581"/>
    </row>
    <row r="3" spans="2:6" ht="32" customHeight="1" x14ac:dyDescent="0.2">
      <c r="B3" s="582" t="s">
        <v>333</v>
      </c>
      <c r="C3" s="584" t="s">
        <v>334</v>
      </c>
      <c r="D3" s="584"/>
      <c r="E3" s="584" t="s">
        <v>335</v>
      </c>
      <c r="F3" s="586"/>
    </row>
    <row r="4" spans="2:6" ht="28.25" customHeight="1" thickBot="1" x14ac:dyDescent="0.25">
      <c r="B4" s="583"/>
      <c r="C4" s="585"/>
      <c r="D4" s="585"/>
      <c r="E4" s="158" t="s">
        <v>336</v>
      </c>
      <c r="F4" s="159" t="s">
        <v>337</v>
      </c>
    </row>
    <row r="5" spans="2:6" ht="23.25" customHeight="1" x14ac:dyDescent="0.2">
      <c r="B5" s="149">
        <v>1</v>
      </c>
      <c r="C5" s="587" t="s">
        <v>338</v>
      </c>
      <c r="D5" s="587"/>
      <c r="E5" s="178"/>
      <c r="F5" s="179"/>
    </row>
    <row r="6" spans="2:6" ht="33" customHeight="1" x14ac:dyDescent="0.2">
      <c r="B6" s="150">
        <v>2</v>
      </c>
      <c r="C6" s="578" t="s">
        <v>339</v>
      </c>
      <c r="D6" s="578"/>
      <c r="E6" s="180"/>
      <c r="F6" s="181"/>
    </row>
    <row r="7" spans="2:6" ht="39" customHeight="1" x14ac:dyDescent="0.2">
      <c r="B7" s="150">
        <v>3</v>
      </c>
      <c r="C7" s="578" t="s">
        <v>340</v>
      </c>
      <c r="D7" s="578"/>
      <c r="E7" s="180"/>
      <c r="F7" s="181"/>
    </row>
    <row r="8" spans="2:6" ht="24.75" customHeight="1" x14ac:dyDescent="0.2">
      <c r="B8" s="150">
        <v>4</v>
      </c>
      <c r="C8" s="578" t="s">
        <v>341</v>
      </c>
      <c r="D8" s="578"/>
      <c r="E8" s="180"/>
      <c r="F8" s="181"/>
    </row>
    <row r="9" spans="2:6" ht="23.25" customHeight="1" x14ac:dyDescent="0.2">
      <c r="B9" s="150">
        <v>5</v>
      </c>
      <c r="C9" s="578" t="s">
        <v>342</v>
      </c>
      <c r="D9" s="578"/>
      <c r="E9" s="180"/>
      <c r="F9" s="181"/>
    </row>
    <row r="10" spans="2:6" ht="23.25" customHeight="1" x14ac:dyDescent="0.2">
      <c r="B10" s="150">
        <v>6</v>
      </c>
      <c r="C10" s="578" t="s">
        <v>343</v>
      </c>
      <c r="D10" s="578"/>
      <c r="E10" s="180"/>
      <c r="F10" s="181"/>
    </row>
    <row r="11" spans="2:6" ht="23.25" customHeight="1" x14ac:dyDescent="0.2">
      <c r="B11" s="150">
        <v>7</v>
      </c>
      <c r="C11" s="578" t="s">
        <v>344</v>
      </c>
      <c r="D11" s="578"/>
      <c r="E11" s="180"/>
      <c r="F11" s="181"/>
    </row>
    <row r="12" spans="2:6" ht="25.5" customHeight="1" x14ac:dyDescent="0.2">
      <c r="B12" s="150">
        <v>8</v>
      </c>
      <c r="C12" s="578" t="s">
        <v>345</v>
      </c>
      <c r="D12" s="578"/>
      <c r="E12" s="151"/>
      <c r="F12" s="152"/>
    </row>
    <row r="13" spans="2:6" ht="23.25" customHeight="1" x14ac:dyDescent="0.2">
      <c r="B13" s="150">
        <v>9</v>
      </c>
      <c r="C13" s="578" t="s">
        <v>346</v>
      </c>
      <c r="D13" s="578"/>
      <c r="E13" s="151"/>
      <c r="F13" s="152"/>
    </row>
    <row r="14" spans="2:6" ht="23.25" customHeight="1" x14ac:dyDescent="0.2">
      <c r="B14" s="150">
        <v>10</v>
      </c>
      <c r="C14" s="578" t="s">
        <v>347</v>
      </c>
      <c r="D14" s="578"/>
      <c r="E14" s="151"/>
      <c r="F14" s="152"/>
    </row>
    <row r="15" spans="2:6" ht="23.25" customHeight="1" x14ac:dyDescent="0.2">
      <c r="B15" s="150">
        <v>11</v>
      </c>
      <c r="C15" s="578" t="s">
        <v>348</v>
      </c>
      <c r="D15" s="578"/>
      <c r="E15" s="151"/>
      <c r="F15" s="152"/>
    </row>
    <row r="16" spans="2:6" ht="23.25" customHeight="1" x14ac:dyDescent="0.2">
      <c r="B16" s="150">
        <v>12</v>
      </c>
      <c r="C16" s="578" t="s">
        <v>349</v>
      </c>
      <c r="D16" s="578"/>
      <c r="E16" s="151"/>
      <c r="F16" s="152"/>
    </row>
    <row r="17" spans="2:6" ht="23.25" customHeight="1" x14ac:dyDescent="0.2">
      <c r="B17" s="150">
        <v>13</v>
      </c>
      <c r="C17" s="578" t="s">
        <v>350</v>
      </c>
      <c r="D17" s="578"/>
      <c r="E17" s="151"/>
      <c r="F17" s="152"/>
    </row>
    <row r="18" spans="2:6" ht="23.25" customHeight="1" x14ac:dyDescent="0.2">
      <c r="B18" s="150">
        <v>14</v>
      </c>
      <c r="C18" s="578" t="s">
        <v>351</v>
      </c>
      <c r="D18" s="578"/>
      <c r="E18" s="151"/>
      <c r="F18" s="152"/>
    </row>
    <row r="19" spans="2:6" ht="23.25" customHeight="1" x14ac:dyDescent="0.2">
      <c r="B19" s="150">
        <v>15</v>
      </c>
      <c r="C19" s="578" t="s">
        <v>352</v>
      </c>
      <c r="D19" s="578"/>
      <c r="E19" s="151"/>
      <c r="F19" s="152"/>
    </row>
    <row r="20" spans="2:6" ht="23.25" customHeight="1" x14ac:dyDescent="0.2">
      <c r="B20" s="150">
        <v>16</v>
      </c>
      <c r="C20" s="578" t="s">
        <v>353</v>
      </c>
      <c r="D20" s="578"/>
      <c r="E20" s="151"/>
      <c r="F20" s="152"/>
    </row>
    <row r="21" spans="2:6" ht="23.25" customHeight="1" x14ac:dyDescent="0.2">
      <c r="B21" s="150">
        <v>17</v>
      </c>
      <c r="C21" s="578" t="s">
        <v>354</v>
      </c>
      <c r="D21" s="578"/>
      <c r="E21" s="151"/>
      <c r="F21" s="152"/>
    </row>
    <row r="22" spans="2:6" ht="23.25" customHeight="1" x14ac:dyDescent="0.2">
      <c r="B22" s="150">
        <v>18</v>
      </c>
      <c r="C22" s="592" t="s">
        <v>355</v>
      </c>
      <c r="D22" s="592"/>
      <c r="E22" s="151"/>
      <c r="F22" s="152"/>
    </row>
    <row r="23" spans="2:6" ht="23.25" customHeight="1" thickBot="1" x14ac:dyDescent="0.25">
      <c r="B23" s="150">
        <v>19</v>
      </c>
      <c r="C23" s="578" t="s">
        <v>356</v>
      </c>
      <c r="D23" s="578"/>
      <c r="E23" s="151"/>
      <c r="F23" s="152"/>
    </row>
    <row r="24" spans="2:6" ht="15.75" customHeight="1" thickBot="1" x14ac:dyDescent="0.25">
      <c r="B24" s="593" t="s">
        <v>357</v>
      </c>
      <c r="C24" s="588"/>
      <c r="D24" s="588"/>
      <c r="E24" s="588">
        <f>COUNTIF(E5:E23,"X")</f>
        <v>0</v>
      </c>
      <c r="F24" s="589"/>
    </row>
    <row r="25" spans="2:6" ht="45.75" customHeight="1" x14ac:dyDescent="0.2">
      <c r="B25" s="590" t="s">
        <v>358</v>
      </c>
      <c r="C25" s="590"/>
      <c r="D25" s="590"/>
      <c r="E25" s="590"/>
      <c r="F25" s="590"/>
    </row>
    <row r="26" spans="2:6" ht="9.75" customHeight="1" x14ac:dyDescent="0.2">
      <c r="B26" s="591"/>
      <c r="C26" s="591"/>
      <c r="D26" s="591"/>
      <c r="E26" s="591"/>
      <c r="F26" s="591"/>
    </row>
    <row r="27" spans="2:6" x14ac:dyDescent="0.2">
      <c r="B27" s="255"/>
    </row>
    <row r="28" spans="2:6" x14ac:dyDescent="0.2">
      <c r="B28" s="255"/>
    </row>
    <row r="29" spans="2:6" x14ac:dyDescent="0.2">
      <c r="B29" s="255"/>
    </row>
  </sheetData>
  <mergeCells count="27">
    <mergeCell ref="E24:F24"/>
    <mergeCell ref="B25:F25"/>
    <mergeCell ref="B26:F26"/>
    <mergeCell ref="C19:D19"/>
    <mergeCell ref="C20:D20"/>
    <mergeCell ref="C21:D21"/>
    <mergeCell ref="C22:D22"/>
    <mergeCell ref="C23:D23"/>
    <mergeCell ref="B24:D24"/>
    <mergeCell ref="C18:D18"/>
    <mergeCell ref="C7:D7"/>
    <mergeCell ref="C8:D8"/>
    <mergeCell ref="C9:D9"/>
    <mergeCell ref="C10:D10"/>
    <mergeCell ref="C11:D11"/>
    <mergeCell ref="C12:D12"/>
    <mergeCell ref="C13:D13"/>
    <mergeCell ref="C14:D14"/>
    <mergeCell ref="C15:D15"/>
    <mergeCell ref="C16:D16"/>
    <mergeCell ref="C17:D17"/>
    <mergeCell ref="C6:D6"/>
    <mergeCell ref="B2:F2"/>
    <mergeCell ref="B3:B4"/>
    <mergeCell ref="C3:D4"/>
    <mergeCell ref="E3:F3"/>
    <mergeCell ref="C5:D5"/>
  </mergeCells>
  <dataValidations count="1">
    <dataValidation type="list" allowBlank="1" showInputMessage="1" showErrorMessage="1" sqref="E5:F23" xr:uid="{00000000-0002-0000-0800-000000000000}">
      <formula1>"X"</formula1>
    </dataValidation>
  </dataValidations>
  <printOptions horizontalCentered="1"/>
  <pageMargins left="0.25" right="0.25" top="0.75" bottom="0.75" header="0.3" footer="0.3"/>
  <pageSetup scale="8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11E0E-4360-4EE4-8FCE-3C26F04C9F2C}">
  <sheetPr>
    <tabColor rgb="FF002060"/>
  </sheetPr>
  <dimension ref="A1:JP75"/>
  <sheetViews>
    <sheetView zoomScale="60" zoomScaleNormal="60" zoomScaleSheetLayoutView="50" zoomScalePageLayoutView="60" workbookViewId="0">
      <selection sqref="A1:C4"/>
    </sheetView>
  </sheetViews>
  <sheetFormatPr baseColWidth="10" defaultColWidth="11.5" defaultRowHeight="16" x14ac:dyDescent="0.2"/>
  <cols>
    <col min="1" max="1" width="6.5" style="226" customWidth="1"/>
    <col min="2" max="2" width="16" style="226" customWidth="1"/>
    <col min="3" max="3" width="19.1640625" style="226" customWidth="1"/>
    <col min="4" max="4" width="25.33203125" style="226" customWidth="1"/>
    <col min="5" max="5" width="40.1640625" style="226" customWidth="1"/>
    <col min="6" max="10" width="17.6640625" style="198" customWidth="1"/>
    <col min="11" max="11" width="16" style="198" customWidth="1"/>
    <col min="12" max="12" width="24.33203125" style="198" customWidth="1"/>
    <col min="13" max="14" width="29.5" style="198" customWidth="1"/>
    <col min="15" max="15" width="24.33203125" style="198" customWidth="1"/>
    <col min="16" max="16" width="19.5" style="198" customWidth="1"/>
    <col min="17" max="17" width="20.5" style="198" customWidth="1"/>
    <col min="18" max="18" width="16.6640625" style="227" customWidth="1"/>
    <col min="19" max="19" width="16.6640625" style="198" customWidth="1"/>
    <col min="20" max="20" width="20.5" style="198" customWidth="1"/>
    <col min="21" max="21" width="12.83203125" style="198" customWidth="1"/>
    <col min="22" max="22" width="35.83203125" style="198" hidden="1" customWidth="1"/>
    <col min="23" max="23" width="30.5" style="198" hidden="1" customWidth="1"/>
    <col min="24" max="24" width="17.5" style="198" customWidth="1"/>
    <col min="25" max="25" width="15" style="198" customWidth="1"/>
    <col min="26" max="26" width="16" style="198" customWidth="1"/>
    <col min="27" max="27" width="32.6640625" style="198" customWidth="1"/>
    <col min="28" max="28" width="26.83203125" style="198" hidden="1" customWidth="1"/>
    <col min="29" max="29" width="5.83203125" style="198" customWidth="1"/>
    <col min="30" max="30" width="6.83203125" style="198" customWidth="1"/>
    <col min="31" max="31" width="5" style="198" hidden="1" customWidth="1"/>
    <col min="32" max="32" width="5.5" style="198" customWidth="1"/>
    <col min="33" max="33" width="7.1640625" style="198" customWidth="1"/>
    <col min="34" max="34" width="6.6640625" style="198" customWidth="1"/>
    <col min="35" max="35" width="7.5" style="198" hidden="1" customWidth="1"/>
    <col min="36" max="36" width="8.5" style="198" customWidth="1"/>
    <col min="37" max="41" width="10.83203125" style="198" customWidth="1"/>
    <col min="42" max="42" width="10.83203125" style="225" customWidth="1"/>
    <col min="43" max="43" width="23" style="198" customWidth="1"/>
    <col min="44" max="44" width="18.83203125" style="198" customWidth="1"/>
    <col min="45" max="45" width="21.5" style="198" customWidth="1"/>
    <col min="46" max="46" width="22.5" style="198" customWidth="1"/>
    <col min="47" max="47" width="16.5" style="198" customWidth="1"/>
    <col min="48" max="48" width="20.5" style="198" customWidth="1"/>
    <col min="49" max="16384" width="11.5" style="198"/>
  </cols>
  <sheetData>
    <row r="1" spans="1:276" s="202" customFormat="1" ht="24" customHeight="1" x14ac:dyDescent="0.2">
      <c r="A1" s="418"/>
      <c r="B1" s="419"/>
      <c r="C1" s="420"/>
      <c r="D1" s="427" t="s">
        <v>208</v>
      </c>
      <c r="E1" s="427"/>
      <c r="F1" s="393"/>
      <c r="G1" s="393"/>
      <c r="H1" s="393"/>
      <c r="I1" s="393"/>
      <c r="J1" s="393"/>
      <c r="K1" s="393"/>
      <c r="L1" s="393"/>
      <c r="M1" s="393"/>
      <c r="N1" s="393"/>
      <c r="O1" s="393"/>
      <c r="P1" s="393"/>
      <c r="Q1" s="393"/>
      <c r="R1" s="393"/>
      <c r="S1" s="393"/>
      <c r="T1" s="393"/>
      <c r="U1" s="393"/>
      <c r="V1" s="393"/>
      <c r="W1" s="393"/>
      <c r="X1" s="393"/>
      <c r="Y1" s="393"/>
      <c r="Z1" s="428"/>
      <c r="AA1" s="200"/>
      <c r="AB1" s="392" t="s">
        <v>208</v>
      </c>
      <c r="AC1" s="393"/>
      <c r="AD1" s="393"/>
      <c r="AE1" s="393"/>
      <c r="AF1" s="393"/>
      <c r="AG1" s="393"/>
      <c r="AH1" s="393"/>
      <c r="AI1" s="393"/>
      <c r="AJ1" s="393"/>
      <c r="AK1" s="393"/>
      <c r="AL1" s="393"/>
      <c r="AM1" s="393"/>
      <c r="AN1" s="393"/>
      <c r="AO1" s="393"/>
      <c r="AP1" s="393"/>
      <c r="AQ1" s="393"/>
      <c r="AR1" s="393"/>
      <c r="AS1" s="393"/>
      <c r="AT1" s="393"/>
      <c r="AU1" s="393"/>
      <c r="AV1" s="393"/>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1"/>
    </row>
    <row r="2" spans="1:276" s="202" customFormat="1" ht="24" customHeight="1" thickBot="1" x14ac:dyDescent="0.25">
      <c r="A2" s="421"/>
      <c r="B2" s="422"/>
      <c r="C2" s="423"/>
      <c r="D2" s="429"/>
      <c r="E2" s="429"/>
      <c r="F2" s="395"/>
      <c r="G2" s="395"/>
      <c r="H2" s="395"/>
      <c r="I2" s="395"/>
      <c r="J2" s="395"/>
      <c r="K2" s="395"/>
      <c r="L2" s="395"/>
      <c r="M2" s="395"/>
      <c r="N2" s="395"/>
      <c r="O2" s="395"/>
      <c r="P2" s="395"/>
      <c r="Q2" s="395"/>
      <c r="R2" s="395"/>
      <c r="S2" s="395"/>
      <c r="T2" s="395"/>
      <c r="U2" s="395"/>
      <c r="V2" s="395"/>
      <c r="W2" s="395"/>
      <c r="X2" s="395"/>
      <c r="Y2" s="395"/>
      <c r="Z2" s="430"/>
      <c r="AA2" s="200"/>
      <c r="AB2" s="394"/>
      <c r="AC2" s="395"/>
      <c r="AD2" s="395"/>
      <c r="AE2" s="395"/>
      <c r="AF2" s="395"/>
      <c r="AG2" s="395"/>
      <c r="AH2" s="395"/>
      <c r="AI2" s="395"/>
      <c r="AJ2" s="395"/>
      <c r="AK2" s="395"/>
      <c r="AL2" s="395"/>
      <c r="AM2" s="395"/>
      <c r="AN2" s="395"/>
      <c r="AO2" s="395"/>
      <c r="AP2" s="395"/>
      <c r="AQ2" s="395"/>
      <c r="AR2" s="395"/>
      <c r="AS2" s="395"/>
      <c r="AT2" s="395"/>
      <c r="AU2" s="395"/>
      <c r="AV2" s="395"/>
      <c r="AW2" s="201"/>
      <c r="AX2" s="201"/>
      <c r="AY2" s="201"/>
      <c r="AZ2" s="201"/>
      <c r="BA2" s="201"/>
      <c r="BB2" s="201"/>
      <c r="BC2" s="201"/>
      <c r="BD2" s="201"/>
      <c r="BE2" s="201"/>
      <c r="BF2" s="201"/>
      <c r="BG2" s="201"/>
      <c r="BH2" s="201"/>
      <c r="BI2" s="201"/>
      <c r="BJ2" s="201"/>
      <c r="BK2" s="201"/>
      <c r="BL2" s="201"/>
      <c r="BM2" s="201"/>
      <c r="BN2" s="201"/>
      <c r="BO2" s="201"/>
      <c r="BP2" s="201"/>
      <c r="BQ2" s="201"/>
      <c r="BR2" s="201"/>
      <c r="BS2" s="201"/>
      <c r="BT2" s="201"/>
    </row>
    <row r="3" spans="1:276" s="202" customFormat="1" ht="24" customHeight="1" x14ac:dyDescent="0.2">
      <c r="A3" s="421"/>
      <c r="B3" s="422"/>
      <c r="C3" s="423"/>
      <c r="D3" s="431" t="s">
        <v>209</v>
      </c>
      <c r="E3" s="431"/>
      <c r="F3" s="432"/>
      <c r="G3" s="432"/>
      <c r="H3" s="432"/>
      <c r="I3" s="432"/>
      <c r="J3" s="432"/>
      <c r="K3" s="432"/>
      <c r="L3" s="432"/>
      <c r="M3" s="432"/>
      <c r="N3" s="432"/>
      <c r="O3" s="432"/>
      <c r="P3" s="432"/>
      <c r="Q3" s="432"/>
      <c r="R3" s="432"/>
      <c r="S3" s="433" t="s">
        <v>210</v>
      </c>
      <c r="T3" s="433"/>
      <c r="U3" s="433"/>
      <c r="V3" s="433"/>
      <c r="W3" s="433"/>
      <c r="X3" s="433"/>
      <c r="Y3" s="433"/>
      <c r="Z3" s="434"/>
      <c r="AA3" s="200"/>
      <c r="AB3" s="396" t="s">
        <v>211</v>
      </c>
      <c r="AC3" s="397"/>
      <c r="AD3" s="397"/>
      <c r="AE3" s="397"/>
      <c r="AF3" s="397"/>
      <c r="AG3" s="397"/>
      <c r="AH3" s="397"/>
      <c r="AI3" s="397"/>
      <c r="AJ3" s="397"/>
      <c r="AK3" s="397"/>
      <c r="AL3" s="397"/>
      <c r="AM3" s="397"/>
      <c r="AN3" s="397"/>
      <c r="AO3" s="397"/>
      <c r="AP3" s="397"/>
      <c r="AQ3" s="397" t="s">
        <v>212</v>
      </c>
      <c r="AR3" s="397"/>
      <c r="AS3" s="397"/>
      <c r="AT3" s="397"/>
      <c r="AU3" s="397"/>
      <c r="AV3" s="397"/>
      <c r="AW3" s="201"/>
      <c r="AX3" s="201"/>
      <c r="AY3" s="201"/>
      <c r="AZ3" s="201"/>
      <c r="BA3" s="201"/>
      <c r="BB3" s="201"/>
      <c r="BC3" s="201"/>
      <c r="BD3" s="201"/>
      <c r="BE3" s="201"/>
      <c r="BF3" s="201"/>
      <c r="BG3" s="201"/>
      <c r="BH3" s="201"/>
      <c r="BI3" s="201"/>
      <c r="BJ3" s="201"/>
      <c r="BK3" s="201"/>
      <c r="BL3" s="201"/>
      <c r="BM3" s="201"/>
      <c r="BN3" s="201"/>
      <c r="BO3" s="201"/>
      <c r="BP3" s="201"/>
      <c r="BQ3" s="201"/>
      <c r="BR3" s="201"/>
      <c r="BS3" s="201"/>
      <c r="BT3" s="201"/>
    </row>
    <row r="4" spans="1:276" s="202" customFormat="1" ht="24" customHeight="1" thickBot="1" x14ac:dyDescent="0.25">
      <c r="A4" s="424"/>
      <c r="B4" s="425"/>
      <c r="C4" s="426"/>
      <c r="D4" s="435" t="s">
        <v>213</v>
      </c>
      <c r="E4" s="435"/>
      <c r="F4" s="399"/>
      <c r="G4" s="399"/>
      <c r="H4" s="399"/>
      <c r="I4" s="399"/>
      <c r="J4" s="399"/>
      <c r="K4" s="399"/>
      <c r="L4" s="399"/>
      <c r="M4" s="399"/>
      <c r="N4" s="399"/>
      <c r="O4" s="399"/>
      <c r="P4" s="399"/>
      <c r="Q4" s="399"/>
      <c r="R4" s="399"/>
      <c r="S4" s="399"/>
      <c r="T4" s="399"/>
      <c r="U4" s="399"/>
      <c r="V4" s="399"/>
      <c r="W4" s="399"/>
      <c r="X4" s="399"/>
      <c r="Y4" s="399"/>
      <c r="Z4" s="436"/>
      <c r="AA4" s="200"/>
      <c r="AB4" s="398" t="s">
        <v>214</v>
      </c>
      <c r="AC4" s="399"/>
      <c r="AD4" s="399"/>
      <c r="AE4" s="399"/>
      <c r="AF4" s="399"/>
      <c r="AG4" s="399"/>
      <c r="AH4" s="399"/>
      <c r="AI4" s="399"/>
      <c r="AJ4" s="399"/>
      <c r="AK4" s="399"/>
      <c r="AL4" s="399"/>
      <c r="AM4" s="399"/>
      <c r="AN4" s="399"/>
      <c r="AO4" s="399"/>
      <c r="AP4" s="399"/>
      <c r="AQ4" s="399"/>
      <c r="AR4" s="399"/>
      <c r="AS4" s="399"/>
      <c r="AT4" s="399"/>
      <c r="AU4" s="399"/>
      <c r="AV4" s="399"/>
      <c r="AW4" s="201"/>
      <c r="AX4" s="201"/>
      <c r="AY4" s="201"/>
      <c r="AZ4" s="201"/>
      <c r="BA4" s="201"/>
      <c r="BB4" s="201"/>
      <c r="BC4" s="201"/>
      <c r="BD4" s="201"/>
      <c r="BE4" s="201"/>
      <c r="BF4" s="201"/>
      <c r="BG4" s="201"/>
      <c r="BH4" s="201"/>
      <c r="BI4" s="201"/>
      <c r="BJ4" s="201"/>
      <c r="BK4" s="201"/>
      <c r="BL4" s="201"/>
      <c r="BM4" s="201"/>
      <c r="BN4" s="201"/>
      <c r="BO4" s="201"/>
      <c r="BP4" s="201"/>
      <c r="BQ4" s="201"/>
      <c r="BR4" s="201"/>
      <c r="BS4" s="201"/>
      <c r="BT4" s="201"/>
    </row>
    <row r="5" spans="1:276" ht="17" thickBot="1" x14ac:dyDescent="0.25">
      <c r="A5" s="203"/>
      <c r="B5" s="204"/>
      <c r="C5" s="203"/>
      <c r="D5" s="203"/>
      <c r="E5" s="203"/>
      <c r="F5" s="205"/>
      <c r="G5" s="205"/>
      <c r="H5" s="205"/>
      <c r="I5" s="205"/>
      <c r="J5" s="205"/>
      <c r="K5" s="205"/>
      <c r="L5" s="205"/>
      <c r="M5" s="205"/>
      <c r="N5" s="205"/>
      <c r="O5" s="205"/>
      <c r="P5" s="205"/>
      <c r="Q5" s="205"/>
      <c r="R5" s="206"/>
      <c r="S5" s="205"/>
      <c r="T5" s="205"/>
      <c r="U5" s="205"/>
      <c r="V5" s="205"/>
      <c r="W5" s="205"/>
      <c r="X5" s="205"/>
      <c r="Y5" s="205"/>
      <c r="Z5" s="205"/>
      <c r="AA5" s="205"/>
      <c r="AB5" s="205"/>
      <c r="AC5" s="205"/>
      <c r="AD5" s="205"/>
      <c r="AE5" s="205"/>
      <c r="AF5" s="205"/>
      <c r="AG5" s="205"/>
      <c r="AH5" s="205"/>
      <c r="AI5" s="205"/>
      <c r="AJ5" s="205"/>
      <c r="AK5" s="205"/>
      <c r="AL5" s="205"/>
      <c r="AM5" s="205"/>
      <c r="AN5" s="205"/>
      <c r="AO5" s="205"/>
      <c r="AP5" s="207"/>
      <c r="AQ5" s="205"/>
      <c r="AR5" s="205"/>
      <c r="AS5" s="205"/>
      <c r="AT5" s="205"/>
      <c r="AU5" s="205"/>
      <c r="AV5" s="205"/>
      <c r="AW5" s="205"/>
      <c r="AX5" s="205"/>
      <c r="AY5" s="205"/>
      <c r="AZ5" s="205"/>
      <c r="BA5" s="205"/>
      <c r="BB5" s="205"/>
      <c r="BC5" s="205"/>
      <c r="BD5" s="205"/>
      <c r="BE5" s="205"/>
      <c r="BF5" s="205"/>
      <c r="BG5" s="205"/>
      <c r="BH5" s="205"/>
      <c r="BI5" s="205"/>
      <c r="BJ5" s="205"/>
      <c r="BK5" s="205"/>
      <c r="BL5" s="205"/>
      <c r="BM5" s="205"/>
      <c r="BN5" s="205"/>
      <c r="BO5" s="205"/>
      <c r="BP5" s="205"/>
      <c r="BQ5" s="205"/>
      <c r="BR5" s="205"/>
      <c r="BS5" s="205"/>
      <c r="BT5" s="205"/>
    </row>
    <row r="6" spans="1:276" ht="27.75" customHeight="1" x14ac:dyDescent="0.2">
      <c r="A6" s="400" t="s">
        <v>215</v>
      </c>
      <c r="B6" s="401"/>
      <c r="C6" s="575"/>
      <c r="D6" s="576"/>
      <c r="E6" s="576"/>
      <c r="F6" s="576"/>
      <c r="G6" s="576"/>
      <c r="H6" s="576"/>
      <c r="I6" s="576"/>
      <c r="J6" s="576"/>
      <c r="K6" s="576"/>
      <c r="L6" s="576"/>
      <c r="M6" s="576"/>
      <c r="N6" s="576"/>
      <c r="O6" s="576"/>
      <c r="P6" s="576"/>
      <c r="Q6" s="576"/>
      <c r="R6" s="576"/>
      <c r="S6" s="576"/>
      <c r="T6" s="576"/>
      <c r="U6" s="576"/>
      <c r="V6" s="576"/>
      <c r="W6" s="576"/>
      <c r="X6" s="576"/>
      <c r="Y6" s="576"/>
      <c r="Z6" s="577"/>
      <c r="AA6" s="409" t="s">
        <v>215</v>
      </c>
      <c r="AB6" s="410"/>
      <c r="AC6" s="411"/>
      <c r="AD6" s="386">
        <f>C6</f>
        <v>0</v>
      </c>
      <c r="AE6" s="387"/>
      <c r="AF6" s="387"/>
      <c r="AG6" s="387"/>
      <c r="AH6" s="387"/>
      <c r="AI6" s="387"/>
      <c r="AJ6" s="387"/>
      <c r="AK6" s="387"/>
      <c r="AL6" s="387"/>
      <c r="AM6" s="387"/>
      <c r="AN6" s="387"/>
      <c r="AO6" s="387"/>
      <c r="AP6" s="387"/>
      <c r="AQ6" s="387"/>
      <c r="AR6" s="387"/>
      <c r="AS6" s="387"/>
      <c r="AT6" s="387"/>
      <c r="AU6" s="387"/>
      <c r="AV6" s="387"/>
      <c r="AW6" s="205"/>
      <c r="AX6" s="205"/>
      <c r="AY6" s="205"/>
      <c r="AZ6" s="205"/>
      <c r="BA6" s="205"/>
      <c r="BB6" s="205"/>
      <c r="BC6" s="205"/>
      <c r="BD6" s="205"/>
      <c r="BE6" s="205"/>
      <c r="BF6" s="205"/>
      <c r="BG6" s="205"/>
      <c r="BH6" s="205"/>
      <c r="BI6" s="205"/>
      <c r="BJ6" s="205"/>
      <c r="BK6" s="205"/>
      <c r="BL6" s="205"/>
      <c r="BM6" s="205"/>
      <c r="BN6" s="205"/>
      <c r="BO6" s="205"/>
      <c r="BP6" s="205"/>
      <c r="BQ6" s="205"/>
      <c r="BR6" s="205"/>
      <c r="BS6" s="205"/>
      <c r="BT6" s="205"/>
    </row>
    <row r="7" spans="1:276" ht="36.75" customHeight="1" x14ac:dyDescent="0.2">
      <c r="A7" s="402" t="s">
        <v>216</v>
      </c>
      <c r="B7" s="403"/>
      <c r="C7" s="412"/>
      <c r="D7" s="413"/>
      <c r="E7" s="413"/>
      <c r="F7" s="413"/>
      <c r="G7" s="413"/>
      <c r="H7" s="413"/>
      <c r="I7" s="413"/>
      <c r="J7" s="413"/>
      <c r="K7" s="413"/>
      <c r="L7" s="413"/>
      <c r="M7" s="413"/>
      <c r="N7" s="413"/>
      <c r="O7" s="413"/>
      <c r="P7" s="413"/>
      <c r="Q7" s="413"/>
      <c r="R7" s="413"/>
      <c r="S7" s="413"/>
      <c r="T7" s="413"/>
      <c r="U7" s="413"/>
      <c r="V7" s="413"/>
      <c r="W7" s="413"/>
      <c r="X7" s="413"/>
      <c r="Y7" s="413"/>
      <c r="Z7" s="414"/>
      <c r="AA7" s="208" t="s">
        <v>216</v>
      </c>
      <c r="AB7" s="209"/>
      <c r="AC7" s="210"/>
      <c r="AD7" s="388">
        <f>C7</f>
        <v>0</v>
      </c>
      <c r="AE7" s="389"/>
      <c r="AF7" s="389"/>
      <c r="AG7" s="389"/>
      <c r="AH7" s="389"/>
      <c r="AI7" s="389"/>
      <c r="AJ7" s="389"/>
      <c r="AK7" s="389"/>
      <c r="AL7" s="389"/>
      <c r="AM7" s="389"/>
      <c r="AN7" s="389"/>
      <c r="AO7" s="389"/>
      <c r="AP7" s="389"/>
      <c r="AQ7" s="389"/>
      <c r="AR7" s="389"/>
      <c r="AS7" s="389"/>
      <c r="AT7" s="389"/>
      <c r="AU7" s="389"/>
      <c r="AV7" s="389"/>
      <c r="AW7" s="205"/>
      <c r="AX7" s="205"/>
      <c r="AY7" s="205"/>
      <c r="AZ7" s="205"/>
      <c r="BA7" s="205"/>
      <c r="BB7" s="205"/>
      <c r="BC7" s="205"/>
      <c r="BD7" s="205"/>
      <c r="BE7" s="205"/>
      <c r="BF7" s="205"/>
      <c r="BG7" s="205"/>
      <c r="BH7" s="205"/>
      <c r="BI7" s="205"/>
      <c r="BJ7" s="205"/>
      <c r="BK7" s="205"/>
      <c r="BL7" s="205"/>
      <c r="BM7" s="205"/>
      <c r="BN7" s="205"/>
      <c r="BO7" s="205"/>
      <c r="BP7" s="205"/>
      <c r="BQ7" s="205"/>
      <c r="BR7" s="205"/>
      <c r="BS7" s="205"/>
      <c r="BT7" s="205"/>
    </row>
    <row r="8" spans="1:276" ht="30" customHeight="1" thickBot="1" x14ac:dyDescent="0.25">
      <c r="A8" s="404" t="s">
        <v>218</v>
      </c>
      <c r="B8" s="405"/>
      <c r="C8" s="415"/>
      <c r="D8" s="416"/>
      <c r="E8" s="416"/>
      <c r="F8" s="416"/>
      <c r="G8" s="416"/>
      <c r="H8" s="416"/>
      <c r="I8" s="416"/>
      <c r="J8" s="416"/>
      <c r="K8" s="416"/>
      <c r="L8" s="416"/>
      <c r="M8" s="416"/>
      <c r="N8" s="416"/>
      <c r="O8" s="416"/>
      <c r="P8" s="416"/>
      <c r="Q8" s="416"/>
      <c r="R8" s="416"/>
      <c r="S8" s="416"/>
      <c r="T8" s="416"/>
      <c r="U8" s="416"/>
      <c r="V8" s="416"/>
      <c r="W8" s="416"/>
      <c r="X8" s="416"/>
      <c r="Y8" s="416"/>
      <c r="Z8" s="417"/>
      <c r="AA8" s="211" t="s">
        <v>218</v>
      </c>
      <c r="AB8" s="212"/>
      <c r="AC8" s="213"/>
      <c r="AD8" s="390">
        <f>C8</f>
        <v>0</v>
      </c>
      <c r="AE8" s="391"/>
      <c r="AF8" s="391"/>
      <c r="AG8" s="391"/>
      <c r="AH8" s="391"/>
      <c r="AI8" s="391"/>
      <c r="AJ8" s="391"/>
      <c r="AK8" s="391"/>
      <c r="AL8" s="391"/>
      <c r="AM8" s="391"/>
      <c r="AN8" s="391"/>
      <c r="AO8" s="391"/>
      <c r="AP8" s="391"/>
      <c r="AQ8" s="391"/>
      <c r="AR8" s="391"/>
      <c r="AS8" s="391"/>
      <c r="AT8" s="391"/>
      <c r="AU8" s="391"/>
      <c r="AV8" s="391"/>
      <c r="AW8" s="205"/>
      <c r="AX8" s="205"/>
      <c r="AY8" s="205"/>
      <c r="AZ8" s="205"/>
      <c r="BA8" s="205"/>
      <c r="BB8" s="205"/>
      <c r="BC8" s="205"/>
      <c r="BD8" s="205"/>
      <c r="BE8" s="205"/>
      <c r="BF8" s="205"/>
      <c r="BG8" s="205"/>
      <c r="BH8" s="205"/>
      <c r="BI8" s="205"/>
      <c r="BJ8" s="205"/>
      <c r="BK8" s="205"/>
      <c r="BL8" s="205"/>
      <c r="BM8" s="205"/>
      <c r="BN8" s="205"/>
      <c r="BO8" s="205"/>
      <c r="BP8" s="205"/>
      <c r="BQ8" s="205"/>
      <c r="BR8" s="205"/>
      <c r="BS8" s="205"/>
      <c r="BT8" s="205"/>
    </row>
    <row r="9" spans="1:276" ht="12" customHeight="1" x14ac:dyDescent="0.2">
      <c r="A9" s="214"/>
      <c r="B9" s="214"/>
      <c r="C9" s="215"/>
      <c r="D9" s="215"/>
      <c r="E9" s="215"/>
      <c r="F9" s="215"/>
      <c r="G9" s="215"/>
      <c r="H9" s="215"/>
      <c r="I9" s="215"/>
      <c r="J9" s="215"/>
      <c r="K9" s="215"/>
      <c r="L9" s="215"/>
      <c r="M9" s="215"/>
      <c r="N9" s="215"/>
      <c r="O9" s="215"/>
      <c r="P9" s="215"/>
      <c r="Q9" s="215"/>
      <c r="R9" s="215"/>
      <c r="S9" s="215"/>
      <c r="T9" s="215"/>
      <c r="U9" s="215"/>
      <c r="V9" s="215"/>
      <c r="W9" s="215"/>
      <c r="X9" s="215"/>
      <c r="Y9" s="215"/>
      <c r="Z9" s="215"/>
      <c r="AA9" s="216"/>
      <c r="AB9" s="216"/>
      <c r="AC9" s="216"/>
      <c r="AD9" s="217"/>
      <c r="AE9" s="217"/>
      <c r="AF9" s="217"/>
      <c r="AG9" s="217"/>
      <c r="AH9" s="217"/>
      <c r="AI9" s="217"/>
      <c r="AJ9" s="217"/>
      <c r="AK9" s="217"/>
      <c r="AL9" s="217"/>
      <c r="AM9" s="217"/>
      <c r="AN9" s="217"/>
      <c r="AO9" s="217"/>
      <c r="AP9" s="217"/>
      <c r="AQ9" s="217"/>
      <c r="AR9" s="217"/>
      <c r="AS9" s="217"/>
      <c r="AT9" s="217"/>
      <c r="AU9" s="217"/>
      <c r="AV9" s="217"/>
    </row>
    <row r="10" spans="1:276" ht="39" customHeight="1" x14ac:dyDescent="0.2">
      <c r="A10" s="375" t="s">
        <v>220</v>
      </c>
      <c r="B10" s="376"/>
      <c r="C10" s="376"/>
      <c r="D10" s="376"/>
      <c r="E10" s="376"/>
      <c r="F10" s="376"/>
      <c r="G10" s="376"/>
      <c r="H10" s="376"/>
      <c r="I10" s="376"/>
      <c r="J10" s="377"/>
      <c r="K10" s="354" t="s">
        <v>221</v>
      </c>
      <c r="L10" s="355"/>
      <c r="M10" s="355"/>
      <c r="N10" s="355"/>
      <c r="O10" s="356"/>
      <c r="P10" s="597" t="s">
        <v>222</v>
      </c>
      <c r="Q10" s="598"/>
      <c r="R10" s="232"/>
      <c r="S10" s="232"/>
      <c r="T10" s="345" t="s">
        <v>223</v>
      </c>
      <c r="U10" s="345"/>
      <c r="V10" s="345"/>
      <c r="W10" s="345"/>
      <c r="X10" s="345"/>
      <c r="Y10" s="345"/>
      <c r="Z10" s="345"/>
      <c r="AA10" s="345" t="s">
        <v>224</v>
      </c>
      <c r="AB10" s="345"/>
      <c r="AC10" s="345"/>
      <c r="AD10" s="345"/>
      <c r="AE10" s="345"/>
      <c r="AF10" s="345"/>
      <c r="AG10" s="345"/>
      <c r="AH10" s="345"/>
      <c r="AI10" s="345"/>
      <c r="AJ10" s="333" t="s">
        <v>225</v>
      </c>
      <c r="AK10" s="334"/>
      <c r="AL10" s="334"/>
      <c r="AM10" s="334"/>
      <c r="AN10" s="335"/>
      <c r="AO10" s="333" t="s">
        <v>226</v>
      </c>
      <c r="AP10" s="334"/>
      <c r="AQ10" s="334"/>
      <c r="AR10" s="334"/>
      <c r="AS10" s="335"/>
      <c r="AT10" s="333" t="s">
        <v>227</v>
      </c>
      <c r="AU10" s="334"/>
      <c r="AV10" s="335"/>
      <c r="AW10" s="205"/>
      <c r="AX10" s="205"/>
      <c r="AY10" s="205"/>
      <c r="AZ10" s="205"/>
      <c r="BA10" s="205"/>
      <c r="BB10" s="205"/>
      <c r="BC10" s="205"/>
      <c r="BD10" s="205"/>
      <c r="BE10" s="205"/>
      <c r="BF10" s="205"/>
      <c r="BG10" s="205"/>
      <c r="BH10" s="205"/>
      <c r="BI10" s="205"/>
      <c r="BJ10" s="205"/>
      <c r="BK10" s="205"/>
      <c r="BL10" s="205"/>
      <c r="BM10" s="205"/>
      <c r="BN10" s="205"/>
      <c r="BO10" s="205"/>
      <c r="BP10" s="205"/>
      <c r="BQ10" s="205"/>
      <c r="BR10" s="205"/>
      <c r="BS10" s="205"/>
      <c r="BT10" s="205"/>
    </row>
    <row r="11" spans="1:276" ht="26.25" customHeight="1" x14ac:dyDescent="0.2">
      <c r="A11" s="380" t="s">
        <v>228</v>
      </c>
      <c r="B11" s="364" t="s">
        <v>15</v>
      </c>
      <c r="C11" s="378" t="s">
        <v>17</v>
      </c>
      <c r="D11" s="378" t="s">
        <v>19</v>
      </c>
      <c r="E11" s="364" t="s">
        <v>21</v>
      </c>
      <c r="F11" s="378" t="s">
        <v>23</v>
      </c>
      <c r="G11" s="594" t="s">
        <v>359</v>
      </c>
      <c r="H11" s="596" t="s">
        <v>360</v>
      </c>
      <c r="I11" s="596" t="s">
        <v>361</v>
      </c>
      <c r="J11" s="596" t="s">
        <v>362</v>
      </c>
      <c r="K11" s="366" t="s">
        <v>124</v>
      </c>
      <c r="L11" s="366" t="s">
        <v>330</v>
      </c>
      <c r="M11" s="366" t="s">
        <v>230</v>
      </c>
      <c r="N11" s="366" t="s">
        <v>231</v>
      </c>
      <c r="O11" s="366" t="s">
        <v>232</v>
      </c>
      <c r="P11" s="259"/>
      <c r="Q11" s="259"/>
      <c r="R11" s="329" t="s">
        <v>233</v>
      </c>
      <c r="S11" s="329" t="s">
        <v>234</v>
      </c>
      <c r="T11" s="363" t="s">
        <v>235</v>
      </c>
      <c r="U11" s="329" t="s">
        <v>236</v>
      </c>
      <c r="V11" s="329" t="s">
        <v>237</v>
      </c>
      <c r="W11" s="329" t="s">
        <v>238</v>
      </c>
      <c r="X11" s="363" t="s">
        <v>235</v>
      </c>
      <c r="Y11" s="329" t="s">
        <v>29</v>
      </c>
      <c r="Z11" s="343" t="s">
        <v>239</v>
      </c>
      <c r="AA11" s="329" t="s">
        <v>31</v>
      </c>
      <c r="AB11" s="329" t="s">
        <v>33</v>
      </c>
      <c r="AC11" s="329" t="s">
        <v>240</v>
      </c>
      <c r="AD11" s="329"/>
      <c r="AE11" s="329"/>
      <c r="AF11" s="329"/>
      <c r="AG11" s="329"/>
      <c r="AH11" s="329"/>
      <c r="AI11" s="343" t="s">
        <v>241</v>
      </c>
      <c r="AJ11" s="343" t="s">
        <v>242</v>
      </c>
      <c r="AK11" s="343" t="s">
        <v>235</v>
      </c>
      <c r="AL11" s="343" t="s">
        <v>243</v>
      </c>
      <c r="AM11" s="343" t="s">
        <v>235</v>
      </c>
      <c r="AN11" s="343" t="s">
        <v>244</v>
      </c>
      <c r="AO11" s="343" t="s">
        <v>49</v>
      </c>
      <c r="AP11" s="329" t="s">
        <v>245</v>
      </c>
      <c r="AQ11" s="329" t="s">
        <v>246</v>
      </c>
      <c r="AR11" s="329" t="s">
        <v>247</v>
      </c>
      <c r="AS11" s="329" t="s">
        <v>248</v>
      </c>
      <c r="AT11" s="329" t="s">
        <v>249</v>
      </c>
      <c r="AU11" s="329" t="s">
        <v>250</v>
      </c>
      <c r="AV11" s="329" t="s">
        <v>251</v>
      </c>
      <c r="AW11" s="205"/>
      <c r="AX11" s="205"/>
      <c r="AY11" s="205"/>
      <c r="AZ11" s="205"/>
      <c r="BA11" s="205"/>
      <c r="BB11" s="205"/>
      <c r="BC11" s="205"/>
      <c r="BD11" s="205"/>
      <c r="BE11" s="205"/>
      <c r="BF11" s="205"/>
      <c r="BG11" s="205"/>
      <c r="BH11" s="205"/>
      <c r="BI11" s="205"/>
      <c r="BJ11" s="205"/>
      <c r="BK11" s="205"/>
      <c r="BL11" s="205"/>
      <c r="BM11" s="205"/>
      <c r="BN11" s="205"/>
      <c r="BO11" s="205"/>
      <c r="BP11" s="205"/>
      <c r="BQ11" s="205"/>
      <c r="BR11" s="205"/>
      <c r="BS11" s="205"/>
    </row>
    <row r="12" spans="1:276" s="221" customFormat="1" ht="73.5" customHeight="1" x14ac:dyDescent="0.2">
      <c r="A12" s="380"/>
      <c r="B12" s="364"/>
      <c r="C12" s="378"/>
      <c r="D12" s="378"/>
      <c r="E12" s="364"/>
      <c r="F12" s="378"/>
      <c r="G12" s="595"/>
      <c r="H12" s="596"/>
      <c r="I12" s="596"/>
      <c r="J12" s="596"/>
      <c r="K12" s="367"/>
      <c r="L12" s="367"/>
      <c r="M12" s="367"/>
      <c r="N12" s="367"/>
      <c r="O12" s="367"/>
      <c r="P12" s="258" t="s">
        <v>125</v>
      </c>
      <c r="Q12" s="258" t="s">
        <v>252</v>
      </c>
      <c r="R12" s="329"/>
      <c r="S12" s="329"/>
      <c r="T12" s="363"/>
      <c r="U12" s="329"/>
      <c r="V12" s="329"/>
      <c r="W12" s="363"/>
      <c r="X12" s="363"/>
      <c r="Y12" s="329"/>
      <c r="Z12" s="343"/>
      <c r="AA12" s="329"/>
      <c r="AB12" s="329"/>
      <c r="AC12" s="218" t="s">
        <v>253</v>
      </c>
      <c r="AD12" s="218" t="s">
        <v>254</v>
      </c>
      <c r="AE12" s="218" t="s">
        <v>255</v>
      </c>
      <c r="AF12" s="218" t="s">
        <v>256</v>
      </c>
      <c r="AG12" s="218" t="s">
        <v>257</v>
      </c>
      <c r="AH12" s="218" t="s">
        <v>258</v>
      </c>
      <c r="AI12" s="343"/>
      <c r="AJ12" s="343"/>
      <c r="AK12" s="343"/>
      <c r="AL12" s="343"/>
      <c r="AM12" s="343"/>
      <c r="AN12" s="343"/>
      <c r="AO12" s="343"/>
      <c r="AP12" s="329"/>
      <c r="AQ12" s="329"/>
      <c r="AR12" s="329"/>
      <c r="AS12" s="329"/>
      <c r="AT12" s="329"/>
      <c r="AU12" s="329"/>
      <c r="AV12" s="329"/>
      <c r="AW12" s="219"/>
      <c r="AX12" s="219"/>
      <c r="AY12" s="219"/>
      <c r="AZ12" s="219"/>
      <c r="BA12" s="219"/>
      <c r="BB12" s="219"/>
      <c r="BC12" s="219"/>
      <c r="BD12" s="219"/>
      <c r="BE12" s="219"/>
      <c r="BF12" s="219"/>
      <c r="BG12" s="219"/>
      <c r="BH12" s="219"/>
      <c r="BI12" s="219"/>
      <c r="BJ12" s="219"/>
      <c r="BK12" s="219"/>
      <c r="BL12" s="219"/>
      <c r="BM12" s="219"/>
      <c r="BN12" s="219"/>
      <c r="BO12" s="219"/>
      <c r="BP12" s="219"/>
      <c r="BQ12" s="219"/>
      <c r="BR12" s="219"/>
      <c r="BS12" s="219"/>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220"/>
      <c r="CY12" s="220"/>
      <c r="CZ12" s="220"/>
      <c r="DA12" s="220"/>
      <c r="DB12" s="220"/>
      <c r="DC12" s="220"/>
      <c r="DD12" s="220"/>
      <c r="DE12" s="220"/>
      <c r="DF12" s="220"/>
      <c r="DG12" s="220"/>
      <c r="DH12" s="220"/>
      <c r="DI12" s="220"/>
      <c r="DJ12" s="220"/>
      <c r="DK12" s="220"/>
      <c r="DL12" s="220"/>
      <c r="DM12" s="220"/>
      <c r="DN12" s="220"/>
      <c r="DO12" s="220"/>
      <c r="DP12" s="220"/>
      <c r="DQ12" s="220"/>
      <c r="DR12" s="220"/>
      <c r="DS12" s="220"/>
      <c r="DT12" s="220"/>
      <c r="DU12" s="220"/>
      <c r="DV12" s="220"/>
      <c r="DW12" s="220"/>
      <c r="DX12" s="220"/>
      <c r="DY12" s="220"/>
      <c r="DZ12" s="220"/>
      <c r="EA12" s="220"/>
      <c r="EB12" s="220"/>
      <c r="EC12" s="220"/>
      <c r="ED12" s="220"/>
      <c r="EE12" s="220"/>
      <c r="EF12" s="220"/>
      <c r="EG12" s="220"/>
      <c r="EH12" s="220"/>
      <c r="EI12" s="220"/>
      <c r="EJ12" s="220"/>
      <c r="EK12" s="220"/>
      <c r="EL12" s="220"/>
      <c r="EM12" s="220"/>
      <c r="EN12" s="220"/>
      <c r="EO12" s="220"/>
      <c r="EP12" s="220"/>
      <c r="EQ12" s="220"/>
      <c r="ER12" s="220"/>
      <c r="ES12" s="220"/>
      <c r="ET12" s="220"/>
      <c r="EU12" s="220"/>
      <c r="EV12" s="220"/>
      <c r="EW12" s="220"/>
      <c r="EX12" s="220"/>
      <c r="EY12" s="220"/>
      <c r="EZ12" s="220"/>
      <c r="FA12" s="220"/>
      <c r="FB12" s="220"/>
      <c r="FC12" s="220"/>
      <c r="FD12" s="220"/>
      <c r="FE12" s="220"/>
      <c r="FF12" s="220"/>
      <c r="FG12" s="220"/>
      <c r="FH12" s="220"/>
      <c r="FI12" s="220"/>
      <c r="FJ12" s="220"/>
      <c r="FK12" s="220"/>
      <c r="FL12" s="220"/>
      <c r="FM12" s="220"/>
      <c r="FN12" s="220"/>
      <c r="FO12" s="220"/>
      <c r="FP12" s="220"/>
      <c r="FQ12" s="220"/>
      <c r="FR12" s="220"/>
      <c r="FS12" s="220"/>
      <c r="FT12" s="220"/>
      <c r="FU12" s="220"/>
      <c r="FV12" s="220"/>
      <c r="FW12" s="220"/>
      <c r="FX12" s="220"/>
      <c r="FY12" s="220"/>
      <c r="FZ12" s="220"/>
      <c r="GA12" s="220"/>
      <c r="GB12" s="220"/>
      <c r="GC12" s="220"/>
      <c r="GD12" s="220"/>
      <c r="GE12" s="220"/>
      <c r="GF12" s="220"/>
      <c r="GG12" s="220"/>
      <c r="GH12" s="220"/>
      <c r="GI12" s="220"/>
      <c r="GJ12" s="220"/>
      <c r="GK12" s="220"/>
      <c r="GL12" s="220"/>
      <c r="GM12" s="220"/>
      <c r="GN12" s="220"/>
      <c r="GO12" s="220"/>
      <c r="GP12" s="220"/>
      <c r="GQ12" s="220"/>
      <c r="GR12" s="220"/>
      <c r="GS12" s="220"/>
      <c r="GT12" s="220"/>
      <c r="GU12" s="220"/>
      <c r="GV12" s="220"/>
      <c r="GW12" s="220"/>
      <c r="GX12" s="220"/>
      <c r="GY12" s="220"/>
      <c r="GZ12" s="220"/>
      <c r="HA12" s="220"/>
      <c r="HB12" s="220"/>
      <c r="HC12" s="220"/>
      <c r="HD12" s="220"/>
      <c r="HE12" s="220"/>
      <c r="HF12" s="220"/>
      <c r="HG12" s="220"/>
      <c r="HH12" s="220"/>
      <c r="HI12" s="220"/>
      <c r="HJ12" s="220"/>
      <c r="HK12" s="220"/>
      <c r="HL12" s="220"/>
      <c r="HM12" s="220"/>
      <c r="HN12" s="220"/>
      <c r="HO12" s="220"/>
      <c r="HP12" s="220"/>
      <c r="HQ12" s="220"/>
      <c r="HR12" s="220"/>
      <c r="HS12" s="220"/>
      <c r="HT12" s="220"/>
      <c r="HU12" s="220"/>
      <c r="HV12" s="220"/>
      <c r="HW12" s="220"/>
      <c r="HX12" s="220"/>
      <c r="HY12" s="220"/>
      <c r="HZ12" s="220"/>
      <c r="IA12" s="220"/>
      <c r="IB12" s="220"/>
      <c r="IC12" s="220"/>
      <c r="ID12" s="220"/>
      <c r="IE12" s="220"/>
      <c r="IF12" s="220"/>
      <c r="IG12" s="220"/>
      <c r="IH12" s="220"/>
      <c r="II12" s="220"/>
      <c r="IJ12" s="220"/>
      <c r="IK12" s="220"/>
      <c r="IL12" s="220"/>
      <c r="IM12" s="220"/>
      <c r="IN12" s="220"/>
      <c r="IO12" s="220"/>
      <c r="IP12" s="220"/>
      <c r="IQ12" s="220"/>
      <c r="IR12" s="220"/>
      <c r="IS12" s="220"/>
      <c r="IT12" s="220"/>
      <c r="IU12" s="220"/>
      <c r="IV12" s="220"/>
      <c r="IW12" s="220"/>
      <c r="IX12" s="220"/>
      <c r="IY12" s="220"/>
      <c r="IZ12" s="220"/>
      <c r="JA12" s="220"/>
      <c r="JB12" s="220"/>
      <c r="JC12" s="220"/>
      <c r="JD12" s="220"/>
      <c r="JE12" s="220"/>
      <c r="JF12" s="220"/>
      <c r="JG12" s="220"/>
      <c r="JH12" s="220"/>
      <c r="JI12" s="220"/>
      <c r="JJ12" s="220"/>
      <c r="JK12" s="220"/>
      <c r="JL12" s="220"/>
      <c r="JM12" s="220"/>
      <c r="JN12" s="220"/>
      <c r="JO12" s="220"/>
      <c r="JP12" s="220"/>
    </row>
    <row r="13" spans="1:276" s="223" customFormat="1" ht="103.5" customHeight="1" x14ac:dyDescent="0.2">
      <c r="A13" s="379">
        <v>1</v>
      </c>
      <c r="B13" s="365"/>
      <c r="C13" s="365"/>
      <c r="D13" s="365"/>
      <c r="E13" s="361"/>
      <c r="F13" s="365"/>
      <c r="G13" s="336"/>
      <c r="H13" s="336"/>
      <c r="I13" s="336"/>
      <c r="J13" s="336"/>
      <c r="K13" s="336"/>
      <c r="L13" s="336"/>
      <c r="M13" s="336"/>
      <c r="N13" s="336"/>
      <c r="O13" s="336"/>
      <c r="P13" s="336"/>
      <c r="Q13" s="336"/>
      <c r="R13" s="362"/>
      <c r="S13" s="347" t="str">
        <f>IF(R13&lt;=0,"",IF(R13&lt;=2,"Muy Baja",IF(R13&lt;=24,"Baja",IF(R13&lt;=500,"Media",IF(R13&lt;=5000,"Alta","Muy Alta")))))</f>
        <v/>
      </c>
      <c r="T13" s="346" t="str">
        <f>IF(S13="","",IF(S13="Muy Baja",0.2,IF(S13="Baja",0.4,IF(S13="Media",0.6,IF(S13="Alta",0.8,IF(S13="Muy Alta",1,))))))</f>
        <v/>
      </c>
      <c r="U13" s="330"/>
      <c r="V13" s="346">
        <f>IF(NOT(ISERROR(MATCH(U13,'Tabla Impacto'!$B$222:$B$224,0))),'Tabla Impacto'!$F$224&amp;"Por favor no seleccionar los criterios de impacto(Afectación Económica o presupuestal y Pérdida Reputacional)",U13)</f>
        <v>0</v>
      </c>
      <c r="W13" s="347" t="str">
        <f>IF(OR(V13='Tabla Impacto'!$C$12,V13='Tabla Impacto'!$D$12),"Leve",IF(OR(V13='Tabla Impacto'!$C$13,V13='Tabla Impacto'!$D$13),"Menor",IF(OR(V13='Tabla Impacto'!$C$14,V13='Tabla Impacto'!$D$14),"Moderado",IF(OR(V13='Tabla Impacto'!$C$15,V13='Tabla Impacto'!$D$15),"Mayor",IF(OR(V13='Tabla Impacto'!$C$16,V13='Tabla Impacto'!$D$16),"Catastrófico","")))))</f>
        <v/>
      </c>
      <c r="X13" s="346" t="str">
        <f>IF(W13="","",IF(W13="Leve",0.2,IF(W13="Menor",0.4,IF(W13="Moderado",0.6,IF(W13="Mayor",0.8,IF(W13="Catastrófico",1,))))))</f>
        <v/>
      </c>
      <c r="Y13" s="339" t="str">
        <f>IF(OR(AND(S13="Muy Baja",W13="Leve"),AND(S13="Muy Baja",W13="Menor"),AND(S13="Baja",W13="Leve")),"Bajo",IF(OR(AND(S13="Muy baja",W13="Moderado"),AND(S13="Baja",W13="Menor"),AND(S13="Baja",W13="Moderado"),AND(S13="Media",W13="Leve"),AND(S13="Media",W13="Menor"),AND(S13="Media",W13="Moderado"),AND(S13="Alta",W13="Leve"),AND(S13="Alta",W13="Menor")),"Moderado",IF(OR(AND(S13="Muy Baja",W13="Mayor"),AND(S13="Baja",W13="Mayor"),AND(S13="Media",W13="Mayor"),AND(S13="Alta",W13="Moderado"),AND(S13="Alta",W13="Mayor"),AND(S13="Muy Alta",W13="Leve"),AND(S13="Muy Alta",W13="Menor"),AND(S13="Muy Alta",W13="Moderado"),AND(S13="Muy Alta",W13="Mayor")),"Alto",IF(OR(AND(S13="Muy Baja",W13="Catastrófico"),AND(S13="Baja",W13="Catastrófico"),AND(S13="Media",W13="Catastrófico"),AND(S13="Alta",W13="Catastrófico"),AND(S13="Muy Alta",W13="Catastrófico")),"Extremo",""))))</f>
        <v/>
      </c>
      <c r="Z13" s="222">
        <v>1</v>
      </c>
      <c r="AA13" s="248"/>
      <c r="AB13" s="189" t="str">
        <f t="shared" ref="AB13:AB18" si="0">IF(OR(AC13="Preventivo",AC13="Detectivo"),"Probabilidad",IF(AC13="Correctivo","Impacto",""))</f>
        <v/>
      </c>
      <c r="AC13" s="190"/>
      <c r="AD13" s="190"/>
      <c r="AE13" s="191" t="str">
        <f>IF(AND(AC13="Preventivo",AD13="Automático"),"50%",IF(AND(AC13="Preventivo",AD13="Manual"),"40%",IF(AND(AC13="Detectivo",AD13="Automático"),"40%",IF(AND(AC13="Detectivo",AD13="Manual"),"30%",IF(AND(AC13="Correctivo",AD13="Automático"),"35%",IF(AND(AC13="Correctivo",AD13="Manual"),"25%",""))))))</f>
        <v/>
      </c>
      <c r="AF13" s="190"/>
      <c r="AG13" s="190"/>
      <c r="AH13" s="190"/>
      <c r="AI13" s="192" t="str">
        <f>IFERROR(IF(AB13="Probabilidad",(T13-(+T13*AE13)),IF(AB13="Impacto",T13,"")),"")</f>
        <v/>
      </c>
      <c r="AJ13" s="193" t="str">
        <f>IFERROR(IF(AI13="","",IF(AI13&lt;=0.2,"Muy Baja",IF(AI13&lt;=0.4,"Baja",IF(AI13&lt;=0.6,"Media",IF(AI13&lt;=0.8,"Alta","Muy Alta"))))),"")</f>
        <v/>
      </c>
      <c r="AK13" s="191" t="str">
        <f>+AI13</f>
        <v/>
      </c>
      <c r="AL13" s="193" t="str">
        <f>IFERROR(IF(AM13="","",IF(AM13&lt;=0.2,"Leve",IF(AM13&lt;=0.4,"Menor",IF(AM13&lt;=0.6,"Moderado",IF(AM13&lt;=0.8,"Mayor","Catastrófico"))))),"")</f>
        <v/>
      </c>
      <c r="AM13" s="191" t="str">
        <f>IFERROR(IF(AB13="Impacto",(X13-(+X13*AE13)),IF(AB13="Probabilidad",X13,"")),"")</f>
        <v/>
      </c>
      <c r="AN13" s="194" t="str">
        <f>IFERROR(IF(OR(AND(AJ13="Muy Baja",AL13="Leve"),AND(AJ13="Muy Baja",AL13="Menor"),AND(AJ13="Baja",AL13="Leve")),"Bajo",IF(OR(AND(AJ13="Muy baja",AL13="Moderado"),AND(AJ13="Baja",AL13="Menor"),AND(AJ13="Baja",AL13="Moderado"),AND(AJ13="Media",AL13="Leve"),AND(AJ13="Media",AL13="Menor"),AND(AJ13="Media",AL13="Moderado"),AND(AJ13="Alta",AL13="Leve"),AND(AJ13="Alta",AL13="Menor")),"Moderado",IF(OR(AND(AJ13="Muy Baja",AL13="Mayor"),AND(AJ13="Baja",AL13="Mayor"),AND(AJ13="Media",AL13="Mayor"),AND(AJ13="Alta",AL13="Moderado"),AND(AJ13="Alta",AL13="Mayor"),AND(AJ13="Muy Alta",AL13="Leve"),AND(AJ13="Muy Alta",AL13="Menor"),AND(AJ13="Muy Alta",AL13="Moderado"),AND(AJ13="Muy Alta",AL13="Mayor")),"Alto",IF(OR(AND(AJ13="Muy Baja",AL13="Catastrófico"),AND(AJ13="Baja",AL13="Catastrófico"),AND(AJ13="Media",AL13="Catastrófico"),AND(AJ13="Alta",AL13="Catastrófico"),AND(AJ13="Muy Alta",AL13="Catastrófico")),"Extremo","")))),"")</f>
        <v/>
      </c>
      <c r="AO13" s="195"/>
      <c r="AP13" s="186"/>
      <c r="AQ13" s="196"/>
      <c r="AR13" s="196"/>
      <c r="AS13" s="197"/>
      <c r="AT13" s="365"/>
      <c r="AU13" s="365"/>
      <c r="AV13" s="365"/>
    </row>
    <row r="14" spans="1:276" ht="94.5" customHeight="1" x14ac:dyDescent="0.2">
      <c r="A14" s="379"/>
      <c r="B14" s="365"/>
      <c r="C14" s="365"/>
      <c r="D14" s="365"/>
      <c r="E14" s="361"/>
      <c r="F14" s="365"/>
      <c r="G14" s="337"/>
      <c r="H14" s="337"/>
      <c r="I14" s="337"/>
      <c r="J14" s="337"/>
      <c r="K14" s="337"/>
      <c r="L14" s="337"/>
      <c r="M14" s="337"/>
      <c r="N14" s="337"/>
      <c r="O14" s="337"/>
      <c r="P14" s="337"/>
      <c r="Q14" s="337"/>
      <c r="R14" s="362"/>
      <c r="S14" s="347"/>
      <c r="T14" s="346"/>
      <c r="U14" s="330"/>
      <c r="V14" s="346">
        <f>IF(NOT(ISERROR(MATCH(U14,_xlfn.ANCHORARRAY(E25),0))),T27&amp;"Por favor no seleccionar los criterios de impacto",U14)</f>
        <v>0</v>
      </c>
      <c r="W14" s="347"/>
      <c r="X14" s="346"/>
      <c r="Y14" s="339"/>
      <c r="Z14" s="222">
        <v>2</v>
      </c>
      <c r="AA14" s="248"/>
      <c r="AB14" s="189" t="str">
        <f t="shared" si="0"/>
        <v/>
      </c>
      <c r="AC14" s="190"/>
      <c r="AD14" s="190"/>
      <c r="AE14" s="191" t="str">
        <f t="shared" ref="AE14:AE18" si="1">IF(AND(AC14="Preventivo",AD14="Automático"),"50%",IF(AND(AC14="Preventivo",AD14="Manual"),"40%",IF(AND(AC14="Detectivo",AD14="Automático"),"40%",IF(AND(AC14="Detectivo",AD14="Manual"),"30%",IF(AND(AC14="Correctivo",AD14="Automático"),"35%",IF(AND(AC14="Correctivo",AD14="Manual"),"25%",""))))))</f>
        <v/>
      </c>
      <c r="AF14" s="190"/>
      <c r="AG14" s="190"/>
      <c r="AH14" s="190"/>
      <c r="AI14" s="192" t="str">
        <f>IFERROR(IF(AND(AB13="Probabilidad",AB14="Probabilidad"),(AK13-(+AK13*AE14)),IF(AB14="Probabilidad",(T13-(+T13*AE14)),IF(AB14="Impacto",AK13,""))),"")</f>
        <v/>
      </c>
      <c r="AJ14" s="193" t="str">
        <f t="shared" ref="AJ14:AJ72" si="2">IFERROR(IF(AI14="","",IF(AI14&lt;=0.2,"Muy Baja",IF(AI14&lt;=0.4,"Baja",IF(AI14&lt;=0.6,"Media",IF(AI14&lt;=0.8,"Alta","Muy Alta"))))),"")</f>
        <v/>
      </c>
      <c r="AK14" s="191" t="str">
        <f t="shared" ref="AK14:AK18" si="3">+AI14</f>
        <v/>
      </c>
      <c r="AL14" s="193" t="str">
        <f t="shared" ref="AL14:AL72" si="4">IFERROR(IF(AM14="","",IF(AM14&lt;=0.2,"Leve",IF(AM14&lt;=0.4,"Menor",IF(AM14&lt;=0.6,"Moderado",IF(AM14&lt;=0.8,"Mayor","Catastrófico"))))),"")</f>
        <v/>
      </c>
      <c r="AM14" s="191" t="str">
        <f>IFERROR(IF(AND(AB13="Impacto",AB14="Impacto"),(AM13-(+AM13*AE14)),IF(AB14="Impacto",($X$13-(+$X$13*AE14)),IF(AB14="Probabilidad",AM13,""))),"")</f>
        <v/>
      </c>
      <c r="AN14" s="194" t="str">
        <f t="shared" ref="AN14:AN18" si="5">IFERROR(IF(OR(AND(AJ14="Muy Baja",AL14="Leve"),AND(AJ14="Muy Baja",AL14="Menor"),AND(AJ14="Baja",AL14="Leve")),"Bajo",IF(OR(AND(AJ14="Muy baja",AL14="Moderado"),AND(AJ14="Baja",AL14="Menor"),AND(AJ14="Baja",AL14="Moderado"),AND(AJ14="Media",AL14="Leve"),AND(AJ14="Media",AL14="Menor"),AND(AJ14="Media",AL14="Moderado"),AND(AJ14="Alta",AL14="Leve"),AND(AJ14="Alta",AL14="Menor")),"Moderado",IF(OR(AND(AJ14="Muy Baja",AL14="Mayor"),AND(AJ14="Baja",AL14="Mayor"),AND(AJ14="Media",AL14="Mayor"),AND(AJ14="Alta",AL14="Moderado"),AND(AJ14="Alta",AL14="Mayor"),AND(AJ14="Muy Alta",AL14="Leve"),AND(AJ14="Muy Alta",AL14="Menor"),AND(AJ14="Muy Alta",AL14="Moderado"),AND(AJ14="Muy Alta",AL14="Mayor")),"Alto",IF(OR(AND(AJ14="Muy Baja",AL14="Catastrófico"),AND(AJ14="Baja",AL14="Catastrófico"),AND(AJ14="Media",AL14="Catastrófico"),AND(AJ14="Alta",AL14="Catastrófico"),AND(AJ14="Muy Alta",AL14="Catastrófico")),"Extremo","")))),"")</f>
        <v/>
      </c>
      <c r="AO14" s="195"/>
      <c r="AP14" s="186"/>
      <c r="AQ14" s="196"/>
      <c r="AR14" s="186"/>
      <c r="AS14" s="197"/>
      <c r="AT14" s="365"/>
      <c r="AU14" s="365"/>
      <c r="AV14" s="365"/>
    </row>
    <row r="15" spans="1:276" ht="37.5" customHeight="1" x14ac:dyDescent="0.2">
      <c r="A15" s="379"/>
      <c r="B15" s="365"/>
      <c r="C15" s="365"/>
      <c r="D15" s="365"/>
      <c r="E15" s="361"/>
      <c r="F15" s="365"/>
      <c r="G15" s="337"/>
      <c r="H15" s="337"/>
      <c r="I15" s="337"/>
      <c r="J15" s="337"/>
      <c r="K15" s="337"/>
      <c r="L15" s="337"/>
      <c r="M15" s="337"/>
      <c r="N15" s="337"/>
      <c r="O15" s="337"/>
      <c r="P15" s="337"/>
      <c r="Q15" s="337"/>
      <c r="R15" s="362"/>
      <c r="S15" s="347"/>
      <c r="T15" s="346"/>
      <c r="U15" s="330"/>
      <c r="V15" s="346">
        <f>IF(NOT(ISERROR(MATCH(U15,_xlfn.ANCHORARRAY(E26),0))),T28&amp;"Por favor no seleccionar los criterios de impacto",U15)</f>
        <v>0</v>
      </c>
      <c r="W15" s="347"/>
      <c r="X15" s="346"/>
      <c r="Y15" s="339"/>
      <c r="Z15" s="222">
        <v>3</v>
      </c>
      <c r="AA15" s="188"/>
      <c r="AB15" s="189" t="str">
        <f t="shared" si="0"/>
        <v/>
      </c>
      <c r="AC15" s="190"/>
      <c r="AD15" s="190"/>
      <c r="AE15" s="191" t="str">
        <f t="shared" si="1"/>
        <v/>
      </c>
      <c r="AF15" s="190"/>
      <c r="AG15" s="190"/>
      <c r="AH15" s="190"/>
      <c r="AI15" s="192" t="str">
        <f>IFERROR(IF(AND(AB14="Probabilidad",AB15="Probabilidad"),(AK14-(+AK14*AE15)),IF(AND(AB14="Impacto",AB15="Probabilidad"),(AK13-(+AK13*AE15)),IF(AB15="Impacto",AK14,""))),"")</f>
        <v/>
      </c>
      <c r="AJ15" s="193" t="str">
        <f t="shared" si="2"/>
        <v/>
      </c>
      <c r="AK15" s="191" t="str">
        <f t="shared" si="3"/>
        <v/>
      </c>
      <c r="AL15" s="193" t="str">
        <f t="shared" si="4"/>
        <v/>
      </c>
      <c r="AM15" s="191" t="str">
        <f>IFERROR(IF(AND(AB14="Impacto",AB15="Impacto"),(AM14-(+AM14*AE15)),IF(AND(AB14="Probabilidad",AB15="Impacto"),(AM13-(+AM13*AE15)),IF(AB15="Probabilidad",AM14,""))),"")</f>
        <v/>
      </c>
      <c r="AN15" s="194" t="str">
        <f t="shared" si="5"/>
        <v/>
      </c>
      <c r="AO15" s="195"/>
      <c r="AP15" s="186"/>
      <c r="AQ15" s="196"/>
      <c r="AR15" s="196"/>
      <c r="AS15" s="197"/>
      <c r="AT15" s="365"/>
      <c r="AU15" s="365"/>
      <c r="AV15" s="365"/>
    </row>
    <row r="16" spans="1:276" ht="37.5" customHeight="1" x14ac:dyDescent="0.2">
      <c r="A16" s="379"/>
      <c r="B16" s="365"/>
      <c r="C16" s="365"/>
      <c r="D16" s="365"/>
      <c r="E16" s="361"/>
      <c r="F16" s="365"/>
      <c r="G16" s="337"/>
      <c r="H16" s="337"/>
      <c r="I16" s="337"/>
      <c r="J16" s="337"/>
      <c r="K16" s="337"/>
      <c r="L16" s="337"/>
      <c r="M16" s="337"/>
      <c r="N16" s="337"/>
      <c r="O16" s="337"/>
      <c r="P16" s="337"/>
      <c r="Q16" s="337"/>
      <c r="R16" s="362"/>
      <c r="S16" s="347"/>
      <c r="T16" s="346"/>
      <c r="U16" s="330"/>
      <c r="V16" s="346">
        <f>IF(NOT(ISERROR(MATCH(U16,_xlfn.ANCHORARRAY(E27),0))),T29&amp;"Por favor no seleccionar los criterios de impacto",U16)</f>
        <v>0</v>
      </c>
      <c r="W16" s="347"/>
      <c r="X16" s="346"/>
      <c r="Y16" s="339"/>
      <c r="Z16" s="222">
        <v>4</v>
      </c>
      <c r="AA16" s="187"/>
      <c r="AB16" s="189" t="str">
        <f t="shared" si="0"/>
        <v/>
      </c>
      <c r="AC16" s="190"/>
      <c r="AD16" s="190"/>
      <c r="AE16" s="191" t="str">
        <f t="shared" si="1"/>
        <v/>
      </c>
      <c r="AF16" s="190"/>
      <c r="AG16" s="190"/>
      <c r="AH16" s="190"/>
      <c r="AI16" s="192" t="str">
        <f t="shared" ref="AI16:AI18" si="6">IFERROR(IF(AND(AB15="Probabilidad",AB16="Probabilidad"),(AK15-(+AK15*AE16)),IF(AND(AB15="Impacto",AB16="Probabilidad"),(AK14-(+AK14*AE16)),IF(AB16="Impacto",AK15,""))),"")</f>
        <v/>
      </c>
      <c r="AJ16" s="193" t="str">
        <f t="shared" si="2"/>
        <v/>
      </c>
      <c r="AK16" s="191" t="str">
        <f t="shared" si="3"/>
        <v/>
      </c>
      <c r="AL16" s="193" t="str">
        <f t="shared" si="4"/>
        <v/>
      </c>
      <c r="AM16" s="191" t="str">
        <f t="shared" ref="AM16:AM18" si="7">IFERROR(IF(AND(AB15="Impacto",AB16="Impacto"),(AM15-(+AM15*AE16)),IF(AND(AB15="Probabilidad",AB16="Impacto"),(AM14-(+AM14*AE16)),IF(AB16="Probabilidad",AM15,""))),"")</f>
        <v/>
      </c>
      <c r="AN16" s="194" t="str">
        <f>IFERROR(IF(OR(AND(AJ16="Muy Baja",AL16="Leve"),AND(AJ16="Muy Baja",AL16="Menor"),AND(AJ16="Baja",AL16="Leve")),"Bajo",IF(OR(AND(AJ16="Muy baja",AL16="Moderado"),AND(AJ16="Baja",AL16="Menor"),AND(AJ16="Baja",AL16="Moderado"),AND(AJ16="Media",AL16="Leve"),AND(AJ16="Media",AL16="Menor"),AND(AJ16="Media",AL16="Moderado"),AND(AJ16="Alta",AL16="Leve"),AND(AJ16="Alta",AL16="Menor")),"Moderado",IF(OR(AND(AJ16="Muy Baja",AL16="Mayor"),AND(AJ16="Baja",AL16="Mayor"),AND(AJ16="Media",AL16="Mayor"),AND(AJ16="Alta",AL16="Moderado"),AND(AJ16="Alta",AL16="Mayor"),AND(AJ16="Muy Alta",AL16="Leve"),AND(AJ16="Muy Alta",AL16="Menor"),AND(AJ16="Muy Alta",AL16="Moderado"),AND(AJ16="Muy Alta",AL16="Mayor")),"Alto",IF(OR(AND(AJ16="Muy Baja",AL16="Catastrófico"),AND(AJ16="Baja",AL16="Catastrófico"),AND(AJ16="Media",AL16="Catastrófico"),AND(AJ16="Alta",AL16="Catastrófico"),AND(AJ16="Muy Alta",AL16="Catastrófico")),"Extremo","")))),"")</f>
        <v/>
      </c>
      <c r="AO16" s="195"/>
      <c r="AP16" s="186"/>
      <c r="AQ16" s="196"/>
      <c r="AR16" s="196"/>
      <c r="AS16" s="197"/>
      <c r="AT16" s="365"/>
      <c r="AU16" s="365"/>
      <c r="AV16" s="365"/>
    </row>
    <row r="17" spans="1:48" ht="37.5" customHeight="1" x14ac:dyDescent="0.2">
      <c r="A17" s="379"/>
      <c r="B17" s="365"/>
      <c r="C17" s="365"/>
      <c r="D17" s="365"/>
      <c r="E17" s="361"/>
      <c r="F17" s="365"/>
      <c r="G17" s="337"/>
      <c r="H17" s="337"/>
      <c r="I17" s="337"/>
      <c r="J17" s="337"/>
      <c r="K17" s="337"/>
      <c r="L17" s="337"/>
      <c r="M17" s="337"/>
      <c r="N17" s="337"/>
      <c r="O17" s="337"/>
      <c r="P17" s="337"/>
      <c r="Q17" s="337"/>
      <c r="R17" s="362"/>
      <c r="S17" s="347"/>
      <c r="T17" s="346"/>
      <c r="U17" s="330"/>
      <c r="V17" s="346">
        <f>IF(NOT(ISERROR(MATCH(U17,_xlfn.ANCHORARRAY(E28),0))),T30&amp;"Por favor no seleccionar los criterios de impacto",U17)</f>
        <v>0</v>
      </c>
      <c r="W17" s="347"/>
      <c r="X17" s="346"/>
      <c r="Y17" s="339"/>
      <c r="Z17" s="222">
        <v>5</v>
      </c>
      <c r="AA17" s="187"/>
      <c r="AB17" s="189" t="str">
        <f t="shared" si="0"/>
        <v/>
      </c>
      <c r="AC17" s="190"/>
      <c r="AD17" s="190"/>
      <c r="AE17" s="191" t="str">
        <f t="shared" si="1"/>
        <v/>
      </c>
      <c r="AF17" s="190"/>
      <c r="AG17" s="190"/>
      <c r="AH17" s="190"/>
      <c r="AI17" s="192" t="str">
        <f t="shared" si="6"/>
        <v/>
      </c>
      <c r="AJ17" s="193" t="str">
        <f t="shared" si="2"/>
        <v/>
      </c>
      <c r="AK17" s="191" t="str">
        <f t="shared" si="3"/>
        <v/>
      </c>
      <c r="AL17" s="193" t="str">
        <f t="shared" si="4"/>
        <v/>
      </c>
      <c r="AM17" s="191" t="str">
        <f t="shared" si="7"/>
        <v/>
      </c>
      <c r="AN17" s="194" t="str">
        <f t="shared" si="5"/>
        <v/>
      </c>
      <c r="AO17" s="195"/>
      <c r="AP17" s="186"/>
      <c r="AQ17" s="196"/>
      <c r="AR17" s="196"/>
      <c r="AS17" s="197"/>
      <c r="AT17" s="365"/>
      <c r="AU17" s="365"/>
      <c r="AV17" s="365"/>
    </row>
    <row r="18" spans="1:48" ht="37.5" customHeight="1" x14ac:dyDescent="0.2">
      <c r="A18" s="379"/>
      <c r="B18" s="365"/>
      <c r="C18" s="365"/>
      <c r="D18" s="365"/>
      <c r="E18" s="361"/>
      <c r="F18" s="365"/>
      <c r="G18" s="338"/>
      <c r="H18" s="338"/>
      <c r="I18" s="338"/>
      <c r="J18" s="338"/>
      <c r="K18" s="338"/>
      <c r="L18" s="338"/>
      <c r="M18" s="338"/>
      <c r="N18" s="338"/>
      <c r="O18" s="338"/>
      <c r="P18" s="338"/>
      <c r="Q18" s="338"/>
      <c r="R18" s="362"/>
      <c r="S18" s="347"/>
      <c r="T18" s="346"/>
      <c r="U18" s="330"/>
      <c r="V18" s="346">
        <f>IF(NOT(ISERROR(MATCH(U18,_xlfn.ANCHORARRAY(E29),0))),T31&amp;"Por favor no seleccionar los criterios de impacto",U18)</f>
        <v>0</v>
      </c>
      <c r="W18" s="347"/>
      <c r="X18" s="346"/>
      <c r="Y18" s="339"/>
      <c r="Z18" s="222">
        <v>6</v>
      </c>
      <c r="AA18" s="187"/>
      <c r="AB18" s="189" t="str">
        <f t="shared" si="0"/>
        <v/>
      </c>
      <c r="AC18" s="190"/>
      <c r="AD18" s="190"/>
      <c r="AE18" s="191" t="str">
        <f t="shared" si="1"/>
        <v/>
      </c>
      <c r="AF18" s="190"/>
      <c r="AG18" s="190"/>
      <c r="AH18" s="190"/>
      <c r="AI18" s="192" t="str">
        <f t="shared" si="6"/>
        <v/>
      </c>
      <c r="AJ18" s="193" t="str">
        <f t="shared" si="2"/>
        <v/>
      </c>
      <c r="AK18" s="191" t="str">
        <f t="shared" si="3"/>
        <v/>
      </c>
      <c r="AL18" s="193" t="str">
        <f t="shared" si="4"/>
        <v/>
      </c>
      <c r="AM18" s="191" t="str">
        <f t="shared" si="7"/>
        <v/>
      </c>
      <c r="AN18" s="194" t="str">
        <f t="shared" si="5"/>
        <v/>
      </c>
      <c r="AO18" s="195"/>
      <c r="AP18" s="186"/>
      <c r="AQ18" s="196"/>
      <c r="AR18" s="196"/>
      <c r="AS18" s="197"/>
      <c r="AT18" s="365"/>
      <c r="AU18" s="365"/>
      <c r="AV18" s="365"/>
    </row>
    <row r="19" spans="1:48" ht="37.5" customHeight="1" x14ac:dyDescent="0.2">
      <c r="A19" s="379">
        <v>2</v>
      </c>
      <c r="B19" s="365"/>
      <c r="C19" s="365"/>
      <c r="D19" s="365"/>
      <c r="E19" s="361"/>
      <c r="F19" s="365"/>
      <c r="G19" s="336"/>
      <c r="H19" s="336"/>
      <c r="I19" s="336"/>
      <c r="J19" s="336"/>
      <c r="K19" s="336"/>
      <c r="L19" s="336"/>
      <c r="M19" s="336"/>
      <c r="N19" s="336"/>
      <c r="O19" s="336"/>
      <c r="P19" s="336"/>
      <c r="Q19" s="336"/>
      <c r="R19" s="362"/>
      <c r="S19" s="347" t="str">
        <f>IF(R19&lt;=0,"",IF(R19&lt;=2,"Muy Baja",IF(R19&lt;=24,"Baja",IF(R19&lt;=500,"Media",IF(R19&lt;=5000,"Alta","Muy Alta")))))</f>
        <v/>
      </c>
      <c r="T19" s="346" t="str">
        <f>IF(S19="","",IF(S19="Muy Baja",0.2,IF(S19="Baja",0.4,IF(S19="Media",0.6,IF(S19="Alta",0.8,IF(S19="Muy Alta",1,))))))</f>
        <v/>
      </c>
      <c r="U19" s="330"/>
      <c r="V19" s="346">
        <f>IF(NOT(ISERROR(MATCH(U19,'Tabla Impacto'!$B$222:$B$224,0))),'Tabla Impacto'!$F$224&amp;"Por favor no seleccionar los criterios de impacto(Afectación Económica o presupuestal y Pérdida Reputacional)",U19)</f>
        <v>0</v>
      </c>
      <c r="W19" s="347" t="str">
        <f>IF(OR(V19='Tabla Impacto'!$C$12,V19='Tabla Impacto'!$D$12),"Leve",IF(OR(V19='Tabla Impacto'!$C$13,V19='Tabla Impacto'!$D$13),"Menor",IF(OR(V19='Tabla Impacto'!$C$14,V19='Tabla Impacto'!$D$14),"Moderado",IF(OR(V19='Tabla Impacto'!$C$15,V19='Tabla Impacto'!$D$15),"Mayor",IF(OR(V19='Tabla Impacto'!$C$16,V19='Tabla Impacto'!$D$16),"Catastrófico","")))))</f>
        <v/>
      </c>
      <c r="X19" s="346" t="str">
        <f>IF(W19="","",IF(W19="Leve",0.2,IF(W19="Menor",0.4,IF(W19="Moderado",0.6,IF(W19="Mayor",0.8,IF(W19="Catastrófico",1,))))))</f>
        <v/>
      </c>
      <c r="Y19" s="339" t="str">
        <f>IF(OR(AND(S19="Muy Baja",W19="Leve"),AND(S19="Muy Baja",W19="Menor"),AND(S19="Baja",W19="Leve")),"Bajo",IF(OR(AND(S19="Muy baja",W19="Moderado"),AND(S19="Baja",W19="Menor"),AND(S19="Baja",W19="Moderado"),AND(S19="Media",W19="Leve"),AND(S19="Media",W19="Menor"),AND(S19="Media",W19="Moderado"),AND(S19="Alta",W19="Leve"),AND(S19="Alta",W19="Menor")),"Moderado",IF(OR(AND(S19="Muy Baja",W19="Mayor"),AND(S19="Baja",W19="Mayor"),AND(S19="Media",W19="Mayor"),AND(S19="Alta",W19="Moderado"),AND(S19="Alta",W19="Mayor"),AND(S19="Muy Alta",W19="Leve"),AND(S19="Muy Alta",W19="Menor"),AND(S19="Muy Alta",W19="Moderado"),AND(S19="Muy Alta",W19="Mayor")),"Alto",IF(OR(AND(S19="Muy Baja",W19="Catastrófico"),AND(S19="Baja",W19="Catastrófico"),AND(S19="Media",W19="Catastrófico"),AND(S19="Alta",W19="Catastrófico"),AND(S19="Muy Alta",W19="Catastrófico")),"Extremo",""))))</f>
        <v/>
      </c>
      <c r="Z19" s="222">
        <v>1</v>
      </c>
      <c r="AA19" s="187"/>
      <c r="AB19" s="189" t="str">
        <f>IF(OR(AC19="Preventivo",AC19="Detectivo"),"Probabilidad",IF(AC19="Correctivo","Impacto",""))</f>
        <v/>
      </c>
      <c r="AC19" s="190"/>
      <c r="AD19" s="190"/>
      <c r="AE19" s="191" t="str">
        <f>IF(AND(AC19="Preventivo",AD19="Automático"),"50%",IF(AND(AC19="Preventivo",AD19="Manual"),"40%",IF(AND(AC19="Detectivo",AD19="Automático"),"40%",IF(AND(AC19="Detectivo",AD19="Manual"),"30%",IF(AND(AC19="Correctivo",AD19="Automático"),"35%",IF(AND(AC19="Correctivo",AD19="Manual"),"25%",""))))))</f>
        <v/>
      </c>
      <c r="AF19" s="190"/>
      <c r="AG19" s="190"/>
      <c r="AH19" s="190"/>
      <c r="AI19" s="192" t="str">
        <f>IFERROR(IF(AB19="Probabilidad",(T19-(+T19*AE19)),IF(AB19="Impacto",T19,"")),"")</f>
        <v/>
      </c>
      <c r="AJ19" s="193" t="str">
        <f>IFERROR(IF(AI19="","",IF(AI19&lt;=0.2,"Muy Baja",IF(AI19&lt;=0.4,"Baja",IF(AI19&lt;=0.6,"Media",IF(AI19&lt;=0.8,"Alta","Muy Alta"))))),"")</f>
        <v/>
      </c>
      <c r="AK19" s="191" t="str">
        <f>+AI19</f>
        <v/>
      </c>
      <c r="AL19" s="193" t="str">
        <f>IFERROR(IF(AM19="","",IF(AM19&lt;=0.2,"Leve",IF(AM19&lt;=0.4,"Menor",IF(AM19&lt;=0.6,"Moderado",IF(AM19&lt;=0.8,"Mayor","Catastrófico"))))),"")</f>
        <v/>
      </c>
      <c r="AM19" s="191" t="str">
        <f t="shared" ref="AM19" si="8">IFERROR(IF(AB19="Impacto",(X19-(+X19*AE19)),IF(AB19="Probabilidad",X19,"")),"")</f>
        <v/>
      </c>
      <c r="AN19" s="194" t="str">
        <f>IFERROR(IF(OR(AND(AJ19="Muy Baja",AL19="Leve"),AND(AJ19="Muy Baja",AL19="Menor"),AND(AJ19="Baja",AL19="Leve")),"Bajo",IF(OR(AND(AJ19="Muy baja",AL19="Moderado"),AND(AJ19="Baja",AL19="Menor"),AND(AJ19="Baja",AL19="Moderado"),AND(AJ19="Media",AL19="Leve"),AND(AJ19="Media",AL19="Menor"),AND(AJ19="Media",AL19="Moderado"),AND(AJ19="Alta",AL19="Leve"),AND(AJ19="Alta",AL19="Menor")),"Moderado",IF(OR(AND(AJ19="Muy Baja",AL19="Mayor"),AND(AJ19="Baja",AL19="Mayor"),AND(AJ19="Media",AL19="Mayor"),AND(AJ19="Alta",AL19="Moderado"),AND(AJ19="Alta",AL19="Mayor"),AND(AJ19="Muy Alta",AL19="Leve"),AND(AJ19="Muy Alta",AL19="Menor"),AND(AJ19="Muy Alta",AL19="Moderado"),AND(AJ19="Muy Alta",AL19="Mayor")),"Alto",IF(OR(AND(AJ19="Muy Baja",AL19="Catastrófico"),AND(AJ19="Baja",AL19="Catastrófico"),AND(AJ19="Media",AL19="Catastrófico"),AND(AJ19="Alta",AL19="Catastrófico"),AND(AJ19="Muy Alta",AL19="Catastrófico")),"Extremo","")))),"")</f>
        <v/>
      </c>
      <c r="AO19" s="195"/>
      <c r="AP19" s="186"/>
      <c r="AQ19" s="196"/>
      <c r="AR19" s="196"/>
      <c r="AS19" s="197"/>
      <c r="AT19" s="362"/>
      <c r="AU19" s="362"/>
      <c r="AV19" s="362"/>
    </row>
    <row r="20" spans="1:48" ht="37.5" customHeight="1" x14ac:dyDescent="0.2">
      <c r="A20" s="379"/>
      <c r="B20" s="365"/>
      <c r="C20" s="365"/>
      <c r="D20" s="365"/>
      <c r="E20" s="361"/>
      <c r="F20" s="365"/>
      <c r="G20" s="337"/>
      <c r="H20" s="337"/>
      <c r="I20" s="337"/>
      <c r="J20" s="337"/>
      <c r="K20" s="337"/>
      <c r="L20" s="337"/>
      <c r="M20" s="337"/>
      <c r="N20" s="337"/>
      <c r="O20" s="337"/>
      <c r="P20" s="337"/>
      <c r="Q20" s="337"/>
      <c r="R20" s="362"/>
      <c r="S20" s="347"/>
      <c r="T20" s="346"/>
      <c r="U20" s="330"/>
      <c r="V20" s="346">
        <f>IF(NOT(ISERROR(MATCH(U20,_xlfn.ANCHORARRAY(E31),0))),T33&amp;"Por favor no seleccionar los criterios de impacto",U20)</f>
        <v>0</v>
      </c>
      <c r="W20" s="347"/>
      <c r="X20" s="346"/>
      <c r="Y20" s="339"/>
      <c r="Z20" s="222">
        <v>2</v>
      </c>
      <c r="AA20" s="187"/>
      <c r="AB20" s="189" t="str">
        <f>IF(OR(AC20="Preventivo",AC20="Detectivo"),"Probabilidad",IF(AC20="Correctivo","Impacto",""))</f>
        <v/>
      </c>
      <c r="AC20" s="190"/>
      <c r="AD20" s="190"/>
      <c r="AE20" s="191" t="str">
        <f t="shared" ref="AE20:AE24" si="9">IF(AND(AC20="Preventivo",AD20="Automático"),"50%",IF(AND(AC20="Preventivo",AD20="Manual"),"40%",IF(AND(AC20="Detectivo",AD20="Automático"),"40%",IF(AND(AC20="Detectivo",AD20="Manual"),"30%",IF(AND(AC20="Correctivo",AD20="Automático"),"35%",IF(AND(AC20="Correctivo",AD20="Manual"),"25%",""))))))</f>
        <v/>
      </c>
      <c r="AF20" s="190"/>
      <c r="AG20" s="190"/>
      <c r="AH20" s="190"/>
      <c r="AI20" s="192" t="str">
        <f>IFERROR(IF(AND(AB19="Probabilidad",AB20="Probabilidad"),(AK19-(+AK19*AE20)),IF(AB20="Probabilidad",(T19-(+T19*AE20)),IF(AB20="Impacto",AK19,""))),"")</f>
        <v/>
      </c>
      <c r="AJ20" s="193" t="str">
        <f t="shared" si="2"/>
        <v/>
      </c>
      <c r="AK20" s="191" t="str">
        <f t="shared" ref="AK20:AK24" si="10">+AI20</f>
        <v/>
      </c>
      <c r="AL20" s="193" t="str">
        <f t="shared" si="4"/>
        <v/>
      </c>
      <c r="AM20" s="191" t="str">
        <f t="shared" ref="AM20" si="11">IFERROR(IF(AND(AB19="Impacto",AB20="Impacto"),(AM19-(+AM19*AE20)),IF(AB20="Impacto",($X$13-(+$X$13*AE20)),IF(AB20="Probabilidad",AM19,""))),"")</f>
        <v/>
      </c>
      <c r="AN20" s="194" t="str">
        <f t="shared" ref="AN20:AN21" si="12">IFERROR(IF(OR(AND(AJ20="Muy Baja",AL20="Leve"),AND(AJ20="Muy Baja",AL20="Menor"),AND(AJ20="Baja",AL20="Leve")),"Bajo",IF(OR(AND(AJ20="Muy baja",AL20="Moderado"),AND(AJ20="Baja",AL20="Menor"),AND(AJ20="Baja",AL20="Moderado"),AND(AJ20="Media",AL20="Leve"),AND(AJ20="Media",AL20="Menor"),AND(AJ20="Media",AL20="Moderado"),AND(AJ20="Alta",AL20="Leve"),AND(AJ20="Alta",AL20="Menor")),"Moderado",IF(OR(AND(AJ20="Muy Baja",AL20="Mayor"),AND(AJ20="Baja",AL20="Mayor"),AND(AJ20="Media",AL20="Mayor"),AND(AJ20="Alta",AL20="Moderado"),AND(AJ20="Alta",AL20="Mayor"),AND(AJ20="Muy Alta",AL20="Leve"),AND(AJ20="Muy Alta",AL20="Menor"),AND(AJ20="Muy Alta",AL20="Moderado"),AND(AJ20="Muy Alta",AL20="Mayor")),"Alto",IF(OR(AND(AJ20="Muy Baja",AL20="Catastrófico"),AND(AJ20="Baja",AL20="Catastrófico"),AND(AJ20="Media",AL20="Catastrófico"),AND(AJ20="Alta",AL20="Catastrófico"),AND(AJ20="Muy Alta",AL20="Catastrófico")),"Extremo","")))),"")</f>
        <v/>
      </c>
      <c r="AO20" s="195"/>
      <c r="AP20" s="186"/>
      <c r="AQ20" s="196"/>
      <c r="AR20" s="186"/>
      <c r="AS20" s="197"/>
      <c r="AT20" s="362"/>
      <c r="AU20" s="362"/>
      <c r="AV20" s="362"/>
    </row>
    <row r="21" spans="1:48" ht="37.5" customHeight="1" x14ac:dyDescent="0.2">
      <c r="A21" s="379"/>
      <c r="B21" s="365"/>
      <c r="C21" s="365"/>
      <c r="D21" s="365"/>
      <c r="E21" s="361"/>
      <c r="F21" s="365"/>
      <c r="G21" s="337"/>
      <c r="H21" s="337"/>
      <c r="I21" s="337"/>
      <c r="J21" s="337"/>
      <c r="K21" s="337"/>
      <c r="L21" s="337"/>
      <c r="M21" s="337"/>
      <c r="N21" s="337"/>
      <c r="O21" s="337"/>
      <c r="P21" s="337"/>
      <c r="Q21" s="337"/>
      <c r="R21" s="362"/>
      <c r="S21" s="347"/>
      <c r="T21" s="346"/>
      <c r="U21" s="330"/>
      <c r="V21" s="346">
        <f>IF(NOT(ISERROR(MATCH(U21,_xlfn.ANCHORARRAY(E32),0))),T34&amp;"Por favor no seleccionar los criterios de impacto",U21)</f>
        <v>0</v>
      </c>
      <c r="W21" s="347"/>
      <c r="X21" s="346"/>
      <c r="Y21" s="339"/>
      <c r="Z21" s="222">
        <v>3</v>
      </c>
      <c r="AA21" s="188"/>
      <c r="AB21" s="189" t="str">
        <f>IF(OR(AC21="Preventivo",AC21="Detectivo"),"Probabilidad",IF(AC21="Correctivo","Impacto",""))</f>
        <v/>
      </c>
      <c r="AC21" s="190"/>
      <c r="AD21" s="190"/>
      <c r="AE21" s="191" t="str">
        <f t="shared" si="9"/>
        <v/>
      </c>
      <c r="AF21" s="190"/>
      <c r="AG21" s="190"/>
      <c r="AH21" s="190"/>
      <c r="AI21" s="192" t="str">
        <f>IFERROR(IF(AND(AB20="Probabilidad",AB21="Probabilidad"),(AK20-(+AK20*AE21)),IF(AND(AB20="Impacto",AB21="Probabilidad"),(AK19-(+AK19*AE21)),IF(AB21="Impacto",AK20,""))),"")</f>
        <v/>
      </c>
      <c r="AJ21" s="193" t="str">
        <f t="shared" si="2"/>
        <v/>
      </c>
      <c r="AK21" s="191" t="str">
        <f t="shared" si="10"/>
        <v/>
      </c>
      <c r="AL21" s="193" t="str">
        <f t="shared" si="4"/>
        <v/>
      </c>
      <c r="AM21" s="191" t="str">
        <f t="shared" ref="AM21:AM72" si="13">IFERROR(IF(AND(AB20="Impacto",AB21="Impacto"),(AM20-(+AM20*AE21)),IF(AND(AB20="Probabilidad",AB21="Impacto"),(AM19-(+AM19*AE21)),IF(AB21="Probabilidad",AM20,""))),"")</f>
        <v/>
      </c>
      <c r="AN21" s="194" t="str">
        <f t="shared" si="12"/>
        <v/>
      </c>
      <c r="AO21" s="195"/>
      <c r="AP21" s="186"/>
      <c r="AQ21" s="196"/>
      <c r="AR21" s="196"/>
      <c r="AS21" s="197"/>
      <c r="AT21" s="362"/>
      <c r="AU21" s="362"/>
      <c r="AV21" s="362"/>
    </row>
    <row r="22" spans="1:48" ht="37.5" customHeight="1" x14ac:dyDescent="0.2">
      <c r="A22" s="379"/>
      <c r="B22" s="365"/>
      <c r="C22" s="365"/>
      <c r="D22" s="365"/>
      <c r="E22" s="361"/>
      <c r="F22" s="365"/>
      <c r="G22" s="337"/>
      <c r="H22" s="337"/>
      <c r="I22" s="337"/>
      <c r="J22" s="337"/>
      <c r="K22" s="337"/>
      <c r="L22" s="337"/>
      <c r="M22" s="337"/>
      <c r="N22" s="337"/>
      <c r="O22" s="337"/>
      <c r="P22" s="337"/>
      <c r="Q22" s="337"/>
      <c r="R22" s="362"/>
      <c r="S22" s="347"/>
      <c r="T22" s="346"/>
      <c r="U22" s="330"/>
      <c r="V22" s="346">
        <f>IF(NOT(ISERROR(MATCH(U22,_xlfn.ANCHORARRAY(E33),0))),T35&amp;"Por favor no seleccionar los criterios de impacto",U22)</f>
        <v>0</v>
      </c>
      <c r="W22" s="347"/>
      <c r="X22" s="346"/>
      <c r="Y22" s="339"/>
      <c r="Z22" s="222">
        <v>4</v>
      </c>
      <c r="AA22" s="187"/>
      <c r="AB22" s="189" t="str">
        <f t="shared" ref="AB22:AB24" si="14">IF(OR(AC22="Preventivo",AC22="Detectivo"),"Probabilidad",IF(AC22="Correctivo","Impacto",""))</f>
        <v/>
      </c>
      <c r="AC22" s="190"/>
      <c r="AD22" s="190"/>
      <c r="AE22" s="191" t="str">
        <f t="shared" si="9"/>
        <v/>
      </c>
      <c r="AF22" s="190"/>
      <c r="AG22" s="190"/>
      <c r="AH22" s="190"/>
      <c r="AI22" s="192" t="str">
        <f t="shared" ref="AI22:AI24" si="15">IFERROR(IF(AND(AB21="Probabilidad",AB22="Probabilidad"),(AK21-(+AK21*AE22)),IF(AND(AB21="Impacto",AB22="Probabilidad"),(AK20-(+AK20*AE22)),IF(AB22="Impacto",AK21,""))),"")</f>
        <v/>
      </c>
      <c r="AJ22" s="193" t="str">
        <f t="shared" si="2"/>
        <v/>
      </c>
      <c r="AK22" s="191" t="str">
        <f t="shared" si="10"/>
        <v/>
      </c>
      <c r="AL22" s="193" t="str">
        <f t="shared" si="4"/>
        <v/>
      </c>
      <c r="AM22" s="191" t="str">
        <f t="shared" si="13"/>
        <v/>
      </c>
      <c r="AN22" s="194" t="str">
        <f>IFERROR(IF(OR(AND(AJ22="Muy Baja",AL22="Leve"),AND(AJ22="Muy Baja",AL22="Menor"),AND(AJ22="Baja",AL22="Leve")),"Bajo",IF(OR(AND(AJ22="Muy baja",AL22="Moderado"),AND(AJ22="Baja",AL22="Menor"),AND(AJ22="Baja",AL22="Moderado"),AND(AJ22="Media",AL22="Leve"),AND(AJ22="Media",AL22="Menor"),AND(AJ22="Media",AL22="Moderado"),AND(AJ22="Alta",AL22="Leve"),AND(AJ22="Alta",AL22="Menor")),"Moderado",IF(OR(AND(AJ22="Muy Baja",AL22="Mayor"),AND(AJ22="Baja",AL22="Mayor"),AND(AJ22="Media",AL22="Mayor"),AND(AJ22="Alta",AL22="Moderado"),AND(AJ22="Alta",AL22="Mayor"),AND(AJ22="Muy Alta",AL22="Leve"),AND(AJ22="Muy Alta",AL22="Menor"),AND(AJ22="Muy Alta",AL22="Moderado"),AND(AJ22="Muy Alta",AL22="Mayor")),"Alto",IF(OR(AND(AJ22="Muy Baja",AL22="Catastrófico"),AND(AJ22="Baja",AL22="Catastrófico"),AND(AJ22="Media",AL22="Catastrófico"),AND(AJ22="Alta",AL22="Catastrófico"),AND(AJ22="Muy Alta",AL22="Catastrófico")),"Extremo","")))),"")</f>
        <v/>
      </c>
      <c r="AO22" s="195"/>
      <c r="AP22" s="186"/>
      <c r="AQ22" s="196"/>
      <c r="AR22" s="196"/>
      <c r="AS22" s="197"/>
      <c r="AT22" s="362"/>
      <c r="AU22" s="362"/>
      <c r="AV22" s="362"/>
    </row>
    <row r="23" spans="1:48" ht="37.5" customHeight="1" x14ac:dyDescent="0.2">
      <c r="A23" s="379"/>
      <c r="B23" s="365"/>
      <c r="C23" s="365"/>
      <c r="D23" s="365"/>
      <c r="E23" s="361"/>
      <c r="F23" s="365"/>
      <c r="G23" s="337"/>
      <c r="H23" s="337"/>
      <c r="I23" s="337"/>
      <c r="J23" s="337"/>
      <c r="K23" s="337"/>
      <c r="L23" s="337"/>
      <c r="M23" s="337"/>
      <c r="N23" s="337"/>
      <c r="O23" s="337"/>
      <c r="P23" s="337"/>
      <c r="Q23" s="337"/>
      <c r="R23" s="362"/>
      <c r="S23" s="347"/>
      <c r="T23" s="346"/>
      <c r="U23" s="330"/>
      <c r="V23" s="346">
        <f>IF(NOT(ISERROR(MATCH(U23,_xlfn.ANCHORARRAY(E34),0))),T36&amp;"Por favor no seleccionar los criterios de impacto",U23)</f>
        <v>0</v>
      </c>
      <c r="W23" s="347"/>
      <c r="X23" s="346"/>
      <c r="Y23" s="339"/>
      <c r="Z23" s="222">
        <v>5</v>
      </c>
      <c r="AA23" s="187"/>
      <c r="AB23" s="189" t="str">
        <f t="shared" si="14"/>
        <v/>
      </c>
      <c r="AC23" s="190"/>
      <c r="AD23" s="190"/>
      <c r="AE23" s="191" t="str">
        <f t="shared" si="9"/>
        <v/>
      </c>
      <c r="AF23" s="190"/>
      <c r="AG23" s="190"/>
      <c r="AH23" s="190"/>
      <c r="AI23" s="192" t="str">
        <f t="shared" si="15"/>
        <v/>
      </c>
      <c r="AJ23" s="193" t="str">
        <f t="shared" si="2"/>
        <v/>
      </c>
      <c r="AK23" s="191" t="str">
        <f t="shared" si="10"/>
        <v/>
      </c>
      <c r="AL23" s="193" t="str">
        <f t="shared" si="4"/>
        <v/>
      </c>
      <c r="AM23" s="191" t="str">
        <f t="shared" si="13"/>
        <v/>
      </c>
      <c r="AN23" s="194" t="str">
        <f t="shared" ref="AN23:AN24" si="16">IFERROR(IF(OR(AND(AJ23="Muy Baja",AL23="Leve"),AND(AJ23="Muy Baja",AL23="Menor"),AND(AJ23="Baja",AL23="Leve")),"Bajo",IF(OR(AND(AJ23="Muy baja",AL23="Moderado"),AND(AJ23="Baja",AL23="Menor"),AND(AJ23="Baja",AL23="Moderado"),AND(AJ23="Media",AL23="Leve"),AND(AJ23="Media",AL23="Menor"),AND(AJ23="Media",AL23="Moderado"),AND(AJ23="Alta",AL23="Leve"),AND(AJ23="Alta",AL23="Menor")),"Moderado",IF(OR(AND(AJ23="Muy Baja",AL23="Mayor"),AND(AJ23="Baja",AL23="Mayor"),AND(AJ23="Media",AL23="Mayor"),AND(AJ23="Alta",AL23="Moderado"),AND(AJ23="Alta",AL23="Mayor"),AND(AJ23="Muy Alta",AL23="Leve"),AND(AJ23="Muy Alta",AL23="Menor"),AND(AJ23="Muy Alta",AL23="Moderado"),AND(AJ23="Muy Alta",AL23="Mayor")),"Alto",IF(OR(AND(AJ23="Muy Baja",AL23="Catastrófico"),AND(AJ23="Baja",AL23="Catastrófico"),AND(AJ23="Media",AL23="Catastrófico"),AND(AJ23="Alta",AL23="Catastrófico"),AND(AJ23="Muy Alta",AL23="Catastrófico")),"Extremo","")))),"")</f>
        <v/>
      </c>
      <c r="AO23" s="195"/>
      <c r="AP23" s="186"/>
      <c r="AQ23" s="196"/>
      <c r="AR23" s="196"/>
      <c r="AS23" s="197"/>
      <c r="AT23" s="362"/>
      <c r="AU23" s="362"/>
      <c r="AV23" s="362"/>
    </row>
    <row r="24" spans="1:48" ht="37.5" customHeight="1" x14ac:dyDescent="0.2">
      <c r="A24" s="379"/>
      <c r="B24" s="365"/>
      <c r="C24" s="365"/>
      <c r="D24" s="365"/>
      <c r="E24" s="361"/>
      <c r="F24" s="365"/>
      <c r="G24" s="338"/>
      <c r="H24" s="338"/>
      <c r="I24" s="338"/>
      <c r="J24" s="338"/>
      <c r="K24" s="338"/>
      <c r="L24" s="338"/>
      <c r="M24" s="338"/>
      <c r="N24" s="338"/>
      <c r="O24" s="338"/>
      <c r="P24" s="338"/>
      <c r="Q24" s="338"/>
      <c r="R24" s="362"/>
      <c r="S24" s="347"/>
      <c r="T24" s="346"/>
      <c r="U24" s="330"/>
      <c r="V24" s="346">
        <f>IF(NOT(ISERROR(MATCH(U24,_xlfn.ANCHORARRAY(E35),0))),T37&amp;"Por favor no seleccionar los criterios de impacto",U24)</f>
        <v>0</v>
      </c>
      <c r="W24" s="347"/>
      <c r="X24" s="346"/>
      <c r="Y24" s="339"/>
      <c r="Z24" s="222">
        <v>6</v>
      </c>
      <c r="AA24" s="187"/>
      <c r="AB24" s="189" t="str">
        <f t="shared" si="14"/>
        <v/>
      </c>
      <c r="AC24" s="190"/>
      <c r="AD24" s="190"/>
      <c r="AE24" s="191" t="str">
        <f t="shared" si="9"/>
        <v/>
      </c>
      <c r="AF24" s="190"/>
      <c r="AG24" s="190"/>
      <c r="AH24" s="190"/>
      <c r="AI24" s="192" t="str">
        <f t="shared" si="15"/>
        <v/>
      </c>
      <c r="AJ24" s="193" t="str">
        <f t="shared" si="2"/>
        <v/>
      </c>
      <c r="AK24" s="191" t="str">
        <f t="shared" si="10"/>
        <v/>
      </c>
      <c r="AL24" s="193" t="str">
        <f t="shared" si="4"/>
        <v/>
      </c>
      <c r="AM24" s="191" t="str">
        <f t="shared" si="13"/>
        <v/>
      </c>
      <c r="AN24" s="194" t="str">
        <f t="shared" si="16"/>
        <v/>
      </c>
      <c r="AO24" s="195"/>
      <c r="AP24" s="186"/>
      <c r="AQ24" s="196"/>
      <c r="AR24" s="196"/>
      <c r="AS24" s="197"/>
      <c r="AT24" s="362"/>
      <c r="AU24" s="362"/>
      <c r="AV24" s="362"/>
    </row>
    <row r="25" spans="1:48" ht="37.5" customHeight="1" x14ac:dyDescent="0.2">
      <c r="A25" s="379">
        <v>3</v>
      </c>
      <c r="B25" s="365"/>
      <c r="C25" s="365"/>
      <c r="D25" s="365"/>
      <c r="E25" s="361"/>
      <c r="F25" s="365"/>
      <c r="G25" s="336"/>
      <c r="H25" s="336"/>
      <c r="I25" s="336"/>
      <c r="J25" s="336"/>
      <c r="K25" s="336"/>
      <c r="L25" s="336"/>
      <c r="M25" s="336"/>
      <c r="N25" s="336"/>
      <c r="O25" s="336"/>
      <c r="P25" s="336"/>
      <c r="Q25" s="336"/>
      <c r="R25" s="362"/>
      <c r="S25" s="347" t="str">
        <f>IF(R25&lt;=0,"",IF(R25&lt;=2,"Muy Baja",IF(R25&lt;=24,"Baja",IF(R25&lt;=500,"Media",IF(R25&lt;=5000,"Alta","Muy Alta")))))</f>
        <v/>
      </c>
      <c r="T25" s="346" t="str">
        <f>IF(S25="","",IF(S25="Muy Baja",0.2,IF(S25="Baja",0.4,IF(S25="Media",0.6,IF(S25="Alta",0.8,IF(S25="Muy Alta",1,))))))</f>
        <v/>
      </c>
      <c r="U25" s="330"/>
      <c r="V25" s="346">
        <f>IF(NOT(ISERROR(MATCH(U25,'Tabla Impacto'!$B$222:$B$224,0))),'Tabla Impacto'!$F$224&amp;"Por favor no seleccionar los criterios de impacto(Afectación Económica o presupuestal y Pérdida Reputacional)",U25)</f>
        <v>0</v>
      </c>
      <c r="W25" s="347" t="str">
        <f>IF(OR(V25='Tabla Impacto'!$C$12,V25='Tabla Impacto'!$D$12),"Leve",IF(OR(V25='Tabla Impacto'!$C$13,V25='Tabla Impacto'!$D$13),"Menor",IF(OR(V25='Tabla Impacto'!$C$14,V25='Tabla Impacto'!$D$14),"Moderado",IF(OR(V25='Tabla Impacto'!$C$15,V25='Tabla Impacto'!$D$15),"Mayor",IF(OR(V25='Tabla Impacto'!$C$16,V25='Tabla Impacto'!$D$16),"Catastrófico","")))))</f>
        <v/>
      </c>
      <c r="X25" s="346" t="str">
        <f>IF(W25="","",IF(W25="Leve",0.2,IF(W25="Menor",0.4,IF(W25="Moderado",0.6,IF(W25="Mayor",0.8,IF(W25="Catastrófico",1,))))))</f>
        <v/>
      </c>
      <c r="Y25" s="339" t="str">
        <f>IF(OR(AND(S25="Muy Baja",W25="Leve"),AND(S25="Muy Baja",W25="Menor"),AND(S25="Baja",W25="Leve")),"Bajo",IF(OR(AND(S25="Muy baja",W25="Moderado"),AND(S25="Baja",W25="Menor"),AND(S25="Baja",W25="Moderado"),AND(S25="Media",W25="Leve"),AND(S25="Media",W25="Menor"),AND(S25="Media",W25="Moderado"),AND(S25="Alta",W25="Leve"),AND(S25="Alta",W25="Menor")),"Moderado",IF(OR(AND(S25="Muy Baja",W25="Mayor"),AND(S25="Baja",W25="Mayor"),AND(S25="Media",W25="Mayor"),AND(S25="Alta",W25="Moderado"),AND(S25="Alta",W25="Mayor"),AND(S25="Muy Alta",W25="Leve"),AND(S25="Muy Alta",W25="Menor"),AND(S25="Muy Alta",W25="Moderado"),AND(S25="Muy Alta",W25="Mayor")),"Alto",IF(OR(AND(S25="Muy Baja",W25="Catastrófico"),AND(S25="Baja",W25="Catastrófico"),AND(S25="Media",W25="Catastrófico"),AND(S25="Alta",W25="Catastrófico"),AND(S25="Muy Alta",W25="Catastrófico")),"Extremo",""))))</f>
        <v/>
      </c>
      <c r="Z25" s="222">
        <v>1</v>
      </c>
      <c r="AA25" s="187"/>
      <c r="AB25" s="189" t="str">
        <f>IF(OR(AC25="Preventivo",AC25="Detectivo"),"Probabilidad",IF(AC25="Correctivo","Impacto",""))</f>
        <v/>
      </c>
      <c r="AC25" s="190"/>
      <c r="AD25" s="190"/>
      <c r="AE25" s="191" t="str">
        <f>IF(AND(AC25="Preventivo",AD25="Automático"),"50%",IF(AND(AC25="Preventivo",AD25="Manual"),"40%",IF(AND(AC25="Detectivo",AD25="Automático"),"40%",IF(AND(AC25="Detectivo",AD25="Manual"),"30%",IF(AND(AC25="Correctivo",AD25="Automático"),"35%",IF(AND(AC25="Correctivo",AD25="Manual"),"25%",""))))))</f>
        <v/>
      </c>
      <c r="AF25" s="190"/>
      <c r="AG25" s="190"/>
      <c r="AH25" s="190"/>
      <c r="AI25" s="192" t="str">
        <f>IFERROR(IF(AB25="Probabilidad",(T25-(+T25*AE25)),IF(AB25="Impacto",T25,"")),"")</f>
        <v/>
      </c>
      <c r="AJ25" s="193" t="str">
        <f>IFERROR(IF(AI25="","",IF(AI25&lt;=0.2,"Muy Baja",IF(AI25&lt;=0.4,"Baja",IF(AI25&lt;=0.6,"Media",IF(AI25&lt;=0.8,"Alta","Muy Alta"))))),"")</f>
        <v/>
      </c>
      <c r="AK25" s="191" t="str">
        <f>+AI25</f>
        <v/>
      </c>
      <c r="AL25" s="193" t="str">
        <f>IFERROR(IF(AM25="","",IF(AM25&lt;=0.2,"Leve",IF(AM25&lt;=0.4,"Menor",IF(AM25&lt;=0.6,"Moderado",IF(AM25&lt;=0.8,"Mayor","Catastrófico"))))),"")</f>
        <v/>
      </c>
      <c r="AM25" s="191" t="str">
        <f t="shared" ref="AM25" si="17">IFERROR(IF(AB25="Impacto",(X25-(+X25*AE25)),IF(AB25="Probabilidad",X25,"")),"")</f>
        <v/>
      </c>
      <c r="AN25" s="194" t="str">
        <f>IFERROR(IF(OR(AND(AJ25="Muy Baja",AL25="Leve"),AND(AJ25="Muy Baja",AL25="Menor"),AND(AJ25="Baja",AL25="Leve")),"Bajo",IF(OR(AND(AJ25="Muy baja",AL25="Moderado"),AND(AJ25="Baja",AL25="Menor"),AND(AJ25="Baja",AL25="Moderado"),AND(AJ25="Media",AL25="Leve"),AND(AJ25="Media",AL25="Menor"),AND(AJ25="Media",AL25="Moderado"),AND(AJ25="Alta",AL25="Leve"),AND(AJ25="Alta",AL25="Menor")),"Moderado",IF(OR(AND(AJ25="Muy Baja",AL25="Mayor"),AND(AJ25="Baja",AL25="Mayor"),AND(AJ25="Media",AL25="Mayor"),AND(AJ25="Alta",AL25="Moderado"),AND(AJ25="Alta",AL25="Mayor"),AND(AJ25="Muy Alta",AL25="Leve"),AND(AJ25="Muy Alta",AL25="Menor"),AND(AJ25="Muy Alta",AL25="Moderado"),AND(AJ25="Muy Alta",AL25="Mayor")),"Alto",IF(OR(AND(AJ25="Muy Baja",AL25="Catastrófico"),AND(AJ25="Baja",AL25="Catastrófico"),AND(AJ25="Media",AL25="Catastrófico"),AND(AJ25="Alta",AL25="Catastrófico"),AND(AJ25="Muy Alta",AL25="Catastrófico")),"Extremo","")))),"")</f>
        <v/>
      </c>
      <c r="AO25" s="195"/>
      <c r="AP25" s="186"/>
      <c r="AQ25" s="196"/>
      <c r="AR25" s="196"/>
      <c r="AS25" s="197"/>
      <c r="AT25" s="362"/>
      <c r="AU25" s="362"/>
      <c r="AV25" s="362"/>
    </row>
    <row r="26" spans="1:48" ht="37.5" customHeight="1" x14ac:dyDescent="0.2">
      <c r="A26" s="379"/>
      <c r="B26" s="365"/>
      <c r="C26" s="365"/>
      <c r="D26" s="365"/>
      <c r="E26" s="361"/>
      <c r="F26" s="365"/>
      <c r="G26" s="337"/>
      <c r="H26" s="337"/>
      <c r="I26" s="337"/>
      <c r="J26" s="337"/>
      <c r="K26" s="337"/>
      <c r="L26" s="337"/>
      <c r="M26" s="337"/>
      <c r="N26" s="337"/>
      <c r="O26" s="337"/>
      <c r="P26" s="337"/>
      <c r="Q26" s="337"/>
      <c r="R26" s="362"/>
      <c r="S26" s="347"/>
      <c r="T26" s="346"/>
      <c r="U26" s="330"/>
      <c r="V26" s="346">
        <f>IF(NOT(ISERROR(MATCH(U26,_xlfn.ANCHORARRAY(E37),0))),T39&amp;"Por favor no seleccionar los criterios de impacto",U26)</f>
        <v>0</v>
      </c>
      <c r="W26" s="347"/>
      <c r="X26" s="346"/>
      <c r="Y26" s="339"/>
      <c r="Z26" s="222">
        <v>2</v>
      </c>
      <c r="AA26" s="187"/>
      <c r="AB26" s="189" t="str">
        <f>IF(OR(AC26="Preventivo",AC26="Detectivo"),"Probabilidad",IF(AC26="Correctivo","Impacto",""))</f>
        <v/>
      </c>
      <c r="AC26" s="190"/>
      <c r="AD26" s="190"/>
      <c r="AE26" s="191" t="str">
        <f t="shared" ref="AE26:AE30" si="18">IF(AND(AC26="Preventivo",AD26="Automático"),"50%",IF(AND(AC26="Preventivo",AD26="Manual"),"40%",IF(AND(AC26="Detectivo",AD26="Automático"),"40%",IF(AND(AC26="Detectivo",AD26="Manual"),"30%",IF(AND(AC26="Correctivo",AD26="Automático"),"35%",IF(AND(AC26="Correctivo",AD26="Manual"),"25%",""))))))</f>
        <v/>
      </c>
      <c r="AF26" s="190"/>
      <c r="AG26" s="190"/>
      <c r="AH26" s="190"/>
      <c r="AI26" s="192" t="str">
        <f>IFERROR(IF(AND(AB25="Probabilidad",AB26="Probabilidad"),(AK25-(+AK25*AE26)),IF(AB26="Probabilidad",(T25-(+T25*AE26)),IF(AB26="Impacto",AK25,""))),"")</f>
        <v/>
      </c>
      <c r="AJ26" s="193" t="str">
        <f t="shared" si="2"/>
        <v/>
      </c>
      <c r="AK26" s="191" t="str">
        <f t="shared" ref="AK26:AK30" si="19">+AI26</f>
        <v/>
      </c>
      <c r="AL26" s="193" t="str">
        <f t="shared" si="4"/>
        <v/>
      </c>
      <c r="AM26" s="191" t="str">
        <f t="shared" ref="AM26" si="20">IFERROR(IF(AND(AB25="Impacto",AB26="Impacto"),(AM25-(+AM25*AE26)),IF(AB26="Impacto",($X$13-(+$X$13*AE26)),IF(AB26="Probabilidad",AM25,""))),"")</f>
        <v/>
      </c>
      <c r="AN26" s="194" t="str">
        <f t="shared" ref="AN26:AN27" si="21">IFERROR(IF(OR(AND(AJ26="Muy Baja",AL26="Leve"),AND(AJ26="Muy Baja",AL26="Menor"),AND(AJ26="Baja",AL26="Leve")),"Bajo",IF(OR(AND(AJ26="Muy baja",AL26="Moderado"),AND(AJ26="Baja",AL26="Menor"),AND(AJ26="Baja",AL26="Moderado"),AND(AJ26="Media",AL26="Leve"),AND(AJ26="Media",AL26="Menor"),AND(AJ26="Media",AL26="Moderado"),AND(AJ26="Alta",AL26="Leve"),AND(AJ26="Alta",AL26="Menor")),"Moderado",IF(OR(AND(AJ26="Muy Baja",AL26="Mayor"),AND(AJ26="Baja",AL26="Mayor"),AND(AJ26="Media",AL26="Mayor"),AND(AJ26="Alta",AL26="Moderado"),AND(AJ26="Alta",AL26="Mayor"),AND(AJ26="Muy Alta",AL26="Leve"),AND(AJ26="Muy Alta",AL26="Menor"),AND(AJ26="Muy Alta",AL26="Moderado"),AND(AJ26="Muy Alta",AL26="Mayor")),"Alto",IF(OR(AND(AJ26="Muy Baja",AL26="Catastrófico"),AND(AJ26="Baja",AL26="Catastrófico"),AND(AJ26="Media",AL26="Catastrófico"),AND(AJ26="Alta",AL26="Catastrófico"),AND(AJ26="Muy Alta",AL26="Catastrófico")),"Extremo","")))),"")</f>
        <v/>
      </c>
      <c r="AO26" s="195"/>
      <c r="AP26" s="186"/>
      <c r="AQ26" s="196"/>
      <c r="AR26" s="196"/>
      <c r="AS26" s="197"/>
      <c r="AT26" s="362"/>
      <c r="AU26" s="362"/>
      <c r="AV26" s="362"/>
    </row>
    <row r="27" spans="1:48" ht="37.5" customHeight="1" x14ac:dyDescent="0.2">
      <c r="A27" s="379"/>
      <c r="B27" s="365"/>
      <c r="C27" s="365"/>
      <c r="D27" s="365"/>
      <c r="E27" s="361"/>
      <c r="F27" s="365"/>
      <c r="G27" s="337"/>
      <c r="H27" s="337"/>
      <c r="I27" s="337"/>
      <c r="J27" s="337"/>
      <c r="K27" s="337"/>
      <c r="L27" s="337"/>
      <c r="M27" s="337"/>
      <c r="N27" s="337"/>
      <c r="O27" s="337"/>
      <c r="P27" s="337"/>
      <c r="Q27" s="337"/>
      <c r="R27" s="362"/>
      <c r="S27" s="347"/>
      <c r="T27" s="346"/>
      <c r="U27" s="330"/>
      <c r="V27" s="346">
        <f>IF(NOT(ISERROR(MATCH(U27,_xlfn.ANCHORARRAY(E38),0))),T40&amp;"Por favor no seleccionar los criterios de impacto",U27)</f>
        <v>0</v>
      </c>
      <c r="W27" s="347"/>
      <c r="X27" s="346"/>
      <c r="Y27" s="339"/>
      <c r="Z27" s="222">
        <v>3</v>
      </c>
      <c r="AA27" s="187"/>
      <c r="AB27" s="189" t="str">
        <f>IF(OR(AC27="Preventivo",AC27="Detectivo"),"Probabilidad",IF(AC27="Correctivo","Impacto",""))</f>
        <v/>
      </c>
      <c r="AC27" s="190"/>
      <c r="AD27" s="190"/>
      <c r="AE27" s="191" t="str">
        <f t="shared" si="18"/>
        <v/>
      </c>
      <c r="AF27" s="190"/>
      <c r="AG27" s="190"/>
      <c r="AH27" s="190"/>
      <c r="AI27" s="192" t="str">
        <f>IFERROR(IF(AND(AB26="Probabilidad",AB27="Probabilidad"),(AK26-(+AK26*AE27)),IF(AND(AB26="Impacto",AB27="Probabilidad"),(AK25-(+AK25*AE27)),IF(AB27="Impacto",AK26,""))),"")</f>
        <v/>
      </c>
      <c r="AJ27" s="193" t="str">
        <f t="shared" si="2"/>
        <v/>
      </c>
      <c r="AK27" s="191" t="str">
        <f t="shared" si="19"/>
        <v/>
      </c>
      <c r="AL27" s="193" t="str">
        <f t="shared" si="4"/>
        <v/>
      </c>
      <c r="AM27" s="191" t="str">
        <f t="shared" ref="AM27" si="22">IFERROR(IF(AND(AB26="Impacto",AB27="Impacto"),(AM26-(+AM26*AE27)),IF(AND(AB26="Probabilidad",AB27="Impacto"),(AM25-(+AM25*AE27)),IF(AB27="Probabilidad",AM26,""))),"")</f>
        <v/>
      </c>
      <c r="AN27" s="194" t="str">
        <f t="shared" si="21"/>
        <v/>
      </c>
      <c r="AO27" s="195"/>
      <c r="AP27" s="186"/>
      <c r="AQ27" s="196"/>
      <c r="AR27" s="196"/>
      <c r="AS27" s="197"/>
      <c r="AT27" s="362"/>
      <c r="AU27" s="362"/>
      <c r="AV27" s="362"/>
    </row>
    <row r="28" spans="1:48" ht="37.5" customHeight="1" x14ac:dyDescent="0.2">
      <c r="A28" s="379"/>
      <c r="B28" s="365"/>
      <c r="C28" s="365"/>
      <c r="D28" s="365"/>
      <c r="E28" s="361"/>
      <c r="F28" s="365"/>
      <c r="G28" s="337"/>
      <c r="H28" s="337"/>
      <c r="I28" s="337"/>
      <c r="J28" s="337"/>
      <c r="K28" s="337"/>
      <c r="L28" s="337"/>
      <c r="M28" s="337"/>
      <c r="N28" s="337"/>
      <c r="O28" s="337"/>
      <c r="P28" s="337"/>
      <c r="Q28" s="337"/>
      <c r="R28" s="362"/>
      <c r="S28" s="347"/>
      <c r="T28" s="346"/>
      <c r="U28" s="330"/>
      <c r="V28" s="346">
        <f>IF(NOT(ISERROR(MATCH(U28,_xlfn.ANCHORARRAY(E39),0))),T41&amp;"Por favor no seleccionar los criterios de impacto",U28)</f>
        <v>0</v>
      </c>
      <c r="W28" s="347"/>
      <c r="X28" s="346"/>
      <c r="Y28" s="339"/>
      <c r="Z28" s="222">
        <v>4</v>
      </c>
      <c r="AA28" s="187"/>
      <c r="AB28" s="189" t="str">
        <f t="shared" ref="AB28:AB30" si="23">IF(OR(AC28="Preventivo",AC28="Detectivo"),"Probabilidad",IF(AC28="Correctivo","Impacto",""))</f>
        <v/>
      </c>
      <c r="AC28" s="190"/>
      <c r="AD28" s="190"/>
      <c r="AE28" s="191" t="str">
        <f t="shared" si="18"/>
        <v/>
      </c>
      <c r="AF28" s="190"/>
      <c r="AG28" s="190"/>
      <c r="AH28" s="190"/>
      <c r="AI28" s="192" t="str">
        <f t="shared" ref="AI28:AI30" si="24">IFERROR(IF(AND(AB27="Probabilidad",AB28="Probabilidad"),(AK27-(+AK27*AE28)),IF(AND(AB27="Impacto",AB28="Probabilidad"),(AK26-(+AK26*AE28)),IF(AB28="Impacto",AK27,""))),"")</f>
        <v/>
      </c>
      <c r="AJ28" s="193" t="str">
        <f t="shared" si="2"/>
        <v/>
      </c>
      <c r="AK28" s="191" t="str">
        <f t="shared" si="19"/>
        <v/>
      </c>
      <c r="AL28" s="193" t="str">
        <f t="shared" si="4"/>
        <v/>
      </c>
      <c r="AM28" s="191" t="str">
        <f t="shared" si="13"/>
        <v/>
      </c>
      <c r="AN28" s="194" t="str">
        <f>IFERROR(IF(OR(AND(AJ28="Muy Baja",AL28="Leve"),AND(AJ28="Muy Baja",AL28="Menor"),AND(AJ28="Baja",AL28="Leve")),"Bajo",IF(OR(AND(AJ28="Muy baja",AL28="Moderado"),AND(AJ28="Baja",AL28="Menor"),AND(AJ28="Baja",AL28="Moderado"),AND(AJ28="Media",AL28="Leve"),AND(AJ28="Media",AL28="Menor"),AND(AJ28="Media",AL28="Moderado"),AND(AJ28="Alta",AL28="Leve"),AND(AJ28="Alta",AL28="Menor")),"Moderado",IF(OR(AND(AJ28="Muy Baja",AL28="Mayor"),AND(AJ28="Baja",AL28="Mayor"),AND(AJ28="Media",AL28="Mayor"),AND(AJ28="Alta",AL28="Moderado"),AND(AJ28="Alta",AL28="Mayor"),AND(AJ28="Muy Alta",AL28="Leve"),AND(AJ28="Muy Alta",AL28="Menor"),AND(AJ28="Muy Alta",AL28="Moderado"),AND(AJ28="Muy Alta",AL28="Mayor")),"Alto",IF(OR(AND(AJ28="Muy Baja",AL28="Catastrófico"),AND(AJ28="Baja",AL28="Catastrófico"),AND(AJ28="Media",AL28="Catastrófico"),AND(AJ28="Alta",AL28="Catastrófico"),AND(AJ28="Muy Alta",AL28="Catastrófico")),"Extremo","")))),"")</f>
        <v/>
      </c>
      <c r="AO28" s="195"/>
      <c r="AP28" s="186"/>
      <c r="AQ28" s="196"/>
      <c r="AR28" s="196"/>
      <c r="AS28" s="197"/>
      <c r="AT28" s="362"/>
      <c r="AU28" s="362"/>
      <c r="AV28" s="362"/>
    </row>
    <row r="29" spans="1:48" ht="37.5" customHeight="1" x14ac:dyDescent="0.2">
      <c r="A29" s="379"/>
      <c r="B29" s="365"/>
      <c r="C29" s="365"/>
      <c r="D29" s="365"/>
      <c r="E29" s="361"/>
      <c r="F29" s="365"/>
      <c r="G29" s="337"/>
      <c r="H29" s="337"/>
      <c r="I29" s="337"/>
      <c r="J29" s="337"/>
      <c r="K29" s="337"/>
      <c r="L29" s="337"/>
      <c r="M29" s="337"/>
      <c r="N29" s="337"/>
      <c r="O29" s="337"/>
      <c r="P29" s="337"/>
      <c r="Q29" s="337"/>
      <c r="R29" s="362"/>
      <c r="S29" s="347"/>
      <c r="T29" s="346"/>
      <c r="U29" s="330"/>
      <c r="V29" s="346">
        <f>IF(NOT(ISERROR(MATCH(U29,_xlfn.ANCHORARRAY(E40),0))),T42&amp;"Por favor no seleccionar los criterios de impacto",U29)</f>
        <v>0</v>
      </c>
      <c r="W29" s="347"/>
      <c r="X29" s="346"/>
      <c r="Y29" s="339"/>
      <c r="Z29" s="222">
        <v>5</v>
      </c>
      <c r="AA29" s="187"/>
      <c r="AB29" s="189" t="str">
        <f t="shared" si="23"/>
        <v/>
      </c>
      <c r="AC29" s="190"/>
      <c r="AD29" s="190"/>
      <c r="AE29" s="191" t="str">
        <f t="shared" si="18"/>
        <v/>
      </c>
      <c r="AF29" s="190"/>
      <c r="AG29" s="190"/>
      <c r="AH29" s="190"/>
      <c r="AI29" s="192" t="str">
        <f t="shared" si="24"/>
        <v/>
      </c>
      <c r="AJ29" s="193" t="str">
        <f t="shared" si="2"/>
        <v/>
      </c>
      <c r="AK29" s="191" t="str">
        <f t="shared" si="19"/>
        <v/>
      </c>
      <c r="AL29" s="193" t="str">
        <f t="shared" si="4"/>
        <v/>
      </c>
      <c r="AM29" s="191" t="str">
        <f t="shared" si="13"/>
        <v/>
      </c>
      <c r="AN29" s="194" t="str">
        <f t="shared" ref="AN29:AN30" si="25">IFERROR(IF(OR(AND(AJ29="Muy Baja",AL29="Leve"),AND(AJ29="Muy Baja",AL29="Menor"),AND(AJ29="Baja",AL29="Leve")),"Bajo",IF(OR(AND(AJ29="Muy baja",AL29="Moderado"),AND(AJ29="Baja",AL29="Menor"),AND(AJ29="Baja",AL29="Moderado"),AND(AJ29="Media",AL29="Leve"),AND(AJ29="Media",AL29="Menor"),AND(AJ29="Media",AL29="Moderado"),AND(AJ29="Alta",AL29="Leve"),AND(AJ29="Alta",AL29="Menor")),"Moderado",IF(OR(AND(AJ29="Muy Baja",AL29="Mayor"),AND(AJ29="Baja",AL29="Mayor"),AND(AJ29="Media",AL29="Mayor"),AND(AJ29="Alta",AL29="Moderado"),AND(AJ29="Alta",AL29="Mayor"),AND(AJ29="Muy Alta",AL29="Leve"),AND(AJ29="Muy Alta",AL29="Menor"),AND(AJ29="Muy Alta",AL29="Moderado"),AND(AJ29="Muy Alta",AL29="Mayor")),"Alto",IF(OR(AND(AJ29="Muy Baja",AL29="Catastrófico"),AND(AJ29="Baja",AL29="Catastrófico"),AND(AJ29="Media",AL29="Catastrófico"),AND(AJ29="Alta",AL29="Catastrófico"),AND(AJ29="Muy Alta",AL29="Catastrófico")),"Extremo","")))),"")</f>
        <v/>
      </c>
      <c r="AO29" s="195"/>
      <c r="AP29" s="186"/>
      <c r="AQ29" s="196"/>
      <c r="AR29" s="196"/>
      <c r="AS29" s="197"/>
      <c r="AT29" s="362"/>
      <c r="AU29" s="362"/>
      <c r="AV29" s="362"/>
    </row>
    <row r="30" spans="1:48" ht="37.5" customHeight="1" x14ac:dyDescent="0.2">
      <c r="A30" s="379"/>
      <c r="B30" s="365"/>
      <c r="C30" s="365"/>
      <c r="D30" s="365"/>
      <c r="E30" s="361"/>
      <c r="F30" s="365"/>
      <c r="G30" s="338"/>
      <c r="H30" s="338"/>
      <c r="I30" s="338"/>
      <c r="J30" s="338"/>
      <c r="K30" s="338"/>
      <c r="L30" s="338"/>
      <c r="M30" s="338"/>
      <c r="N30" s="338"/>
      <c r="O30" s="338"/>
      <c r="P30" s="338"/>
      <c r="Q30" s="338"/>
      <c r="R30" s="362"/>
      <c r="S30" s="347"/>
      <c r="T30" s="346"/>
      <c r="U30" s="330"/>
      <c r="V30" s="346">
        <f>IF(NOT(ISERROR(MATCH(U30,_xlfn.ANCHORARRAY(E41),0))),T43&amp;"Por favor no seleccionar los criterios de impacto",U30)</f>
        <v>0</v>
      </c>
      <c r="W30" s="347"/>
      <c r="X30" s="346"/>
      <c r="Y30" s="339"/>
      <c r="Z30" s="222">
        <v>6</v>
      </c>
      <c r="AA30" s="187"/>
      <c r="AB30" s="189" t="str">
        <f t="shared" si="23"/>
        <v/>
      </c>
      <c r="AC30" s="190"/>
      <c r="AD30" s="190"/>
      <c r="AE30" s="191" t="str">
        <f t="shared" si="18"/>
        <v/>
      </c>
      <c r="AF30" s="190"/>
      <c r="AG30" s="190"/>
      <c r="AH30" s="190"/>
      <c r="AI30" s="192" t="str">
        <f t="shared" si="24"/>
        <v/>
      </c>
      <c r="AJ30" s="193" t="str">
        <f t="shared" si="2"/>
        <v/>
      </c>
      <c r="AK30" s="191" t="str">
        <f t="shared" si="19"/>
        <v/>
      </c>
      <c r="AL30" s="193" t="str">
        <f t="shared" si="4"/>
        <v/>
      </c>
      <c r="AM30" s="191" t="str">
        <f t="shared" si="13"/>
        <v/>
      </c>
      <c r="AN30" s="194" t="str">
        <f t="shared" si="25"/>
        <v/>
      </c>
      <c r="AO30" s="195"/>
      <c r="AP30" s="186"/>
      <c r="AQ30" s="196"/>
      <c r="AR30" s="196"/>
      <c r="AS30" s="197"/>
      <c r="AT30" s="362"/>
      <c r="AU30" s="362"/>
      <c r="AV30" s="362"/>
    </row>
    <row r="31" spans="1:48" ht="37.5" customHeight="1" x14ac:dyDescent="0.2">
      <c r="A31" s="379">
        <v>4</v>
      </c>
      <c r="B31" s="365"/>
      <c r="C31" s="365"/>
      <c r="D31" s="365"/>
      <c r="E31" s="365"/>
      <c r="F31" s="365"/>
      <c r="G31" s="336"/>
      <c r="H31" s="336"/>
      <c r="I31" s="336"/>
      <c r="J31" s="336"/>
      <c r="K31" s="336"/>
      <c r="L31" s="336"/>
      <c r="M31" s="336"/>
      <c r="N31" s="336"/>
      <c r="O31" s="336"/>
      <c r="P31" s="336"/>
      <c r="Q31" s="336"/>
      <c r="R31" s="362"/>
      <c r="S31" s="347" t="str">
        <f>IF(R31&lt;=0,"",IF(R31&lt;=2,"Muy Baja",IF(R31&lt;=24,"Baja",IF(R31&lt;=500,"Media",IF(R31&lt;=5000,"Alta","Muy Alta")))))</f>
        <v/>
      </c>
      <c r="T31" s="346" t="str">
        <f>IF(S31="","",IF(S31="Muy Baja",0.2,IF(S31="Baja",0.4,IF(S31="Media",0.6,IF(S31="Alta",0.8,IF(S31="Muy Alta",1,))))))</f>
        <v/>
      </c>
      <c r="U31" s="330"/>
      <c r="V31" s="346">
        <f>IF(NOT(ISERROR(MATCH(U31,'Tabla Impacto'!$B$222:$B$224,0))),'Tabla Impacto'!$F$224&amp;"Por favor no seleccionar los criterios de impacto(Afectación Económica o presupuestal y Pérdida Reputacional)",U31)</f>
        <v>0</v>
      </c>
      <c r="W31" s="347" t="str">
        <f>IF(OR(V31='Tabla Impacto'!$C$12,V31='Tabla Impacto'!$D$12),"Leve",IF(OR(V31='Tabla Impacto'!$C$13,V31='Tabla Impacto'!$D$13),"Menor",IF(OR(V31='Tabla Impacto'!$C$14,V31='Tabla Impacto'!$D$14),"Moderado",IF(OR(V31='Tabla Impacto'!$C$15,V31='Tabla Impacto'!$D$15),"Mayor",IF(OR(V31='Tabla Impacto'!$C$16,V31='Tabla Impacto'!$D$16),"Catastrófico","")))))</f>
        <v/>
      </c>
      <c r="X31" s="346" t="str">
        <f>IF(W31="","",IF(W31="Leve",0.2,IF(W31="Menor",0.4,IF(W31="Moderado",0.6,IF(W31="Mayor",0.8,IF(W31="Catastrófico",1,))))))</f>
        <v/>
      </c>
      <c r="Y31" s="339" t="str">
        <f>IF(OR(AND(S31="Muy Baja",W31="Leve"),AND(S31="Muy Baja",W31="Menor"),AND(S31="Baja",W31="Leve")),"Bajo",IF(OR(AND(S31="Muy baja",W31="Moderado"),AND(S31="Baja",W31="Menor"),AND(S31="Baja",W31="Moderado"),AND(S31="Media",W31="Leve"),AND(S31="Media",W31="Menor"),AND(S31="Media",W31="Moderado"),AND(S31="Alta",W31="Leve"),AND(S31="Alta",W31="Menor")),"Moderado",IF(OR(AND(S31="Muy Baja",W31="Mayor"),AND(S31="Baja",W31="Mayor"),AND(S31="Media",W31="Mayor"),AND(S31="Alta",W31="Moderado"),AND(S31="Alta",W31="Mayor"),AND(S31="Muy Alta",W31="Leve"),AND(S31="Muy Alta",W31="Menor"),AND(S31="Muy Alta",W31="Moderado"),AND(S31="Muy Alta",W31="Mayor")),"Alto",IF(OR(AND(S31="Muy Baja",W31="Catastrófico"),AND(S31="Baja",W31="Catastrófico"),AND(S31="Media",W31="Catastrófico"),AND(S31="Alta",W31="Catastrófico"),AND(S31="Muy Alta",W31="Catastrófico")),"Extremo",""))))</f>
        <v/>
      </c>
      <c r="Z31" s="222">
        <v>1</v>
      </c>
      <c r="AA31" s="187"/>
      <c r="AB31" s="189" t="str">
        <f>IF(OR(AC31="Preventivo",AC31="Detectivo"),"Probabilidad",IF(AC31="Correctivo","Impacto",""))</f>
        <v/>
      </c>
      <c r="AC31" s="190"/>
      <c r="AD31" s="190"/>
      <c r="AE31" s="191" t="str">
        <f>IF(AND(AC31="Preventivo",AD31="Automático"),"50%",IF(AND(AC31="Preventivo",AD31="Manual"),"40%",IF(AND(AC31="Detectivo",AD31="Automático"),"40%",IF(AND(AC31="Detectivo",AD31="Manual"),"30%",IF(AND(AC31="Correctivo",AD31="Automático"),"35%",IF(AND(AC31="Correctivo",AD31="Manual"),"25%",""))))))</f>
        <v/>
      </c>
      <c r="AF31" s="190"/>
      <c r="AG31" s="190"/>
      <c r="AH31" s="190"/>
      <c r="AI31" s="192" t="str">
        <f>IFERROR(IF(AB31="Probabilidad",(T31-(+T31*AE31)),IF(AB31="Impacto",T31,"")),"")</f>
        <v/>
      </c>
      <c r="AJ31" s="193" t="str">
        <f>IFERROR(IF(AI31="","",IF(AI31&lt;=0.2,"Muy Baja",IF(AI31&lt;=0.4,"Baja",IF(AI31&lt;=0.6,"Media",IF(AI31&lt;=0.8,"Alta","Muy Alta"))))),"")</f>
        <v/>
      </c>
      <c r="AK31" s="191" t="str">
        <f>+AI31</f>
        <v/>
      </c>
      <c r="AL31" s="193" t="str">
        <f>IFERROR(IF(AM31="","",IF(AM31&lt;=0.2,"Leve",IF(AM31&lt;=0.4,"Menor",IF(AM31&lt;=0.6,"Moderado",IF(AM31&lt;=0.8,"Mayor","Catastrófico"))))),"")</f>
        <v/>
      </c>
      <c r="AM31" s="191" t="str">
        <f t="shared" ref="AM31" si="26">IFERROR(IF(AB31="Impacto",(X31-(+X31*AE31)),IF(AB31="Probabilidad",X31,"")),"")</f>
        <v/>
      </c>
      <c r="AN31" s="194" t="str">
        <f>IFERROR(IF(OR(AND(AJ31="Muy Baja",AL31="Leve"),AND(AJ31="Muy Baja",AL31="Menor"),AND(AJ31="Baja",AL31="Leve")),"Bajo",IF(OR(AND(AJ31="Muy baja",AL31="Moderado"),AND(AJ31="Baja",AL31="Menor"),AND(AJ31="Baja",AL31="Moderado"),AND(AJ31="Media",AL31="Leve"),AND(AJ31="Media",AL31="Menor"),AND(AJ31="Media",AL31="Moderado"),AND(AJ31="Alta",AL31="Leve"),AND(AJ31="Alta",AL31="Menor")),"Moderado",IF(OR(AND(AJ31="Muy Baja",AL31="Mayor"),AND(AJ31="Baja",AL31="Mayor"),AND(AJ31="Media",AL31="Mayor"),AND(AJ31="Alta",AL31="Moderado"),AND(AJ31="Alta",AL31="Mayor"),AND(AJ31="Muy Alta",AL31="Leve"),AND(AJ31="Muy Alta",AL31="Menor"),AND(AJ31="Muy Alta",AL31="Moderado"),AND(AJ31="Muy Alta",AL31="Mayor")),"Alto",IF(OR(AND(AJ31="Muy Baja",AL31="Catastrófico"),AND(AJ31="Baja",AL31="Catastrófico"),AND(AJ31="Media",AL31="Catastrófico"),AND(AJ31="Alta",AL31="Catastrófico"),AND(AJ31="Muy Alta",AL31="Catastrófico")),"Extremo","")))),"")</f>
        <v/>
      </c>
      <c r="AO31" s="195"/>
      <c r="AP31" s="186"/>
      <c r="AQ31" s="196"/>
      <c r="AR31" s="196"/>
      <c r="AS31" s="197"/>
      <c r="AT31" s="362"/>
      <c r="AU31" s="362"/>
      <c r="AV31" s="362"/>
    </row>
    <row r="32" spans="1:48" ht="37.5" customHeight="1" x14ac:dyDescent="0.2">
      <c r="A32" s="379"/>
      <c r="B32" s="365"/>
      <c r="C32" s="365"/>
      <c r="D32" s="365"/>
      <c r="E32" s="365"/>
      <c r="F32" s="365"/>
      <c r="G32" s="337"/>
      <c r="H32" s="337"/>
      <c r="I32" s="337"/>
      <c r="J32" s="337"/>
      <c r="K32" s="337"/>
      <c r="L32" s="337"/>
      <c r="M32" s="337"/>
      <c r="N32" s="337"/>
      <c r="O32" s="337"/>
      <c r="P32" s="337"/>
      <c r="Q32" s="337"/>
      <c r="R32" s="362"/>
      <c r="S32" s="347"/>
      <c r="T32" s="346"/>
      <c r="U32" s="330"/>
      <c r="V32" s="346">
        <f>IF(NOT(ISERROR(MATCH(U32,_xlfn.ANCHORARRAY(E43),0))),T45&amp;"Por favor no seleccionar los criterios de impacto",U32)</f>
        <v>0</v>
      </c>
      <c r="W32" s="347"/>
      <c r="X32" s="346"/>
      <c r="Y32" s="339"/>
      <c r="Z32" s="222">
        <v>2</v>
      </c>
      <c r="AA32" s="187"/>
      <c r="AB32" s="189" t="str">
        <f>IF(OR(AC32="Preventivo",AC32="Detectivo"),"Probabilidad",IF(AC32="Correctivo","Impacto",""))</f>
        <v/>
      </c>
      <c r="AC32" s="190"/>
      <c r="AD32" s="190"/>
      <c r="AE32" s="191" t="str">
        <f t="shared" ref="AE32:AE36" si="27">IF(AND(AC32="Preventivo",AD32="Automático"),"50%",IF(AND(AC32="Preventivo",AD32="Manual"),"40%",IF(AND(AC32="Detectivo",AD32="Automático"),"40%",IF(AND(AC32="Detectivo",AD32="Manual"),"30%",IF(AND(AC32="Correctivo",AD32="Automático"),"35%",IF(AND(AC32="Correctivo",AD32="Manual"),"25%",""))))))</f>
        <v/>
      </c>
      <c r="AF32" s="190"/>
      <c r="AG32" s="190"/>
      <c r="AH32" s="190"/>
      <c r="AI32" s="192" t="str">
        <f>IFERROR(IF(AND(AB31="Probabilidad",AB32="Probabilidad"),(AK31-(+AK31*AE32)),IF(AB32="Probabilidad",(T31-(+T31*AE32)),IF(AB32="Impacto",AK31,""))),"")</f>
        <v/>
      </c>
      <c r="AJ32" s="193" t="str">
        <f t="shared" si="2"/>
        <v/>
      </c>
      <c r="AK32" s="191" t="str">
        <f t="shared" ref="AK32:AK36" si="28">+AI32</f>
        <v/>
      </c>
      <c r="AL32" s="193" t="str">
        <f t="shared" si="4"/>
        <v/>
      </c>
      <c r="AM32" s="191" t="str">
        <f t="shared" ref="AM32" si="29">IFERROR(IF(AND(AB31="Impacto",AB32="Impacto"),(AM31-(+AM31*AE32)),IF(AB32="Impacto",($X$13-(+$X$13*AE32)),IF(AB32="Probabilidad",AM31,""))),"")</f>
        <v/>
      </c>
      <c r="AN32" s="194" t="str">
        <f t="shared" ref="AN32:AN33" si="30">IFERROR(IF(OR(AND(AJ32="Muy Baja",AL32="Leve"),AND(AJ32="Muy Baja",AL32="Menor"),AND(AJ32="Baja",AL32="Leve")),"Bajo",IF(OR(AND(AJ32="Muy baja",AL32="Moderado"),AND(AJ32="Baja",AL32="Menor"),AND(AJ32="Baja",AL32="Moderado"),AND(AJ32="Media",AL32="Leve"),AND(AJ32="Media",AL32="Menor"),AND(AJ32="Media",AL32="Moderado"),AND(AJ32="Alta",AL32="Leve"),AND(AJ32="Alta",AL32="Menor")),"Moderado",IF(OR(AND(AJ32="Muy Baja",AL32="Mayor"),AND(AJ32="Baja",AL32="Mayor"),AND(AJ32="Media",AL32="Mayor"),AND(AJ32="Alta",AL32="Moderado"),AND(AJ32="Alta",AL32="Mayor"),AND(AJ32="Muy Alta",AL32="Leve"),AND(AJ32="Muy Alta",AL32="Menor"),AND(AJ32="Muy Alta",AL32="Moderado"),AND(AJ32="Muy Alta",AL32="Mayor")),"Alto",IF(OR(AND(AJ32="Muy Baja",AL32="Catastrófico"),AND(AJ32="Baja",AL32="Catastrófico"),AND(AJ32="Media",AL32="Catastrófico"),AND(AJ32="Alta",AL32="Catastrófico"),AND(AJ32="Muy Alta",AL32="Catastrófico")),"Extremo","")))),"")</f>
        <v/>
      </c>
      <c r="AO32" s="195"/>
      <c r="AP32" s="186"/>
      <c r="AQ32" s="196"/>
      <c r="AR32" s="196"/>
      <c r="AS32" s="197"/>
      <c r="AT32" s="362"/>
      <c r="AU32" s="362"/>
      <c r="AV32" s="362"/>
    </row>
    <row r="33" spans="1:48" ht="37.5" customHeight="1" x14ac:dyDescent="0.2">
      <c r="A33" s="379"/>
      <c r="B33" s="365"/>
      <c r="C33" s="365"/>
      <c r="D33" s="365"/>
      <c r="E33" s="365"/>
      <c r="F33" s="365"/>
      <c r="G33" s="337"/>
      <c r="H33" s="337"/>
      <c r="I33" s="337"/>
      <c r="J33" s="337"/>
      <c r="K33" s="337"/>
      <c r="L33" s="337"/>
      <c r="M33" s="337"/>
      <c r="N33" s="337"/>
      <c r="O33" s="337"/>
      <c r="P33" s="337"/>
      <c r="Q33" s="337"/>
      <c r="R33" s="362"/>
      <c r="S33" s="347"/>
      <c r="T33" s="346"/>
      <c r="U33" s="330"/>
      <c r="V33" s="346">
        <f>IF(NOT(ISERROR(MATCH(U33,_xlfn.ANCHORARRAY(E44),0))),T46&amp;"Por favor no seleccionar los criterios de impacto",U33)</f>
        <v>0</v>
      </c>
      <c r="W33" s="347"/>
      <c r="X33" s="346"/>
      <c r="Y33" s="339"/>
      <c r="Z33" s="222">
        <v>3</v>
      </c>
      <c r="AA33" s="188"/>
      <c r="AB33" s="189" t="str">
        <f>IF(OR(AC33="Preventivo",AC33="Detectivo"),"Probabilidad",IF(AC33="Correctivo","Impacto",""))</f>
        <v/>
      </c>
      <c r="AC33" s="190"/>
      <c r="AD33" s="190"/>
      <c r="AE33" s="191" t="str">
        <f t="shared" si="27"/>
        <v/>
      </c>
      <c r="AF33" s="190"/>
      <c r="AG33" s="190"/>
      <c r="AH33" s="190"/>
      <c r="AI33" s="192" t="str">
        <f>IFERROR(IF(AND(AB32="Probabilidad",AB33="Probabilidad"),(AK32-(+AK32*AE33)),IF(AND(AB32="Impacto",AB33="Probabilidad"),(AK31-(+AK31*AE33)),IF(AB33="Impacto",AK32,""))),"")</f>
        <v/>
      </c>
      <c r="AJ33" s="193" t="str">
        <f t="shared" si="2"/>
        <v/>
      </c>
      <c r="AK33" s="191" t="str">
        <f t="shared" si="28"/>
        <v/>
      </c>
      <c r="AL33" s="193" t="str">
        <f t="shared" si="4"/>
        <v/>
      </c>
      <c r="AM33" s="191" t="str">
        <f t="shared" ref="AM33" si="31">IFERROR(IF(AND(AB32="Impacto",AB33="Impacto"),(AM32-(+AM32*AE33)),IF(AND(AB32="Probabilidad",AB33="Impacto"),(AM31-(+AM31*AE33)),IF(AB33="Probabilidad",AM32,""))),"")</f>
        <v/>
      </c>
      <c r="AN33" s="194" t="str">
        <f t="shared" si="30"/>
        <v/>
      </c>
      <c r="AO33" s="195"/>
      <c r="AP33" s="186"/>
      <c r="AQ33" s="196"/>
      <c r="AR33" s="196"/>
      <c r="AS33" s="197"/>
      <c r="AT33" s="362"/>
      <c r="AU33" s="362"/>
      <c r="AV33" s="362"/>
    </row>
    <row r="34" spans="1:48" ht="37.5" customHeight="1" x14ac:dyDescent="0.2">
      <c r="A34" s="379"/>
      <c r="B34" s="365"/>
      <c r="C34" s="365"/>
      <c r="D34" s="365"/>
      <c r="E34" s="365"/>
      <c r="F34" s="365"/>
      <c r="G34" s="337"/>
      <c r="H34" s="337"/>
      <c r="I34" s="337"/>
      <c r="J34" s="337"/>
      <c r="K34" s="337"/>
      <c r="L34" s="337"/>
      <c r="M34" s="337"/>
      <c r="N34" s="337"/>
      <c r="O34" s="337"/>
      <c r="P34" s="337"/>
      <c r="Q34" s="337"/>
      <c r="R34" s="362"/>
      <c r="S34" s="347"/>
      <c r="T34" s="346"/>
      <c r="U34" s="330"/>
      <c r="V34" s="346">
        <f>IF(NOT(ISERROR(MATCH(U34,_xlfn.ANCHORARRAY(E45),0))),T47&amp;"Por favor no seleccionar los criterios de impacto",U34)</f>
        <v>0</v>
      </c>
      <c r="W34" s="347"/>
      <c r="X34" s="346"/>
      <c r="Y34" s="339"/>
      <c r="Z34" s="222">
        <v>4</v>
      </c>
      <c r="AA34" s="187"/>
      <c r="AB34" s="189" t="str">
        <f t="shared" ref="AB34:AB36" si="32">IF(OR(AC34="Preventivo",AC34="Detectivo"),"Probabilidad",IF(AC34="Correctivo","Impacto",""))</f>
        <v/>
      </c>
      <c r="AC34" s="190"/>
      <c r="AD34" s="190"/>
      <c r="AE34" s="191" t="str">
        <f t="shared" si="27"/>
        <v/>
      </c>
      <c r="AF34" s="190"/>
      <c r="AG34" s="190"/>
      <c r="AH34" s="190"/>
      <c r="AI34" s="192" t="str">
        <f t="shared" ref="AI34:AI36" si="33">IFERROR(IF(AND(AB33="Probabilidad",AB34="Probabilidad"),(AK33-(+AK33*AE34)),IF(AND(AB33="Impacto",AB34="Probabilidad"),(AK32-(+AK32*AE34)),IF(AB34="Impacto",AK33,""))),"")</f>
        <v/>
      </c>
      <c r="AJ34" s="193" t="str">
        <f t="shared" si="2"/>
        <v/>
      </c>
      <c r="AK34" s="191" t="str">
        <f t="shared" si="28"/>
        <v/>
      </c>
      <c r="AL34" s="193" t="str">
        <f t="shared" si="4"/>
        <v/>
      </c>
      <c r="AM34" s="191" t="str">
        <f t="shared" si="13"/>
        <v/>
      </c>
      <c r="AN34" s="194" t="str">
        <f>IFERROR(IF(OR(AND(AJ34="Muy Baja",AL34="Leve"),AND(AJ34="Muy Baja",AL34="Menor"),AND(AJ34="Baja",AL34="Leve")),"Bajo",IF(OR(AND(AJ34="Muy baja",AL34="Moderado"),AND(AJ34="Baja",AL34="Menor"),AND(AJ34="Baja",AL34="Moderado"),AND(AJ34="Media",AL34="Leve"),AND(AJ34="Media",AL34="Menor"),AND(AJ34="Media",AL34="Moderado"),AND(AJ34="Alta",AL34="Leve"),AND(AJ34="Alta",AL34="Menor")),"Moderado",IF(OR(AND(AJ34="Muy Baja",AL34="Mayor"),AND(AJ34="Baja",AL34="Mayor"),AND(AJ34="Media",AL34="Mayor"),AND(AJ34="Alta",AL34="Moderado"),AND(AJ34="Alta",AL34="Mayor"),AND(AJ34="Muy Alta",AL34="Leve"),AND(AJ34="Muy Alta",AL34="Menor"),AND(AJ34="Muy Alta",AL34="Moderado"),AND(AJ34="Muy Alta",AL34="Mayor")),"Alto",IF(OR(AND(AJ34="Muy Baja",AL34="Catastrófico"),AND(AJ34="Baja",AL34="Catastrófico"),AND(AJ34="Media",AL34="Catastrófico"),AND(AJ34="Alta",AL34="Catastrófico"),AND(AJ34="Muy Alta",AL34="Catastrófico")),"Extremo","")))),"")</f>
        <v/>
      </c>
      <c r="AO34" s="195"/>
      <c r="AP34" s="186"/>
      <c r="AQ34" s="196"/>
      <c r="AR34" s="196"/>
      <c r="AS34" s="197"/>
      <c r="AT34" s="362"/>
      <c r="AU34" s="362"/>
      <c r="AV34" s="362"/>
    </row>
    <row r="35" spans="1:48" ht="37.5" customHeight="1" x14ac:dyDescent="0.2">
      <c r="A35" s="379"/>
      <c r="B35" s="365"/>
      <c r="C35" s="365"/>
      <c r="D35" s="365"/>
      <c r="E35" s="365"/>
      <c r="F35" s="365"/>
      <c r="G35" s="337"/>
      <c r="H35" s="337"/>
      <c r="I35" s="337"/>
      <c r="J35" s="337"/>
      <c r="K35" s="337"/>
      <c r="L35" s="337"/>
      <c r="M35" s="337"/>
      <c r="N35" s="337"/>
      <c r="O35" s="337"/>
      <c r="P35" s="337"/>
      <c r="Q35" s="337"/>
      <c r="R35" s="362"/>
      <c r="S35" s="347"/>
      <c r="T35" s="346"/>
      <c r="U35" s="330"/>
      <c r="V35" s="346">
        <f>IF(NOT(ISERROR(MATCH(U35,_xlfn.ANCHORARRAY(E46),0))),T48&amp;"Por favor no seleccionar los criterios de impacto",U35)</f>
        <v>0</v>
      </c>
      <c r="W35" s="347"/>
      <c r="X35" s="346"/>
      <c r="Y35" s="339"/>
      <c r="Z35" s="222">
        <v>5</v>
      </c>
      <c r="AA35" s="187"/>
      <c r="AB35" s="189" t="str">
        <f t="shared" si="32"/>
        <v/>
      </c>
      <c r="AC35" s="190"/>
      <c r="AD35" s="190"/>
      <c r="AE35" s="191" t="str">
        <f t="shared" si="27"/>
        <v/>
      </c>
      <c r="AF35" s="190"/>
      <c r="AG35" s="190"/>
      <c r="AH35" s="190"/>
      <c r="AI35" s="192" t="str">
        <f t="shared" si="33"/>
        <v/>
      </c>
      <c r="AJ35" s="193" t="str">
        <f>IFERROR(IF(AI35="","",IF(AI35&lt;=0.2,"Muy Baja",IF(AI35&lt;=0.4,"Baja",IF(AI35&lt;=0.6,"Media",IF(AI35&lt;=0.8,"Alta","Muy Alta"))))),"")</f>
        <v/>
      </c>
      <c r="AK35" s="191" t="str">
        <f t="shared" si="28"/>
        <v/>
      </c>
      <c r="AL35" s="193" t="str">
        <f t="shared" si="4"/>
        <v/>
      </c>
      <c r="AM35" s="191" t="str">
        <f t="shared" si="13"/>
        <v/>
      </c>
      <c r="AN35" s="194" t="str">
        <f t="shared" ref="AN35:AN36" si="34">IFERROR(IF(OR(AND(AJ35="Muy Baja",AL35="Leve"),AND(AJ35="Muy Baja",AL35="Menor"),AND(AJ35="Baja",AL35="Leve")),"Bajo",IF(OR(AND(AJ35="Muy baja",AL35="Moderado"),AND(AJ35="Baja",AL35="Menor"),AND(AJ35="Baja",AL35="Moderado"),AND(AJ35="Media",AL35="Leve"),AND(AJ35="Media",AL35="Menor"),AND(AJ35="Media",AL35="Moderado"),AND(AJ35="Alta",AL35="Leve"),AND(AJ35="Alta",AL35="Menor")),"Moderado",IF(OR(AND(AJ35="Muy Baja",AL35="Mayor"),AND(AJ35="Baja",AL35="Mayor"),AND(AJ35="Media",AL35="Mayor"),AND(AJ35="Alta",AL35="Moderado"),AND(AJ35="Alta",AL35="Mayor"),AND(AJ35="Muy Alta",AL35="Leve"),AND(AJ35="Muy Alta",AL35="Menor"),AND(AJ35="Muy Alta",AL35="Moderado"),AND(AJ35="Muy Alta",AL35="Mayor")),"Alto",IF(OR(AND(AJ35="Muy Baja",AL35="Catastrófico"),AND(AJ35="Baja",AL35="Catastrófico"),AND(AJ35="Media",AL35="Catastrófico"),AND(AJ35="Alta",AL35="Catastrófico"),AND(AJ35="Muy Alta",AL35="Catastrófico")),"Extremo","")))),"")</f>
        <v/>
      </c>
      <c r="AO35" s="195"/>
      <c r="AP35" s="186"/>
      <c r="AQ35" s="196"/>
      <c r="AR35" s="196"/>
      <c r="AS35" s="197"/>
      <c r="AT35" s="362"/>
      <c r="AU35" s="362"/>
      <c r="AV35" s="362"/>
    </row>
    <row r="36" spans="1:48" ht="37.5" customHeight="1" x14ac:dyDescent="0.2">
      <c r="A36" s="379"/>
      <c r="B36" s="365"/>
      <c r="C36" s="365"/>
      <c r="D36" s="365"/>
      <c r="E36" s="365"/>
      <c r="F36" s="365"/>
      <c r="G36" s="338"/>
      <c r="H36" s="338"/>
      <c r="I36" s="338"/>
      <c r="J36" s="338"/>
      <c r="K36" s="338"/>
      <c r="L36" s="338"/>
      <c r="M36" s="338"/>
      <c r="N36" s="338"/>
      <c r="O36" s="338"/>
      <c r="P36" s="338"/>
      <c r="Q36" s="338"/>
      <c r="R36" s="362"/>
      <c r="S36" s="347"/>
      <c r="T36" s="346"/>
      <c r="U36" s="330"/>
      <c r="V36" s="346">
        <f>IF(NOT(ISERROR(MATCH(U36,_xlfn.ANCHORARRAY(E47),0))),T49&amp;"Por favor no seleccionar los criterios de impacto",U36)</f>
        <v>0</v>
      </c>
      <c r="W36" s="347"/>
      <c r="X36" s="346"/>
      <c r="Y36" s="339"/>
      <c r="Z36" s="222">
        <v>6</v>
      </c>
      <c r="AA36" s="187"/>
      <c r="AB36" s="189" t="str">
        <f t="shared" si="32"/>
        <v/>
      </c>
      <c r="AC36" s="190"/>
      <c r="AD36" s="190"/>
      <c r="AE36" s="191" t="str">
        <f t="shared" si="27"/>
        <v/>
      </c>
      <c r="AF36" s="190"/>
      <c r="AG36" s="190"/>
      <c r="AH36" s="190"/>
      <c r="AI36" s="192" t="str">
        <f t="shared" si="33"/>
        <v/>
      </c>
      <c r="AJ36" s="193" t="str">
        <f t="shared" si="2"/>
        <v/>
      </c>
      <c r="AK36" s="191" t="str">
        <f t="shared" si="28"/>
        <v/>
      </c>
      <c r="AL36" s="193" t="str">
        <f t="shared" si="4"/>
        <v/>
      </c>
      <c r="AM36" s="191" t="str">
        <f t="shared" si="13"/>
        <v/>
      </c>
      <c r="AN36" s="194" t="str">
        <f t="shared" si="34"/>
        <v/>
      </c>
      <c r="AO36" s="195"/>
      <c r="AP36" s="186"/>
      <c r="AQ36" s="196"/>
      <c r="AR36" s="196"/>
      <c r="AS36" s="197"/>
      <c r="AT36" s="362"/>
      <c r="AU36" s="362"/>
      <c r="AV36" s="362"/>
    </row>
    <row r="37" spans="1:48" ht="37.5" customHeight="1" x14ac:dyDescent="0.2">
      <c r="A37" s="379">
        <v>5</v>
      </c>
      <c r="B37" s="365"/>
      <c r="C37" s="365"/>
      <c r="D37" s="365"/>
      <c r="E37" s="365"/>
      <c r="F37" s="365"/>
      <c r="G37" s="336"/>
      <c r="H37" s="336"/>
      <c r="I37" s="336"/>
      <c r="J37" s="336"/>
      <c r="K37" s="336"/>
      <c r="L37" s="336"/>
      <c r="M37" s="336"/>
      <c r="N37" s="336"/>
      <c r="O37" s="336"/>
      <c r="P37" s="336"/>
      <c r="Q37" s="336"/>
      <c r="R37" s="362"/>
      <c r="S37" s="347" t="str">
        <f>IF(R37&lt;=0,"",IF(R37&lt;=2,"Muy Baja",IF(R37&lt;=24,"Baja",IF(R37&lt;=500,"Media",IF(R37&lt;=5000,"Alta","Muy Alta")))))</f>
        <v/>
      </c>
      <c r="T37" s="346" t="str">
        <f>IF(S37="","",IF(S37="Muy Baja",0.2,IF(S37="Baja",0.4,IF(S37="Media",0.6,IF(S37="Alta",0.8,IF(S37="Muy Alta",1,))))))</f>
        <v/>
      </c>
      <c r="U37" s="330"/>
      <c r="V37" s="346">
        <f>IF(NOT(ISERROR(MATCH(U37,'Tabla Impacto'!$B$222:$B$224,0))),'Tabla Impacto'!$F$224&amp;"Por favor no seleccionar los criterios de impacto(Afectación Económica o presupuestal y Pérdida Reputacional)",U37)</f>
        <v>0</v>
      </c>
      <c r="W37" s="347" t="str">
        <f>IF(OR(V37='Tabla Impacto'!$C$12,V37='Tabla Impacto'!$D$12),"Leve",IF(OR(V37='Tabla Impacto'!$C$13,V37='Tabla Impacto'!$D$13),"Menor",IF(OR(V37='Tabla Impacto'!$C$14,V37='Tabla Impacto'!$D$14),"Moderado",IF(OR(V37='Tabla Impacto'!$C$15,V37='Tabla Impacto'!$D$15),"Mayor",IF(OR(V37='Tabla Impacto'!$C$16,V37='Tabla Impacto'!$D$16),"Catastrófico","")))))</f>
        <v/>
      </c>
      <c r="X37" s="346" t="str">
        <f>IF(W37="","",IF(W37="Leve",0.2,IF(W37="Menor",0.4,IF(W37="Moderado",0.6,IF(W37="Mayor",0.8,IF(W37="Catastrófico",1,))))))</f>
        <v/>
      </c>
      <c r="Y37" s="339" t="str">
        <f>IF(OR(AND(S37="Muy Baja",W37="Leve"),AND(S37="Muy Baja",W37="Menor"),AND(S37="Baja",W37="Leve")),"Bajo",IF(OR(AND(S37="Muy baja",W37="Moderado"),AND(S37="Baja",W37="Menor"),AND(S37="Baja",W37="Moderado"),AND(S37="Media",W37="Leve"),AND(S37="Media",W37="Menor"),AND(S37="Media",W37="Moderado"),AND(S37="Alta",W37="Leve"),AND(S37="Alta",W37="Menor")),"Moderado",IF(OR(AND(S37="Muy Baja",W37="Mayor"),AND(S37="Baja",W37="Mayor"),AND(S37="Media",W37="Mayor"),AND(S37="Alta",W37="Moderado"),AND(S37="Alta",W37="Mayor"),AND(S37="Muy Alta",W37="Leve"),AND(S37="Muy Alta",W37="Menor"),AND(S37="Muy Alta",W37="Moderado"),AND(S37="Muy Alta",W37="Mayor")),"Alto",IF(OR(AND(S37="Muy Baja",W37="Catastrófico"),AND(S37="Baja",W37="Catastrófico"),AND(S37="Media",W37="Catastrófico"),AND(S37="Alta",W37="Catastrófico"),AND(S37="Muy Alta",W37="Catastrófico")),"Extremo",""))))</f>
        <v/>
      </c>
      <c r="Z37" s="222">
        <v>1</v>
      </c>
      <c r="AA37" s="187"/>
      <c r="AB37" s="189" t="str">
        <f>IF(OR(AC37="Preventivo",AC37="Detectivo"),"Probabilidad",IF(AC37="Correctivo","Impacto",""))</f>
        <v/>
      </c>
      <c r="AC37" s="190"/>
      <c r="AD37" s="190"/>
      <c r="AE37" s="191" t="str">
        <f>IF(AND(AC37="Preventivo",AD37="Automático"),"50%",IF(AND(AC37="Preventivo",AD37="Manual"),"40%",IF(AND(AC37="Detectivo",AD37="Automático"),"40%",IF(AND(AC37="Detectivo",AD37="Manual"),"30%",IF(AND(AC37="Correctivo",AD37="Automático"),"35%",IF(AND(AC37="Correctivo",AD37="Manual"),"25%",""))))))</f>
        <v/>
      </c>
      <c r="AF37" s="190"/>
      <c r="AG37" s="190"/>
      <c r="AH37" s="190"/>
      <c r="AI37" s="192" t="str">
        <f>IFERROR(IF(AB37="Probabilidad",(T37-(+T37*AE37)),IF(AB37="Impacto",T37,"")),"")</f>
        <v/>
      </c>
      <c r="AJ37" s="193" t="str">
        <f>IFERROR(IF(AI37="","",IF(AI37&lt;=0.2,"Muy Baja",IF(AI37&lt;=0.4,"Baja",IF(AI37&lt;=0.6,"Media",IF(AI37&lt;=0.8,"Alta","Muy Alta"))))),"")</f>
        <v/>
      </c>
      <c r="AK37" s="191" t="str">
        <f>+AI37</f>
        <v/>
      </c>
      <c r="AL37" s="193" t="str">
        <f>IFERROR(IF(AM37="","",IF(AM37&lt;=0.2,"Leve",IF(AM37&lt;=0.4,"Menor",IF(AM37&lt;=0.6,"Moderado",IF(AM37&lt;=0.8,"Mayor","Catastrófico"))))),"")</f>
        <v/>
      </c>
      <c r="AM37" s="191" t="str">
        <f t="shared" ref="AM37" si="35">IFERROR(IF(AB37="Impacto",(X37-(+X37*AE37)),IF(AB37="Probabilidad",X37,"")),"")</f>
        <v/>
      </c>
      <c r="AN37" s="194" t="str">
        <f>IFERROR(IF(OR(AND(AJ37="Muy Baja",AL37="Leve"),AND(AJ37="Muy Baja",AL37="Menor"),AND(AJ37="Baja",AL37="Leve")),"Bajo",IF(OR(AND(AJ37="Muy baja",AL37="Moderado"),AND(AJ37="Baja",AL37="Menor"),AND(AJ37="Baja",AL37="Moderado"),AND(AJ37="Media",AL37="Leve"),AND(AJ37="Media",AL37="Menor"),AND(AJ37="Media",AL37="Moderado"),AND(AJ37="Alta",AL37="Leve"),AND(AJ37="Alta",AL37="Menor")),"Moderado",IF(OR(AND(AJ37="Muy Baja",AL37="Mayor"),AND(AJ37="Baja",AL37="Mayor"),AND(AJ37="Media",AL37="Mayor"),AND(AJ37="Alta",AL37="Moderado"),AND(AJ37="Alta",AL37="Mayor"),AND(AJ37="Muy Alta",AL37="Leve"),AND(AJ37="Muy Alta",AL37="Menor"),AND(AJ37="Muy Alta",AL37="Moderado"),AND(AJ37="Muy Alta",AL37="Mayor")),"Alto",IF(OR(AND(AJ37="Muy Baja",AL37="Catastrófico"),AND(AJ37="Baja",AL37="Catastrófico"),AND(AJ37="Media",AL37="Catastrófico"),AND(AJ37="Alta",AL37="Catastrófico"),AND(AJ37="Muy Alta",AL37="Catastrófico")),"Extremo","")))),"")</f>
        <v/>
      </c>
      <c r="AO37" s="195"/>
      <c r="AP37" s="186"/>
      <c r="AQ37" s="196"/>
      <c r="AR37" s="196"/>
      <c r="AS37" s="197"/>
      <c r="AT37" s="362"/>
      <c r="AU37" s="362"/>
      <c r="AV37" s="362"/>
    </row>
    <row r="38" spans="1:48" ht="37.5" customHeight="1" x14ac:dyDescent="0.2">
      <c r="A38" s="379"/>
      <c r="B38" s="365"/>
      <c r="C38" s="365"/>
      <c r="D38" s="365"/>
      <c r="E38" s="365"/>
      <c r="F38" s="365"/>
      <c r="G38" s="337"/>
      <c r="H38" s="337"/>
      <c r="I38" s="337"/>
      <c r="J38" s="337"/>
      <c r="K38" s="337"/>
      <c r="L38" s="337"/>
      <c r="M38" s="337"/>
      <c r="N38" s="337"/>
      <c r="O38" s="337"/>
      <c r="P38" s="337"/>
      <c r="Q38" s="337"/>
      <c r="R38" s="362"/>
      <c r="S38" s="347"/>
      <c r="T38" s="346"/>
      <c r="U38" s="330"/>
      <c r="V38" s="346">
        <f>IF(NOT(ISERROR(MATCH(U38,_xlfn.ANCHORARRAY(E49),0))),T51&amp;"Por favor no seleccionar los criterios de impacto",U38)</f>
        <v>0</v>
      </c>
      <c r="W38" s="347"/>
      <c r="X38" s="346"/>
      <c r="Y38" s="339"/>
      <c r="Z38" s="222">
        <v>2</v>
      </c>
      <c r="AA38" s="187"/>
      <c r="AB38" s="189" t="str">
        <f>IF(OR(AC38="Preventivo",AC38="Detectivo"),"Probabilidad",IF(AC38="Correctivo","Impacto",""))</f>
        <v/>
      </c>
      <c r="AC38" s="190"/>
      <c r="AD38" s="190"/>
      <c r="AE38" s="191" t="str">
        <f t="shared" ref="AE38:AE42" si="36">IF(AND(AC38="Preventivo",AD38="Automático"),"50%",IF(AND(AC38="Preventivo",AD38="Manual"),"40%",IF(AND(AC38="Detectivo",AD38="Automático"),"40%",IF(AND(AC38="Detectivo",AD38="Manual"),"30%",IF(AND(AC38="Correctivo",AD38="Automático"),"35%",IF(AND(AC38="Correctivo",AD38="Manual"),"25%",""))))))</f>
        <v/>
      </c>
      <c r="AF38" s="190"/>
      <c r="AG38" s="190"/>
      <c r="AH38" s="190"/>
      <c r="AI38" s="192" t="str">
        <f>IFERROR(IF(AND(AB37="Probabilidad",AB38="Probabilidad"),(AK37-(+AK37*AE38)),IF(AB38="Probabilidad",(T37-(+T37*AE38)),IF(AB38="Impacto",AK37,""))),"")</f>
        <v/>
      </c>
      <c r="AJ38" s="193" t="str">
        <f t="shared" si="2"/>
        <v/>
      </c>
      <c r="AK38" s="191" t="str">
        <f t="shared" ref="AK38:AK42" si="37">+AI38</f>
        <v/>
      </c>
      <c r="AL38" s="193" t="str">
        <f t="shared" si="4"/>
        <v/>
      </c>
      <c r="AM38" s="191" t="str">
        <f t="shared" ref="AM38" si="38">IFERROR(IF(AND(AB37="Impacto",AB38="Impacto"),(AM37-(+AM37*AE38)),IF(AB38="Impacto",($X$13-(+$X$13*AE38)),IF(AB38="Probabilidad",AM37,""))),"")</f>
        <v/>
      </c>
      <c r="AN38" s="194" t="str">
        <f t="shared" ref="AN38:AN39" si="39">IFERROR(IF(OR(AND(AJ38="Muy Baja",AL38="Leve"),AND(AJ38="Muy Baja",AL38="Menor"),AND(AJ38="Baja",AL38="Leve")),"Bajo",IF(OR(AND(AJ38="Muy baja",AL38="Moderado"),AND(AJ38="Baja",AL38="Menor"),AND(AJ38="Baja",AL38="Moderado"),AND(AJ38="Media",AL38="Leve"),AND(AJ38="Media",AL38="Menor"),AND(AJ38="Media",AL38="Moderado"),AND(AJ38="Alta",AL38="Leve"),AND(AJ38="Alta",AL38="Menor")),"Moderado",IF(OR(AND(AJ38="Muy Baja",AL38="Mayor"),AND(AJ38="Baja",AL38="Mayor"),AND(AJ38="Media",AL38="Mayor"),AND(AJ38="Alta",AL38="Moderado"),AND(AJ38="Alta",AL38="Mayor"),AND(AJ38="Muy Alta",AL38="Leve"),AND(AJ38="Muy Alta",AL38="Menor"),AND(AJ38="Muy Alta",AL38="Moderado"),AND(AJ38="Muy Alta",AL38="Mayor")),"Alto",IF(OR(AND(AJ38="Muy Baja",AL38="Catastrófico"),AND(AJ38="Baja",AL38="Catastrófico"),AND(AJ38="Media",AL38="Catastrófico"),AND(AJ38="Alta",AL38="Catastrófico"),AND(AJ38="Muy Alta",AL38="Catastrófico")),"Extremo","")))),"")</f>
        <v/>
      </c>
      <c r="AO38" s="195"/>
      <c r="AP38" s="186"/>
      <c r="AQ38" s="196"/>
      <c r="AR38" s="196"/>
      <c r="AS38" s="197"/>
      <c r="AT38" s="362"/>
      <c r="AU38" s="362"/>
      <c r="AV38" s="362"/>
    </row>
    <row r="39" spans="1:48" ht="37.5" customHeight="1" x14ac:dyDescent="0.2">
      <c r="A39" s="379"/>
      <c r="B39" s="365"/>
      <c r="C39" s="365"/>
      <c r="D39" s="365"/>
      <c r="E39" s="365"/>
      <c r="F39" s="365"/>
      <c r="G39" s="337"/>
      <c r="H39" s="337"/>
      <c r="I39" s="337"/>
      <c r="J39" s="337"/>
      <c r="K39" s="337"/>
      <c r="L39" s="337"/>
      <c r="M39" s="337"/>
      <c r="N39" s="337"/>
      <c r="O39" s="337"/>
      <c r="P39" s="337"/>
      <c r="Q39" s="337"/>
      <c r="R39" s="362"/>
      <c r="S39" s="347"/>
      <c r="T39" s="346"/>
      <c r="U39" s="330"/>
      <c r="V39" s="346">
        <f>IF(NOT(ISERROR(MATCH(U39,_xlfn.ANCHORARRAY(E50),0))),T52&amp;"Por favor no seleccionar los criterios de impacto",U39)</f>
        <v>0</v>
      </c>
      <c r="W39" s="347"/>
      <c r="X39" s="346"/>
      <c r="Y39" s="339"/>
      <c r="Z39" s="222">
        <v>3</v>
      </c>
      <c r="AA39" s="188"/>
      <c r="AB39" s="189" t="str">
        <f>IF(OR(AC39="Preventivo",AC39="Detectivo"),"Probabilidad",IF(AC39="Correctivo","Impacto",""))</f>
        <v/>
      </c>
      <c r="AC39" s="190"/>
      <c r="AD39" s="190"/>
      <c r="AE39" s="191" t="str">
        <f t="shared" si="36"/>
        <v/>
      </c>
      <c r="AF39" s="190"/>
      <c r="AG39" s="190"/>
      <c r="AH39" s="190"/>
      <c r="AI39" s="192" t="str">
        <f>IFERROR(IF(AND(AB38="Probabilidad",AB39="Probabilidad"),(AK38-(+AK38*AE39)),IF(AND(AB38="Impacto",AB39="Probabilidad"),(AK37-(+AK37*AE39)),IF(AB39="Impacto",AK38,""))),"")</f>
        <v/>
      </c>
      <c r="AJ39" s="193" t="str">
        <f t="shared" si="2"/>
        <v/>
      </c>
      <c r="AK39" s="191" t="str">
        <f t="shared" si="37"/>
        <v/>
      </c>
      <c r="AL39" s="193" t="str">
        <f t="shared" si="4"/>
        <v/>
      </c>
      <c r="AM39" s="191" t="str">
        <f t="shared" ref="AM39" si="40">IFERROR(IF(AND(AB38="Impacto",AB39="Impacto"),(AM38-(+AM38*AE39)),IF(AND(AB38="Probabilidad",AB39="Impacto"),(AM37-(+AM37*AE39)),IF(AB39="Probabilidad",AM38,""))),"")</f>
        <v/>
      </c>
      <c r="AN39" s="194" t="str">
        <f t="shared" si="39"/>
        <v/>
      </c>
      <c r="AO39" s="195"/>
      <c r="AP39" s="186"/>
      <c r="AQ39" s="196"/>
      <c r="AR39" s="196"/>
      <c r="AS39" s="197"/>
      <c r="AT39" s="362"/>
      <c r="AU39" s="362"/>
      <c r="AV39" s="362"/>
    </row>
    <row r="40" spans="1:48" ht="37.5" customHeight="1" x14ac:dyDescent="0.2">
      <c r="A40" s="379"/>
      <c r="B40" s="365"/>
      <c r="C40" s="365"/>
      <c r="D40" s="365"/>
      <c r="E40" s="365"/>
      <c r="F40" s="365"/>
      <c r="G40" s="337"/>
      <c r="H40" s="337"/>
      <c r="I40" s="337"/>
      <c r="J40" s="337"/>
      <c r="K40" s="337"/>
      <c r="L40" s="337"/>
      <c r="M40" s="337"/>
      <c r="N40" s="337"/>
      <c r="O40" s="337"/>
      <c r="P40" s="337"/>
      <c r="Q40" s="337"/>
      <c r="R40" s="362"/>
      <c r="S40" s="347"/>
      <c r="T40" s="346"/>
      <c r="U40" s="330"/>
      <c r="V40" s="346">
        <f>IF(NOT(ISERROR(MATCH(U40,_xlfn.ANCHORARRAY(E51),0))),T53&amp;"Por favor no seleccionar los criterios de impacto",U40)</f>
        <v>0</v>
      </c>
      <c r="W40" s="347"/>
      <c r="X40" s="346"/>
      <c r="Y40" s="339"/>
      <c r="Z40" s="222">
        <v>4</v>
      </c>
      <c r="AA40" s="187"/>
      <c r="AB40" s="189" t="str">
        <f t="shared" ref="AB40:AB42" si="41">IF(OR(AC40="Preventivo",AC40="Detectivo"),"Probabilidad",IF(AC40="Correctivo","Impacto",""))</f>
        <v/>
      </c>
      <c r="AC40" s="190"/>
      <c r="AD40" s="190"/>
      <c r="AE40" s="191" t="str">
        <f t="shared" si="36"/>
        <v/>
      </c>
      <c r="AF40" s="190"/>
      <c r="AG40" s="190"/>
      <c r="AH40" s="190"/>
      <c r="AI40" s="192" t="str">
        <f t="shared" ref="AI40:AI42" si="42">IFERROR(IF(AND(AB39="Probabilidad",AB40="Probabilidad"),(AK39-(+AK39*AE40)),IF(AND(AB39="Impacto",AB40="Probabilidad"),(AK38-(+AK38*AE40)),IF(AB40="Impacto",AK39,""))),"")</f>
        <v/>
      </c>
      <c r="AJ40" s="193" t="str">
        <f t="shared" si="2"/>
        <v/>
      </c>
      <c r="AK40" s="191" t="str">
        <f t="shared" si="37"/>
        <v/>
      </c>
      <c r="AL40" s="193" t="str">
        <f t="shared" si="4"/>
        <v/>
      </c>
      <c r="AM40" s="191" t="str">
        <f t="shared" si="13"/>
        <v/>
      </c>
      <c r="AN40" s="194" t="str">
        <f>IFERROR(IF(OR(AND(AJ40="Muy Baja",AL40="Leve"),AND(AJ40="Muy Baja",AL40="Menor"),AND(AJ40="Baja",AL40="Leve")),"Bajo",IF(OR(AND(AJ40="Muy baja",AL40="Moderado"),AND(AJ40="Baja",AL40="Menor"),AND(AJ40="Baja",AL40="Moderado"),AND(AJ40="Media",AL40="Leve"),AND(AJ40="Media",AL40="Menor"),AND(AJ40="Media",AL40="Moderado"),AND(AJ40="Alta",AL40="Leve"),AND(AJ40="Alta",AL40="Menor")),"Moderado",IF(OR(AND(AJ40="Muy Baja",AL40="Mayor"),AND(AJ40="Baja",AL40="Mayor"),AND(AJ40="Media",AL40="Mayor"),AND(AJ40="Alta",AL40="Moderado"),AND(AJ40="Alta",AL40="Mayor"),AND(AJ40="Muy Alta",AL40="Leve"),AND(AJ40="Muy Alta",AL40="Menor"),AND(AJ40="Muy Alta",AL40="Moderado"),AND(AJ40="Muy Alta",AL40="Mayor")),"Alto",IF(OR(AND(AJ40="Muy Baja",AL40="Catastrófico"),AND(AJ40="Baja",AL40="Catastrófico"),AND(AJ40="Media",AL40="Catastrófico"),AND(AJ40="Alta",AL40="Catastrófico"),AND(AJ40="Muy Alta",AL40="Catastrófico")),"Extremo","")))),"")</f>
        <v/>
      </c>
      <c r="AO40" s="195"/>
      <c r="AP40" s="186"/>
      <c r="AQ40" s="196"/>
      <c r="AR40" s="196"/>
      <c r="AS40" s="197"/>
      <c r="AT40" s="362"/>
      <c r="AU40" s="362"/>
      <c r="AV40" s="362"/>
    </row>
    <row r="41" spans="1:48" ht="37.5" customHeight="1" x14ac:dyDescent="0.2">
      <c r="A41" s="379"/>
      <c r="B41" s="365"/>
      <c r="C41" s="365"/>
      <c r="D41" s="365"/>
      <c r="E41" s="365"/>
      <c r="F41" s="365"/>
      <c r="G41" s="337"/>
      <c r="H41" s="337"/>
      <c r="I41" s="337"/>
      <c r="J41" s="337"/>
      <c r="K41" s="337"/>
      <c r="L41" s="337"/>
      <c r="M41" s="337"/>
      <c r="N41" s="337"/>
      <c r="O41" s="337"/>
      <c r="P41" s="337"/>
      <c r="Q41" s="337"/>
      <c r="R41" s="362"/>
      <c r="S41" s="347"/>
      <c r="T41" s="346"/>
      <c r="U41" s="330"/>
      <c r="V41" s="346">
        <f>IF(NOT(ISERROR(MATCH(U41,_xlfn.ANCHORARRAY(E52),0))),T54&amp;"Por favor no seleccionar los criterios de impacto",U41)</f>
        <v>0</v>
      </c>
      <c r="W41" s="347"/>
      <c r="X41" s="346"/>
      <c r="Y41" s="339"/>
      <c r="Z41" s="222">
        <v>5</v>
      </c>
      <c r="AA41" s="187"/>
      <c r="AB41" s="189" t="str">
        <f t="shared" si="41"/>
        <v/>
      </c>
      <c r="AC41" s="190"/>
      <c r="AD41" s="190"/>
      <c r="AE41" s="191" t="str">
        <f t="shared" si="36"/>
        <v/>
      </c>
      <c r="AF41" s="190"/>
      <c r="AG41" s="190"/>
      <c r="AH41" s="190"/>
      <c r="AI41" s="192" t="str">
        <f t="shared" si="42"/>
        <v/>
      </c>
      <c r="AJ41" s="193" t="str">
        <f t="shared" si="2"/>
        <v/>
      </c>
      <c r="AK41" s="191" t="str">
        <f t="shared" si="37"/>
        <v/>
      </c>
      <c r="AL41" s="193" t="str">
        <f t="shared" si="4"/>
        <v/>
      </c>
      <c r="AM41" s="191" t="str">
        <f t="shared" si="13"/>
        <v/>
      </c>
      <c r="AN41" s="194" t="str">
        <f t="shared" ref="AN41:AN42" si="43">IFERROR(IF(OR(AND(AJ41="Muy Baja",AL41="Leve"),AND(AJ41="Muy Baja",AL41="Menor"),AND(AJ41="Baja",AL41="Leve")),"Bajo",IF(OR(AND(AJ41="Muy baja",AL41="Moderado"),AND(AJ41="Baja",AL41="Menor"),AND(AJ41="Baja",AL41="Moderado"),AND(AJ41="Media",AL41="Leve"),AND(AJ41="Media",AL41="Menor"),AND(AJ41="Media",AL41="Moderado"),AND(AJ41="Alta",AL41="Leve"),AND(AJ41="Alta",AL41="Menor")),"Moderado",IF(OR(AND(AJ41="Muy Baja",AL41="Mayor"),AND(AJ41="Baja",AL41="Mayor"),AND(AJ41="Media",AL41="Mayor"),AND(AJ41="Alta",AL41="Moderado"),AND(AJ41="Alta",AL41="Mayor"),AND(AJ41="Muy Alta",AL41="Leve"),AND(AJ41="Muy Alta",AL41="Menor"),AND(AJ41="Muy Alta",AL41="Moderado"),AND(AJ41="Muy Alta",AL41="Mayor")),"Alto",IF(OR(AND(AJ41="Muy Baja",AL41="Catastrófico"),AND(AJ41="Baja",AL41="Catastrófico"),AND(AJ41="Media",AL41="Catastrófico"),AND(AJ41="Alta",AL41="Catastrófico"),AND(AJ41="Muy Alta",AL41="Catastrófico")),"Extremo","")))),"")</f>
        <v/>
      </c>
      <c r="AO41" s="195"/>
      <c r="AP41" s="186"/>
      <c r="AQ41" s="196"/>
      <c r="AR41" s="196"/>
      <c r="AS41" s="197"/>
      <c r="AT41" s="362"/>
      <c r="AU41" s="362"/>
      <c r="AV41" s="362"/>
    </row>
    <row r="42" spans="1:48" ht="37.5" customHeight="1" x14ac:dyDescent="0.2">
      <c r="A42" s="379"/>
      <c r="B42" s="365"/>
      <c r="C42" s="365"/>
      <c r="D42" s="365"/>
      <c r="E42" s="365"/>
      <c r="F42" s="365"/>
      <c r="G42" s="338"/>
      <c r="H42" s="338"/>
      <c r="I42" s="338"/>
      <c r="J42" s="338"/>
      <c r="K42" s="338"/>
      <c r="L42" s="338"/>
      <c r="M42" s="338"/>
      <c r="N42" s="338"/>
      <c r="O42" s="338"/>
      <c r="P42" s="338"/>
      <c r="Q42" s="338"/>
      <c r="R42" s="362"/>
      <c r="S42" s="347"/>
      <c r="T42" s="346"/>
      <c r="U42" s="330"/>
      <c r="V42" s="346">
        <f>IF(NOT(ISERROR(MATCH(U42,_xlfn.ANCHORARRAY(E53),0))),T55&amp;"Por favor no seleccionar los criterios de impacto",U42)</f>
        <v>0</v>
      </c>
      <c r="W42" s="347"/>
      <c r="X42" s="346"/>
      <c r="Y42" s="339"/>
      <c r="Z42" s="222">
        <v>6</v>
      </c>
      <c r="AA42" s="187"/>
      <c r="AB42" s="189" t="str">
        <f t="shared" si="41"/>
        <v/>
      </c>
      <c r="AC42" s="190"/>
      <c r="AD42" s="190"/>
      <c r="AE42" s="191" t="str">
        <f t="shared" si="36"/>
        <v/>
      </c>
      <c r="AF42" s="190"/>
      <c r="AG42" s="190"/>
      <c r="AH42" s="190"/>
      <c r="AI42" s="192" t="str">
        <f t="shared" si="42"/>
        <v/>
      </c>
      <c r="AJ42" s="193" t="str">
        <f t="shared" si="2"/>
        <v/>
      </c>
      <c r="AK42" s="191" t="str">
        <f t="shared" si="37"/>
        <v/>
      </c>
      <c r="AL42" s="193" t="str">
        <f t="shared" si="4"/>
        <v/>
      </c>
      <c r="AM42" s="191" t="str">
        <f t="shared" si="13"/>
        <v/>
      </c>
      <c r="AN42" s="194" t="str">
        <f t="shared" si="43"/>
        <v/>
      </c>
      <c r="AO42" s="195"/>
      <c r="AP42" s="186"/>
      <c r="AQ42" s="196"/>
      <c r="AR42" s="196"/>
      <c r="AS42" s="197"/>
      <c r="AT42" s="362"/>
      <c r="AU42" s="362"/>
      <c r="AV42" s="362"/>
    </row>
    <row r="43" spans="1:48" ht="37.5" customHeight="1" x14ac:dyDescent="0.2">
      <c r="A43" s="379">
        <v>6</v>
      </c>
      <c r="B43" s="365"/>
      <c r="C43" s="365"/>
      <c r="D43" s="365"/>
      <c r="E43" s="336"/>
      <c r="F43" s="365"/>
      <c r="G43" s="336"/>
      <c r="H43" s="336"/>
      <c r="I43" s="336"/>
      <c r="J43" s="336"/>
      <c r="K43" s="336"/>
      <c r="L43" s="336"/>
      <c r="M43" s="336"/>
      <c r="N43" s="336"/>
      <c r="O43" s="336"/>
      <c r="P43" s="336"/>
      <c r="Q43" s="336"/>
      <c r="R43" s="362"/>
      <c r="S43" s="347" t="str">
        <f>IF(R43&lt;=0,"",IF(R43&lt;=2,"Muy Baja",IF(R43&lt;=24,"Baja",IF(R43&lt;=500,"Media",IF(R43&lt;=5000,"Alta","Muy Alta")))))</f>
        <v/>
      </c>
      <c r="T43" s="346" t="str">
        <f>IF(S43="","",IF(S43="Muy Baja",0.2,IF(S43="Baja",0.4,IF(S43="Media",0.6,IF(S43="Alta",0.8,IF(S43="Muy Alta",1,))))))</f>
        <v/>
      </c>
      <c r="U43" s="330"/>
      <c r="V43" s="346">
        <f>IF(NOT(ISERROR(MATCH(U43,'Tabla Impacto'!$B$222:$B$224,0))),'Tabla Impacto'!$F$224&amp;"Por favor no seleccionar los criterios de impacto(Afectación Económica o presupuestal y Pérdida Reputacional)",U43)</f>
        <v>0</v>
      </c>
      <c r="W43" s="347" t="str">
        <f>IF(OR(V43='Tabla Impacto'!$C$12,V43='Tabla Impacto'!$D$12),"Leve",IF(OR(V43='Tabla Impacto'!$C$13,V43='Tabla Impacto'!$D$13),"Menor",IF(OR(V43='Tabla Impacto'!$C$14,V43='Tabla Impacto'!$D$14),"Moderado",IF(OR(V43='Tabla Impacto'!$C$15,V43='Tabla Impacto'!$D$15),"Mayor",IF(OR(V43='Tabla Impacto'!$C$16,V43='Tabla Impacto'!$D$16),"Catastrófico","")))))</f>
        <v/>
      </c>
      <c r="X43" s="346" t="str">
        <f>IF(W43="","",IF(W43="Leve",0.2,IF(W43="Menor",0.4,IF(W43="Moderado",0.6,IF(W43="Mayor",0.8,IF(W43="Catastrófico",1,))))))</f>
        <v/>
      </c>
      <c r="Y43" s="339" t="str">
        <f>IF(OR(AND(S43="Muy Baja",W43="Leve"),AND(S43="Muy Baja",W43="Menor"),AND(S43="Baja",W43="Leve")),"Bajo",IF(OR(AND(S43="Muy baja",W43="Moderado"),AND(S43="Baja",W43="Menor"),AND(S43="Baja",W43="Moderado"),AND(S43="Media",W43="Leve"),AND(S43="Media",W43="Menor"),AND(S43="Media",W43="Moderado"),AND(S43="Alta",W43="Leve"),AND(S43="Alta",W43="Menor")),"Moderado",IF(OR(AND(S43="Muy Baja",W43="Mayor"),AND(S43="Baja",W43="Mayor"),AND(S43="Media",W43="Mayor"),AND(S43="Alta",W43="Moderado"),AND(S43="Alta",W43="Mayor"),AND(S43="Muy Alta",W43="Leve"),AND(S43="Muy Alta",W43="Menor"),AND(S43="Muy Alta",W43="Moderado"),AND(S43="Muy Alta",W43="Mayor")),"Alto",IF(OR(AND(S43="Muy Baja",W43="Catastrófico"),AND(S43="Baja",W43="Catastrófico"),AND(S43="Media",W43="Catastrófico"),AND(S43="Alta",W43="Catastrófico"),AND(S43="Muy Alta",W43="Catastrófico")),"Extremo",""))))</f>
        <v/>
      </c>
      <c r="Z43" s="222">
        <v>1</v>
      </c>
      <c r="AA43" s="187"/>
      <c r="AB43" s="189" t="str">
        <f>IF(OR(AC43="Preventivo",AC43="Detectivo"),"Probabilidad",IF(AC43="Correctivo","Impacto",""))</f>
        <v/>
      </c>
      <c r="AC43" s="190"/>
      <c r="AD43" s="190"/>
      <c r="AE43" s="191" t="str">
        <f>IF(AND(AC43="Preventivo",AD43="Automático"),"50%",IF(AND(AC43="Preventivo",AD43="Manual"),"40%",IF(AND(AC43="Detectivo",AD43="Automático"),"40%",IF(AND(AC43="Detectivo",AD43="Manual"),"30%",IF(AND(AC43="Correctivo",AD43="Automático"),"35%",IF(AND(AC43="Correctivo",AD43="Manual"),"25%",""))))))</f>
        <v/>
      </c>
      <c r="AF43" s="190"/>
      <c r="AG43" s="190"/>
      <c r="AH43" s="190"/>
      <c r="AI43" s="192" t="str">
        <f>IFERROR(IF(AB43="Probabilidad",(T43-(+T43*AE43)),IF(AB43="Impacto",T43,"")),"")</f>
        <v/>
      </c>
      <c r="AJ43" s="193" t="str">
        <f>IFERROR(IF(AI43="","",IF(AI43&lt;=0.2,"Muy Baja",IF(AI43&lt;=0.4,"Baja",IF(AI43&lt;=0.6,"Media",IF(AI43&lt;=0.8,"Alta","Muy Alta"))))),"")</f>
        <v/>
      </c>
      <c r="AK43" s="191" t="str">
        <f>+AI43</f>
        <v/>
      </c>
      <c r="AL43" s="193" t="str">
        <f>IFERROR(IF(AM43="","",IF(AM43&lt;=0.2,"Leve",IF(AM43&lt;=0.4,"Menor",IF(AM43&lt;=0.6,"Moderado",IF(AM43&lt;=0.8,"Mayor","Catastrófico"))))),"")</f>
        <v/>
      </c>
      <c r="AM43" s="191" t="str">
        <f t="shared" ref="AM43" si="44">IFERROR(IF(AB43="Impacto",(X43-(+X43*AE43)),IF(AB43="Probabilidad",X43,"")),"")</f>
        <v/>
      </c>
      <c r="AN43" s="194" t="str">
        <f>IFERROR(IF(OR(AND(AJ43="Muy Baja",AL43="Leve"),AND(AJ43="Muy Baja",AL43="Menor"),AND(AJ43="Baja",AL43="Leve")),"Bajo",IF(OR(AND(AJ43="Muy baja",AL43="Moderado"),AND(AJ43="Baja",AL43="Menor"),AND(AJ43="Baja",AL43="Moderado"),AND(AJ43="Media",AL43="Leve"),AND(AJ43="Media",AL43="Menor"),AND(AJ43="Media",AL43="Moderado"),AND(AJ43="Alta",AL43="Leve"),AND(AJ43="Alta",AL43="Menor")),"Moderado",IF(OR(AND(AJ43="Muy Baja",AL43="Mayor"),AND(AJ43="Baja",AL43="Mayor"),AND(AJ43="Media",AL43="Mayor"),AND(AJ43="Alta",AL43="Moderado"),AND(AJ43="Alta",AL43="Mayor"),AND(AJ43="Muy Alta",AL43="Leve"),AND(AJ43="Muy Alta",AL43="Menor"),AND(AJ43="Muy Alta",AL43="Moderado"),AND(AJ43="Muy Alta",AL43="Mayor")),"Alto",IF(OR(AND(AJ43="Muy Baja",AL43="Catastrófico"),AND(AJ43="Baja",AL43="Catastrófico"),AND(AJ43="Media",AL43="Catastrófico"),AND(AJ43="Alta",AL43="Catastrófico"),AND(AJ43="Muy Alta",AL43="Catastrófico")),"Extremo","")))),"")</f>
        <v/>
      </c>
      <c r="AO43" s="190"/>
      <c r="AP43" s="186"/>
      <c r="AQ43" s="196"/>
      <c r="AR43" s="196"/>
      <c r="AS43" s="197"/>
      <c r="AT43" s="362"/>
      <c r="AU43" s="362"/>
      <c r="AV43" s="362"/>
    </row>
    <row r="44" spans="1:48" ht="37.5" customHeight="1" x14ac:dyDescent="0.2">
      <c r="A44" s="379"/>
      <c r="B44" s="365"/>
      <c r="C44" s="365"/>
      <c r="D44" s="365"/>
      <c r="E44" s="337"/>
      <c r="F44" s="365"/>
      <c r="G44" s="337"/>
      <c r="H44" s="337"/>
      <c r="I44" s="337"/>
      <c r="J44" s="337"/>
      <c r="K44" s="337"/>
      <c r="L44" s="337"/>
      <c r="M44" s="337"/>
      <c r="N44" s="337"/>
      <c r="O44" s="337"/>
      <c r="P44" s="337"/>
      <c r="Q44" s="337"/>
      <c r="R44" s="362"/>
      <c r="S44" s="347"/>
      <c r="T44" s="346"/>
      <c r="U44" s="330"/>
      <c r="V44" s="346">
        <f>IF(NOT(ISERROR(MATCH(U44,_xlfn.ANCHORARRAY(E55),0))),T57&amp;"Por favor no seleccionar los criterios de impacto",U44)</f>
        <v>0</v>
      </c>
      <c r="W44" s="347"/>
      <c r="X44" s="346"/>
      <c r="Y44" s="339"/>
      <c r="Z44" s="222">
        <v>2</v>
      </c>
      <c r="AA44" s="187"/>
      <c r="AB44" s="189" t="str">
        <f>IF(OR(AC44="Preventivo",AC44="Detectivo"),"Probabilidad",IF(AC44="Correctivo","Impacto",""))</f>
        <v/>
      </c>
      <c r="AC44" s="190"/>
      <c r="AD44" s="190"/>
      <c r="AE44" s="191" t="str">
        <f t="shared" ref="AE44:AE48" si="45">IF(AND(AC44="Preventivo",AD44="Automático"),"50%",IF(AND(AC44="Preventivo",AD44="Manual"),"40%",IF(AND(AC44="Detectivo",AD44="Automático"),"40%",IF(AND(AC44="Detectivo",AD44="Manual"),"30%",IF(AND(AC44="Correctivo",AD44="Automático"),"35%",IF(AND(AC44="Correctivo",AD44="Manual"),"25%",""))))))</f>
        <v/>
      </c>
      <c r="AF44" s="190"/>
      <c r="AG44" s="190"/>
      <c r="AH44" s="190"/>
      <c r="AI44" s="192" t="str">
        <f>IFERROR(IF(AND(AB43="Probabilidad",AB44="Probabilidad"),(AK43-(+AK43*AE44)),IF(AB44="Probabilidad",(T43-(+T43*AE44)),IF(AB44="Impacto",AK43,""))),"")</f>
        <v/>
      </c>
      <c r="AJ44" s="193" t="str">
        <f t="shared" si="2"/>
        <v/>
      </c>
      <c r="AK44" s="191" t="str">
        <f t="shared" ref="AK44:AK48" si="46">+AI44</f>
        <v/>
      </c>
      <c r="AL44" s="193" t="str">
        <f t="shared" si="4"/>
        <v/>
      </c>
      <c r="AM44" s="191" t="str">
        <f t="shared" ref="AM44" si="47">IFERROR(IF(AND(AB43="Impacto",AB44="Impacto"),(AM43-(+AM43*AE44)),IF(AB44="Impacto",($X$13-(+$X$13*AE44)),IF(AB44="Probabilidad",AM43,""))),"")</f>
        <v/>
      </c>
      <c r="AN44" s="194" t="str">
        <f t="shared" ref="AN44:AN45" si="48">IFERROR(IF(OR(AND(AJ44="Muy Baja",AL44="Leve"),AND(AJ44="Muy Baja",AL44="Menor"),AND(AJ44="Baja",AL44="Leve")),"Bajo",IF(OR(AND(AJ44="Muy baja",AL44="Moderado"),AND(AJ44="Baja",AL44="Menor"),AND(AJ44="Baja",AL44="Moderado"),AND(AJ44="Media",AL44="Leve"),AND(AJ44="Media",AL44="Menor"),AND(AJ44="Media",AL44="Moderado"),AND(AJ44="Alta",AL44="Leve"),AND(AJ44="Alta",AL44="Menor")),"Moderado",IF(OR(AND(AJ44="Muy Baja",AL44="Mayor"),AND(AJ44="Baja",AL44="Mayor"),AND(AJ44="Media",AL44="Mayor"),AND(AJ44="Alta",AL44="Moderado"),AND(AJ44="Alta",AL44="Mayor"),AND(AJ44="Muy Alta",AL44="Leve"),AND(AJ44="Muy Alta",AL44="Menor"),AND(AJ44="Muy Alta",AL44="Moderado"),AND(AJ44="Muy Alta",AL44="Mayor")),"Alto",IF(OR(AND(AJ44="Muy Baja",AL44="Catastrófico"),AND(AJ44="Baja",AL44="Catastrófico"),AND(AJ44="Media",AL44="Catastrófico"),AND(AJ44="Alta",AL44="Catastrófico"),AND(AJ44="Muy Alta",AL44="Catastrófico")),"Extremo","")))),"")</f>
        <v/>
      </c>
      <c r="AO44" s="195"/>
      <c r="AP44" s="186"/>
      <c r="AQ44" s="196"/>
      <c r="AR44" s="196"/>
      <c r="AS44" s="197"/>
      <c r="AT44" s="362"/>
      <c r="AU44" s="362"/>
      <c r="AV44" s="362"/>
    </row>
    <row r="45" spans="1:48" ht="37.5" customHeight="1" x14ac:dyDescent="0.2">
      <c r="A45" s="379"/>
      <c r="B45" s="365"/>
      <c r="C45" s="365"/>
      <c r="D45" s="365"/>
      <c r="E45" s="337"/>
      <c r="F45" s="365"/>
      <c r="G45" s="337"/>
      <c r="H45" s="337"/>
      <c r="I45" s="337"/>
      <c r="J45" s="337"/>
      <c r="K45" s="337"/>
      <c r="L45" s="337"/>
      <c r="M45" s="337"/>
      <c r="N45" s="337"/>
      <c r="O45" s="337"/>
      <c r="P45" s="337"/>
      <c r="Q45" s="337"/>
      <c r="R45" s="362"/>
      <c r="S45" s="347"/>
      <c r="T45" s="346"/>
      <c r="U45" s="330"/>
      <c r="V45" s="346">
        <f>IF(NOT(ISERROR(MATCH(U45,_xlfn.ANCHORARRAY(E56),0))),T58&amp;"Por favor no seleccionar los criterios de impacto",U45)</f>
        <v>0</v>
      </c>
      <c r="W45" s="347"/>
      <c r="X45" s="346"/>
      <c r="Y45" s="339"/>
      <c r="Z45" s="222">
        <v>3</v>
      </c>
      <c r="AA45" s="188"/>
      <c r="AB45" s="189" t="str">
        <f>IF(OR(AC45="Preventivo",AC45="Detectivo"),"Probabilidad",IF(AC45="Correctivo","Impacto",""))</f>
        <v/>
      </c>
      <c r="AC45" s="190"/>
      <c r="AD45" s="190"/>
      <c r="AE45" s="191" t="str">
        <f t="shared" si="45"/>
        <v/>
      </c>
      <c r="AF45" s="190"/>
      <c r="AG45" s="190"/>
      <c r="AH45" s="190"/>
      <c r="AI45" s="192" t="str">
        <f>IFERROR(IF(AND(AB44="Probabilidad",AB45="Probabilidad"),(AK44-(+AK44*AE45)),IF(AND(AB44="Impacto",AB45="Probabilidad"),(AK43-(+AK43*AE45)),IF(AB45="Impacto",AK44,""))),"")</f>
        <v/>
      </c>
      <c r="AJ45" s="193" t="str">
        <f t="shared" si="2"/>
        <v/>
      </c>
      <c r="AK45" s="191" t="str">
        <f t="shared" si="46"/>
        <v/>
      </c>
      <c r="AL45" s="193" t="str">
        <f t="shared" si="4"/>
        <v/>
      </c>
      <c r="AM45" s="191" t="str">
        <f t="shared" ref="AM45" si="49">IFERROR(IF(AND(AB44="Impacto",AB45="Impacto"),(AM44-(+AM44*AE45)),IF(AND(AB44="Probabilidad",AB45="Impacto"),(AM43-(+AM43*AE45)),IF(AB45="Probabilidad",AM44,""))),"")</f>
        <v/>
      </c>
      <c r="AN45" s="194" t="str">
        <f t="shared" si="48"/>
        <v/>
      </c>
      <c r="AO45" s="195"/>
      <c r="AP45" s="186"/>
      <c r="AQ45" s="196"/>
      <c r="AR45" s="196"/>
      <c r="AS45" s="197"/>
      <c r="AT45" s="362"/>
      <c r="AU45" s="362"/>
      <c r="AV45" s="362"/>
    </row>
    <row r="46" spans="1:48" ht="37.5" customHeight="1" x14ac:dyDescent="0.2">
      <c r="A46" s="379"/>
      <c r="B46" s="365"/>
      <c r="C46" s="365"/>
      <c r="D46" s="365"/>
      <c r="E46" s="337"/>
      <c r="F46" s="365"/>
      <c r="G46" s="337"/>
      <c r="H46" s="337"/>
      <c r="I46" s="337"/>
      <c r="J46" s="337"/>
      <c r="K46" s="337"/>
      <c r="L46" s="337"/>
      <c r="M46" s="337"/>
      <c r="N46" s="337"/>
      <c r="O46" s="337"/>
      <c r="P46" s="337"/>
      <c r="Q46" s="337"/>
      <c r="R46" s="362"/>
      <c r="S46" s="347"/>
      <c r="T46" s="346"/>
      <c r="U46" s="330"/>
      <c r="V46" s="346">
        <f>IF(NOT(ISERROR(MATCH(U46,_xlfn.ANCHORARRAY(E57),0))),T59&amp;"Por favor no seleccionar los criterios de impacto",U46)</f>
        <v>0</v>
      </c>
      <c r="W46" s="347"/>
      <c r="X46" s="346"/>
      <c r="Y46" s="339"/>
      <c r="Z46" s="222">
        <v>4</v>
      </c>
      <c r="AA46" s="187"/>
      <c r="AB46" s="189" t="str">
        <f t="shared" ref="AB46:AB48" si="50">IF(OR(AC46="Preventivo",AC46="Detectivo"),"Probabilidad",IF(AC46="Correctivo","Impacto",""))</f>
        <v/>
      </c>
      <c r="AC46" s="190"/>
      <c r="AD46" s="190"/>
      <c r="AE46" s="191" t="str">
        <f t="shared" si="45"/>
        <v/>
      </c>
      <c r="AF46" s="190"/>
      <c r="AG46" s="190"/>
      <c r="AH46" s="190"/>
      <c r="AI46" s="192" t="str">
        <f t="shared" ref="AI46:AI48" si="51">IFERROR(IF(AND(AB45="Probabilidad",AB46="Probabilidad"),(AK45-(+AK45*AE46)),IF(AND(AB45="Impacto",AB46="Probabilidad"),(AK44-(+AK44*AE46)),IF(AB46="Impacto",AK45,""))),"")</f>
        <v/>
      </c>
      <c r="AJ46" s="193" t="str">
        <f t="shared" si="2"/>
        <v/>
      </c>
      <c r="AK46" s="191" t="str">
        <f t="shared" si="46"/>
        <v/>
      </c>
      <c r="AL46" s="193" t="str">
        <f t="shared" si="4"/>
        <v/>
      </c>
      <c r="AM46" s="191" t="str">
        <f t="shared" si="13"/>
        <v/>
      </c>
      <c r="AN46" s="194" t="str">
        <f>IFERROR(IF(OR(AND(AJ46="Muy Baja",AL46="Leve"),AND(AJ46="Muy Baja",AL46="Menor"),AND(AJ46="Baja",AL46="Leve")),"Bajo",IF(OR(AND(AJ46="Muy baja",AL46="Moderado"),AND(AJ46="Baja",AL46="Menor"),AND(AJ46="Baja",AL46="Moderado"),AND(AJ46="Media",AL46="Leve"),AND(AJ46="Media",AL46="Menor"),AND(AJ46="Media",AL46="Moderado"),AND(AJ46="Alta",AL46="Leve"),AND(AJ46="Alta",AL46="Menor")),"Moderado",IF(OR(AND(AJ46="Muy Baja",AL46="Mayor"),AND(AJ46="Baja",AL46="Mayor"),AND(AJ46="Media",AL46="Mayor"),AND(AJ46="Alta",AL46="Moderado"),AND(AJ46="Alta",AL46="Mayor"),AND(AJ46="Muy Alta",AL46="Leve"),AND(AJ46="Muy Alta",AL46="Menor"),AND(AJ46="Muy Alta",AL46="Moderado"),AND(AJ46="Muy Alta",AL46="Mayor")),"Alto",IF(OR(AND(AJ46="Muy Baja",AL46="Catastrófico"),AND(AJ46="Baja",AL46="Catastrófico"),AND(AJ46="Media",AL46="Catastrófico"),AND(AJ46="Alta",AL46="Catastrófico"),AND(AJ46="Muy Alta",AL46="Catastrófico")),"Extremo","")))),"")</f>
        <v/>
      </c>
      <c r="AO46" s="195"/>
      <c r="AP46" s="186"/>
      <c r="AQ46" s="196"/>
      <c r="AR46" s="196"/>
      <c r="AS46" s="197"/>
      <c r="AT46" s="362"/>
      <c r="AU46" s="362"/>
      <c r="AV46" s="362"/>
    </row>
    <row r="47" spans="1:48" ht="37.5" customHeight="1" x14ac:dyDescent="0.2">
      <c r="A47" s="379"/>
      <c r="B47" s="365"/>
      <c r="C47" s="365"/>
      <c r="D47" s="365"/>
      <c r="E47" s="337"/>
      <c r="F47" s="365"/>
      <c r="G47" s="337"/>
      <c r="H47" s="337"/>
      <c r="I47" s="337"/>
      <c r="J47" s="337"/>
      <c r="K47" s="337"/>
      <c r="L47" s="337"/>
      <c r="M47" s="337"/>
      <c r="N47" s="337"/>
      <c r="O47" s="337"/>
      <c r="P47" s="337"/>
      <c r="Q47" s="337"/>
      <c r="R47" s="362"/>
      <c r="S47" s="347"/>
      <c r="T47" s="346"/>
      <c r="U47" s="330"/>
      <c r="V47" s="346">
        <f>IF(NOT(ISERROR(MATCH(U47,_xlfn.ANCHORARRAY(E58),0))),T60&amp;"Por favor no seleccionar los criterios de impacto",U47)</f>
        <v>0</v>
      </c>
      <c r="W47" s="347"/>
      <c r="X47" s="346"/>
      <c r="Y47" s="339"/>
      <c r="Z47" s="222">
        <v>5</v>
      </c>
      <c r="AA47" s="187"/>
      <c r="AB47" s="189" t="str">
        <f t="shared" si="50"/>
        <v/>
      </c>
      <c r="AC47" s="190"/>
      <c r="AD47" s="190"/>
      <c r="AE47" s="191" t="str">
        <f t="shared" si="45"/>
        <v/>
      </c>
      <c r="AF47" s="190"/>
      <c r="AG47" s="190"/>
      <c r="AH47" s="190"/>
      <c r="AI47" s="192" t="str">
        <f t="shared" si="51"/>
        <v/>
      </c>
      <c r="AJ47" s="193" t="str">
        <f t="shared" si="2"/>
        <v/>
      </c>
      <c r="AK47" s="191" t="str">
        <f t="shared" si="46"/>
        <v/>
      </c>
      <c r="AL47" s="193" t="str">
        <f t="shared" si="4"/>
        <v/>
      </c>
      <c r="AM47" s="191" t="str">
        <f t="shared" si="13"/>
        <v/>
      </c>
      <c r="AN47" s="194" t="str">
        <f t="shared" ref="AN47" si="52">IFERROR(IF(OR(AND(AJ47="Muy Baja",AL47="Leve"),AND(AJ47="Muy Baja",AL47="Menor"),AND(AJ47="Baja",AL47="Leve")),"Bajo",IF(OR(AND(AJ47="Muy baja",AL47="Moderado"),AND(AJ47="Baja",AL47="Menor"),AND(AJ47="Baja",AL47="Moderado"),AND(AJ47="Media",AL47="Leve"),AND(AJ47="Media",AL47="Menor"),AND(AJ47="Media",AL47="Moderado"),AND(AJ47="Alta",AL47="Leve"),AND(AJ47="Alta",AL47="Menor")),"Moderado",IF(OR(AND(AJ47="Muy Baja",AL47="Mayor"),AND(AJ47="Baja",AL47="Mayor"),AND(AJ47="Media",AL47="Mayor"),AND(AJ47="Alta",AL47="Moderado"),AND(AJ47="Alta",AL47="Mayor"),AND(AJ47="Muy Alta",AL47="Leve"),AND(AJ47="Muy Alta",AL47="Menor"),AND(AJ47="Muy Alta",AL47="Moderado"),AND(AJ47="Muy Alta",AL47="Mayor")),"Alto",IF(OR(AND(AJ47="Muy Baja",AL47="Catastrófico"),AND(AJ47="Baja",AL47="Catastrófico"),AND(AJ47="Media",AL47="Catastrófico"),AND(AJ47="Alta",AL47="Catastrófico"),AND(AJ47="Muy Alta",AL47="Catastrófico")),"Extremo","")))),"")</f>
        <v/>
      </c>
      <c r="AO47" s="195"/>
      <c r="AP47" s="186"/>
      <c r="AQ47" s="196"/>
      <c r="AR47" s="196"/>
      <c r="AS47" s="197"/>
      <c r="AT47" s="362"/>
      <c r="AU47" s="362"/>
      <c r="AV47" s="362"/>
    </row>
    <row r="48" spans="1:48" ht="37.5" customHeight="1" x14ac:dyDescent="0.2">
      <c r="A48" s="379"/>
      <c r="B48" s="365"/>
      <c r="C48" s="365"/>
      <c r="D48" s="365"/>
      <c r="E48" s="338"/>
      <c r="F48" s="365"/>
      <c r="G48" s="338"/>
      <c r="H48" s="338"/>
      <c r="I48" s="338"/>
      <c r="J48" s="338"/>
      <c r="K48" s="338"/>
      <c r="L48" s="338"/>
      <c r="M48" s="338"/>
      <c r="N48" s="338"/>
      <c r="O48" s="338"/>
      <c r="P48" s="338"/>
      <c r="Q48" s="338"/>
      <c r="R48" s="362"/>
      <c r="S48" s="347"/>
      <c r="T48" s="346"/>
      <c r="U48" s="330"/>
      <c r="V48" s="346">
        <f>IF(NOT(ISERROR(MATCH(U48,_xlfn.ANCHORARRAY(E59),0))),T61&amp;"Por favor no seleccionar los criterios de impacto",U48)</f>
        <v>0</v>
      </c>
      <c r="W48" s="347"/>
      <c r="X48" s="346"/>
      <c r="Y48" s="339"/>
      <c r="Z48" s="222">
        <v>6</v>
      </c>
      <c r="AA48" s="187"/>
      <c r="AB48" s="189" t="str">
        <f t="shared" si="50"/>
        <v/>
      </c>
      <c r="AC48" s="190"/>
      <c r="AD48" s="190"/>
      <c r="AE48" s="191" t="str">
        <f t="shared" si="45"/>
        <v/>
      </c>
      <c r="AF48" s="190"/>
      <c r="AG48" s="190"/>
      <c r="AH48" s="190"/>
      <c r="AI48" s="192" t="str">
        <f t="shared" si="51"/>
        <v/>
      </c>
      <c r="AJ48" s="193" t="str">
        <f t="shared" si="2"/>
        <v/>
      </c>
      <c r="AK48" s="191" t="str">
        <f t="shared" si="46"/>
        <v/>
      </c>
      <c r="AL48" s="193" t="str">
        <f>IFERROR(IF(AM48="","",IF(AM48&lt;=0.2,"Leve",IF(AM48&lt;=0.4,"Menor",IF(AM48&lt;=0.6,"Moderado",IF(AM48&lt;=0.8,"Mayor","Catastrófico"))))),"")</f>
        <v/>
      </c>
      <c r="AM48" s="191" t="str">
        <f t="shared" si="13"/>
        <v/>
      </c>
      <c r="AN48" s="194" t="str">
        <f>IFERROR(IF(OR(AND(AJ48="Muy Baja",AL48="Leve"),AND(AJ48="Muy Baja",AL48="Menor"),AND(AJ48="Baja",AL48="Leve")),"Bajo",IF(OR(AND(AJ48="Muy baja",AL48="Moderado"),AND(AJ48="Baja",AL48="Menor"),AND(AJ48="Baja",AL48="Moderado"),AND(AJ48="Media",AL48="Leve"),AND(AJ48="Media",AL48="Menor"),AND(AJ48="Media",AL48="Moderado"),AND(AJ48="Alta",AL48="Leve"),AND(AJ48="Alta",AL48="Menor")),"Moderado",IF(OR(AND(AJ48="Muy Baja",AL48="Mayor"),AND(AJ48="Baja",AL48="Mayor"),AND(AJ48="Media",AL48="Mayor"),AND(AJ48="Alta",AL48="Moderado"),AND(AJ48="Alta",AL48="Mayor"),AND(AJ48="Muy Alta",AL48="Leve"),AND(AJ48="Muy Alta",AL48="Menor"),AND(AJ48="Muy Alta",AL48="Moderado"),AND(AJ48="Muy Alta",AL48="Mayor")),"Alto",IF(OR(AND(AJ48="Muy Baja",AL48="Catastrófico"),AND(AJ48="Baja",AL48="Catastrófico"),AND(AJ48="Media",AL48="Catastrófico"),AND(AJ48="Alta",AL48="Catastrófico"),AND(AJ48="Muy Alta",AL48="Catastrófico")),"Extremo","")))),"")</f>
        <v/>
      </c>
      <c r="AO48" s="195"/>
      <c r="AP48" s="186"/>
      <c r="AQ48" s="196"/>
      <c r="AR48" s="196"/>
      <c r="AS48" s="197"/>
      <c r="AT48" s="362"/>
      <c r="AU48" s="362"/>
      <c r="AV48" s="362"/>
    </row>
    <row r="49" spans="1:48" ht="37.5" customHeight="1" x14ac:dyDescent="0.2">
      <c r="A49" s="379">
        <v>7</v>
      </c>
      <c r="B49" s="365"/>
      <c r="C49" s="365"/>
      <c r="D49" s="383"/>
      <c r="E49" s="365"/>
      <c r="F49" s="365"/>
      <c r="G49" s="336"/>
      <c r="H49" s="336"/>
      <c r="I49" s="336"/>
      <c r="J49" s="336"/>
      <c r="K49" s="336"/>
      <c r="L49" s="336"/>
      <c r="M49" s="336"/>
      <c r="N49" s="336"/>
      <c r="O49" s="336"/>
      <c r="P49" s="336"/>
      <c r="Q49" s="336"/>
      <c r="R49" s="362"/>
      <c r="S49" s="347" t="str">
        <f>IF(R49&lt;=0,"",IF(R49&lt;=2,"Muy Baja",IF(R49&lt;=24,"Baja",IF(R49&lt;=500,"Media",IF(R49&lt;=5000,"Alta","Muy Alta")))))</f>
        <v/>
      </c>
      <c r="T49" s="346" t="str">
        <f>IF(S49="","",IF(S49="Muy Baja",0.2,IF(S49="Baja",0.4,IF(S49="Media",0.6,IF(S49="Alta",0.8,IF(S49="Muy Alta",1,))))))</f>
        <v/>
      </c>
      <c r="U49" s="330"/>
      <c r="V49" s="346">
        <f>IF(NOT(ISERROR(MATCH(U49,'Tabla Impacto'!$B$222:$B$224,0))),'Tabla Impacto'!$F$224&amp;"Por favor no seleccionar los criterios de impacto(Afectación Económica o presupuestal y Pérdida Reputacional)",U49)</f>
        <v>0</v>
      </c>
      <c r="W49" s="347" t="str">
        <f>IF(OR(V49='Tabla Impacto'!$C$12,V49='Tabla Impacto'!$D$12),"Leve",IF(OR(V49='Tabla Impacto'!$C$13,V49='Tabla Impacto'!$D$13),"Menor",IF(OR(V49='Tabla Impacto'!$C$14,V49='Tabla Impacto'!$D$14),"Moderado",IF(OR(V49='Tabla Impacto'!$C$15,V49='Tabla Impacto'!$D$15),"Mayor",IF(OR(V49='Tabla Impacto'!$C$16,V49='Tabla Impacto'!$D$16),"Catastrófico","")))))</f>
        <v/>
      </c>
      <c r="X49" s="346" t="str">
        <f>IF(W49="","",IF(W49="Leve",0.2,IF(W49="Menor",0.4,IF(W49="Moderado",0.6,IF(W49="Mayor",0.8,IF(W49="Catastrófico",1,))))))</f>
        <v/>
      </c>
      <c r="Y49" s="339" t="str">
        <f>IF(OR(AND(S49="Muy Baja",W49="Leve"),AND(S49="Muy Baja",W49="Menor"),AND(S49="Baja",W49="Leve")),"Bajo",IF(OR(AND(S49="Muy baja",W49="Moderado"),AND(S49="Baja",W49="Menor"),AND(S49="Baja",W49="Moderado"),AND(S49="Media",W49="Leve"),AND(S49="Media",W49="Menor"),AND(S49="Media",W49="Moderado"),AND(S49="Alta",W49="Leve"),AND(S49="Alta",W49="Menor")),"Moderado",IF(OR(AND(S49="Muy Baja",W49="Mayor"),AND(S49="Baja",W49="Mayor"),AND(S49="Media",W49="Mayor"),AND(S49="Alta",W49="Moderado"),AND(S49="Alta",W49="Mayor"),AND(S49="Muy Alta",W49="Leve"),AND(S49="Muy Alta",W49="Menor"),AND(S49="Muy Alta",W49="Moderado"),AND(S49="Muy Alta",W49="Mayor")),"Alto",IF(OR(AND(S49="Muy Baja",W49="Catastrófico"),AND(S49="Baja",W49="Catastrófico"),AND(S49="Media",W49="Catastrófico"),AND(S49="Alta",W49="Catastrófico"),AND(S49="Muy Alta",W49="Catastrófico")),"Extremo",""))))</f>
        <v/>
      </c>
      <c r="Z49" s="222">
        <v>1</v>
      </c>
      <c r="AA49" s="199"/>
      <c r="AB49" s="189" t="str">
        <f>IF(OR(AC49="Preventivo",AC49="Detectivo"),"Probabilidad",IF(AC49="Correctivo","Impacto",""))</f>
        <v/>
      </c>
      <c r="AC49" s="190"/>
      <c r="AD49" s="190"/>
      <c r="AE49" s="191" t="str">
        <f>IF(AND(AC49="Preventivo",AD49="Automático"),"50%",IF(AND(AC49="Preventivo",AD49="Manual"),"40%",IF(AND(AC49="Detectivo",AD49="Automático"),"40%",IF(AND(AC49="Detectivo",AD49="Manual"),"30%",IF(AND(AC49="Correctivo",AD49="Automático"),"35%",IF(AND(AC49="Correctivo",AD49="Manual"),"25%",""))))))</f>
        <v/>
      </c>
      <c r="AF49" s="190"/>
      <c r="AG49" s="190"/>
      <c r="AH49" s="190"/>
      <c r="AI49" s="192" t="str">
        <f>IFERROR(IF(AB49="Probabilidad",(T49-(+T49*AE49)),IF(AB49="Impacto",T49,"")),"")</f>
        <v/>
      </c>
      <c r="AJ49" s="193" t="str">
        <f>IFERROR(IF(AI49="","",IF(AI49&lt;=0.2,"Muy Baja",IF(AI49&lt;=0.4,"Baja",IF(AI49&lt;=0.6,"Media",IF(AI49&lt;=0.8,"Alta","Muy Alta"))))),"")</f>
        <v/>
      </c>
      <c r="AK49" s="191" t="str">
        <f>+AI49</f>
        <v/>
      </c>
      <c r="AL49" s="193" t="str">
        <f>IFERROR(IF(AM49="","",IF(AM49&lt;=0.2,"Leve",IF(AM49&lt;=0.4,"Menor",IF(AM49&lt;=0.6,"Moderado",IF(AM49&lt;=0.8,"Mayor","Catastrófico"))))),"")</f>
        <v/>
      </c>
      <c r="AM49" s="191" t="str">
        <f t="shared" ref="AM49" si="53">IFERROR(IF(AB49="Impacto",(X49-(+X49*AE49)),IF(AB49="Probabilidad",X49,"")),"")</f>
        <v/>
      </c>
      <c r="AN49" s="194" t="str">
        <f>IFERROR(IF(OR(AND(AJ49="Muy Baja",AL49="Leve"),AND(AJ49="Muy Baja",AL49="Menor"),AND(AJ49="Baja",AL49="Leve")),"Bajo",IF(OR(AND(AJ49="Muy baja",AL49="Moderado"),AND(AJ49="Baja",AL49="Menor"),AND(AJ49="Baja",AL49="Moderado"),AND(AJ49="Media",AL49="Leve"),AND(AJ49="Media",AL49="Menor"),AND(AJ49="Media",AL49="Moderado"),AND(AJ49="Alta",AL49="Leve"),AND(AJ49="Alta",AL49="Menor")),"Moderado",IF(OR(AND(AJ49="Muy Baja",AL49="Mayor"),AND(AJ49="Baja",AL49="Mayor"),AND(AJ49="Media",AL49="Mayor"),AND(AJ49="Alta",AL49="Moderado"),AND(AJ49="Alta",AL49="Mayor"),AND(AJ49="Muy Alta",AL49="Leve"),AND(AJ49="Muy Alta",AL49="Menor"),AND(AJ49="Muy Alta",AL49="Moderado"),AND(AJ49="Muy Alta",AL49="Mayor")),"Alto",IF(OR(AND(AJ49="Muy Baja",AL49="Catastrófico"),AND(AJ49="Baja",AL49="Catastrófico"),AND(AJ49="Media",AL49="Catastrófico"),AND(AJ49="Alta",AL49="Catastrófico"),AND(AJ49="Muy Alta",AL49="Catastrófico")),"Extremo","")))),"")</f>
        <v/>
      </c>
      <c r="AO49" s="195"/>
      <c r="AP49" s="186"/>
      <c r="AQ49" s="196"/>
      <c r="AR49" s="196"/>
      <c r="AS49" s="197"/>
      <c r="AT49" s="362"/>
      <c r="AU49" s="362"/>
      <c r="AV49" s="362"/>
    </row>
    <row r="50" spans="1:48" ht="37.5" customHeight="1" x14ac:dyDescent="0.2">
      <c r="A50" s="379"/>
      <c r="B50" s="365"/>
      <c r="C50" s="365"/>
      <c r="D50" s="383"/>
      <c r="E50" s="365"/>
      <c r="F50" s="365"/>
      <c r="G50" s="337"/>
      <c r="H50" s="337"/>
      <c r="I50" s="337"/>
      <c r="J50" s="337"/>
      <c r="K50" s="337"/>
      <c r="L50" s="337"/>
      <c r="M50" s="337"/>
      <c r="N50" s="337"/>
      <c r="O50" s="337"/>
      <c r="P50" s="337"/>
      <c r="Q50" s="337"/>
      <c r="R50" s="362"/>
      <c r="S50" s="347"/>
      <c r="T50" s="346"/>
      <c r="U50" s="330"/>
      <c r="V50" s="346">
        <f>IF(NOT(ISERROR(MATCH(U50,_xlfn.ANCHORARRAY(E61),0))),T63&amp;"Por favor no seleccionar los criterios de impacto",U50)</f>
        <v>0</v>
      </c>
      <c r="W50" s="347"/>
      <c r="X50" s="346"/>
      <c r="Y50" s="339"/>
      <c r="Z50" s="222">
        <v>2</v>
      </c>
      <c r="AA50" s="187"/>
      <c r="AB50" s="189" t="str">
        <f>IF(OR(AC50="Preventivo",AC50="Detectivo"),"Probabilidad",IF(AC50="Correctivo","Impacto",""))</f>
        <v/>
      </c>
      <c r="AC50" s="190"/>
      <c r="AD50" s="190"/>
      <c r="AE50" s="191" t="str">
        <f t="shared" ref="AE50:AE54" si="54">IF(AND(AC50="Preventivo",AD50="Automático"),"50%",IF(AND(AC50="Preventivo",AD50="Manual"),"40%",IF(AND(AC50="Detectivo",AD50="Automático"),"40%",IF(AND(AC50="Detectivo",AD50="Manual"),"30%",IF(AND(AC50="Correctivo",AD50="Automático"),"35%",IF(AND(AC50="Correctivo",AD50="Manual"),"25%",""))))))</f>
        <v/>
      </c>
      <c r="AF50" s="190"/>
      <c r="AG50" s="190"/>
      <c r="AH50" s="190"/>
      <c r="AI50" s="192" t="str">
        <f>IFERROR(IF(AND(AB49="Probabilidad",AB50="Probabilidad"),(AK49-(+AK49*AE50)),IF(AB50="Probabilidad",(T49-(+T49*AE50)),IF(AB50="Impacto",AK49,""))),"")</f>
        <v/>
      </c>
      <c r="AJ50" s="193" t="str">
        <f t="shared" si="2"/>
        <v/>
      </c>
      <c r="AK50" s="191" t="str">
        <f t="shared" ref="AK50:AK54" si="55">+AI50</f>
        <v/>
      </c>
      <c r="AL50" s="193" t="str">
        <f t="shared" si="4"/>
        <v/>
      </c>
      <c r="AM50" s="191" t="str">
        <f t="shared" ref="AM50" si="56">IFERROR(IF(AND(AB49="Impacto",AB50="Impacto"),(AM49-(+AM49*AE50)),IF(AB50="Impacto",($X$13-(+$X$13*AE50)),IF(AB50="Probabilidad",AM49,""))),"")</f>
        <v/>
      </c>
      <c r="AN50" s="194" t="str">
        <f t="shared" ref="AN50:AN51" si="57">IFERROR(IF(OR(AND(AJ50="Muy Baja",AL50="Leve"),AND(AJ50="Muy Baja",AL50="Menor"),AND(AJ50="Baja",AL50="Leve")),"Bajo",IF(OR(AND(AJ50="Muy baja",AL50="Moderado"),AND(AJ50="Baja",AL50="Menor"),AND(AJ50="Baja",AL50="Moderado"),AND(AJ50="Media",AL50="Leve"),AND(AJ50="Media",AL50="Menor"),AND(AJ50="Media",AL50="Moderado"),AND(AJ50="Alta",AL50="Leve"),AND(AJ50="Alta",AL50="Menor")),"Moderado",IF(OR(AND(AJ50="Muy Baja",AL50="Mayor"),AND(AJ50="Baja",AL50="Mayor"),AND(AJ50="Media",AL50="Mayor"),AND(AJ50="Alta",AL50="Moderado"),AND(AJ50="Alta",AL50="Mayor"),AND(AJ50="Muy Alta",AL50="Leve"),AND(AJ50="Muy Alta",AL50="Menor"),AND(AJ50="Muy Alta",AL50="Moderado"),AND(AJ50="Muy Alta",AL50="Mayor")),"Alto",IF(OR(AND(AJ50="Muy Baja",AL50="Catastrófico"),AND(AJ50="Baja",AL50="Catastrófico"),AND(AJ50="Media",AL50="Catastrófico"),AND(AJ50="Alta",AL50="Catastrófico"),AND(AJ50="Muy Alta",AL50="Catastrófico")),"Extremo","")))),"")</f>
        <v/>
      </c>
      <c r="AO50" s="195"/>
      <c r="AP50" s="186"/>
      <c r="AQ50" s="196"/>
      <c r="AR50" s="196"/>
      <c r="AS50" s="197"/>
      <c r="AT50" s="362"/>
      <c r="AU50" s="362"/>
      <c r="AV50" s="362"/>
    </row>
    <row r="51" spans="1:48" ht="37.5" customHeight="1" x14ac:dyDescent="0.2">
      <c r="A51" s="379"/>
      <c r="B51" s="365"/>
      <c r="C51" s="365"/>
      <c r="D51" s="383"/>
      <c r="E51" s="365"/>
      <c r="F51" s="365"/>
      <c r="G51" s="337"/>
      <c r="H51" s="337"/>
      <c r="I51" s="337"/>
      <c r="J51" s="337"/>
      <c r="K51" s="337"/>
      <c r="L51" s="337"/>
      <c r="M51" s="337"/>
      <c r="N51" s="337"/>
      <c r="O51" s="337"/>
      <c r="P51" s="337"/>
      <c r="Q51" s="337"/>
      <c r="R51" s="362"/>
      <c r="S51" s="347"/>
      <c r="T51" s="346"/>
      <c r="U51" s="330"/>
      <c r="V51" s="346">
        <f>IF(NOT(ISERROR(MATCH(U51,_xlfn.ANCHORARRAY(E62),0))),T64&amp;"Por favor no seleccionar los criterios de impacto",U51)</f>
        <v>0</v>
      </c>
      <c r="W51" s="347"/>
      <c r="X51" s="346"/>
      <c r="Y51" s="339"/>
      <c r="Z51" s="222">
        <v>3</v>
      </c>
      <c r="AA51" s="188"/>
      <c r="AB51" s="189" t="str">
        <f>IF(OR(AC51="Preventivo",AC51="Detectivo"),"Probabilidad",IF(AC51="Correctivo","Impacto",""))</f>
        <v/>
      </c>
      <c r="AC51" s="190"/>
      <c r="AD51" s="190"/>
      <c r="AE51" s="191" t="str">
        <f t="shared" si="54"/>
        <v/>
      </c>
      <c r="AF51" s="190"/>
      <c r="AG51" s="190"/>
      <c r="AH51" s="190"/>
      <c r="AI51" s="192" t="str">
        <f>IFERROR(IF(AND(AB50="Probabilidad",AB51="Probabilidad"),(AK50-(+AK50*AE51)),IF(AND(AB50="Impacto",AB51="Probabilidad"),(AK49-(+AK49*AE51)),IF(AB51="Impacto",AK50,""))),"")</f>
        <v/>
      </c>
      <c r="AJ51" s="193" t="str">
        <f t="shared" si="2"/>
        <v/>
      </c>
      <c r="AK51" s="191" t="str">
        <f t="shared" si="55"/>
        <v/>
      </c>
      <c r="AL51" s="193" t="str">
        <f t="shared" si="4"/>
        <v/>
      </c>
      <c r="AM51" s="191" t="str">
        <f t="shared" ref="AM51" si="58">IFERROR(IF(AND(AB50="Impacto",AB51="Impacto"),(AM50-(+AM50*AE51)),IF(AND(AB50="Probabilidad",AB51="Impacto"),(AM49-(+AM49*AE51)),IF(AB51="Probabilidad",AM50,""))),"")</f>
        <v/>
      </c>
      <c r="AN51" s="194" t="str">
        <f t="shared" si="57"/>
        <v/>
      </c>
      <c r="AO51" s="195"/>
      <c r="AP51" s="186"/>
      <c r="AQ51" s="196"/>
      <c r="AR51" s="196"/>
      <c r="AS51" s="197"/>
      <c r="AT51" s="362"/>
      <c r="AU51" s="362"/>
      <c r="AV51" s="362"/>
    </row>
    <row r="52" spans="1:48" ht="37.5" customHeight="1" x14ac:dyDescent="0.2">
      <c r="A52" s="379"/>
      <c r="B52" s="365"/>
      <c r="C52" s="365"/>
      <c r="D52" s="383"/>
      <c r="E52" s="365"/>
      <c r="F52" s="365"/>
      <c r="G52" s="337"/>
      <c r="H52" s="337"/>
      <c r="I52" s="337"/>
      <c r="J52" s="337"/>
      <c r="K52" s="337"/>
      <c r="L52" s="337"/>
      <c r="M52" s="337"/>
      <c r="N52" s="337"/>
      <c r="O52" s="337"/>
      <c r="P52" s="337"/>
      <c r="Q52" s="337"/>
      <c r="R52" s="362"/>
      <c r="S52" s="347"/>
      <c r="T52" s="346"/>
      <c r="U52" s="330"/>
      <c r="V52" s="346">
        <f>IF(NOT(ISERROR(MATCH(U52,_xlfn.ANCHORARRAY(E63),0))),T65&amp;"Por favor no seleccionar los criterios de impacto",U52)</f>
        <v>0</v>
      </c>
      <c r="W52" s="347"/>
      <c r="X52" s="346"/>
      <c r="Y52" s="339"/>
      <c r="Z52" s="222">
        <v>4</v>
      </c>
      <c r="AA52" s="187"/>
      <c r="AB52" s="189" t="str">
        <f t="shared" ref="AB52:AB54" si="59">IF(OR(AC52="Preventivo",AC52="Detectivo"),"Probabilidad",IF(AC52="Correctivo","Impacto",""))</f>
        <v/>
      </c>
      <c r="AC52" s="190"/>
      <c r="AD52" s="190"/>
      <c r="AE52" s="191" t="str">
        <f t="shared" si="54"/>
        <v/>
      </c>
      <c r="AF52" s="190"/>
      <c r="AG52" s="190"/>
      <c r="AH52" s="190"/>
      <c r="AI52" s="192" t="str">
        <f t="shared" ref="AI52:AI54" si="60">IFERROR(IF(AND(AB51="Probabilidad",AB52="Probabilidad"),(AK51-(+AK51*AE52)),IF(AND(AB51="Impacto",AB52="Probabilidad"),(AK50-(+AK50*AE52)),IF(AB52="Impacto",AK51,""))),"")</f>
        <v/>
      </c>
      <c r="AJ52" s="193" t="str">
        <f t="shared" si="2"/>
        <v/>
      </c>
      <c r="AK52" s="191" t="str">
        <f t="shared" si="55"/>
        <v/>
      </c>
      <c r="AL52" s="193" t="str">
        <f t="shared" si="4"/>
        <v/>
      </c>
      <c r="AM52" s="191" t="str">
        <f t="shared" si="13"/>
        <v/>
      </c>
      <c r="AN52" s="194" t="str">
        <f>IFERROR(IF(OR(AND(AJ52="Muy Baja",AL52="Leve"),AND(AJ52="Muy Baja",AL52="Menor"),AND(AJ52="Baja",AL52="Leve")),"Bajo",IF(OR(AND(AJ52="Muy baja",AL52="Moderado"),AND(AJ52="Baja",AL52="Menor"),AND(AJ52="Baja",AL52="Moderado"),AND(AJ52="Media",AL52="Leve"),AND(AJ52="Media",AL52="Menor"),AND(AJ52="Media",AL52="Moderado"),AND(AJ52="Alta",AL52="Leve"),AND(AJ52="Alta",AL52="Menor")),"Moderado",IF(OR(AND(AJ52="Muy Baja",AL52="Mayor"),AND(AJ52="Baja",AL52="Mayor"),AND(AJ52="Media",AL52="Mayor"),AND(AJ52="Alta",AL52="Moderado"),AND(AJ52="Alta",AL52="Mayor"),AND(AJ52="Muy Alta",AL52="Leve"),AND(AJ52="Muy Alta",AL52="Menor"),AND(AJ52="Muy Alta",AL52="Moderado"),AND(AJ52="Muy Alta",AL52="Mayor")),"Alto",IF(OR(AND(AJ52="Muy Baja",AL52="Catastrófico"),AND(AJ52="Baja",AL52="Catastrófico"),AND(AJ52="Media",AL52="Catastrófico"),AND(AJ52="Alta",AL52="Catastrófico"),AND(AJ52="Muy Alta",AL52="Catastrófico")),"Extremo","")))),"")</f>
        <v/>
      </c>
      <c r="AO52" s="195"/>
      <c r="AP52" s="186"/>
      <c r="AQ52" s="196"/>
      <c r="AR52" s="196"/>
      <c r="AS52" s="197"/>
      <c r="AT52" s="362"/>
      <c r="AU52" s="362"/>
      <c r="AV52" s="362"/>
    </row>
    <row r="53" spans="1:48" ht="37.5" customHeight="1" x14ac:dyDescent="0.2">
      <c r="A53" s="379"/>
      <c r="B53" s="365"/>
      <c r="C53" s="365"/>
      <c r="D53" s="383"/>
      <c r="E53" s="365"/>
      <c r="F53" s="365"/>
      <c r="G53" s="337"/>
      <c r="H53" s="337"/>
      <c r="I53" s="337"/>
      <c r="J53" s="337"/>
      <c r="K53" s="337"/>
      <c r="L53" s="337"/>
      <c r="M53" s="337"/>
      <c r="N53" s="337"/>
      <c r="O53" s="337"/>
      <c r="P53" s="337"/>
      <c r="Q53" s="337"/>
      <c r="R53" s="362"/>
      <c r="S53" s="347"/>
      <c r="T53" s="346"/>
      <c r="U53" s="330"/>
      <c r="V53" s="346">
        <f>IF(NOT(ISERROR(MATCH(U53,_xlfn.ANCHORARRAY(E64),0))),T66&amp;"Por favor no seleccionar los criterios de impacto",U53)</f>
        <v>0</v>
      </c>
      <c r="W53" s="347"/>
      <c r="X53" s="346"/>
      <c r="Y53" s="339"/>
      <c r="Z53" s="222">
        <v>5</v>
      </c>
      <c r="AA53" s="187"/>
      <c r="AB53" s="189" t="str">
        <f t="shared" si="59"/>
        <v/>
      </c>
      <c r="AC53" s="190"/>
      <c r="AD53" s="190"/>
      <c r="AE53" s="191" t="str">
        <f t="shared" si="54"/>
        <v/>
      </c>
      <c r="AF53" s="190"/>
      <c r="AG53" s="190"/>
      <c r="AH53" s="190"/>
      <c r="AI53" s="192" t="str">
        <f t="shared" si="60"/>
        <v/>
      </c>
      <c r="AJ53" s="193" t="str">
        <f t="shared" si="2"/>
        <v/>
      </c>
      <c r="AK53" s="191" t="str">
        <f t="shared" si="55"/>
        <v/>
      </c>
      <c r="AL53" s="193" t="str">
        <f t="shared" si="4"/>
        <v/>
      </c>
      <c r="AM53" s="191" t="str">
        <f t="shared" si="13"/>
        <v/>
      </c>
      <c r="AN53" s="194" t="str">
        <f t="shared" ref="AN53:AN54" si="61">IFERROR(IF(OR(AND(AJ53="Muy Baja",AL53="Leve"),AND(AJ53="Muy Baja",AL53="Menor"),AND(AJ53="Baja",AL53="Leve")),"Bajo",IF(OR(AND(AJ53="Muy baja",AL53="Moderado"),AND(AJ53="Baja",AL53="Menor"),AND(AJ53="Baja",AL53="Moderado"),AND(AJ53="Media",AL53="Leve"),AND(AJ53="Media",AL53="Menor"),AND(AJ53="Media",AL53="Moderado"),AND(AJ53="Alta",AL53="Leve"),AND(AJ53="Alta",AL53="Menor")),"Moderado",IF(OR(AND(AJ53="Muy Baja",AL53="Mayor"),AND(AJ53="Baja",AL53="Mayor"),AND(AJ53="Media",AL53="Mayor"),AND(AJ53="Alta",AL53="Moderado"),AND(AJ53="Alta",AL53="Mayor"),AND(AJ53="Muy Alta",AL53="Leve"),AND(AJ53="Muy Alta",AL53="Menor"),AND(AJ53="Muy Alta",AL53="Moderado"),AND(AJ53="Muy Alta",AL53="Mayor")),"Alto",IF(OR(AND(AJ53="Muy Baja",AL53="Catastrófico"),AND(AJ53="Baja",AL53="Catastrófico"),AND(AJ53="Media",AL53="Catastrófico"),AND(AJ53="Alta",AL53="Catastrófico"),AND(AJ53="Muy Alta",AL53="Catastrófico")),"Extremo","")))),"")</f>
        <v/>
      </c>
      <c r="AO53" s="195"/>
      <c r="AP53" s="186"/>
      <c r="AQ53" s="196"/>
      <c r="AR53" s="196"/>
      <c r="AS53" s="197"/>
      <c r="AT53" s="362"/>
      <c r="AU53" s="362"/>
      <c r="AV53" s="362"/>
    </row>
    <row r="54" spans="1:48" ht="37.5" customHeight="1" x14ac:dyDescent="0.2">
      <c r="A54" s="379"/>
      <c r="B54" s="365"/>
      <c r="C54" s="365"/>
      <c r="D54" s="383"/>
      <c r="E54" s="365"/>
      <c r="F54" s="365"/>
      <c r="G54" s="338"/>
      <c r="H54" s="338"/>
      <c r="I54" s="338"/>
      <c r="J54" s="338"/>
      <c r="K54" s="338"/>
      <c r="L54" s="338"/>
      <c r="M54" s="338"/>
      <c r="N54" s="338"/>
      <c r="O54" s="338"/>
      <c r="P54" s="338"/>
      <c r="Q54" s="338"/>
      <c r="R54" s="362"/>
      <c r="S54" s="347"/>
      <c r="T54" s="346"/>
      <c r="U54" s="330"/>
      <c r="V54" s="346">
        <f>IF(NOT(ISERROR(MATCH(U54,_xlfn.ANCHORARRAY(E65),0))),T67&amp;"Por favor no seleccionar los criterios de impacto",U54)</f>
        <v>0</v>
      </c>
      <c r="W54" s="347"/>
      <c r="X54" s="346"/>
      <c r="Y54" s="339"/>
      <c r="Z54" s="222">
        <v>6</v>
      </c>
      <c r="AA54" s="187"/>
      <c r="AB54" s="189" t="str">
        <f t="shared" si="59"/>
        <v/>
      </c>
      <c r="AC54" s="190"/>
      <c r="AD54" s="190"/>
      <c r="AE54" s="191" t="str">
        <f t="shared" si="54"/>
        <v/>
      </c>
      <c r="AF54" s="190"/>
      <c r="AG54" s="190"/>
      <c r="AH54" s="190"/>
      <c r="AI54" s="192" t="str">
        <f t="shared" si="60"/>
        <v/>
      </c>
      <c r="AJ54" s="193" t="str">
        <f t="shared" si="2"/>
        <v/>
      </c>
      <c r="AK54" s="191" t="str">
        <f t="shared" si="55"/>
        <v/>
      </c>
      <c r="AL54" s="193" t="str">
        <f t="shared" si="4"/>
        <v/>
      </c>
      <c r="AM54" s="191" t="str">
        <f t="shared" si="13"/>
        <v/>
      </c>
      <c r="AN54" s="194" t="str">
        <f t="shared" si="61"/>
        <v/>
      </c>
      <c r="AO54" s="195"/>
      <c r="AP54" s="186"/>
      <c r="AQ54" s="196"/>
      <c r="AR54" s="196"/>
      <c r="AS54" s="197"/>
      <c r="AT54" s="362"/>
      <c r="AU54" s="362"/>
      <c r="AV54" s="362"/>
    </row>
    <row r="55" spans="1:48" ht="37.5" customHeight="1" x14ac:dyDescent="0.2">
      <c r="A55" s="379">
        <v>8</v>
      </c>
      <c r="B55" s="365"/>
      <c r="C55" s="365"/>
      <c r="D55" s="365"/>
      <c r="E55" s="365"/>
      <c r="F55" s="365"/>
      <c r="G55" s="336"/>
      <c r="H55" s="336"/>
      <c r="I55" s="336"/>
      <c r="J55" s="336"/>
      <c r="K55" s="336"/>
      <c r="L55" s="336"/>
      <c r="M55" s="336"/>
      <c r="N55" s="336"/>
      <c r="O55" s="336"/>
      <c r="P55" s="336"/>
      <c r="Q55" s="336"/>
      <c r="R55" s="362"/>
      <c r="S55" s="347" t="str">
        <f>IF(R55&lt;=0,"",IF(R55&lt;=2,"Muy Baja",IF(R55&lt;=24,"Baja",IF(R55&lt;=500,"Media",IF(R55&lt;=5000,"Alta","Muy Alta")))))</f>
        <v/>
      </c>
      <c r="T55" s="346" t="str">
        <f>IF(S55="","",IF(S55="Muy Baja",0.2,IF(S55="Baja",0.4,IF(S55="Media",0.6,IF(S55="Alta",0.8,IF(S55="Muy Alta",1,))))))</f>
        <v/>
      </c>
      <c r="U55" s="330"/>
      <c r="V55" s="346">
        <f>IF(NOT(ISERROR(MATCH(U55,'Tabla Impacto'!$B$222:$B$224,0))),'Tabla Impacto'!$F$224&amp;"Por favor no seleccionar los criterios de impacto(Afectación Económica o presupuestal y Pérdida Reputacional)",U55)</f>
        <v>0</v>
      </c>
      <c r="W55" s="347" t="str">
        <f>IF(OR(V55='Tabla Impacto'!$C$12,V55='Tabla Impacto'!$D$12),"Leve",IF(OR(V55='Tabla Impacto'!$C$13,V55='Tabla Impacto'!$D$13),"Menor",IF(OR(V55='Tabla Impacto'!$C$14,V55='Tabla Impacto'!$D$14),"Moderado",IF(OR(V55='Tabla Impacto'!$C$15,V55='Tabla Impacto'!$D$15),"Mayor",IF(OR(V55='Tabla Impacto'!$C$16,V55='Tabla Impacto'!$D$16),"Catastrófico","")))))</f>
        <v/>
      </c>
      <c r="X55" s="346" t="str">
        <f>IF(W55="","",IF(W55="Leve",0.2,IF(W55="Menor",0.4,IF(W55="Moderado",0.6,IF(W55="Mayor",0.8,IF(W55="Catastrófico",1,))))))</f>
        <v/>
      </c>
      <c r="Y55" s="339" t="str">
        <f>IF(OR(AND(S55="Muy Baja",W55="Leve"),AND(S55="Muy Baja",W55="Menor"),AND(S55="Baja",W55="Leve")),"Bajo",IF(OR(AND(S55="Muy baja",W55="Moderado"),AND(S55="Baja",W55="Menor"),AND(S55="Baja",W55="Moderado"),AND(S55="Media",W55="Leve"),AND(S55="Media",W55="Menor"),AND(S55="Media",W55="Moderado"),AND(S55="Alta",W55="Leve"),AND(S55="Alta",W55="Menor")),"Moderado",IF(OR(AND(S55="Muy Baja",W55="Mayor"),AND(S55="Baja",W55="Mayor"),AND(S55="Media",W55="Mayor"),AND(S55="Alta",W55="Moderado"),AND(S55="Alta",W55="Mayor"),AND(S55="Muy Alta",W55="Leve"),AND(S55="Muy Alta",W55="Menor"),AND(S55="Muy Alta",W55="Moderado"),AND(S55="Muy Alta",W55="Mayor")),"Alto",IF(OR(AND(S55="Muy Baja",W55="Catastrófico"),AND(S55="Baja",W55="Catastrófico"),AND(S55="Media",W55="Catastrófico"),AND(S55="Alta",W55="Catastrófico"),AND(S55="Muy Alta",W55="Catastrófico")),"Extremo",""))))</f>
        <v/>
      </c>
      <c r="Z55" s="222">
        <v>1</v>
      </c>
      <c r="AA55" s="187"/>
      <c r="AB55" s="189" t="str">
        <f>IF(OR(AC55="Preventivo",AC55="Detectivo"),"Probabilidad",IF(AC55="Correctivo","Impacto",""))</f>
        <v/>
      </c>
      <c r="AC55" s="190"/>
      <c r="AD55" s="190"/>
      <c r="AE55" s="191" t="str">
        <f>IF(AND(AC55="Preventivo",AD55="Automático"),"50%",IF(AND(AC55="Preventivo",AD55="Manual"),"40%",IF(AND(AC55="Detectivo",AD55="Automático"),"40%",IF(AND(AC55="Detectivo",AD55="Manual"),"30%",IF(AND(AC55="Correctivo",AD55="Automático"),"35%",IF(AND(AC55="Correctivo",AD55="Manual"),"25%",""))))))</f>
        <v/>
      </c>
      <c r="AF55" s="190"/>
      <c r="AG55" s="190"/>
      <c r="AH55" s="190"/>
      <c r="AI55" s="192" t="str">
        <f>IFERROR(IF(AB55="Probabilidad",(T55-(+T55*AE55)),IF(AB55="Impacto",T55,"")),"")</f>
        <v/>
      </c>
      <c r="AJ55" s="193" t="str">
        <f>IFERROR(IF(AI55="","",IF(AI55&lt;=0.2,"Muy Baja",IF(AI55&lt;=0.4,"Baja",IF(AI55&lt;=0.6,"Media",IF(AI55&lt;=0.8,"Alta","Muy Alta"))))),"")</f>
        <v/>
      </c>
      <c r="AK55" s="191" t="str">
        <f>+AI55</f>
        <v/>
      </c>
      <c r="AL55" s="193" t="str">
        <f>IFERROR(IF(AM55="","",IF(AM55&lt;=0.2,"Leve",IF(AM55&lt;=0.4,"Menor",IF(AM55&lt;=0.6,"Moderado",IF(AM55&lt;=0.8,"Mayor","Catastrófico"))))),"")</f>
        <v/>
      </c>
      <c r="AM55" s="191" t="str">
        <f t="shared" ref="AM55" si="62">IFERROR(IF(AB55="Impacto",(X55-(+X55*AE55)),IF(AB55="Probabilidad",X55,"")),"")</f>
        <v/>
      </c>
      <c r="AN55" s="194" t="str">
        <f>IFERROR(IF(OR(AND(AJ55="Muy Baja",AL55="Leve"),AND(AJ55="Muy Baja",AL55="Menor"),AND(AJ55="Baja",AL55="Leve")),"Bajo",IF(OR(AND(AJ55="Muy baja",AL55="Moderado"),AND(AJ55="Baja",AL55="Menor"),AND(AJ55="Baja",AL55="Moderado"),AND(AJ55="Media",AL55="Leve"),AND(AJ55="Media",AL55="Menor"),AND(AJ55="Media",AL55="Moderado"),AND(AJ55="Alta",AL55="Leve"),AND(AJ55="Alta",AL55="Menor")),"Moderado",IF(OR(AND(AJ55="Muy Baja",AL55="Mayor"),AND(AJ55="Baja",AL55="Mayor"),AND(AJ55="Media",AL55="Mayor"),AND(AJ55="Alta",AL55="Moderado"),AND(AJ55="Alta",AL55="Mayor"),AND(AJ55="Muy Alta",AL55="Leve"),AND(AJ55="Muy Alta",AL55="Menor"),AND(AJ55="Muy Alta",AL55="Moderado"),AND(AJ55="Muy Alta",AL55="Mayor")),"Alto",IF(OR(AND(AJ55="Muy Baja",AL55="Catastrófico"),AND(AJ55="Baja",AL55="Catastrófico"),AND(AJ55="Media",AL55="Catastrófico"),AND(AJ55="Alta",AL55="Catastrófico"),AND(AJ55="Muy Alta",AL55="Catastrófico")),"Extremo","")))),"")</f>
        <v/>
      </c>
      <c r="AO55" s="195"/>
      <c r="AP55" s="186"/>
      <c r="AQ55" s="196"/>
      <c r="AR55" s="196"/>
      <c r="AS55" s="197"/>
      <c r="AT55" s="362"/>
      <c r="AU55" s="362"/>
      <c r="AV55" s="362"/>
    </row>
    <row r="56" spans="1:48" ht="37.5" customHeight="1" x14ac:dyDescent="0.2">
      <c r="A56" s="379"/>
      <c r="B56" s="365"/>
      <c r="C56" s="365"/>
      <c r="D56" s="365"/>
      <c r="E56" s="365"/>
      <c r="F56" s="365"/>
      <c r="G56" s="337"/>
      <c r="H56" s="337"/>
      <c r="I56" s="337"/>
      <c r="J56" s="337"/>
      <c r="K56" s="337"/>
      <c r="L56" s="337"/>
      <c r="M56" s="337"/>
      <c r="N56" s="337"/>
      <c r="O56" s="337"/>
      <c r="P56" s="337"/>
      <c r="Q56" s="337"/>
      <c r="R56" s="362"/>
      <c r="S56" s="347"/>
      <c r="T56" s="346"/>
      <c r="U56" s="330"/>
      <c r="V56" s="346">
        <f>IF(NOT(ISERROR(MATCH(U56,_xlfn.ANCHORARRAY(E67),0))),T69&amp;"Por favor no seleccionar los criterios de impacto",U56)</f>
        <v>0</v>
      </c>
      <c r="W56" s="347"/>
      <c r="X56" s="346"/>
      <c r="Y56" s="339"/>
      <c r="Z56" s="222">
        <v>2</v>
      </c>
      <c r="AA56" s="187"/>
      <c r="AB56" s="189" t="str">
        <f>IF(OR(AC56="Preventivo",AC56="Detectivo"),"Probabilidad",IF(AC56="Correctivo","Impacto",""))</f>
        <v/>
      </c>
      <c r="AC56" s="190"/>
      <c r="AD56" s="190"/>
      <c r="AE56" s="191" t="str">
        <f t="shared" ref="AE56:AE60" si="63">IF(AND(AC56="Preventivo",AD56="Automático"),"50%",IF(AND(AC56="Preventivo",AD56="Manual"),"40%",IF(AND(AC56="Detectivo",AD56="Automático"),"40%",IF(AND(AC56="Detectivo",AD56="Manual"),"30%",IF(AND(AC56="Correctivo",AD56="Automático"),"35%",IF(AND(AC56="Correctivo",AD56="Manual"),"25%",""))))))</f>
        <v/>
      </c>
      <c r="AF56" s="190"/>
      <c r="AG56" s="190"/>
      <c r="AH56" s="190"/>
      <c r="AI56" s="192" t="str">
        <f>IFERROR(IF(AND(AB55="Probabilidad",AB56="Probabilidad"),(AK55-(+AK55*AE56)),IF(AB56="Probabilidad",(T55-(+T55*AE56)),IF(AB56="Impacto",AK55,""))),"")</f>
        <v/>
      </c>
      <c r="AJ56" s="193" t="str">
        <f t="shared" si="2"/>
        <v/>
      </c>
      <c r="AK56" s="191" t="str">
        <f t="shared" ref="AK56:AK60" si="64">+AI56</f>
        <v/>
      </c>
      <c r="AL56" s="193" t="str">
        <f t="shared" si="4"/>
        <v/>
      </c>
      <c r="AM56" s="191" t="str">
        <f t="shared" ref="AM56" si="65">IFERROR(IF(AND(AB55="Impacto",AB56="Impacto"),(AM55-(+AM55*AE56)),IF(AB56="Impacto",($X$13-(+$X$13*AE56)),IF(AB56="Probabilidad",AM55,""))),"")</f>
        <v/>
      </c>
      <c r="AN56" s="194" t="str">
        <f t="shared" ref="AN56:AN57" si="66">IFERROR(IF(OR(AND(AJ56="Muy Baja",AL56="Leve"),AND(AJ56="Muy Baja",AL56="Menor"),AND(AJ56="Baja",AL56="Leve")),"Bajo",IF(OR(AND(AJ56="Muy baja",AL56="Moderado"),AND(AJ56="Baja",AL56="Menor"),AND(AJ56="Baja",AL56="Moderado"),AND(AJ56="Media",AL56="Leve"),AND(AJ56="Media",AL56="Menor"),AND(AJ56="Media",AL56="Moderado"),AND(AJ56="Alta",AL56="Leve"),AND(AJ56="Alta",AL56="Menor")),"Moderado",IF(OR(AND(AJ56="Muy Baja",AL56="Mayor"),AND(AJ56="Baja",AL56="Mayor"),AND(AJ56="Media",AL56="Mayor"),AND(AJ56="Alta",AL56="Moderado"),AND(AJ56="Alta",AL56="Mayor"),AND(AJ56="Muy Alta",AL56="Leve"),AND(AJ56="Muy Alta",AL56="Menor"),AND(AJ56="Muy Alta",AL56="Moderado"),AND(AJ56="Muy Alta",AL56="Mayor")),"Alto",IF(OR(AND(AJ56="Muy Baja",AL56="Catastrófico"),AND(AJ56="Baja",AL56="Catastrófico"),AND(AJ56="Media",AL56="Catastrófico"),AND(AJ56="Alta",AL56="Catastrófico"),AND(AJ56="Muy Alta",AL56="Catastrófico")),"Extremo","")))),"")</f>
        <v/>
      </c>
      <c r="AO56" s="195"/>
      <c r="AP56" s="186"/>
      <c r="AQ56" s="196"/>
      <c r="AR56" s="196"/>
      <c r="AS56" s="197"/>
      <c r="AT56" s="362"/>
      <c r="AU56" s="362"/>
      <c r="AV56" s="362"/>
    </row>
    <row r="57" spans="1:48" ht="37.5" customHeight="1" x14ac:dyDescent="0.2">
      <c r="A57" s="379"/>
      <c r="B57" s="365"/>
      <c r="C57" s="365"/>
      <c r="D57" s="365"/>
      <c r="E57" s="365"/>
      <c r="F57" s="365"/>
      <c r="G57" s="337"/>
      <c r="H57" s="337"/>
      <c r="I57" s="337"/>
      <c r="J57" s="337"/>
      <c r="K57" s="337"/>
      <c r="L57" s="337"/>
      <c r="M57" s="337"/>
      <c r="N57" s="337"/>
      <c r="O57" s="337"/>
      <c r="P57" s="337"/>
      <c r="Q57" s="337"/>
      <c r="R57" s="362"/>
      <c r="S57" s="347"/>
      <c r="T57" s="346"/>
      <c r="U57" s="330"/>
      <c r="V57" s="346">
        <f>IF(NOT(ISERROR(MATCH(U57,_xlfn.ANCHORARRAY(E68),0))),T70&amp;"Por favor no seleccionar los criterios de impacto",U57)</f>
        <v>0</v>
      </c>
      <c r="W57" s="347"/>
      <c r="X57" s="346"/>
      <c r="Y57" s="339"/>
      <c r="Z57" s="222">
        <v>3</v>
      </c>
      <c r="AA57" s="188"/>
      <c r="AB57" s="189" t="str">
        <f>IF(OR(AC57="Preventivo",AC57="Detectivo"),"Probabilidad",IF(AC57="Correctivo","Impacto",""))</f>
        <v/>
      </c>
      <c r="AC57" s="190"/>
      <c r="AD57" s="190"/>
      <c r="AE57" s="191" t="str">
        <f t="shared" si="63"/>
        <v/>
      </c>
      <c r="AF57" s="190"/>
      <c r="AG57" s="190"/>
      <c r="AH57" s="190"/>
      <c r="AI57" s="192" t="str">
        <f>IFERROR(IF(AND(AB56="Probabilidad",AB57="Probabilidad"),(AK56-(+AK56*AE57)),IF(AND(AB56="Impacto",AB57="Probabilidad"),(AK55-(+AK55*AE57)),IF(AB57="Impacto",AK56,""))),"")</f>
        <v/>
      </c>
      <c r="AJ57" s="193" t="str">
        <f t="shared" si="2"/>
        <v/>
      </c>
      <c r="AK57" s="191" t="str">
        <f t="shared" si="64"/>
        <v/>
      </c>
      <c r="AL57" s="193" t="str">
        <f t="shared" si="4"/>
        <v/>
      </c>
      <c r="AM57" s="191" t="str">
        <f t="shared" ref="AM57" si="67">IFERROR(IF(AND(AB56="Impacto",AB57="Impacto"),(AM56-(+AM56*AE57)),IF(AND(AB56="Probabilidad",AB57="Impacto"),(AM55-(+AM55*AE57)),IF(AB57="Probabilidad",AM56,""))),"")</f>
        <v/>
      </c>
      <c r="AN57" s="194" t="str">
        <f t="shared" si="66"/>
        <v/>
      </c>
      <c r="AO57" s="195"/>
      <c r="AP57" s="186"/>
      <c r="AQ57" s="196"/>
      <c r="AR57" s="196"/>
      <c r="AS57" s="197"/>
      <c r="AT57" s="362"/>
      <c r="AU57" s="362"/>
      <c r="AV57" s="362"/>
    </row>
    <row r="58" spans="1:48" ht="37.5" customHeight="1" x14ac:dyDescent="0.2">
      <c r="A58" s="379"/>
      <c r="B58" s="365"/>
      <c r="C58" s="365"/>
      <c r="D58" s="365"/>
      <c r="E58" s="365"/>
      <c r="F58" s="365"/>
      <c r="G58" s="337"/>
      <c r="H58" s="337"/>
      <c r="I58" s="337"/>
      <c r="J58" s="337"/>
      <c r="K58" s="337"/>
      <c r="L58" s="337"/>
      <c r="M58" s="337"/>
      <c r="N58" s="337"/>
      <c r="O58" s="337"/>
      <c r="P58" s="337"/>
      <c r="Q58" s="337"/>
      <c r="R58" s="362"/>
      <c r="S58" s="347"/>
      <c r="T58" s="346"/>
      <c r="U58" s="330"/>
      <c r="V58" s="346">
        <f>IF(NOT(ISERROR(MATCH(U58,_xlfn.ANCHORARRAY(E69),0))),T71&amp;"Por favor no seleccionar los criterios de impacto",U58)</f>
        <v>0</v>
      </c>
      <c r="W58" s="347"/>
      <c r="X58" s="346"/>
      <c r="Y58" s="339"/>
      <c r="Z58" s="222">
        <v>4</v>
      </c>
      <c r="AA58" s="187"/>
      <c r="AB58" s="189" t="str">
        <f t="shared" ref="AB58:AB60" si="68">IF(OR(AC58="Preventivo",AC58="Detectivo"),"Probabilidad",IF(AC58="Correctivo","Impacto",""))</f>
        <v/>
      </c>
      <c r="AC58" s="190"/>
      <c r="AD58" s="190"/>
      <c r="AE58" s="191" t="str">
        <f t="shared" si="63"/>
        <v/>
      </c>
      <c r="AF58" s="190"/>
      <c r="AG58" s="190"/>
      <c r="AH58" s="190"/>
      <c r="AI58" s="192" t="str">
        <f t="shared" ref="AI58:AI60" si="69">IFERROR(IF(AND(AB57="Probabilidad",AB58="Probabilidad"),(AK57-(+AK57*AE58)),IF(AND(AB57="Impacto",AB58="Probabilidad"),(AK56-(+AK56*AE58)),IF(AB58="Impacto",AK57,""))),"")</f>
        <v/>
      </c>
      <c r="AJ58" s="193" t="str">
        <f t="shared" si="2"/>
        <v/>
      </c>
      <c r="AK58" s="191" t="str">
        <f t="shared" si="64"/>
        <v/>
      </c>
      <c r="AL58" s="193" t="str">
        <f t="shared" si="4"/>
        <v/>
      </c>
      <c r="AM58" s="191" t="str">
        <f t="shared" si="13"/>
        <v/>
      </c>
      <c r="AN58" s="194" t="str">
        <f>IFERROR(IF(OR(AND(AJ58="Muy Baja",AL58="Leve"),AND(AJ58="Muy Baja",AL58="Menor"),AND(AJ58="Baja",AL58="Leve")),"Bajo",IF(OR(AND(AJ58="Muy baja",AL58="Moderado"),AND(AJ58="Baja",AL58="Menor"),AND(AJ58="Baja",AL58="Moderado"),AND(AJ58="Media",AL58="Leve"),AND(AJ58="Media",AL58="Menor"),AND(AJ58="Media",AL58="Moderado"),AND(AJ58="Alta",AL58="Leve"),AND(AJ58="Alta",AL58="Menor")),"Moderado",IF(OR(AND(AJ58="Muy Baja",AL58="Mayor"),AND(AJ58="Baja",AL58="Mayor"),AND(AJ58="Media",AL58="Mayor"),AND(AJ58="Alta",AL58="Moderado"),AND(AJ58="Alta",AL58="Mayor"),AND(AJ58="Muy Alta",AL58="Leve"),AND(AJ58="Muy Alta",AL58="Menor"),AND(AJ58="Muy Alta",AL58="Moderado"),AND(AJ58="Muy Alta",AL58="Mayor")),"Alto",IF(OR(AND(AJ58="Muy Baja",AL58="Catastrófico"),AND(AJ58="Baja",AL58="Catastrófico"),AND(AJ58="Media",AL58="Catastrófico"),AND(AJ58="Alta",AL58="Catastrófico"),AND(AJ58="Muy Alta",AL58="Catastrófico")),"Extremo","")))),"")</f>
        <v/>
      </c>
      <c r="AO58" s="195"/>
      <c r="AP58" s="186"/>
      <c r="AQ58" s="196"/>
      <c r="AR58" s="196"/>
      <c r="AS58" s="197"/>
      <c r="AT58" s="362"/>
      <c r="AU58" s="362"/>
      <c r="AV58" s="362"/>
    </row>
    <row r="59" spans="1:48" ht="37.5" customHeight="1" x14ac:dyDescent="0.2">
      <c r="A59" s="379"/>
      <c r="B59" s="365"/>
      <c r="C59" s="365"/>
      <c r="D59" s="365"/>
      <c r="E59" s="365"/>
      <c r="F59" s="365"/>
      <c r="G59" s="337"/>
      <c r="H59" s="337"/>
      <c r="I59" s="337"/>
      <c r="J59" s="337"/>
      <c r="K59" s="337"/>
      <c r="L59" s="337"/>
      <c r="M59" s="337"/>
      <c r="N59" s="337"/>
      <c r="O59" s="337"/>
      <c r="P59" s="337"/>
      <c r="Q59" s="337"/>
      <c r="R59" s="362"/>
      <c r="S59" s="347"/>
      <c r="T59" s="346"/>
      <c r="U59" s="330"/>
      <c r="V59" s="346">
        <f>IF(NOT(ISERROR(MATCH(U59,_xlfn.ANCHORARRAY(E70),0))),T72&amp;"Por favor no seleccionar los criterios de impacto",U59)</f>
        <v>0</v>
      </c>
      <c r="W59" s="347"/>
      <c r="X59" s="346"/>
      <c r="Y59" s="339"/>
      <c r="Z59" s="222">
        <v>5</v>
      </c>
      <c r="AA59" s="187"/>
      <c r="AB59" s="189" t="str">
        <f t="shared" si="68"/>
        <v/>
      </c>
      <c r="AC59" s="190"/>
      <c r="AD59" s="190"/>
      <c r="AE59" s="191" t="str">
        <f t="shared" si="63"/>
        <v/>
      </c>
      <c r="AF59" s="190"/>
      <c r="AG59" s="190"/>
      <c r="AH59" s="190"/>
      <c r="AI59" s="192" t="str">
        <f t="shared" si="69"/>
        <v/>
      </c>
      <c r="AJ59" s="193" t="str">
        <f t="shared" si="2"/>
        <v/>
      </c>
      <c r="AK59" s="191" t="str">
        <f t="shared" si="64"/>
        <v/>
      </c>
      <c r="AL59" s="193" t="str">
        <f t="shared" si="4"/>
        <v/>
      </c>
      <c r="AM59" s="191" t="str">
        <f t="shared" si="13"/>
        <v/>
      </c>
      <c r="AN59" s="194" t="str">
        <f t="shared" ref="AN59:AN60" si="70">IFERROR(IF(OR(AND(AJ59="Muy Baja",AL59="Leve"),AND(AJ59="Muy Baja",AL59="Menor"),AND(AJ59="Baja",AL59="Leve")),"Bajo",IF(OR(AND(AJ59="Muy baja",AL59="Moderado"),AND(AJ59="Baja",AL59="Menor"),AND(AJ59="Baja",AL59="Moderado"),AND(AJ59="Media",AL59="Leve"),AND(AJ59="Media",AL59="Menor"),AND(AJ59="Media",AL59="Moderado"),AND(AJ59="Alta",AL59="Leve"),AND(AJ59="Alta",AL59="Menor")),"Moderado",IF(OR(AND(AJ59="Muy Baja",AL59="Mayor"),AND(AJ59="Baja",AL59="Mayor"),AND(AJ59="Media",AL59="Mayor"),AND(AJ59="Alta",AL59="Moderado"),AND(AJ59="Alta",AL59="Mayor"),AND(AJ59="Muy Alta",AL59="Leve"),AND(AJ59="Muy Alta",AL59="Menor"),AND(AJ59="Muy Alta",AL59="Moderado"),AND(AJ59="Muy Alta",AL59="Mayor")),"Alto",IF(OR(AND(AJ59="Muy Baja",AL59="Catastrófico"),AND(AJ59="Baja",AL59="Catastrófico"),AND(AJ59="Media",AL59="Catastrófico"),AND(AJ59="Alta",AL59="Catastrófico"),AND(AJ59="Muy Alta",AL59="Catastrófico")),"Extremo","")))),"")</f>
        <v/>
      </c>
      <c r="AO59" s="195"/>
      <c r="AP59" s="186"/>
      <c r="AQ59" s="196"/>
      <c r="AR59" s="196"/>
      <c r="AS59" s="197"/>
      <c r="AT59" s="362"/>
      <c r="AU59" s="362"/>
      <c r="AV59" s="362"/>
    </row>
    <row r="60" spans="1:48" ht="37.5" customHeight="1" x14ac:dyDescent="0.2">
      <c r="A60" s="379"/>
      <c r="B60" s="365"/>
      <c r="C60" s="365"/>
      <c r="D60" s="365"/>
      <c r="E60" s="365"/>
      <c r="F60" s="365"/>
      <c r="G60" s="338"/>
      <c r="H60" s="338"/>
      <c r="I60" s="338"/>
      <c r="J60" s="338"/>
      <c r="K60" s="338"/>
      <c r="L60" s="338"/>
      <c r="M60" s="338"/>
      <c r="N60" s="338"/>
      <c r="O60" s="338"/>
      <c r="P60" s="338"/>
      <c r="Q60" s="338"/>
      <c r="R60" s="362"/>
      <c r="S60" s="347"/>
      <c r="T60" s="346"/>
      <c r="U60" s="330"/>
      <c r="V60" s="346">
        <f>IF(NOT(ISERROR(MATCH(U60,_xlfn.ANCHORARRAY(E71),0))),U73&amp;"Por favor no seleccionar los criterios de impacto",U60)</f>
        <v>0</v>
      </c>
      <c r="W60" s="347"/>
      <c r="X60" s="346"/>
      <c r="Y60" s="339"/>
      <c r="Z60" s="222">
        <v>6</v>
      </c>
      <c r="AA60" s="187"/>
      <c r="AB60" s="189" t="str">
        <f t="shared" si="68"/>
        <v/>
      </c>
      <c r="AC60" s="190"/>
      <c r="AD60" s="190"/>
      <c r="AE60" s="191" t="str">
        <f t="shared" si="63"/>
        <v/>
      </c>
      <c r="AF60" s="190"/>
      <c r="AG60" s="190"/>
      <c r="AH60" s="190"/>
      <c r="AI60" s="192" t="str">
        <f t="shared" si="69"/>
        <v/>
      </c>
      <c r="AJ60" s="193" t="str">
        <f t="shared" si="2"/>
        <v/>
      </c>
      <c r="AK60" s="191" t="str">
        <f t="shared" si="64"/>
        <v/>
      </c>
      <c r="AL60" s="193" t="str">
        <f t="shared" si="4"/>
        <v/>
      </c>
      <c r="AM60" s="191" t="str">
        <f t="shared" si="13"/>
        <v/>
      </c>
      <c r="AN60" s="194" t="str">
        <f t="shared" si="70"/>
        <v/>
      </c>
      <c r="AO60" s="195"/>
      <c r="AP60" s="186"/>
      <c r="AQ60" s="196"/>
      <c r="AR60" s="196"/>
      <c r="AS60" s="197"/>
      <c r="AT60" s="362"/>
      <c r="AU60" s="362"/>
      <c r="AV60" s="362"/>
    </row>
    <row r="61" spans="1:48" ht="37.5" customHeight="1" x14ac:dyDescent="0.2">
      <c r="A61" s="379">
        <v>9</v>
      </c>
      <c r="B61" s="365"/>
      <c r="C61" s="365"/>
      <c r="D61" s="365"/>
      <c r="E61" s="365"/>
      <c r="F61" s="365"/>
      <c r="G61" s="336"/>
      <c r="H61" s="336"/>
      <c r="I61" s="336"/>
      <c r="J61" s="336"/>
      <c r="K61" s="336"/>
      <c r="L61" s="336"/>
      <c r="M61" s="229"/>
      <c r="N61" s="229"/>
      <c r="O61" s="229"/>
      <c r="P61" s="336"/>
      <c r="Q61" s="336"/>
      <c r="R61" s="362"/>
      <c r="S61" s="347" t="str">
        <f>IF(R61&lt;=0,"",IF(R61&lt;=2,"Muy Baja",IF(R61&lt;=24,"Baja",IF(R61&lt;=500,"Media",IF(R61&lt;=5000,"Alta","Muy Alta")))))</f>
        <v/>
      </c>
      <c r="T61" s="346" t="str">
        <f>IF(S61="","",IF(S61="Muy Baja",0.2,IF(S61="Baja",0.4,IF(S61="Media",0.6,IF(S61="Alta",0.8,IF(S61="Muy Alta",1,))))))</f>
        <v/>
      </c>
      <c r="U61" s="330"/>
      <c r="V61" s="346">
        <f>IF(NOT(ISERROR(MATCH(U61,'Tabla Impacto'!$B$222:$B$224,0))),'Tabla Impacto'!$F$224&amp;"Por favor no seleccionar los criterios de impacto(Afectación Económica o presupuestal y Pérdida Reputacional)",U61)</f>
        <v>0</v>
      </c>
      <c r="W61" s="347" t="str">
        <f>IF(OR(V61='Tabla Impacto'!$C$12,V61='Tabla Impacto'!$D$12),"Leve",IF(OR(V61='Tabla Impacto'!$C$13,V61='Tabla Impacto'!$D$13),"Menor",IF(OR(V61='Tabla Impacto'!$C$14,V61='Tabla Impacto'!$D$14),"Moderado",IF(OR(V61='Tabla Impacto'!$C$15,V61='Tabla Impacto'!$D$15),"Mayor",IF(OR(V61='Tabla Impacto'!$C$16,V61='Tabla Impacto'!$D$16),"Catastrófico","")))))</f>
        <v/>
      </c>
      <c r="X61" s="346" t="str">
        <f>IF(W61="","",IF(W61="Leve",0.2,IF(W61="Menor",0.4,IF(W61="Moderado",0.6,IF(W61="Mayor",0.8,IF(W61="Catastrófico",1,))))))</f>
        <v/>
      </c>
      <c r="Y61" s="339" t="str">
        <f>IF(OR(AND(S61="Muy Baja",W61="Leve"),AND(S61="Muy Baja",W61="Menor"),AND(S61="Baja",W61="Leve")),"Bajo",IF(OR(AND(S61="Muy baja",W61="Moderado"),AND(S61="Baja",W61="Menor"),AND(S61="Baja",W61="Moderado"),AND(S61="Media",W61="Leve"),AND(S61="Media",W61="Menor"),AND(S61="Media",W61="Moderado"),AND(S61="Alta",W61="Leve"),AND(S61="Alta",W61="Menor")),"Moderado",IF(OR(AND(S61="Muy Baja",W61="Mayor"),AND(S61="Baja",W61="Mayor"),AND(S61="Media",W61="Mayor"),AND(S61="Alta",W61="Moderado"),AND(S61="Alta",W61="Mayor"),AND(S61="Muy Alta",W61="Leve"),AND(S61="Muy Alta",W61="Menor"),AND(S61="Muy Alta",W61="Moderado"),AND(S61="Muy Alta",W61="Mayor")),"Alto",IF(OR(AND(S61="Muy Baja",W61="Catastrófico"),AND(S61="Baja",W61="Catastrófico"),AND(S61="Media",W61="Catastrófico"),AND(S61="Alta",W61="Catastrófico"),AND(S61="Muy Alta",W61="Catastrófico")),"Extremo",""))))</f>
        <v/>
      </c>
      <c r="Z61" s="222">
        <v>1</v>
      </c>
      <c r="AA61" s="187"/>
      <c r="AB61" s="189" t="str">
        <f>IF(OR(AC61="Preventivo",AC61="Detectivo"),"Probabilidad",IF(AC61="Correctivo","Impacto",""))</f>
        <v/>
      </c>
      <c r="AC61" s="190"/>
      <c r="AD61" s="190"/>
      <c r="AE61" s="191" t="str">
        <f>IF(AND(AC61="Preventivo",AD61="Automático"),"50%",IF(AND(AC61="Preventivo",AD61="Manual"),"40%",IF(AND(AC61="Detectivo",AD61="Automático"),"40%",IF(AND(AC61="Detectivo",AD61="Manual"),"30%",IF(AND(AC61="Correctivo",AD61="Automático"),"35%",IF(AND(AC61="Correctivo",AD61="Manual"),"25%",""))))))</f>
        <v/>
      </c>
      <c r="AF61" s="190"/>
      <c r="AG61" s="190"/>
      <c r="AH61" s="190"/>
      <c r="AI61" s="192" t="str">
        <f>IFERROR(IF(AB61="Probabilidad",(T61-(+T61*AE61)),IF(AB61="Impacto",T61,"")),"")</f>
        <v/>
      </c>
      <c r="AJ61" s="193" t="str">
        <f>IFERROR(IF(AI61="","",IF(AI61&lt;=0.2,"Muy Baja",IF(AI61&lt;=0.4,"Baja",IF(AI61&lt;=0.6,"Media",IF(AI61&lt;=0.8,"Alta","Muy Alta"))))),"")</f>
        <v/>
      </c>
      <c r="AK61" s="191" t="str">
        <f>+AI61</f>
        <v/>
      </c>
      <c r="AL61" s="193" t="str">
        <f>IFERROR(IF(AM61="","",IF(AM61&lt;=0.2,"Leve",IF(AM61&lt;=0.4,"Menor",IF(AM61&lt;=0.6,"Moderado",IF(AM61&lt;=0.8,"Mayor","Catastrófico"))))),"")</f>
        <v/>
      </c>
      <c r="AM61" s="191" t="str">
        <f t="shared" ref="AM61" si="71">IFERROR(IF(AB61="Impacto",(X61-(+X61*AE61)),IF(AB61="Probabilidad",X61,"")),"")</f>
        <v/>
      </c>
      <c r="AN61" s="194" t="str">
        <f>IFERROR(IF(OR(AND(AJ61="Muy Baja",AL61="Leve"),AND(AJ61="Muy Baja",AL61="Menor"),AND(AJ61="Baja",AL61="Leve")),"Bajo",IF(OR(AND(AJ61="Muy baja",AL61="Moderado"),AND(AJ61="Baja",AL61="Menor"),AND(AJ61="Baja",AL61="Moderado"),AND(AJ61="Media",AL61="Leve"),AND(AJ61="Media",AL61="Menor"),AND(AJ61="Media",AL61="Moderado"),AND(AJ61="Alta",AL61="Leve"),AND(AJ61="Alta",AL61="Menor")),"Moderado",IF(OR(AND(AJ61="Muy Baja",AL61="Mayor"),AND(AJ61="Baja",AL61="Mayor"),AND(AJ61="Media",AL61="Mayor"),AND(AJ61="Alta",AL61="Moderado"),AND(AJ61="Alta",AL61="Mayor"),AND(AJ61="Muy Alta",AL61="Leve"),AND(AJ61="Muy Alta",AL61="Menor"),AND(AJ61="Muy Alta",AL61="Moderado"),AND(AJ61="Muy Alta",AL61="Mayor")),"Alto",IF(OR(AND(AJ61="Muy Baja",AL61="Catastrófico"),AND(AJ61="Baja",AL61="Catastrófico"),AND(AJ61="Media",AL61="Catastrófico"),AND(AJ61="Alta",AL61="Catastrófico"),AND(AJ61="Muy Alta",AL61="Catastrófico")),"Extremo","")))),"")</f>
        <v/>
      </c>
      <c r="AO61" s="195"/>
      <c r="AP61" s="186"/>
      <c r="AQ61" s="196"/>
      <c r="AR61" s="196"/>
      <c r="AS61" s="197"/>
      <c r="AT61" s="362"/>
      <c r="AU61" s="362"/>
      <c r="AV61" s="362"/>
    </row>
    <row r="62" spans="1:48" ht="37.5" customHeight="1" x14ac:dyDescent="0.2">
      <c r="A62" s="379"/>
      <c r="B62" s="365"/>
      <c r="C62" s="365"/>
      <c r="D62" s="365"/>
      <c r="E62" s="365"/>
      <c r="F62" s="365"/>
      <c r="G62" s="337"/>
      <c r="H62" s="337"/>
      <c r="I62" s="337"/>
      <c r="J62" s="337"/>
      <c r="K62" s="337"/>
      <c r="L62" s="337"/>
      <c r="M62" s="230"/>
      <c r="N62" s="230"/>
      <c r="O62" s="230"/>
      <c r="P62" s="337"/>
      <c r="Q62" s="337"/>
      <c r="R62" s="362"/>
      <c r="S62" s="347"/>
      <c r="T62" s="346"/>
      <c r="U62" s="330"/>
      <c r="V62" s="346">
        <f>IF(NOT(ISERROR(MATCH(U62,_xlfn.ANCHORARRAY(F73),0))),U75&amp;"Por favor no seleccionar los criterios de impacto",U62)</f>
        <v>0</v>
      </c>
      <c r="W62" s="347"/>
      <c r="X62" s="346"/>
      <c r="Y62" s="339"/>
      <c r="Z62" s="222">
        <v>2</v>
      </c>
      <c r="AA62" s="187"/>
      <c r="AB62" s="189" t="str">
        <f>IF(OR(AC62="Preventivo",AC62="Detectivo"),"Probabilidad",IF(AC62="Correctivo","Impacto",""))</f>
        <v/>
      </c>
      <c r="AC62" s="190"/>
      <c r="AD62" s="190"/>
      <c r="AE62" s="191" t="str">
        <f t="shared" ref="AE62:AE66" si="72">IF(AND(AC62="Preventivo",AD62="Automático"),"50%",IF(AND(AC62="Preventivo",AD62="Manual"),"40%",IF(AND(AC62="Detectivo",AD62="Automático"),"40%",IF(AND(AC62="Detectivo",AD62="Manual"),"30%",IF(AND(AC62="Correctivo",AD62="Automático"),"35%",IF(AND(AC62="Correctivo",AD62="Manual"),"25%",""))))))</f>
        <v/>
      </c>
      <c r="AF62" s="190"/>
      <c r="AG62" s="190"/>
      <c r="AH62" s="190"/>
      <c r="AI62" s="192" t="str">
        <f>IFERROR(IF(AND(AB61="Probabilidad",AB62="Probabilidad"),(AK61-(+AK61*AE62)),IF(AB62="Probabilidad",(T61-(+T61*AE62)),IF(AB62="Impacto",AK61,""))),"")</f>
        <v/>
      </c>
      <c r="AJ62" s="193" t="str">
        <f t="shared" si="2"/>
        <v/>
      </c>
      <c r="AK62" s="191" t="str">
        <f t="shared" ref="AK62:AK66" si="73">+AI62</f>
        <v/>
      </c>
      <c r="AL62" s="193" t="str">
        <f t="shared" si="4"/>
        <v/>
      </c>
      <c r="AM62" s="191" t="str">
        <f t="shared" ref="AM62" si="74">IFERROR(IF(AND(AB61="Impacto",AB62="Impacto"),(AM61-(+AM61*AE62)),IF(AB62="Impacto",($X$13-(+$X$13*AE62)),IF(AB62="Probabilidad",AM61,""))),"")</f>
        <v/>
      </c>
      <c r="AN62" s="194" t="str">
        <f t="shared" ref="AN62:AN63" si="75">IFERROR(IF(OR(AND(AJ62="Muy Baja",AL62="Leve"),AND(AJ62="Muy Baja",AL62="Menor"),AND(AJ62="Baja",AL62="Leve")),"Bajo",IF(OR(AND(AJ62="Muy baja",AL62="Moderado"),AND(AJ62="Baja",AL62="Menor"),AND(AJ62="Baja",AL62="Moderado"),AND(AJ62="Media",AL62="Leve"),AND(AJ62="Media",AL62="Menor"),AND(AJ62="Media",AL62="Moderado"),AND(AJ62="Alta",AL62="Leve"),AND(AJ62="Alta",AL62="Menor")),"Moderado",IF(OR(AND(AJ62="Muy Baja",AL62="Mayor"),AND(AJ62="Baja",AL62="Mayor"),AND(AJ62="Media",AL62="Mayor"),AND(AJ62="Alta",AL62="Moderado"),AND(AJ62="Alta",AL62="Mayor"),AND(AJ62="Muy Alta",AL62="Leve"),AND(AJ62="Muy Alta",AL62="Menor"),AND(AJ62="Muy Alta",AL62="Moderado"),AND(AJ62="Muy Alta",AL62="Mayor")),"Alto",IF(OR(AND(AJ62="Muy Baja",AL62="Catastrófico"),AND(AJ62="Baja",AL62="Catastrófico"),AND(AJ62="Media",AL62="Catastrófico"),AND(AJ62="Alta",AL62="Catastrófico"),AND(AJ62="Muy Alta",AL62="Catastrófico")),"Extremo","")))),"")</f>
        <v/>
      </c>
      <c r="AO62" s="195"/>
      <c r="AP62" s="186"/>
      <c r="AQ62" s="196"/>
      <c r="AR62" s="196"/>
      <c r="AS62" s="197"/>
      <c r="AT62" s="362"/>
      <c r="AU62" s="362"/>
      <c r="AV62" s="362"/>
    </row>
    <row r="63" spans="1:48" ht="37.5" customHeight="1" x14ac:dyDescent="0.2">
      <c r="A63" s="379"/>
      <c r="B63" s="365"/>
      <c r="C63" s="365"/>
      <c r="D63" s="365"/>
      <c r="E63" s="365"/>
      <c r="F63" s="365"/>
      <c r="G63" s="337"/>
      <c r="H63" s="337"/>
      <c r="I63" s="337"/>
      <c r="J63" s="337"/>
      <c r="K63" s="337"/>
      <c r="L63" s="337"/>
      <c r="M63" s="230"/>
      <c r="N63" s="230"/>
      <c r="O63" s="230"/>
      <c r="P63" s="337"/>
      <c r="Q63" s="337"/>
      <c r="R63" s="362"/>
      <c r="S63" s="347"/>
      <c r="T63" s="346"/>
      <c r="U63" s="330"/>
      <c r="V63" s="346">
        <f>IF(NOT(ISERROR(MATCH(U63,_xlfn.ANCHORARRAY(F74),0))),U76&amp;"Por favor no seleccionar los criterios de impacto",U63)</f>
        <v>0</v>
      </c>
      <c r="W63" s="347"/>
      <c r="X63" s="346"/>
      <c r="Y63" s="339"/>
      <c r="Z63" s="222">
        <v>3</v>
      </c>
      <c r="AA63" s="187"/>
      <c r="AB63" s="189" t="str">
        <f>IF(OR(AC63="Preventivo",AC63="Detectivo"),"Probabilidad",IF(AC63="Correctivo","Impacto",""))</f>
        <v/>
      </c>
      <c r="AC63" s="190"/>
      <c r="AD63" s="190"/>
      <c r="AE63" s="191" t="str">
        <f t="shared" si="72"/>
        <v/>
      </c>
      <c r="AF63" s="190"/>
      <c r="AG63" s="190"/>
      <c r="AH63" s="190"/>
      <c r="AI63" s="192" t="str">
        <f>IFERROR(IF(AND(AB62="Probabilidad",AB63="Probabilidad"),(AK62-(+AK62*AE63)),IF(AND(AB62="Impacto",AB63="Probabilidad"),(AK61-(+AK61*AE63)),IF(AB63="Impacto",AK62,""))),"")</f>
        <v/>
      </c>
      <c r="AJ63" s="193" t="str">
        <f t="shared" si="2"/>
        <v/>
      </c>
      <c r="AK63" s="191" t="str">
        <f t="shared" si="73"/>
        <v/>
      </c>
      <c r="AL63" s="193" t="str">
        <f t="shared" si="4"/>
        <v/>
      </c>
      <c r="AM63" s="191" t="str">
        <f t="shared" ref="AM63" si="76">IFERROR(IF(AND(AB62="Impacto",AB63="Impacto"),(AM62-(+AM62*AE63)),IF(AND(AB62="Probabilidad",AB63="Impacto"),(AM61-(+AM61*AE63)),IF(AB63="Probabilidad",AM62,""))),"")</f>
        <v/>
      </c>
      <c r="AN63" s="194" t="str">
        <f t="shared" si="75"/>
        <v/>
      </c>
      <c r="AO63" s="195"/>
      <c r="AP63" s="186"/>
      <c r="AQ63" s="196"/>
      <c r="AR63" s="196"/>
      <c r="AS63" s="197"/>
      <c r="AT63" s="362"/>
      <c r="AU63" s="362"/>
      <c r="AV63" s="362"/>
    </row>
    <row r="64" spans="1:48" ht="37.5" customHeight="1" x14ac:dyDescent="0.2">
      <c r="A64" s="379"/>
      <c r="B64" s="365"/>
      <c r="C64" s="365"/>
      <c r="D64" s="365"/>
      <c r="E64" s="365"/>
      <c r="F64" s="365"/>
      <c r="G64" s="337"/>
      <c r="H64" s="337"/>
      <c r="I64" s="337"/>
      <c r="J64" s="337"/>
      <c r="K64" s="337"/>
      <c r="L64" s="337"/>
      <c r="M64" s="230"/>
      <c r="N64" s="230"/>
      <c r="O64" s="230"/>
      <c r="P64" s="337"/>
      <c r="Q64" s="337"/>
      <c r="R64" s="362"/>
      <c r="S64" s="347"/>
      <c r="T64" s="346"/>
      <c r="U64" s="330"/>
      <c r="V64" s="346">
        <f>IF(NOT(ISERROR(MATCH(U64,_xlfn.ANCHORARRAY(F75),0))),U77&amp;"Por favor no seleccionar los criterios de impacto",U64)</f>
        <v>0</v>
      </c>
      <c r="W64" s="347"/>
      <c r="X64" s="346"/>
      <c r="Y64" s="339"/>
      <c r="Z64" s="222">
        <v>4</v>
      </c>
      <c r="AA64" s="187"/>
      <c r="AB64" s="189" t="str">
        <f t="shared" ref="AB64:AB66" si="77">IF(OR(AC64="Preventivo",AC64="Detectivo"),"Probabilidad",IF(AC64="Correctivo","Impacto",""))</f>
        <v/>
      </c>
      <c r="AC64" s="190"/>
      <c r="AD64" s="190"/>
      <c r="AE64" s="191" t="str">
        <f t="shared" si="72"/>
        <v/>
      </c>
      <c r="AF64" s="190"/>
      <c r="AG64" s="190"/>
      <c r="AH64" s="190"/>
      <c r="AI64" s="192" t="str">
        <f t="shared" ref="AI64:AI66" si="78">IFERROR(IF(AND(AB63="Probabilidad",AB64="Probabilidad"),(AK63-(+AK63*AE64)),IF(AND(AB63="Impacto",AB64="Probabilidad"),(AK62-(+AK62*AE64)),IF(AB64="Impacto",AK63,""))),"")</f>
        <v/>
      </c>
      <c r="AJ64" s="193" t="str">
        <f t="shared" si="2"/>
        <v/>
      </c>
      <c r="AK64" s="191" t="str">
        <f t="shared" si="73"/>
        <v/>
      </c>
      <c r="AL64" s="193" t="str">
        <f t="shared" si="4"/>
        <v/>
      </c>
      <c r="AM64" s="191" t="str">
        <f t="shared" si="13"/>
        <v/>
      </c>
      <c r="AN64" s="194" t="str">
        <f>IFERROR(IF(OR(AND(AJ64="Muy Baja",AL64="Leve"),AND(AJ64="Muy Baja",AL64="Menor"),AND(AJ64="Baja",AL64="Leve")),"Bajo",IF(OR(AND(AJ64="Muy baja",AL64="Moderado"),AND(AJ64="Baja",AL64="Menor"),AND(AJ64="Baja",AL64="Moderado"),AND(AJ64="Media",AL64="Leve"),AND(AJ64="Media",AL64="Menor"),AND(AJ64="Media",AL64="Moderado"),AND(AJ64="Alta",AL64="Leve"),AND(AJ64="Alta",AL64="Menor")),"Moderado",IF(OR(AND(AJ64="Muy Baja",AL64="Mayor"),AND(AJ64="Baja",AL64="Mayor"),AND(AJ64="Media",AL64="Mayor"),AND(AJ64="Alta",AL64="Moderado"),AND(AJ64="Alta",AL64="Mayor"),AND(AJ64="Muy Alta",AL64="Leve"),AND(AJ64="Muy Alta",AL64="Menor"),AND(AJ64="Muy Alta",AL64="Moderado"),AND(AJ64="Muy Alta",AL64="Mayor")),"Alto",IF(OR(AND(AJ64="Muy Baja",AL64="Catastrófico"),AND(AJ64="Baja",AL64="Catastrófico"),AND(AJ64="Media",AL64="Catastrófico"),AND(AJ64="Alta",AL64="Catastrófico"),AND(AJ64="Muy Alta",AL64="Catastrófico")),"Extremo","")))),"")</f>
        <v/>
      </c>
      <c r="AO64" s="195"/>
      <c r="AP64" s="186"/>
      <c r="AQ64" s="196"/>
      <c r="AR64" s="196"/>
      <c r="AS64" s="197"/>
      <c r="AT64" s="362"/>
      <c r="AU64" s="362"/>
      <c r="AV64" s="362"/>
    </row>
    <row r="65" spans="1:48" ht="37.5" customHeight="1" x14ac:dyDescent="0.2">
      <c r="A65" s="379"/>
      <c r="B65" s="365"/>
      <c r="C65" s="365"/>
      <c r="D65" s="365"/>
      <c r="E65" s="365"/>
      <c r="F65" s="365"/>
      <c r="G65" s="337"/>
      <c r="H65" s="337"/>
      <c r="I65" s="337"/>
      <c r="J65" s="337"/>
      <c r="K65" s="337"/>
      <c r="L65" s="337"/>
      <c r="M65" s="230"/>
      <c r="N65" s="230"/>
      <c r="O65" s="230"/>
      <c r="P65" s="337"/>
      <c r="Q65" s="337"/>
      <c r="R65" s="362"/>
      <c r="S65" s="347"/>
      <c r="T65" s="346"/>
      <c r="U65" s="330"/>
      <c r="V65" s="346">
        <f>IF(NOT(ISERROR(MATCH(U65,_xlfn.ANCHORARRAY(F76),0))),U78&amp;"Por favor no seleccionar los criterios de impacto",U65)</f>
        <v>0</v>
      </c>
      <c r="W65" s="347"/>
      <c r="X65" s="346"/>
      <c r="Y65" s="339"/>
      <c r="Z65" s="222">
        <v>5</v>
      </c>
      <c r="AA65" s="187"/>
      <c r="AB65" s="189" t="str">
        <f t="shared" si="77"/>
        <v/>
      </c>
      <c r="AC65" s="190"/>
      <c r="AD65" s="190"/>
      <c r="AE65" s="191" t="str">
        <f t="shared" si="72"/>
        <v/>
      </c>
      <c r="AF65" s="190"/>
      <c r="AG65" s="190"/>
      <c r="AH65" s="190"/>
      <c r="AI65" s="192" t="str">
        <f t="shared" si="78"/>
        <v/>
      </c>
      <c r="AJ65" s="193" t="str">
        <f t="shared" si="2"/>
        <v/>
      </c>
      <c r="AK65" s="191" t="str">
        <f t="shared" si="73"/>
        <v/>
      </c>
      <c r="AL65" s="193" t="str">
        <f t="shared" si="4"/>
        <v/>
      </c>
      <c r="AM65" s="191" t="str">
        <f t="shared" si="13"/>
        <v/>
      </c>
      <c r="AN65" s="194" t="str">
        <f t="shared" ref="AN65:AN66" si="79">IFERROR(IF(OR(AND(AJ65="Muy Baja",AL65="Leve"),AND(AJ65="Muy Baja",AL65="Menor"),AND(AJ65="Baja",AL65="Leve")),"Bajo",IF(OR(AND(AJ65="Muy baja",AL65="Moderado"),AND(AJ65="Baja",AL65="Menor"),AND(AJ65="Baja",AL65="Moderado"),AND(AJ65="Media",AL65="Leve"),AND(AJ65="Media",AL65="Menor"),AND(AJ65="Media",AL65="Moderado"),AND(AJ65="Alta",AL65="Leve"),AND(AJ65="Alta",AL65="Menor")),"Moderado",IF(OR(AND(AJ65="Muy Baja",AL65="Mayor"),AND(AJ65="Baja",AL65="Mayor"),AND(AJ65="Media",AL65="Mayor"),AND(AJ65="Alta",AL65="Moderado"),AND(AJ65="Alta",AL65="Mayor"),AND(AJ65="Muy Alta",AL65="Leve"),AND(AJ65="Muy Alta",AL65="Menor"),AND(AJ65="Muy Alta",AL65="Moderado"),AND(AJ65="Muy Alta",AL65="Mayor")),"Alto",IF(OR(AND(AJ65="Muy Baja",AL65="Catastrófico"),AND(AJ65="Baja",AL65="Catastrófico"),AND(AJ65="Media",AL65="Catastrófico"),AND(AJ65="Alta",AL65="Catastrófico"),AND(AJ65="Muy Alta",AL65="Catastrófico")),"Extremo","")))),"")</f>
        <v/>
      </c>
      <c r="AO65" s="195"/>
      <c r="AP65" s="186"/>
      <c r="AQ65" s="196"/>
      <c r="AR65" s="196"/>
      <c r="AS65" s="197"/>
      <c r="AT65" s="362"/>
      <c r="AU65" s="362"/>
      <c r="AV65" s="362"/>
    </row>
    <row r="66" spans="1:48" ht="37.5" customHeight="1" x14ac:dyDescent="0.2">
      <c r="A66" s="379"/>
      <c r="B66" s="365"/>
      <c r="C66" s="365"/>
      <c r="D66" s="365"/>
      <c r="E66" s="365"/>
      <c r="F66" s="365"/>
      <c r="G66" s="338"/>
      <c r="H66" s="338"/>
      <c r="I66" s="338"/>
      <c r="J66" s="338"/>
      <c r="K66" s="338"/>
      <c r="L66" s="338"/>
      <c r="M66" s="231"/>
      <c r="N66" s="231"/>
      <c r="O66" s="231"/>
      <c r="P66" s="338"/>
      <c r="Q66" s="338"/>
      <c r="R66" s="362"/>
      <c r="S66" s="347"/>
      <c r="T66" s="346"/>
      <c r="U66" s="330"/>
      <c r="V66" s="346">
        <f>IF(NOT(ISERROR(MATCH(U66,_xlfn.ANCHORARRAY(F77),0))),U79&amp;"Por favor no seleccionar los criterios de impacto",U66)</f>
        <v>0</v>
      </c>
      <c r="W66" s="347"/>
      <c r="X66" s="346"/>
      <c r="Y66" s="339"/>
      <c r="Z66" s="222">
        <v>6</v>
      </c>
      <c r="AA66" s="187"/>
      <c r="AB66" s="189" t="str">
        <f t="shared" si="77"/>
        <v/>
      </c>
      <c r="AC66" s="190"/>
      <c r="AD66" s="190"/>
      <c r="AE66" s="191" t="str">
        <f t="shared" si="72"/>
        <v/>
      </c>
      <c r="AF66" s="190"/>
      <c r="AG66" s="190"/>
      <c r="AH66" s="190"/>
      <c r="AI66" s="192" t="str">
        <f t="shared" si="78"/>
        <v/>
      </c>
      <c r="AJ66" s="193" t="str">
        <f t="shared" si="2"/>
        <v/>
      </c>
      <c r="AK66" s="191" t="str">
        <f t="shared" si="73"/>
        <v/>
      </c>
      <c r="AL66" s="193" t="str">
        <f t="shared" si="4"/>
        <v/>
      </c>
      <c r="AM66" s="191" t="str">
        <f t="shared" si="13"/>
        <v/>
      </c>
      <c r="AN66" s="194" t="str">
        <f t="shared" si="79"/>
        <v/>
      </c>
      <c r="AO66" s="195"/>
      <c r="AP66" s="186"/>
      <c r="AQ66" s="196"/>
      <c r="AR66" s="196"/>
      <c r="AS66" s="197"/>
      <c r="AT66" s="362"/>
      <c r="AU66" s="362"/>
      <c r="AV66" s="362"/>
    </row>
    <row r="67" spans="1:48" ht="37.5" customHeight="1" x14ac:dyDescent="0.2">
      <c r="A67" s="379">
        <v>10</v>
      </c>
      <c r="B67" s="365"/>
      <c r="C67" s="365"/>
      <c r="D67" s="365"/>
      <c r="E67" s="365"/>
      <c r="F67" s="365"/>
      <c r="G67" s="336"/>
      <c r="H67" s="336"/>
      <c r="I67" s="336"/>
      <c r="J67" s="336"/>
      <c r="K67" s="336"/>
      <c r="L67" s="336"/>
      <c r="M67" s="229"/>
      <c r="N67" s="229"/>
      <c r="O67" s="229"/>
      <c r="P67" s="336"/>
      <c r="Q67" s="336"/>
      <c r="R67" s="362"/>
      <c r="S67" s="347" t="str">
        <f>IF(R67&lt;=0,"",IF(R67&lt;=2,"Muy Baja",IF(R67&lt;=24,"Baja",IF(R67&lt;=500,"Media",IF(R67&lt;=5000,"Alta","Muy Alta")))))</f>
        <v/>
      </c>
      <c r="T67" s="346" t="str">
        <f>IF(S67="","",IF(S67="Muy Baja",0.2,IF(S67="Baja",0.4,IF(S67="Media",0.6,IF(S67="Alta",0.8,IF(S67="Muy Alta",1,))))))</f>
        <v/>
      </c>
      <c r="U67" s="330"/>
      <c r="V67" s="346">
        <f>IF(NOT(ISERROR(MATCH(U67,'Tabla Impacto'!$B$222:$B$224,0))),'Tabla Impacto'!$F$224&amp;"Por favor no seleccionar los criterios de impacto(Afectación Económica o presupuestal y Pérdida Reputacional)",U67)</f>
        <v>0</v>
      </c>
      <c r="W67" s="347" t="str">
        <f>IF(OR(V67='Tabla Impacto'!$C$12,V67='Tabla Impacto'!$D$12),"Leve",IF(OR(V67='Tabla Impacto'!$C$13,V67='Tabla Impacto'!$D$13),"Menor",IF(OR(V67='Tabla Impacto'!$C$14,V67='Tabla Impacto'!$D$14),"Moderado",IF(OR(V67='Tabla Impacto'!$C$15,V67='Tabla Impacto'!$D$15),"Mayor",IF(OR(V67='Tabla Impacto'!$C$16,V67='Tabla Impacto'!$D$16),"Catastrófico","")))))</f>
        <v/>
      </c>
      <c r="X67" s="346" t="str">
        <f>IF(W67="","",IF(W67="Leve",0.2,IF(W67="Menor",0.4,IF(W67="Moderado",0.6,IF(W67="Mayor",0.8,IF(W67="Catastrófico",1,))))))</f>
        <v/>
      </c>
      <c r="Y67" s="339" t="str">
        <f>IF(OR(AND(S67="Muy Baja",W67="Leve"),AND(S67="Muy Baja",W67="Menor"),AND(S67="Baja",W67="Leve")),"Bajo",IF(OR(AND(S67="Muy baja",W67="Moderado"),AND(S67="Baja",W67="Menor"),AND(S67="Baja",W67="Moderado"),AND(S67="Media",W67="Leve"),AND(S67="Media",W67="Menor"),AND(S67="Media",W67="Moderado"),AND(S67="Alta",W67="Leve"),AND(S67="Alta",W67="Menor")),"Moderado",IF(OR(AND(S67="Muy Baja",W67="Mayor"),AND(S67="Baja",W67="Mayor"),AND(S67="Media",W67="Mayor"),AND(S67="Alta",W67="Moderado"),AND(S67="Alta",W67="Mayor"),AND(S67="Muy Alta",W67="Leve"),AND(S67="Muy Alta",W67="Menor"),AND(S67="Muy Alta",W67="Moderado"),AND(S67="Muy Alta",W67="Mayor")),"Alto",IF(OR(AND(S67="Muy Baja",W67="Catastrófico"),AND(S67="Baja",W67="Catastrófico"),AND(S67="Media",W67="Catastrófico"),AND(S67="Alta",W67="Catastrófico"),AND(S67="Muy Alta",W67="Catastrófico")),"Extremo",""))))</f>
        <v/>
      </c>
      <c r="Z67" s="222">
        <v>1</v>
      </c>
      <c r="AA67" s="187"/>
      <c r="AB67" s="189" t="str">
        <f>IF(OR(AC67="Preventivo",AC67="Detectivo"),"Probabilidad",IF(AC67="Correctivo","Impacto",""))</f>
        <v/>
      </c>
      <c r="AC67" s="190"/>
      <c r="AD67" s="190"/>
      <c r="AE67" s="191" t="str">
        <f>IF(AND(AC67="Preventivo",AD67="Automático"),"50%",IF(AND(AC67="Preventivo",AD67="Manual"),"40%",IF(AND(AC67="Detectivo",AD67="Automático"),"40%",IF(AND(AC67="Detectivo",AD67="Manual"),"30%",IF(AND(AC67="Correctivo",AD67="Automático"),"35%",IF(AND(AC67="Correctivo",AD67="Manual"),"25%",""))))))</f>
        <v/>
      </c>
      <c r="AF67" s="190"/>
      <c r="AG67" s="190"/>
      <c r="AH67" s="190"/>
      <c r="AI67" s="192" t="str">
        <f>IFERROR(IF(AB67="Probabilidad",(T67-(+T67*AE67)),IF(AB67="Impacto",T67,"")),"")</f>
        <v/>
      </c>
      <c r="AJ67" s="193" t="str">
        <f>IFERROR(IF(AI67="","",IF(AI67&lt;=0.2,"Muy Baja",IF(AI67&lt;=0.4,"Baja",IF(AI67&lt;=0.6,"Media",IF(AI67&lt;=0.8,"Alta","Muy Alta"))))),"")</f>
        <v/>
      </c>
      <c r="AK67" s="191" t="str">
        <f>+AI67</f>
        <v/>
      </c>
      <c r="AL67" s="193" t="str">
        <f>IFERROR(IF(AM67="","",IF(AM67&lt;=0.2,"Leve",IF(AM67&lt;=0.4,"Menor",IF(AM67&lt;=0.6,"Moderado",IF(AM67&lt;=0.8,"Mayor","Catastrófico"))))),"")</f>
        <v/>
      </c>
      <c r="AM67" s="191" t="str">
        <f t="shared" ref="AM67" si="80">IFERROR(IF(AB67="Impacto",(X67-(+X67*AE67)),IF(AB67="Probabilidad",X67,"")),"")</f>
        <v/>
      </c>
      <c r="AN67" s="194" t="str">
        <f>IFERROR(IF(OR(AND(AJ67="Muy Baja",AL67="Leve"),AND(AJ67="Muy Baja",AL67="Menor"),AND(AJ67="Baja",AL67="Leve")),"Bajo",IF(OR(AND(AJ67="Muy baja",AL67="Moderado"),AND(AJ67="Baja",AL67="Menor"),AND(AJ67="Baja",AL67="Moderado"),AND(AJ67="Media",AL67="Leve"),AND(AJ67="Media",AL67="Menor"),AND(AJ67="Media",AL67="Moderado"),AND(AJ67="Alta",AL67="Leve"),AND(AJ67="Alta",AL67="Menor")),"Moderado",IF(OR(AND(AJ67="Muy Baja",AL67="Mayor"),AND(AJ67="Baja",AL67="Mayor"),AND(AJ67="Media",AL67="Mayor"),AND(AJ67="Alta",AL67="Moderado"),AND(AJ67="Alta",AL67="Mayor"),AND(AJ67="Muy Alta",AL67="Leve"),AND(AJ67="Muy Alta",AL67="Menor"),AND(AJ67="Muy Alta",AL67="Moderado"),AND(AJ67="Muy Alta",AL67="Mayor")),"Alto",IF(OR(AND(AJ67="Muy Baja",AL67="Catastrófico"),AND(AJ67="Baja",AL67="Catastrófico"),AND(AJ67="Media",AL67="Catastrófico"),AND(AJ67="Alta",AL67="Catastrófico"),AND(AJ67="Muy Alta",AL67="Catastrófico")),"Extremo","")))),"")</f>
        <v/>
      </c>
      <c r="AO67" s="195"/>
      <c r="AP67" s="186"/>
      <c r="AQ67" s="196"/>
      <c r="AR67" s="196"/>
      <c r="AS67" s="197"/>
      <c r="AT67" s="362"/>
      <c r="AU67" s="362"/>
      <c r="AV67" s="362"/>
    </row>
    <row r="68" spans="1:48" ht="37.5" customHeight="1" x14ac:dyDescent="0.2">
      <c r="A68" s="379"/>
      <c r="B68" s="365"/>
      <c r="C68" s="365"/>
      <c r="D68" s="365"/>
      <c r="E68" s="365"/>
      <c r="F68" s="365"/>
      <c r="G68" s="337"/>
      <c r="H68" s="337"/>
      <c r="I68" s="337"/>
      <c r="J68" s="337"/>
      <c r="K68" s="337"/>
      <c r="L68" s="337"/>
      <c r="M68" s="230"/>
      <c r="N68" s="230"/>
      <c r="O68" s="230"/>
      <c r="P68" s="337"/>
      <c r="Q68" s="337"/>
      <c r="R68" s="362"/>
      <c r="S68" s="347"/>
      <c r="T68" s="346"/>
      <c r="U68" s="330"/>
      <c r="V68" s="346">
        <f>IF(NOT(ISERROR(MATCH(U68,_xlfn.ANCHORARRAY(F79),0))),U81&amp;"Por favor no seleccionar los criterios de impacto",U68)</f>
        <v>0</v>
      </c>
      <c r="W68" s="347"/>
      <c r="X68" s="346"/>
      <c r="Y68" s="339"/>
      <c r="Z68" s="222">
        <v>2</v>
      </c>
      <c r="AA68" s="187"/>
      <c r="AB68" s="189" t="str">
        <f>IF(OR(AC68="Preventivo",AC68="Detectivo"),"Probabilidad",IF(AC68="Correctivo","Impacto",""))</f>
        <v/>
      </c>
      <c r="AC68" s="190"/>
      <c r="AD68" s="190"/>
      <c r="AE68" s="191" t="str">
        <f t="shared" ref="AE68:AE72" si="81">IF(AND(AC68="Preventivo",AD68="Automático"),"50%",IF(AND(AC68="Preventivo",AD68="Manual"),"40%",IF(AND(AC68="Detectivo",AD68="Automático"),"40%",IF(AND(AC68="Detectivo",AD68="Manual"),"30%",IF(AND(AC68="Correctivo",AD68="Automático"),"35%",IF(AND(AC68="Correctivo",AD68="Manual"),"25%",""))))))</f>
        <v/>
      </c>
      <c r="AF68" s="190"/>
      <c r="AG68" s="190"/>
      <c r="AH68" s="190"/>
      <c r="AI68" s="192" t="str">
        <f>IFERROR(IF(AND(AB67="Probabilidad",AB68="Probabilidad"),(AK67-(+AK67*AE68)),IF(AB68="Probabilidad",(T67-(+T67*AE68)),IF(AB68="Impacto",AK67,""))),"")</f>
        <v/>
      </c>
      <c r="AJ68" s="193" t="str">
        <f t="shared" si="2"/>
        <v/>
      </c>
      <c r="AK68" s="191" t="str">
        <f t="shared" ref="AK68:AK72" si="82">+AI68</f>
        <v/>
      </c>
      <c r="AL68" s="193" t="str">
        <f t="shared" si="4"/>
        <v/>
      </c>
      <c r="AM68" s="191" t="str">
        <f t="shared" ref="AM68" si="83">IFERROR(IF(AND(AB67="Impacto",AB68="Impacto"),(AM67-(+AM67*AE68)),IF(AB68="Impacto",($X$13-(+$X$13*AE68)),IF(AB68="Probabilidad",AM67,""))),"")</f>
        <v/>
      </c>
      <c r="AN68" s="194" t="str">
        <f t="shared" ref="AN68:AN69" si="84">IFERROR(IF(OR(AND(AJ68="Muy Baja",AL68="Leve"),AND(AJ68="Muy Baja",AL68="Menor"),AND(AJ68="Baja",AL68="Leve")),"Bajo",IF(OR(AND(AJ68="Muy baja",AL68="Moderado"),AND(AJ68="Baja",AL68="Menor"),AND(AJ68="Baja",AL68="Moderado"),AND(AJ68="Media",AL68="Leve"),AND(AJ68="Media",AL68="Menor"),AND(AJ68="Media",AL68="Moderado"),AND(AJ68="Alta",AL68="Leve"),AND(AJ68="Alta",AL68="Menor")),"Moderado",IF(OR(AND(AJ68="Muy Baja",AL68="Mayor"),AND(AJ68="Baja",AL68="Mayor"),AND(AJ68="Media",AL68="Mayor"),AND(AJ68="Alta",AL68="Moderado"),AND(AJ68="Alta",AL68="Mayor"),AND(AJ68="Muy Alta",AL68="Leve"),AND(AJ68="Muy Alta",AL68="Menor"),AND(AJ68="Muy Alta",AL68="Moderado"),AND(AJ68="Muy Alta",AL68="Mayor")),"Alto",IF(OR(AND(AJ68="Muy Baja",AL68="Catastrófico"),AND(AJ68="Baja",AL68="Catastrófico"),AND(AJ68="Media",AL68="Catastrófico"),AND(AJ68="Alta",AL68="Catastrófico"),AND(AJ68="Muy Alta",AL68="Catastrófico")),"Extremo","")))),"")</f>
        <v/>
      </c>
      <c r="AO68" s="195"/>
      <c r="AP68" s="186"/>
      <c r="AQ68" s="196"/>
      <c r="AR68" s="196"/>
      <c r="AS68" s="197"/>
      <c r="AT68" s="362"/>
      <c r="AU68" s="362"/>
      <c r="AV68" s="362"/>
    </row>
    <row r="69" spans="1:48" ht="37.5" customHeight="1" x14ac:dyDescent="0.2">
      <c r="A69" s="379"/>
      <c r="B69" s="365"/>
      <c r="C69" s="365"/>
      <c r="D69" s="365"/>
      <c r="E69" s="365"/>
      <c r="F69" s="365"/>
      <c r="G69" s="337"/>
      <c r="H69" s="337"/>
      <c r="I69" s="337"/>
      <c r="J69" s="337"/>
      <c r="K69" s="337"/>
      <c r="L69" s="337"/>
      <c r="M69" s="230"/>
      <c r="N69" s="230"/>
      <c r="O69" s="230"/>
      <c r="P69" s="337"/>
      <c r="Q69" s="337"/>
      <c r="R69" s="362"/>
      <c r="S69" s="347"/>
      <c r="T69" s="346"/>
      <c r="U69" s="330"/>
      <c r="V69" s="346">
        <f>IF(NOT(ISERROR(MATCH(U69,_xlfn.ANCHORARRAY(F80),0))),U82&amp;"Por favor no seleccionar los criterios de impacto",U69)</f>
        <v>0</v>
      </c>
      <c r="W69" s="347"/>
      <c r="X69" s="346"/>
      <c r="Y69" s="339"/>
      <c r="Z69" s="222">
        <v>3</v>
      </c>
      <c r="AA69" s="187"/>
      <c r="AB69" s="189" t="str">
        <f>IF(OR(AC69="Preventivo",AC69="Detectivo"),"Probabilidad",IF(AC69="Correctivo","Impacto",""))</f>
        <v/>
      </c>
      <c r="AC69" s="190"/>
      <c r="AD69" s="190"/>
      <c r="AE69" s="191" t="str">
        <f t="shared" si="81"/>
        <v/>
      </c>
      <c r="AF69" s="190"/>
      <c r="AG69" s="190"/>
      <c r="AH69" s="190"/>
      <c r="AI69" s="192" t="str">
        <f>IFERROR(IF(AND(AB68="Probabilidad",AB69="Probabilidad"),(AK68-(+AK68*AE69)),IF(AND(AB68="Impacto",AB69="Probabilidad"),(AK67-(+AK67*AE69)),IF(AB69="Impacto",AK68,""))),"")</f>
        <v/>
      </c>
      <c r="AJ69" s="193" t="str">
        <f t="shared" si="2"/>
        <v/>
      </c>
      <c r="AK69" s="191" t="str">
        <f t="shared" si="82"/>
        <v/>
      </c>
      <c r="AL69" s="193" t="str">
        <f t="shared" si="4"/>
        <v/>
      </c>
      <c r="AM69" s="191" t="str">
        <f t="shared" ref="AM69" si="85">IFERROR(IF(AND(AB68="Impacto",AB69="Impacto"),(AM68-(+AM68*AE69)),IF(AND(AB68="Probabilidad",AB69="Impacto"),(AM67-(+AM67*AE69)),IF(AB69="Probabilidad",AM68,""))),"")</f>
        <v/>
      </c>
      <c r="AN69" s="194" t="str">
        <f t="shared" si="84"/>
        <v/>
      </c>
      <c r="AO69" s="195"/>
      <c r="AP69" s="186"/>
      <c r="AQ69" s="196"/>
      <c r="AR69" s="196"/>
      <c r="AS69" s="197"/>
      <c r="AT69" s="362"/>
      <c r="AU69" s="362"/>
      <c r="AV69" s="362"/>
    </row>
    <row r="70" spans="1:48" ht="37.5" customHeight="1" x14ac:dyDescent="0.2">
      <c r="A70" s="379"/>
      <c r="B70" s="365"/>
      <c r="C70" s="365"/>
      <c r="D70" s="365"/>
      <c r="E70" s="365"/>
      <c r="F70" s="365"/>
      <c r="G70" s="337"/>
      <c r="H70" s="337"/>
      <c r="I70" s="337"/>
      <c r="J70" s="337"/>
      <c r="K70" s="337"/>
      <c r="L70" s="337"/>
      <c r="M70" s="230"/>
      <c r="N70" s="230"/>
      <c r="O70" s="230"/>
      <c r="P70" s="337"/>
      <c r="Q70" s="337"/>
      <c r="R70" s="362"/>
      <c r="S70" s="347"/>
      <c r="T70" s="346"/>
      <c r="U70" s="330"/>
      <c r="V70" s="346">
        <f>IF(NOT(ISERROR(MATCH(U70,_xlfn.ANCHORARRAY(F81),0))),U83&amp;"Por favor no seleccionar los criterios de impacto",U70)</f>
        <v>0</v>
      </c>
      <c r="W70" s="347"/>
      <c r="X70" s="346"/>
      <c r="Y70" s="339"/>
      <c r="Z70" s="222">
        <v>4</v>
      </c>
      <c r="AA70" s="187"/>
      <c r="AB70" s="189" t="str">
        <f t="shared" ref="AB70:AB72" si="86">IF(OR(AC70="Preventivo",AC70="Detectivo"),"Probabilidad",IF(AC70="Correctivo","Impacto",""))</f>
        <v/>
      </c>
      <c r="AC70" s="190"/>
      <c r="AD70" s="190"/>
      <c r="AE70" s="191" t="str">
        <f t="shared" si="81"/>
        <v/>
      </c>
      <c r="AF70" s="190"/>
      <c r="AG70" s="190"/>
      <c r="AH70" s="190"/>
      <c r="AI70" s="192" t="str">
        <f t="shared" ref="AI70:AI72" si="87">IFERROR(IF(AND(AB69="Probabilidad",AB70="Probabilidad"),(AK69-(+AK69*AE70)),IF(AND(AB69="Impacto",AB70="Probabilidad"),(AK68-(+AK68*AE70)),IF(AB70="Impacto",AK69,""))),"")</f>
        <v/>
      </c>
      <c r="AJ70" s="193" t="str">
        <f t="shared" si="2"/>
        <v/>
      </c>
      <c r="AK70" s="191" t="str">
        <f t="shared" si="82"/>
        <v/>
      </c>
      <c r="AL70" s="193" t="str">
        <f t="shared" si="4"/>
        <v/>
      </c>
      <c r="AM70" s="191" t="str">
        <f t="shared" si="13"/>
        <v/>
      </c>
      <c r="AN70" s="194" t="str">
        <f>IFERROR(IF(OR(AND(AJ70="Muy Baja",AL70="Leve"),AND(AJ70="Muy Baja",AL70="Menor"),AND(AJ70="Baja",AL70="Leve")),"Bajo",IF(OR(AND(AJ70="Muy baja",AL70="Moderado"),AND(AJ70="Baja",AL70="Menor"),AND(AJ70="Baja",AL70="Moderado"),AND(AJ70="Media",AL70="Leve"),AND(AJ70="Media",AL70="Menor"),AND(AJ70="Media",AL70="Moderado"),AND(AJ70="Alta",AL70="Leve"),AND(AJ70="Alta",AL70="Menor")),"Moderado",IF(OR(AND(AJ70="Muy Baja",AL70="Mayor"),AND(AJ70="Baja",AL70="Mayor"),AND(AJ70="Media",AL70="Mayor"),AND(AJ70="Alta",AL70="Moderado"),AND(AJ70="Alta",AL70="Mayor"),AND(AJ70="Muy Alta",AL70="Leve"),AND(AJ70="Muy Alta",AL70="Menor"),AND(AJ70="Muy Alta",AL70="Moderado"),AND(AJ70="Muy Alta",AL70="Mayor")),"Alto",IF(OR(AND(AJ70="Muy Baja",AL70="Catastrófico"),AND(AJ70="Baja",AL70="Catastrófico"),AND(AJ70="Media",AL70="Catastrófico"),AND(AJ70="Alta",AL70="Catastrófico"),AND(AJ70="Muy Alta",AL70="Catastrófico")),"Extremo","")))),"")</f>
        <v/>
      </c>
      <c r="AO70" s="195"/>
      <c r="AP70" s="186"/>
      <c r="AQ70" s="196"/>
      <c r="AR70" s="196"/>
      <c r="AS70" s="197"/>
      <c r="AT70" s="362"/>
      <c r="AU70" s="362"/>
      <c r="AV70" s="362"/>
    </row>
    <row r="71" spans="1:48" ht="37.5" customHeight="1" x14ac:dyDescent="0.2">
      <c r="A71" s="379"/>
      <c r="B71" s="365"/>
      <c r="C71" s="365"/>
      <c r="D71" s="365"/>
      <c r="E71" s="365"/>
      <c r="F71" s="365"/>
      <c r="G71" s="337"/>
      <c r="H71" s="337"/>
      <c r="I71" s="337"/>
      <c r="J71" s="337"/>
      <c r="K71" s="337"/>
      <c r="L71" s="337"/>
      <c r="M71" s="230"/>
      <c r="N71" s="230"/>
      <c r="O71" s="230"/>
      <c r="P71" s="337"/>
      <c r="Q71" s="337"/>
      <c r="R71" s="362"/>
      <c r="S71" s="347"/>
      <c r="T71" s="346"/>
      <c r="U71" s="330"/>
      <c r="V71" s="346">
        <f>IF(NOT(ISERROR(MATCH(U71,_xlfn.ANCHORARRAY(F82),0))),U84&amp;"Por favor no seleccionar los criterios de impacto",U71)</f>
        <v>0</v>
      </c>
      <c r="W71" s="347"/>
      <c r="X71" s="346"/>
      <c r="Y71" s="339"/>
      <c r="Z71" s="222">
        <v>5</v>
      </c>
      <c r="AA71" s="187"/>
      <c r="AB71" s="189" t="str">
        <f t="shared" si="86"/>
        <v/>
      </c>
      <c r="AC71" s="190"/>
      <c r="AD71" s="190"/>
      <c r="AE71" s="191" t="str">
        <f t="shared" si="81"/>
        <v/>
      </c>
      <c r="AF71" s="190"/>
      <c r="AG71" s="190"/>
      <c r="AH71" s="190"/>
      <c r="AI71" s="192" t="str">
        <f t="shared" si="87"/>
        <v/>
      </c>
      <c r="AJ71" s="193" t="str">
        <f t="shared" si="2"/>
        <v/>
      </c>
      <c r="AK71" s="191" t="str">
        <f t="shared" si="82"/>
        <v/>
      </c>
      <c r="AL71" s="193" t="str">
        <f t="shared" si="4"/>
        <v/>
      </c>
      <c r="AM71" s="191" t="str">
        <f t="shared" si="13"/>
        <v/>
      </c>
      <c r="AN71" s="194" t="str">
        <f t="shared" ref="AN71:AN72" si="88">IFERROR(IF(OR(AND(AJ71="Muy Baja",AL71="Leve"),AND(AJ71="Muy Baja",AL71="Menor"),AND(AJ71="Baja",AL71="Leve")),"Bajo",IF(OR(AND(AJ71="Muy baja",AL71="Moderado"),AND(AJ71="Baja",AL71="Menor"),AND(AJ71="Baja",AL71="Moderado"),AND(AJ71="Media",AL71="Leve"),AND(AJ71="Media",AL71="Menor"),AND(AJ71="Media",AL71="Moderado"),AND(AJ71="Alta",AL71="Leve"),AND(AJ71="Alta",AL71="Menor")),"Moderado",IF(OR(AND(AJ71="Muy Baja",AL71="Mayor"),AND(AJ71="Baja",AL71="Mayor"),AND(AJ71="Media",AL71="Mayor"),AND(AJ71="Alta",AL71="Moderado"),AND(AJ71="Alta",AL71="Mayor"),AND(AJ71="Muy Alta",AL71="Leve"),AND(AJ71="Muy Alta",AL71="Menor"),AND(AJ71="Muy Alta",AL71="Moderado"),AND(AJ71="Muy Alta",AL71="Mayor")),"Alto",IF(OR(AND(AJ71="Muy Baja",AL71="Catastrófico"),AND(AJ71="Baja",AL71="Catastrófico"),AND(AJ71="Media",AL71="Catastrófico"),AND(AJ71="Alta",AL71="Catastrófico"),AND(AJ71="Muy Alta",AL71="Catastrófico")),"Extremo","")))),"")</f>
        <v/>
      </c>
      <c r="AO71" s="195"/>
      <c r="AP71" s="186"/>
      <c r="AQ71" s="196"/>
      <c r="AR71" s="196"/>
      <c r="AS71" s="197"/>
      <c r="AT71" s="362"/>
      <c r="AU71" s="362"/>
      <c r="AV71" s="362"/>
    </row>
    <row r="72" spans="1:48" ht="37.5" customHeight="1" x14ac:dyDescent="0.2">
      <c r="A72" s="379"/>
      <c r="B72" s="365"/>
      <c r="C72" s="365"/>
      <c r="D72" s="365"/>
      <c r="E72" s="365"/>
      <c r="F72" s="365"/>
      <c r="G72" s="338"/>
      <c r="H72" s="338"/>
      <c r="I72" s="338"/>
      <c r="J72" s="338"/>
      <c r="K72" s="338"/>
      <c r="L72" s="338"/>
      <c r="M72" s="231"/>
      <c r="N72" s="231"/>
      <c r="O72" s="231"/>
      <c r="P72" s="338"/>
      <c r="Q72" s="338"/>
      <c r="R72" s="362"/>
      <c r="S72" s="347"/>
      <c r="T72" s="346"/>
      <c r="U72" s="330"/>
      <c r="V72" s="346">
        <f>IF(NOT(ISERROR(MATCH(U72,_xlfn.ANCHORARRAY(F83),0))),U85&amp;"Por favor no seleccionar los criterios de impacto",U72)</f>
        <v>0</v>
      </c>
      <c r="W72" s="347"/>
      <c r="X72" s="346"/>
      <c r="Y72" s="339"/>
      <c r="Z72" s="222">
        <v>6</v>
      </c>
      <c r="AA72" s="187"/>
      <c r="AB72" s="189" t="str">
        <f t="shared" si="86"/>
        <v/>
      </c>
      <c r="AC72" s="190"/>
      <c r="AD72" s="190"/>
      <c r="AE72" s="191" t="str">
        <f t="shared" si="81"/>
        <v/>
      </c>
      <c r="AF72" s="190"/>
      <c r="AG72" s="190"/>
      <c r="AH72" s="190"/>
      <c r="AI72" s="192" t="str">
        <f t="shared" si="87"/>
        <v/>
      </c>
      <c r="AJ72" s="193" t="str">
        <f t="shared" si="2"/>
        <v/>
      </c>
      <c r="AK72" s="191" t="str">
        <f t="shared" si="82"/>
        <v/>
      </c>
      <c r="AL72" s="193" t="str">
        <f t="shared" si="4"/>
        <v/>
      </c>
      <c r="AM72" s="191" t="str">
        <f t="shared" si="13"/>
        <v/>
      </c>
      <c r="AN72" s="194" t="str">
        <f t="shared" si="88"/>
        <v/>
      </c>
      <c r="AO72" s="195"/>
      <c r="AP72" s="186"/>
      <c r="AQ72" s="196"/>
      <c r="AR72" s="196"/>
      <c r="AS72" s="197"/>
      <c r="AT72" s="362"/>
      <c r="AU72" s="362"/>
      <c r="AV72" s="362"/>
    </row>
    <row r="73" spans="1:48" ht="49.5" customHeight="1" x14ac:dyDescent="0.2">
      <c r="A73" s="224"/>
      <c r="B73" s="384" t="s">
        <v>311</v>
      </c>
      <c r="C73" s="385"/>
      <c r="D73" s="385"/>
      <c r="E73" s="385"/>
      <c r="F73" s="385"/>
      <c r="G73" s="385"/>
      <c r="H73" s="385"/>
      <c r="I73" s="385"/>
      <c r="J73" s="385"/>
      <c r="K73" s="385"/>
      <c r="L73" s="385"/>
      <c r="M73" s="385"/>
      <c r="N73" s="385"/>
      <c r="O73" s="385"/>
      <c r="P73" s="385"/>
      <c r="Q73" s="385"/>
      <c r="R73" s="385"/>
      <c r="S73" s="385"/>
      <c r="T73" s="385"/>
      <c r="U73" s="385"/>
      <c r="V73" s="385"/>
      <c r="W73" s="385"/>
      <c r="X73" s="385"/>
      <c r="Y73" s="385"/>
      <c r="Z73" s="385"/>
      <c r="AA73" s="385"/>
      <c r="AB73" s="385"/>
      <c r="AC73" s="385"/>
      <c r="AD73" s="385"/>
      <c r="AE73" s="385"/>
      <c r="AF73" s="385"/>
      <c r="AG73" s="385"/>
      <c r="AH73" s="385"/>
      <c r="AI73" s="385"/>
      <c r="AJ73" s="385"/>
      <c r="AK73" s="385"/>
      <c r="AL73" s="385"/>
      <c r="AM73" s="385"/>
      <c r="AN73" s="385"/>
      <c r="AO73" s="385"/>
      <c r="AP73" s="385"/>
      <c r="AQ73" s="385"/>
      <c r="AR73" s="385"/>
      <c r="AS73" s="385"/>
      <c r="AT73" s="385"/>
    </row>
    <row r="75" spans="1:48" x14ac:dyDescent="0.2">
      <c r="A75" s="198"/>
      <c r="B75" s="214" t="s">
        <v>312</v>
      </c>
      <c r="C75" s="198"/>
      <c r="D75" s="198"/>
      <c r="E75" s="198"/>
      <c r="R75" s="198"/>
    </row>
  </sheetData>
  <dataConsolidate/>
  <mergeCells count="343">
    <mergeCell ref="A6:B6"/>
    <mergeCell ref="C6:Z6"/>
    <mergeCell ref="AA6:AC6"/>
    <mergeCell ref="AD6:AV6"/>
    <mergeCell ref="A7:B7"/>
    <mergeCell ref="C7:Z7"/>
    <mergeCell ref="AD7:AV7"/>
    <mergeCell ref="A1:C4"/>
    <mergeCell ref="D1:Z2"/>
    <mergeCell ref="AB1:AV2"/>
    <mergeCell ref="D3:R3"/>
    <mergeCell ref="S3:Z3"/>
    <mergeCell ref="AB3:AP3"/>
    <mergeCell ref="AQ3:AV3"/>
    <mergeCell ref="D4:Z4"/>
    <mergeCell ref="AB4:AV4"/>
    <mergeCell ref="A8:B8"/>
    <mergeCell ref="C8:Z8"/>
    <mergeCell ref="AD8:AV8"/>
    <mergeCell ref="K10:O10"/>
    <mergeCell ref="P10:Q10"/>
    <mergeCell ref="T10:Z10"/>
    <mergeCell ref="AA10:AI10"/>
    <mergeCell ref="AJ10:AN10"/>
    <mergeCell ref="AO10:AS10"/>
    <mergeCell ref="AT10:AV10"/>
    <mergeCell ref="A11:A12"/>
    <mergeCell ref="B11:B12"/>
    <mergeCell ref="C11:C12"/>
    <mergeCell ref="D11:D12"/>
    <mergeCell ref="E11:E12"/>
    <mergeCell ref="F11:F12"/>
    <mergeCell ref="K11:K12"/>
    <mergeCell ref="L11:L12"/>
    <mergeCell ref="M11:M12"/>
    <mergeCell ref="I11:I12"/>
    <mergeCell ref="J11:J12"/>
    <mergeCell ref="Y13:Y18"/>
    <mergeCell ref="AT13:AT18"/>
    <mergeCell ref="AU13:AU18"/>
    <mergeCell ref="AV11:AV12"/>
    <mergeCell ref="A13:A18"/>
    <mergeCell ref="B13:B18"/>
    <mergeCell ref="C13:C18"/>
    <mergeCell ref="D13:D18"/>
    <mergeCell ref="E13:E18"/>
    <mergeCell ref="F13:F18"/>
    <mergeCell ref="AM11:AM12"/>
    <mergeCell ref="AN11:AN12"/>
    <mergeCell ref="AO11:AO12"/>
    <mergeCell ref="AP11:AP12"/>
    <mergeCell ref="AQ11:AQ12"/>
    <mergeCell ref="AR11:AR12"/>
    <mergeCell ref="AB11:AB12"/>
    <mergeCell ref="AC11:AH11"/>
    <mergeCell ref="AI11:AI12"/>
    <mergeCell ref="AJ11:AJ12"/>
    <mergeCell ref="AK11:AK12"/>
    <mergeCell ref="AL11:AL12"/>
    <mergeCell ref="V11:V12"/>
    <mergeCell ref="W11:W12"/>
    <mergeCell ref="AS11:AS12"/>
    <mergeCell ref="AT11:AT12"/>
    <mergeCell ref="AU11:AU12"/>
    <mergeCell ref="AA11:AA12"/>
    <mergeCell ref="N11:N12"/>
    <mergeCell ref="O11:O12"/>
    <mergeCell ref="R11:R12"/>
    <mergeCell ref="S11:S12"/>
    <mergeCell ref="T11:T12"/>
    <mergeCell ref="U11:U12"/>
    <mergeCell ref="X11:X12"/>
    <mergeCell ref="Y11:Y12"/>
    <mergeCell ref="Z11:Z12"/>
    <mergeCell ref="AV13:AV18"/>
    <mergeCell ref="Q13:Q18"/>
    <mergeCell ref="R13:R18"/>
    <mergeCell ref="S13:S18"/>
    <mergeCell ref="T13:T18"/>
    <mergeCell ref="U13:U18"/>
    <mergeCell ref="V13:V18"/>
    <mergeCell ref="K19:K24"/>
    <mergeCell ref="L19:L24"/>
    <mergeCell ref="M19:M24"/>
    <mergeCell ref="N19:N24"/>
    <mergeCell ref="O19:O24"/>
    <mergeCell ref="P19:P24"/>
    <mergeCell ref="AT19:AT24"/>
    <mergeCell ref="AU19:AU24"/>
    <mergeCell ref="AV19:AV24"/>
    <mergeCell ref="K13:K18"/>
    <mergeCell ref="L13:L18"/>
    <mergeCell ref="M13:M18"/>
    <mergeCell ref="N13:N18"/>
    <mergeCell ref="O13:O18"/>
    <mergeCell ref="P13:P18"/>
    <mergeCell ref="W13:W18"/>
    <mergeCell ref="X13:X18"/>
    <mergeCell ref="A19:A24"/>
    <mergeCell ref="B19:B24"/>
    <mergeCell ref="C19:C24"/>
    <mergeCell ref="D19:D24"/>
    <mergeCell ref="E19:E24"/>
    <mergeCell ref="F19:F24"/>
    <mergeCell ref="W19:W24"/>
    <mergeCell ref="X19:X24"/>
    <mergeCell ref="Y19:Y24"/>
    <mergeCell ref="Q19:Q24"/>
    <mergeCell ref="R19:R24"/>
    <mergeCell ref="S19:S24"/>
    <mergeCell ref="T19:T24"/>
    <mergeCell ref="U19:U24"/>
    <mergeCell ref="V19:V24"/>
    <mergeCell ref="G19:G24"/>
    <mergeCell ref="H19:H24"/>
    <mergeCell ref="I19:I24"/>
    <mergeCell ref="J19:J24"/>
    <mergeCell ref="K25:K30"/>
    <mergeCell ref="L25:L30"/>
    <mergeCell ref="M25:M30"/>
    <mergeCell ref="N25:N30"/>
    <mergeCell ref="O25:O30"/>
    <mergeCell ref="P25:P30"/>
    <mergeCell ref="A25:A30"/>
    <mergeCell ref="B25:B30"/>
    <mergeCell ref="C25:C30"/>
    <mergeCell ref="D25:D30"/>
    <mergeCell ref="E25:E30"/>
    <mergeCell ref="F25:F30"/>
    <mergeCell ref="G25:G30"/>
    <mergeCell ref="H25:H30"/>
    <mergeCell ref="I25:I30"/>
    <mergeCell ref="J25:J30"/>
    <mergeCell ref="W25:W30"/>
    <mergeCell ref="X25:X30"/>
    <mergeCell ref="Y25:Y30"/>
    <mergeCell ref="AT25:AT30"/>
    <mergeCell ref="AU25:AU30"/>
    <mergeCell ref="AV25:AV30"/>
    <mergeCell ref="Q25:Q30"/>
    <mergeCell ref="R25:R30"/>
    <mergeCell ref="S25:S30"/>
    <mergeCell ref="T25:T30"/>
    <mergeCell ref="U25:U30"/>
    <mergeCell ref="V25:V30"/>
    <mergeCell ref="K31:K36"/>
    <mergeCell ref="L31:L36"/>
    <mergeCell ref="M31:M36"/>
    <mergeCell ref="N31:N36"/>
    <mergeCell ref="O31:O36"/>
    <mergeCell ref="P31:P36"/>
    <mergeCell ref="A31:A36"/>
    <mergeCell ref="B31:B36"/>
    <mergeCell ref="C31:C36"/>
    <mergeCell ref="D31:D36"/>
    <mergeCell ref="E31:E36"/>
    <mergeCell ref="F31:F36"/>
    <mergeCell ref="W31:W36"/>
    <mergeCell ref="X31:X36"/>
    <mergeCell ref="Y31:Y36"/>
    <mergeCell ref="AT31:AT36"/>
    <mergeCell ref="AU31:AU36"/>
    <mergeCell ref="AV31:AV36"/>
    <mergeCell ref="Q31:Q36"/>
    <mergeCell ref="R31:R36"/>
    <mergeCell ref="S31:S36"/>
    <mergeCell ref="T31:T36"/>
    <mergeCell ref="U31:U36"/>
    <mergeCell ref="V31:V36"/>
    <mergeCell ref="K37:K42"/>
    <mergeCell ref="L37:L42"/>
    <mergeCell ref="M37:M42"/>
    <mergeCell ref="N37:N42"/>
    <mergeCell ref="O37:O42"/>
    <mergeCell ref="P37:P42"/>
    <mergeCell ref="A37:A42"/>
    <mergeCell ref="B37:B42"/>
    <mergeCell ref="C37:C42"/>
    <mergeCell ref="D37:D42"/>
    <mergeCell ref="E37:E42"/>
    <mergeCell ref="F37:F42"/>
    <mergeCell ref="W37:W42"/>
    <mergeCell ref="X37:X42"/>
    <mergeCell ref="Y37:Y42"/>
    <mergeCell ref="AT37:AT42"/>
    <mergeCell ref="AU37:AU42"/>
    <mergeCell ref="AV37:AV42"/>
    <mergeCell ref="Q37:Q42"/>
    <mergeCell ref="R37:R42"/>
    <mergeCell ref="S37:S42"/>
    <mergeCell ref="T37:T42"/>
    <mergeCell ref="U37:U42"/>
    <mergeCell ref="V37:V42"/>
    <mergeCell ref="K43:K48"/>
    <mergeCell ref="L43:L48"/>
    <mergeCell ref="M43:M48"/>
    <mergeCell ref="N43:N48"/>
    <mergeCell ref="O43:O48"/>
    <mergeCell ref="P43:P48"/>
    <mergeCell ref="A43:A48"/>
    <mergeCell ref="B43:B48"/>
    <mergeCell ref="C43:C48"/>
    <mergeCell ref="D43:D48"/>
    <mergeCell ref="E43:E48"/>
    <mergeCell ref="F43:F48"/>
    <mergeCell ref="W43:W48"/>
    <mergeCell ref="X43:X48"/>
    <mergeCell ref="Y43:Y48"/>
    <mergeCell ref="AT43:AT48"/>
    <mergeCell ref="AU43:AU48"/>
    <mergeCell ref="AV43:AV48"/>
    <mergeCell ref="Q43:Q48"/>
    <mergeCell ref="R43:R48"/>
    <mergeCell ref="S43:S48"/>
    <mergeCell ref="T43:T48"/>
    <mergeCell ref="U43:U48"/>
    <mergeCell ref="V43:V48"/>
    <mergeCell ref="K49:K54"/>
    <mergeCell ref="L49:L54"/>
    <mergeCell ref="M49:M54"/>
    <mergeCell ref="N49:N54"/>
    <mergeCell ref="O49:O54"/>
    <mergeCell ref="P49:P54"/>
    <mergeCell ref="A49:A54"/>
    <mergeCell ref="B49:B54"/>
    <mergeCell ref="C49:C54"/>
    <mergeCell ref="D49:D54"/>
    <mergeCell ref="E49:E54"/>
    <mergeCell ref="F49:F54"/>
    <mergeCell ref="W49:W54"/>
    <mergeCell ref="X49:X54"/>
    <mergeCell ref="Y49:Y54"/>
    <mergeCell ref="AT49:AT54"/>
    <mergeCell ref="AU49:AU54"/>
    <mergeCell ref="AV49:AV54"/>
    <mergeCell ref="Q49:Q54"/>
    <mergeCell ref="R49:R54"/>
    <mergeCell ref="S49:S54"/>
    <mergeCell ref="T49:T54"/>
    <mergeCell ref="U49:U54"/>
    <mergeCell ref="V49:V54"/>
    <mergeCell ref="K55:K60"/>
    <mergeCell ref="L55:L60"/>
    <mergeCell ref="M55:M60"/>
    <mergeCell ref="N55:N60"/>
    <mergeCell ref="O55:O60"/>
    <mergeCell ref="P55:P60"/>
    <mergeCell ref="A55:A60"/>
    <mergeCell ref="B55:B60"/>
    <mergeCell ref="C55:C60"/>
    <mergeCell ref="D55:D60"/>
    <mergeCell ref="E55:E60"/>
    <mergeCell ref="F55:F60"/>
    <mergeCell ref="G55:G60"/>
    <mergeCell ref="H55:H60"/>
    <mergeCell ref="I55:I60"/>
    <mergeCell ref="J55:J60"/>
    <mergeCell ref="W55:W60"/>
    <mergeCell ref="X55:X60"/>
    <mergeCell ref="Y55:Y60"/>
    <mergeCell ref="AT55:AT60"/>
    <mergeCell ref="AU55:AU60"/>
    <mergeCell ref="AV55:AV60"/>
    <mergeCell ref="Q55:Q60"/>
    <mergeCell ref="R55:R60"/>
    <mergeCell ref="S55:S60"/>
    <mergeCell ref="T55:T60"/>
    <mergeCell ref="U55:U60"/>
    <mergeCell ref="V55:V60"/>
    <mergeCell ref="Y61:Y66"/>
    <mergeCell ref="K61:K66"/>
    <mergeCell ref="L61:L66"/>
    <mergeCell ref="P61:P66"/>
    <mergeCell ref="Q61:Q66"/>
    <mergeCell ref="R61:R66"/>
    <mergeCell ref="S61:S66"/>
    <mergeCell ref="A61:A66"/>
    <mergeCell ref="B61:B66"/>
    <mergeCell ref="C61:C66"/>
    <mergeCell ref="D61:D66"/>
    <mergeCell ref="E61:E66"/>
    <mergeCell ref="F61:F66"/>
    <mergeCell ref="D67:D72"/>
    <mergeCell ref="E67:E72"/>
    <mergeCell ref="F67:F72"/>
    <mergeCell ref="K67:K72"/>
    <mergeCell ref="T61:T66"/>
    <mergeCell ref="U61:U66"/>
    <mergeCell ref="V61:V66"/>
    <mergeCell ref="W61:W66"/>
    <mergeCell ref="X61:X66"/>
    <mergeCell ref="G67:G72"/>
    <mergeCell ref="H67:H72"/>
    <mergeCell ref="I67:I72"/>
    <mergeCell ref="J67:J72"/>
    <mergeCell ref="G61:G66"/>
    <mergeCell ref="H61:H66"/>
    <mergeCell ref="I61:I66"/>
    <mergeCell ref="J61:J66"/>
    <mergeCell ref="AU67:AU72"/>
    <mergeCell ref="AV67:AV72"/>
    <mergeCell ref="B73:AT73"/>
    <mergeCell ref="A10:J10"/>
    <mergeCell ref="G11:G12"/>
    <mergeCell ref="H11:H12"/>
    <mergeCell ref="U67:U72"/>
    <mergeCell ref="V67:V72"/>
    <mergeCell ref="W67:W72"/>
    <mergeCell ref="X67:X72"/>
    <mergeCell ref="Y67:Y72"/>
    <mergeCell ref="AT67:AT72"/>
    <mergeCell ref="L67:L72"/>
    <mergeCell ref="P67:P72"/>
    <mergeCell ref="Q67:Q72"/>
    <mergeCell ref="R67:R72"/>
    <mergeCell ref="S67:S72"/>
    <mergeCell ref="T67:T72"/>
    <mergeCell ref="AT61:AT66"/>
    <mergeCell ref="AU61:AU66"/>
    <mergeCell ref="AV61:AV66"/>
    <mergeCell ref="A67:A72"/>
    <mergeCell ref="B67:B72"/>
    <mergeCell ref="C67:C72"/>
    <mergeCell ref="G13:G18"/>
    <mergeCell ref="H13:H18"/>
    <mergeCell ref="I13:I18"/>
    <mergeCell ref="J13:J18"/>
    <mergeCell ref="G43:G48"/>
    <mergeCell ref="H43:H48"/>
    <mergeCell ref="I43:I48"/>
    <mergeCell ref="J43:J48"/>
    <mergeCell ref="G49:G54"/>
    <mergeCell ref="H49:H54"/>
    <mergeCell ref="I49:I54"/>
    <mergeCell ref="J49:J54"/>
    <mergeCell ref="G31:G36"/>
    <mergeCell ref="H31:H36"/>
    <mergeCell ref="I31:I36"/>
    <mergeCell ref="J31:J36"/>
    <mergeCell ref="G37:G42"/>
    <mergeCell ref="H37:H42"/>
    <mergeCell ref="I37:I42"/>
    <mergeCell ref="J37:J42"/>
  </mergeCells>
  <conditionalFormatting sqref="S13 S19">
    <cfRule type="cellIs" dxfId="238" priority="227" operator="equal">
      <formula>"Muy Alta"</formula>
    </cfRule>
    <cfRule type="cellIs" dxfId="237" priority="228" operator="equal">
      <formula>"Alta"</formula>
    </cfRule>
    <cfRule type="cellIs" dxfId="236" priority="229" operator="equal">
      <formula>"Media"</formula>
    </cfRule>
    <cfRule type="cellIs" dxfId="235" priority="230" operator="equal">
      <formula>"Baja"</formula>
    </cfRule>
    <cfRule type="cellIs" dxfId="234" priority="231" operator="equal">
      <formula>"Muy Baja"</formula>
    </cfRule>
  </conditionalFormatting>
  <conditionalFormatting sqref="W13 W19 W25 W31 W37 W43 W49 W55 W61 W67">
    <cfRule type="cellIs" dxfId="233" priority="222" operator="equal">
      <formula>"Catastrófico"</formula>
    </cfRule>
    <cfRule type="cellIs" dxfId="232" priority="223" operator="equal">
      <formula>"Mayor"</formula>
    </cfRule>
    <cfRule type="cellIs" dxfId="231" priority="224" operator="equal">
      <formula>"Moderado"</formula>
    </cfRule>
    <cfRule type="cellIs" dxfId="230" priority="225" operator="equal">
      <formula>"Menor"</formula>
    </cfRule>
    <cfRule type="cellIs" dxfId="229" priority="226" operator="equal">
      <formula>"Leve"</formula>
    </cfRule>
  </conditionalFormatting>
  <conditionalFormatting sqref="Y13">
    <cfRule type="cellIs" dxfId="228" priority="218" operator="equal">
      <formula>"Extremo"</formula>
    </cfRule>
    <cfRule type="cellIs" dxfId="227" priority="219" operator="equal">
      <formula>"Alto"</formula>
    </cfRule>
    <cfRule type="cellIs" dxfId="226" priority="220" operator="equal">
      <formula>"Moderado"</formula>
    </cfRule>
    <cfRule type="cellIs" dxfId="225" priority="221" operator="equal">
      <formula>"Bajo"</formula>
    </cfRule>
  </conditionalFormatting>
  <conditionalFormatting sqref="AJ13:AJ18">
    <cfRule type="cellIs" dxfId="224" priority="213" operator="equal">
      <formula>"Muy Alta"</formula>
    </cfRule>
    <cfRule type="cellIs" dxfId="223" priority="214" operator="equal">
      <formula>"Alta"</formula>
    </cfRule>
    <cfRule type="cellIs" dxfId="222" priority="215" operator="equal">
      <formula>"Media"</formula>
    </cfRule>
    <cfRule type="cellIs" dxfId="221" priority="216" operator="equal">
      <formula>"Baja"</formula>
    </cfRule>
    <cfRule type="cellIs" dxfId="220" priority="217" operator="equal">
      <formula>"Muy Baja"</formula>
    </cfRule>
  </conditionalFormatting>
  <conditionalFormatting sqref="AL13:AL18">
    <cfRule type="cellIs" dxfId="219" priority="208" operator="equal">
      <formula>"Catastrófico"</formula>
    </cfRule>
    <cfRule type="cellIs" dxfId="218" priority="209" operator="equal">
      <formula>"Mayor"</formula>
    </cfRule>
    <cfRule type="cellIs" dxfId="217" priority="210" operator="equal">
      <formula>"Moderado"</formula>
    </cfRule>
    <cfRule type="cellIs" dxfId="216" priority="211" operator="equal">
      <formula>"Menor"</formula>
    </cfRule>
    <cfRule type="cellIs" dxfId="215" priority="212" operator="equal">
      <formula>"Leve"</formula>
    </cfRule>
  </conditionalFormatting>
  <conditionalFormatting sqref="AN13:AN18">
    <cfRule type="cellIs" dxfId="214" priority="204" operator="equal">
      <formula>"Extremo"</formula>
    </cfRule>
    <cfRule type="cellIs" dxfId="213" priority="205" operator="equal">
      <formula>"Alto"</formula>
    </cfRule>
    <cfRule type="cellIs" dxfId="212" priority="206" operator="equal">
      <formula>"Moderado"</formula>
    </cfRule>
    <cfRule type="cellIs" dxfId="211" priority="207" operator="equal">
      <formula>"Bajo"</formula>
    </cfRule>
  </conditionalFormatting>
  <conditionalFormatting sqref="S61">
    <cfRule type="cellIs" dxfId="210" priority="48" operator="equal">
      <formula>"Muy Alta"</formula>
    </cfRule>
    <cfRule type="cellIs" dxfId="209" priority="49" operator="equal">
      <formula>"Alta"</formula>
    </cfRule>
    <cfRule type="cellIs" dxfId="208" priority="50" operator="equal">
      <formula>"Media"</formula>
    </cfRule>
    <cfRule type="cellIs" dxfId="207" priority="51" operator="equal">
      <formula>"Baja"</formula>
    </cfRule>
    <cfRule type="cellIs" dxfId="206" priority="52" operator="equal">
      <formula>"Muy Baja"</formula>
    </cfRule>
  </conditionalFormatting>
  <conditionalFormatting sqref="Y19">
    <cfRule type="cellIs" dxfId="205" priority="200" operator="equal">
      <formula>"Extremo"</formula>
    </cfRule>
    <cfRule type="cellIs" dxfId="204" priority="201" operator="equal">
      <formula>"Alto"</formula>
    </cfRule>
    <cfRule type="cellIs" dxfId="203" priority="202" operator="equal">
      <formula>"Moderado"</formula>
    </cfRule>
    <cfRule type="cellIs" dxfId="202" priority="203" operator="equal">
      <formula>"Bajo"</formula>
    </cfRule>
  </conditionalFormatting>
  <conditionalFormatting sqref="AJ19:AJ24">
    <cfRule type="cellIs" dxfId="201" priority="195" operator="equal">
      <formula>"Muy Alta"</formula>
    </cfRule>
    <cfRule type="cellIs" dxfId="200" priority="196" operator="equal">
      <formula>"Alta"</formula>
    </cfRule>
    <cfRule type="cellIs" dxfId="199" priority="197" operator="equal">
      <formula>"Media"</formula>
    </cfRule>
    <cfRule type="cellIs" dxfId="198" priority="198" operator="equal">
      <formula>"Baja"</formula>
    </cfRule>
    <cfRule type="cellIs" dxfId="197" priority="199" operator="equal">
      <formula>"Muy Baja"</formula>
    </cfRule>
  </conditionalFormatting>
  <conditionalFormatting sqref="AL19:AL24">
    <cfRule type="cellIs" dxfId="196" priority="190" operator="equal">
      <formula>"Catastrófico"</formula>
    </cfRule>
    <cfRule type="cellIs" dxfId="195" priority="191" operator="equal">
      <formula>"Mayor"</formula>
    </cfRule>
    <cfRule type="cellIs" dxfId="194" priority="192" operator="equal">
      <formula>"Moderado"</formula>
    </cfRule>
    <cfRule type="cellIs" dxfId="193" priority="193" operator="equal">
      <formula>"Menor"</formula>
    </cfRule>
    <cfRule type="cellIs" dxfId="192" priority="194" operator="equal">
      <formula>"Leve"</formula>
    </cfRule>
  </conditionalFormatting>
  <conditionalFormatting sqref="AN19:AN24">
    <cfRule type="cellIs" dxfId="191" priority="186" operator="equal">
      <formula>"Extremo"</formula>
    </cfRule>
    <cfRule type="cellIs" dxfId="190" priority="187" operator="equal">
      <formula>"Alto"</formula>
    </cfRule>
    <cfRule type="cellIs" dxfId="189" priority="188" operator="equal">
      <formula>"Moderado"</formula>
    </cfRule>
    <cfRule type="cellIs" dxfId="188" priority="189" operator="equal">
      <formula>"Bajo"</formula>
    </cfRule>
  </conditionalFormatting>
  <conditionalFormatting sqref="S25">
    <cfRule type="cellIs" dxfId="187" priority="181" operator="equal">
      <formula>"Muy Alta"</formula>
    </cfRule>
    <cfRule type="cellIs" dxfId="186" priority="182" operator="equal">
      <formula>"Alta"</formula>
    </cfRule>
    <cfRule type="cellIs" dxfId="185" priority="183" operator="equal">
      <formula>"Media"</formula>
    </cfRule>
    <cfRule type="cellIs" dxfId="184" priority="184" operator="equal">
      <formula>"Baja"</formula>
    </cfRule>
    <cfRule type="cellIs" dxfId="183" priority="185" operator="equal">
      <formula>"Muy Baja"</formula>
    </cfRule>
  </conditionalFormatting>
  <conditionalFormatting sqref="Y25">
    <cfRule type="cellIs" dxfId="182" priority="177" operator="equal">
      <formula>"Extremo"</formula>
    </cfRule>
    <cfRule type="cellIs" dxfId="181" priority="178" operator="equal">
      <formula>"Alto"</formula>
    </cfRule>
    <cfRule type="cellIs" dxfId="180" priority="179" operator="equal">
      <formula>"Moderado"</formula>
    </cfRule>
    <cfRule type="cellIs" dxfId="179" priority="180" operator="equal">
      <formula>"Bajo"</formula>
    </cfRule>
  </conditionalFormatting>
  <conditionalFormatting sqref="AJ25:AJ30">
    <cfRule type="cellIs" dxfId="178" priority="172" operator="equal">
      <formula>"Muy Alta"</formula>
    </cfRule>
    <cfRule type="cellIs" dxfId="177" priority="173" operator="equal">
      <formula>"Alta"</formula>
    </cfRule>
    <cfRule type="cellIs" dxfId="176" priority="174" operator="equal">
      <formula>"Media"</formula>
    </cfRule>
    <cfRule type="cellIs" dxfId="175" priority="175" operator="equal">
      <formula>"Baja"</formula>
    </cfRule>
    <cfRule type="cellIs" dxfId="174" priority="176" operator="equal">
      <formula>"Muy Baja"</formula>
    </cfRule>
  </conditionalFormatting>
  <conditionalFormatting sqref="AL25:AL30">
    <cfRule type="cellIs" dxfId="173" priority="167" operator="equal">
      <formula>"Catastrófico"</formula>
    </cfRule>
    <cfRule type="cellIs" dxfId="172" priority="168" operator="equal">
      <formula>"Mayor"</formula>
    </cfRule>
    <cfRule type="cellIs" dxfId="171" priority="169" operator="equal">
      <formula>"Moderado"</formula>
    </cfRule>
    <cfRule type="cellIs" dxfId="170" priority="170" operator="equal">
      <formula>"Menor"</formula>
    </cfRule>
    <cfRule type="cellIs" dxfId="169" priority="171" operator="equal">
      <formula>"Leve"</formula>
    </cfRule>
  </conditionalFormatting>
  <conditionalFormatting sqref="AN25:AN30">
    <cfRule type="cellIs" dxfId="168" priority="163" operator="equal">
      <formula>"Extremo"</formula>
    </cfRule>
    <cfRule type="cellIs" dxfId="167" priority="164" operator="equal">
      <formula>"Alto"</formula>
    </cfRule>
    <cfRule type="cellIs" dxfId="166" priority="165" operator="equal">
      <formula>"Moderado"</formula>
    </cfRule>
    <cfRule type="cellIs" dxfId="165" priority="166" operator="equal">
      <formula>"Bajo"</formula>
    </cfRule>
  </conditionalFormatting>
  <conditionalFormatting sqref="S31">
    <cfRule type="cellIs" dxfId="164" priority="158" operator="equal">
      <formula>"Muy Alta"</formula>
    </cfRule>
    <cfRule type="cellIs" dxfId="163" priority="159" operator="equal">
      <formula>"Alta"</formula>
    </cfRule>
    <cfRule type="cellIs" dxfId="162" priority="160" operator="equal">
      <formula>"Media"</formula>
    </cfRule>
    <cfRule type="cellIs" dxfId="161" priority="161" operator="equal">
      <formula>"Baja"</formula>
    </cfRule>
    <cfRule type="cellIs" dxfId="160" priority="162" operator="equal">
      <formula>"Muy Baja"</formula>
    </cfRule>
  </conditionalFormatting>
  <conditionalFormatting sqref="Y31">
    <cfRule type="cellIs" dxfId="159" priority="154" operator="equal">
      <formula>"Extremo"</formula>
    </cfRule>
    <cfRule type="cellIs" dxfId="158" priority="155" operator="equal">
      <formula>"Alto"</formula>
    </cfRule>
    <cfRule type="cellIs" dxfId="157" priority="156" operator="equal">
      <formula>"Moderado"</formula>
    </cfRule>
    <cfRule type="cellIs" dxfId="156" priority="157" operator="equal">
      <formula>"Bajo"</formula>
    </cfRule>
  </conditionalFormatting>
  <conditionalFormatting sqref="AJ31:AJ36">
    <cfRule type="cellIs" dxfId="155" priority="149" operator="equal">
      <formula>"Muy Alta"</formula>
    </cfRule>
    <cfRule type="cellIs" dxfId="154" priority="150" operator="equal">
      <formula>"Alta"</formula>
    </cfRule>
    <cfRule type="cellIs" dxfId="153" priority="151" operator="equal">
      <formula>"Media"</formula>
    </cfRule>
    <cfRule type="cellIs" dxfId="152" priority="152" operator="equal">
      <formula>"Baja"</formula>
    </cfRule>
    <cfRule type="cellIs" dxfId="151" priority="153" operator="equal">
      <formula>"Muy Baja"</formula>
    </cfRule>
  </conditionalFormatting>
  <conditionalFormatting sqref="AL31:AL36">
    <cfRule type="cellIs" dxfId="150" priority="144" operator="equal">
      <formula>"Catastrófico"</formula>
    </cfRule>
    <cfRule type="cellIs" dxfId="149" priority="145" operator="equal">
      <formula>"Mayor"</formula>
    </cfRule>
    <cfRule type="cellIs" dxfId="148" priority="146" operator="equal">
      <formula>"Moderado"</formula>
    </cfRule>
    <cfRule type="cellIs" dxfId="147" priority="147" operator="equal">
      <formula>"Menor"</formula>
    </cfRule>
    <cfRule type="cellIs" dxfId="146" priority="148" operator="equal">
      <formula>"Leve"</formula>
    </cfRule>
  </conditionalFormatting>
  <conditionalFormatting sqref="AN31:AN36">
    <cfRule type="cellIs" dxfId="145" priority="140" operator="equal">
      <formula>"Extremo"</formula>
    </cfRule>
    <cfRule type="cellIs" dxfId="144" priority="141" operator="equal">
      <formula>"Alto"</formula>
    </cfRule>
    <cfRule type="cellIs" dxfId="143" priority="142" operator="equal">
      <formula>"Moderado"</formula>
    </cfRule>
    <cfRule type="cellIs" dxfId="142" priority="143" operator="equal">
      <formula>"Bajo"</formula>
    </cfRule>
  </conditionalFormatting>
  <conditionalFormatting sqref="S37">
    <cfRule type="cellIs" dxfId="141" priority="135" operator="equal">
      <formula>"Muy Alta"</formula>
    </cfRule>
    <cfRule type="cellIs" dxfId="140" priority="136" operator="equal">
      <formula>"Alta"</formula>
    </cfRule>
    <cfRule type="cellIs" dxfId="139" priority="137" operator="equal">
      <formula>"Media"</formula>
    </cfRule>
    <cfRule type="cellIs" dxfId="138" priority="138" operator="equal">
      <formula>"Baja"</formula>
    </cfRule>
    <cfRule type="cellIs" dxfId="137" priority="139" operator="equal">
      <formula>"Muy Baja"</formula>
    </cfRule>
  </conditionalFormatting>
  <conditionalFormatting sqref="Y37">
    <cfRule type="cellIs" dxfId="136" priority="131" operator="equal">
      <formula>"Extremo"</formula>
    </cfRule>
    <cfRule type="cellIs" dxfId="135" priority="132" operator="equal">
      <formula>"Alto"</formula>
    </cfRule>
    <cfRule type="cellIs" dxfId="134" priority="133" operator="equal">
      <formula>"Moderado"</formula>
    </cfRule>
    <cfRule type="cellIs" dxfId="133" priority="134" operator="equal">
      <formula>"Bajo"</formula>
    </cfRule>
  </conditionalFormatting>
  <conditionalFormatting sqref="AJ37:AJ42">
    <cfRule type="cellIs" dxfId="132" priority="126" operator="equal">
      <formula>"Muy Alta"</formula>
    </cfRule>
    <cfRule type="cellIs" dxfId="131" priority="127" operator="equal">
      <formula>"Alta"</formula>
    </cfRule>
    <cfRule type="cellIs" dxfId="130" priority="128" operator="equal">
      <formula>"Media"</formula>
    </cfRule>
    <cfRule type="cellIs" dxfId="129" priority="129" operator="equal">
      <formula>"Baja"</formula>
    </cfRule>
    <cfRule type="cellIs" dxfId="128" priority="130" operator="equal">
      <formula>"Muy Baja"</formula>
    </cfRule>
  </conditionalFormatting>
  <conditionalFormatting sqref="AL37:AL42">
    <cfRule type="cellIs" dxfId="127" priority="121" operator="equal">
      <formula>"Catastrófico"</formula>
    </cfRule>
    <cfRule type="cellIs" dxfId="126" priority="122" operator="equal">
      <formula>"Mayor"</formula>
    </cfRule>
    <cfRule type="cellIs" dxfId="125" priority="123" operator="equal">
      <formula>"Moderado"</formula>
    </cfRule>
    <cfRule type="cellIs" dxfId="124" priority="124" operator="equal">
      <formula>"Menor"</formula>
    </cfRule>
    <cfRule type="cellIs" dxfId="123" priority="125" operator="equal">
      <formula>"Leve"</formula>
    </cfRule>
  </conditionalFormatting>
  <conditionalFormatting sqref="AN37:AN42">
    <cfRule type="cellIs" dxfId="122" priority="117" operator="equal">
      <formula>"Extremo"</formula>
    </cfRule>
    <cfRule type="cellIs" dxfId="121" priority="118" operator="equal">
      <formula>"Alto"</formula>
    </cfRule>
    <cfRule type="cellIs" dxfId="120" priority="119" operator="equal">
      <formula>"Moderado"</formula>
    </cfRule>
    <cfRule type="cellIs" dxfId="119" priority="120" operator="equal">
      <formula>"Bajo"</formula>
    </cfRule>
  </conditionalFormatting>
  <conditionalFormatting sqref="S43">
    <cfRule type="cellIs" dxfId="118" priority="112" operator="equal">
      <formula>"Muy Alta"</formula>
    </cfRule>
    <cfRule type="cellIs" dxfId="117" priority="113" operator="equal">
      <formula>"Alta"</formula>
    </cfRule>
    <cfRule type="cellIs" dxfId="116" priority="114" operator="equal">
      <formula>"Media"</formula>
    </cfRule>
    <cfRule type="cellIs" dxfId="115" priority="115" operator="equal">
      <formula>"Baja"</formula>
    </cfRule>
    <cfRule type="cellIs" dxfId="114" priority="116" operator="equal">
      <formula>"Muy Baja"</formula>
    </cfRule>
  </conditionalFormatting>
  <conditionalFormatting sqref="Y43">
    <cfRule type="cellIs" dxfId="113" priority="108" operator="equal">
      <formula>"Extremo"</formula>
    </cfRule>
    <cfRule type="cellIs" dxfId="112" priority="109" operator="equal">
      <formula>"Alto"</formula>
    </cfRule>
    <cfRule type="cellIs" dxfId="111" priority="110" operator="equal">
      <formula>"Moderado"</formula>
    </cfRule>
    <cfRule type="cellIs" dxfId="110" priority="111" operator="equal">
      <formula>"Bajo"</formula>
    </cfRule>
  </conditionalFormatting>
  <conditionalFormatting sqref="AJ43:AJ48">
    <cfRule type="cellIs" dxfId="109" priority="103" operator="equal">
      <formula>"Muy Alta"</formula>
    </cfRule>
    <cfRule type="cellIs" dxfId="108" priority="104" operator="equal">
      <formula>"Alta"</formula>
    </cfRule>
    <cfRule type="cellIs" dxfId="107" priority="105" operator="equal">
      <formula>"Media"</formula>
    </cfRule>
    <cfRule type="cellIs" dxfId="106" priority="106" operator="equal">
      <formula>"Baja"</formula>
    </cfRule>
    <cfRule type="cellIs" dxfId="105" priority="107" operator="equal">
      <formula>"Muy Baja"</formula>
    </cfRule>
  </conditionalFormatting>
  <conditionalFormatting sqref="AL43:AL48">
    <cfRule type="cellIs" dxfId="104" priority="98" operator="equal">
      <formula>"Catastrófico"</formula>
    </cfRule>
    <cfRule type="cellIs" dxfId="103" priority="99" operator="equal">
      <formula>"Mayor"</formula>
    </cfRule>
    <cfRule type="cellIs" dxfId="102" priority="100" operator="equal">
      <formula>"Moderado"</formula>
    </cfRule>
    <cfRule type="cellIs" dxfId="101" priority="101" operator="equal">
      <formula>"Menor"</formula>
    </cfRule>
    <cfRule type="cellIs" dxfId="100" priority="102" operator="equal">
      <formula>"Leve"</formula>
    </cfRule>
  </conditionalFormatting>
  <conditionalFormatting sqref="AN43:AN48">
    <cfRule type="cellIs" dxfId="99" priority="94" operator="equal">
      <formula>"Extremo"</formula>
    </cfRule>
    <cfRule type="cellIs" dxfId="98" priority="95" operator="equal">
      <formula>"Alto"</formula>
    </cfRule>
    <cfRule type="cellIs" dxfId="97" priority="96" operator="equal">
      <formula>"Moderado"</formula>
    </cfRule>
    <cfRule type="cellIs" dxfId="96" priority="97" operator="equal">
      <formula>"Bajo"</formula>
    </cfRule>
  </conditionalFormatting>
  <conditionalFormatting sqref="S49">
    <cfRule type="cellIs" dxfId="95" priority="89" operator="equal">
      <formula>"Muy Alta"</formula>
    </cfRule>
    <cfRule type="cellIs" dxfId="94" priority="90" operator="equal">
      <formula>"Alta"</formula>
    </cfRule>
    <cfRule type="cellIs" dxfId="93" priority="91" operator="equal">
      <formula>"Media"</formula>
    </cfRule>
    <cfRule type="cellIs" dxfId="92" priority="92" operator="equal">
      <formula>"Baja"</formula>
    </cfRule>
    <cfRule type="cellIs" dxfId="91" priority="93" operator="equal">
      <formula>"Muy Baja"</formula>
    </cfRule>
  </conditionalFormatting>
  <conditionalFormatting sqref="Y49">
    <cfRule type="cellIs" dxfId="90" priority="85" operator="equal">
      <formula>"Extremo"</formula>
    </cfRule>
    <cfRule type="cellIs" dxfId="89" priority="86" operator="equal">
      <formula>"Alto"</formula>
    </cfRule>
    <cfRule type="cellIs" dxfId="88" priority="87" operator="equal">
      <formula>"Moderado"</formula>
    </cfRule>
    <cfRule type="cellIs" dxfId="87" priority="88" operator="equal">
      <formula>"Bajo"</formula>
    </cfRule>
  </conditionalFormatting>
  <conditionalFormatting sqref="AJ49:AJ54">
    <cfRule type="cellIs" dxfId="86" priority="80" operator="equal">
      <formula>"Muy Alta"</formula>
    </cfRule>
    <cfRule type="cellIs" dxfId="85" priority="81" operator="equal">
      <formula>"Alta"</formula>
    </cfRule>
    <cfRule type="cellIs" dxfId="84" priority="82" operator="equal">
      <formula>"Media"</formula>
    </cfRule>
    <cfRule type="cellIs" dxfId="83" priority="83" operator="equal">
      <formula>"Baja"</formula>
    </cfRule>
    <cfRule type="cellIs" dxfId="82" priority="84" operator="equal">
      <formula>"Muy Baja"</formula>
    </cfRule>
  </conditionalFormatting>
  <conditionalFormatting sqref="AL49:AL54">
    <cfRule type="cellIs" dxfId="81" priority="75" operator="equal">
      <formula>"Catastrófico"</formula>
    </cfRule>
    <cfRule type="cellIs" dxfId="80" priority="76" operator="equal">
      <formula>"Mayor"</formula>
    </cfRule>
    <cfRule type="cellIs" dxfId="79" priority="77" operator="equal">
      <formula>"Moderado"</formula>
    </cfRule>
    <cfRule type="cellIs" dxfId="78" priority="78" operator="equal">
      <formula>"Menor"</formula>
    </cfRule>
    <cfRule type="cellIs" dxfId="77" priority="79" operator="equal">
      <formula>"Leve"</formula>
    </cfRule>
  </conditionalFormatting>
  <conditionalFormatting sqref="AN49:AN54">
    <cfRule type="cellIs" dxfId="76" priority="71" operator="equal">
      <formula>"Extremo"</formula>
    </cfRule>
    <cfRule type="cellIs" dxfId="75" priority="72" operator="equal">
      <formula>"Alto"</formula>
    </cfRule>
    <cfRule type="cellIs" dxfId="74" priority="73" operator="equal">
      <formula>"Moderado"</formula>
    </cfRule>
    <cfRule type="cellIs" dxfId="73" priority="74" operator="equal">
      <formula>"Bajo"</formula>
    </cfRule>
  </conditionalFormatting>
  <conditionalFormatting sqref="Y55">
    <cfRule type="cellIs" dxfId="72" priority="67" operator="equal">
      <formula>"Extremo"</formula>
    </cfRule>
    <cfRule type="cellIs" dxfId="71" priority="68" operator="equal">
      <formula>"Alto"</formula>
    </cfRule>
    <cfRule type="cellIs" dxfId="70" priority="69" operator="equal">
      <formula>"Moderado"</formula>
    </cfRule>
    <cfRule type="cellIs" dxfId="69" priority="70" operator="equal">
      <formula>"Bajo"</formula>
    </cfRule>
  </conditionalFormatting>
  <conditionalFormatting sqref="AJ55:AJ60">
    <cfRule type="cellIs" dxfId="68" priority="62" operator="equal">
      <formula>"Muy Alta"</formula>
    </cfRule>
    <cfRule type="cellIs" dxfId="67" priority="63" operator="equal">
      <formula>"Alta"</formula>
    </cfRule>
    <cfRule type="cellIs" dxfId="66" priority="64" operator="equal">
      <formula>"Media"</formula>
    </cfRule>
    <cfRule type="cellIs" dxfId="65" priority="65" operator="equal">
      <formula>"Baja"</formula>
    </cfRule>
    <cfRule type="cellIs" dxfId="64" priority="66" operator="equal">
      <formula>"Muy Baja"</formula>
    </cfRule>
  </conditionalFormatting>
  <conditionalFormatting sqref="AL55:AL60">
    <cfRule type="cellIs" dxfId="63" priority="57" operator="equal">
      <formula>"Catastrófico"</formula>
    </cfRule>
    <cfRule type="cellIs" dxfId="62" priority="58" operator="equal">
      <formula>"Mayor"</formula>
    </cfRule>
    <cfRule type="cellIs" dxfId="61" priority="59" operator="equal">
      <formula>"Moderado"</formula>
    </cfRule>
    <cfRule type="cellIs" dxfId="60" priority="60" operator="equal">
      <formula>"Menor"</formula>
    </cfRule>
    <cfRule type="cellIs" dxfId="59" priority="61" operator="equal">
      <formula>"Leve"</formula>
    </cfRule>
  </conditionalFormatting>
  <conditionalFormatting sqref="AN55:AN60">
    <cfRule type="cellIs" dxfId="58" priority="53" operator="equal">
      <formula>"Extremo"</formula>
    </cfRule>
    <cfRule type="cellIs" dxfId="57" priority="54" operator="equal">
      <formula>"Alto"</formula>
    </cfRule>
    <cfRule type="cellIs" dxfId="56" priority="55" operator="equal">
      <formula>"Moderado"</formula>
    </cfRule>
    <cfRule type="cellIs" dxfId="55" priority="56" operator="equal">
      <formula>"Bajo"</formula>
    </cfRule>
  </conditionalFormatting>
  <conditionalFormatting sqref="Y61">
    <cfRule type="cellIs" dxfId="54" priority="44" operator="equal">
      <formula>"Extremo"</formula>
    </cfRule>
    <cfRule type="cellIs" dxfId="53" priority="45" operator="equal">
      <formula>"Alto"</formula>
    </cfRule>
    <cfRule type="cellIs" dxfId="52" priority="46" operator="equal">
      <formula>"Moderado"</formula>
    </cfRule>
    <cfRule type="cellIs" dxfId="51" priority="47" operator="equal">
      <formula>"Bajo"</formula>
    </cfRule>
  </conditionalFormatting>
  <conditionalFormatting sqref="AJ61:AJ66">
    <cfRule type="cellIs" dxfId="50" priority="39" operator="equal">
      <formula>"Muy Alta"</formula>
    </cfRule>
    <cfRule type="cellIs" dxfId="49" priority="40" operator="equal">
      <formula>"Alta"</formula>
    </cfRule>
    <cfRule type="cellIs" dxfId="48" priority="41" operator="equal">
      <formula>"Media"</formula>
    </cfRule>
    <cfRule type="cellIs" dxfId="47" priority="42" operator="equal">
      <formula>"Baja"</formula>
    </cfRule>
    <cfRule type="cellIs" dxfId="46" priority="43" operator="equal">
      <formula>"Muy Baja"</formula>
    </cfRule>
  </conditionalFormatting>
  <conditionalFormatting sqref="AL61:AL66">
    <cfRule type="cellIs" dxfId="45" priority="34" operator="equal">
      <formula>"Catastrófico"</formula>
    </cfRule>
    <cfRule type="cellIs" dxfId="44" priority="35" operator="equal">
      <formula>"Mayor"</formula>
    </cfRule>
    <cfRule type="cellIs" dxfId="43" priority="36" operator="equal">
      <formula>"Moderado"</formula>
    </cfRule>
    <cfRule type="cellIs" dxfId="42" priority="37" operator="equal">
      <formula>"Menor"</formula>
    </cfRule>
    <cfRule type="cellIs" dxfId="41" priority="38" operator="equal">
      <formula>"Leve"</formula>
    </cfRule>
  </conditionalFormatting>
  <conditionalFormatting sqref="AN61:AN66">
    <cfRule type="cellIs" dxfId="40" priority="30" operator="equal">
      <formula>"Extremo"</formula>
    </cfRule>
    <cfRule type="cellIs" dxfId="39" priority="31" operator="equal">
      <formula>"Alto"</formula>
    </cfRule>
    <cfRule type="cellIs" dxfId="38" priority="32" operator="equal">
      <formula>"Moderado"</formula>
    </cfRule>
    <cfRule type="cellIs" dxfId="37" priority="33" operator="equal">
      <formula>"Bajo"</formula>
    </cfRule>
  </conditionalFormatting>
  <conditionalFormatting sqref="S67">
    <cfRule type="cellIs" dxfId="36" priority="25" operator="equal">
      <formula>"Muy Alta"</formula>
    </cfRule>
    <cfRule type="cellIs" dxfId="35" priority="26" operator="equal">
      <formula>"Alta"</formula>
    </cfRule>
    <cfRule type="cellIs" dxfId="34" priority="27" operator="equal">
      <formula>"Media"</formula>
    </cfRule>
    <cfRule type="cellIs" dxfId="33" priority="28" operator="equal">
      <formula>"Baja"</formula>
    </cfRule>
    <cfRule type="cellIs" dxfId="32" priority="29" operator="equal">
      <formula>"Muy Baja"</formula>
    </cfRule>
  </conditionalFormatting>
  <conditionalFormatting sqref="Y67">
    <cfRule type="cellIs" dxfId="31" priority="21" operator="equal">
      <formula>"Extremo"</formula>
    </cfRule>
    <cfRule type="cellIs" dxfId="30" priority="22" operator="equal">
      <formula>"Alto"</formula>
    </cfRule>
    <cfRule type="cellIs" dxfId="29" priority="23" operator="equal">
      <formula>"Moderado"</formula>
    </cfRule>
    <cfRule type="cellIs" dxfId="28" priority="24" operator="equal">
      <formula>"Bajo"</formula>
    </cfRule>
  </conditionalFormatting>
  <conditionalFormatting sqref="AJ67:AJ72">
    <cfRule type="cellIs" dxfId="27" priority="16" operator="equal">
      <formula>"Muy Alta"</formula>
    </cfRule>
    <cfRule type="cellIs" dxfId="26" priority="17" operator="equal">
      <formula>"Alta"</formula>
    </cfRule>
    <cfRule type="cellIs" dxfId="25" priority="18" operator="equal">
      <formula>"Media"</formula>
    </cfRule>
    <cfRule type="cellIs" dxfId="24" priority="19" operator="equal">
      <formula>"Baja"</formula>
    </cfRule>
    <cfRule type="cellIs" dxfId="23" priority="20" operator="equal">
      <formula>"Muy Baja"</formula>
    </cfRule>
  </conditionalFormatting>
  <conditionalFormatting sqref="AL67:AL72">
    <cfRule type="cellIs" dxfId="22" priority="11" operator="equal">
      <formula>"Catastrófico"</formula>
    </cfRule>
    <cfRule type="cellIs" dxfId="21" priority="12" operator="equal">
      <formula>"Mayor"</formula>
    </cfRule>
    <cfRule type="cellIs" dxfId="20" priority="13" operator="equal">
      <formula>"Moderado"</formula>
    </cfRule>
    <cfRule type="cellIs" dxfId="19" priority="14" operator="equal">
      <formula>"Menor"</formula>
    </cfRule>
    <cfRule type="cellIs" dxfId="18" priority="15" operator="equal">
      <formula>"Leve"</formula>
    </cfRule>
  </conditionalFormatting>
  <conditionalFormatting sqref="AN67:AN72">
    <cfRule type="cellIs" dxfId="17" priority="7" operator="equal">
      <formula>"Extremo"</formula>
    </cfRule>
    <cfRule type="cellIs" dxfId="16" priority="8" operator="equal">
      <formula>"Alto"</formula>
    </cfRule>
    <cfRule type="cellIs" dxfId="15" priority="9" operator="equal">
      <formula>"Moderado"</formula>
    </cfRule>
    <cfRule type="cellIs" dxfId="14" priority="10" operator="equal">
      <formula>"Bajo"</formula>
    </cfRule>
  </conditionalFormatting>
  <conditionalFormatting sqref="V13:V72">
    <cfRule type="containsText" dxfId="13" priority="6" operator="containsText" text="❌">
      <formula>NOT(ISERROR(SEARCH("❌",V13)))</formula>
    </cfRule>
  </conditionalFormatting>
  <conditionalFormatting sqref="S55">
    <cfRule type="cellIs" dxfId="12" priority="1" operator="equal">
      <formula>"Muy Alta"</formula>
    </cfRule>
    <cfRule type="cellIs" dxfId="11" priority="2" operator="equal">
      <formula>"Alta"</formula>
    </cfRule>
    <cfRule type="cellIs" dxfId="10" priority="3" operator="equal">
      <formula>"Media"</formula>
    </cfRule>
    <cfRule type="cellIs" dxfId="9" priority="4" operator="equal">
      <formula>"Baja"</formula>
    </cfRule>
    <cfRule type="cellIs" dxfId="8" priority="5" operator="equal">
      <formula>"Muy Baja"</formula>
    </cfRule>
  </conditionalFormatting>
  <pageMargins left="0.70866141732283472" right="0.70866141732283472" top="0.74803149606299213" bottom="0.74803149606299213" header="0.31496062992125984" footer="0.31496062992125984"/>
  <pageSetup scale="31" orientation="landscape" r:id="rId1"/>
  <headerFooter>
    <oddFooter>&amp;LAvenida Calle 26 No. 69-76,Edificio Elemento ,   Torre Aire , Piso 3, CP-111071
PBX:(+57) 601-3779555 - Información: Línea 195
Sede Operativa - Atención al Ciudadano: Calle 22D No. 120-40 
www.umv.gov.co&amp;CDESI-FM-018
Página &amp;P de &amp;N</oddFooter>
  </headerFooter>
  <rowBreaks count="2" manualBreakCount="2">
    <brk id="24" max="40" man="1"/>
    <brk id="30" max="37" man="1"/>
  </rowBreaks>
  <colBreaks count="1" manualBreakCount="1">
    <brk id="26" max="23" man="1"/>
  </colBreaks>
  <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0A8C1405-7A09-4E95-B055-8CDE2DC9E401}">
          <x14:formula1>
            <xm:f>Listas!$H$14:$H$18</xm:f>
          </x14:formula1>
          <xm:sqref>Q13:Q72</xm:sqref>
        </x14:dataValidation>
        <x14:dataValidation type="list" allowBlank="1" showInputMessage="1" showErrorMessage="1" xr:uid="{A2FDF36D-6C37-45BE-83A0-B7225481AF67}">
          <x14:formula1>
            <xm:f>Listas!$H$8:$H$12</xm:f>
          </x14:formula1>
          <xm:sqref>P13:P72</xm:sqref>
        </x14:dataValidation>
        <x14:dataValidation type="list" allowBlank="1" showInputMessage="1" showErrorMessage="1" xr:uid="{2CB3A2A8-EFAF-421A-B7A4-C63DE8EF6EB2}">
          <x14:formula1>
            <xm:f>Intructivo!$C$300:$C$316</xm:f>
          </x14:formula1>
          <xm:sqref>C6:Z6</xm:sqref>
        </x14:dataValidation>
        <x14:dataValidation type="list" allowBlank="1" showInputMessage="1" showErrorMessage="1" xr:uid="{13FF270E-C7F7-4F7E-9518-4F497A987C65}">
          <x14:formula1>
            <xm:f>Listas!$F$8:$F$9</xm:f>
          </x14:formula1>
          <xm:sqref>K13:K72</xm:sqref>
        </x14:dataValidation>
        <x14:dataValidation type="list" allowBlank="1" showInputMessage="1" showErrorMessage="1" xr:uid="{9B15C757-3D2A-4B22-824D-25C10D181F59}">
          <x14:formula1>
            <xm:f>Listas!$B$20:$B$22</xm:f>
          </x14:formula1>
          <xm:sqref>F13:F72</xm:sqref>
        </x14:dataValidation>
        <x14:dataValidation type="custom" allowBlank="1" showInputMessage="1" showErrorMessage="1" error="Recuerde que las acciones se generan bajo la medida de mitigar el riesgo" xr:uid="{BB3D4E88-133A-4E35-8D1A-33FFE9FDCB31}">
          <x14:formula1>
            <xm:f>IF(OR(#REF!=Listas!$B$2,#REF!=Listas!$B$3,#REF!=Listas!$B$4),ISBLANK(#REF!),ISTEXT(#REF!))</xm:f>
          </x14:formula1>
          <xm:sqref>AT19:AV19 AT67:AV67 AT61:AV61 AT55:AV55 AT49:AV49 AT43:AV43 AT37:AV37 AT31:AV31 AT25:AV25</xm:sqref>
        </x14:dataValidation>
        <x14:dataValidation type="custom" allowBlank="1" showInputMessage="1" showErrorMessage="1" error="Recuerde que las acciones se generan bajo la medida de mitigar el riesgo" xr:uid="{ED929F9A-2A97-4639-9373-70F4BBF7EBDD}">
          <x14:formula1>
            <xm:f>IF(OR(AO13=Listas!$B$2,AO13=Listas!$B$3,AO13=Listas!$B$4),ISBLANK(AO13),ISTEXT(AO13))</xm:f>
          </x14:formula1>
          <xm:sqref>AS13:AS72</xm:sqref>
        </x14:dataValidation>
        <x14:dataValidation type="custom" allowBlank="1" showInputMessage="1" showErrorMessage="1" error="Recuerde que las acciones se generan bajo la medida de mitigar el riesgo" xr:uid="{E3600BA0-281C-45AE-B651-100138B102D4}">
          <x14:formula1>
            <xm:f>IF(OR(AO13=Listas!$B$2,AO13=Listas!$B$3,AO13=Listas!$B$4),ISBLANK(AO13),ISTEXT(AO13))</xm:f>
          </x14:formula1>
          <xm:sqref>AQ13:AR72</xm:sqref>
        </x14:dataValidation>
        <x14:dataValidation type="custom" allowBlank="1" showInputMessage="1" showErrorMessage="1" error="Recuerde que las acciones se generan bajo la medida de mitigar el riesgo" xr:uid="{37FCE2A2-E9A8-46CF-97A3-96A16204A07A}">
          <x14:formula1>
            <xm:f>IF(OR(AO13=Listas!$B$2,AO13=Listas!$B$3,AO13=Listas!$B$4),ISBLANK(AO13),ISTEXT(AO13))</xm:f>
          </x14:formula1>
          <xm:sqref>AP13:AP72</xm:sqref>
        </x14:dataValidation>
        <x14:dataValidation type="list" allowBlank="1" showInputMessage="1" showErrorMessage="1" xr:uid="{F2647F4E-04E6-41FE-90AA-2EED596C4F76}">
          <x14:formula1>
            <xm:f>'Tabla Impacto'!$F$211:$F$222</xm:f>
          </x14:formula1>
          <xm:sqref>U13:U72</xm:sqref>
        </x14:dataValidation>
        <x14:dataValidation type="list" allowBlank="1" showInputMessage="1" showErrorMessage="1" xr:uid="{55C15CBA-6E2A-438E-B6B8-F794E4D490A7}">
          <x14:formula1>
            <xm:f>Listas!$B$2:$B$5</xm:f>
          </x14:formula1>
          <xm:sqref>AO13:AO72</xm:sqref>
        </x14:dataValidation>
        <x14:dataValidation type="list" allowBlank="1" showInputMessage="1" showErrorMessage="1" xr:uid="{B29B9D66-43FC-493F-B3ED-95F3A1304E8F}">
          <x14:formula1>
            <xm:f>Listas!$E$2:$E$4</xm:f>
          </x14:formula1>
          <xm:sqref>B13:B72</xm:sqref>
        </x14:dataValidation>
        <x14:dataValidation type="list" allowBlank="1" showInputMessage="1" showErrorMessage="1" xr:uid="{A3FB8F04-DDCC-4481-97E4-19F48A575A7C}">
          <x14:formula1>
            <xm:f>'Tabla Valoración controles'!$D$13:$D$14</xm:f>
          </x14:formula1>
          <xm:sqref>AH13:AH72</xm:sqref>
        </x14:dataValidation>
        <x14:dataValidation type="list" allowBlank="1" showInputMessage="1" showErrorMessage="1" xr:uid="{34872B50-787A-47FC-91B3-16FC8B40AB89}">
          <x14:formula1>
            <xm:f>'Tabla Valoración controles'!$D$11:$D$12</xm:f>
          </x14:formula1>
          <xm:sqref>AG13:AG72</xm:sqref>
        </x14:dataValidation>
        <x14:dataValidation type="list" allowBlank="1" showInputMessage="1" showErrorMessage="1" xr:uid="{7FA6F7E8-A9D6-4F9C-94B9-833D212B5297}">
          <x14:formula1>
            <xm:f>'Tabla Valoración controles'!$D$9:$D$10</xm:f>
          </x14:formula1>
          <xm:sqref>AF13:AF72</xm:sqref>
        </x14:dataValidation>
        <x14:dataValidation type="list" allowBlank="1" showInputMessage="1" showErrorMessage="1" xr:uid="{138124BA-2EFB-4669-87F3-437B2E90E3A3}">
          <x14:formula1>
            <xm:f>'Tabla Valoración controles'!$D$7:$D$8</xm:f>
          </x14:formula1>
          <xm:sqref>AD13:AD72</xm:sqref>
        </x14:dataValidation>
        <x14:dataValidation type="list" allowBlank="1" showInputMessage="1" showErrorMessage="1" xr:uid="{508DADB2-0567-4760-816A-833D7897F9EB}">
          <x14:formula1>
            <xm:f>'Tabla Valoración controles'!$D$4:$D$6</xm:f>
          </x14:formula1>
          <xm:sqref>AC13:AC72</xm:sqref>
        </x14:dataValidation>
        <x14:dataValidation type="list" allowBlank="1" showInputMessage="1" showErrorMessage="1" xr:uid="{FC7889FE-5138-41C0-B06B-0A5BA7D2AE67}">
          <x14:formula1>
            <xm:f>Amenazas!$C$2:$C$11</xm:f>
          </x14:formula1>
          <xm:sqref>G13:G72</xm:sqref>
        </x14:dataValidation>
        <x14:dataValidation type="list" allowBlank="1" showInputMessage="1" showErrorMessage="1" xr:uid="{4378DCD1-5E9B-41D2-A652-3B8AF0B89E1A}">
          <x14:formula1>
            <xm:f>Listas!$B$25:$B$32</xm:f>
          </x14:formula1>
          <xm:sqref>I13:I72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20" ma:contentTypeDescription="Crear nuevo documento." ma:contentTypeScope="" ma:versionID="ba10b5c60696d471028757b87ad3e804">
  <xsd:schema xmlns:xsd="http://www.w3.org/2001/XMLSchema" xmlns:xs="http://www.w3.org/2001/XMLSchema" xmlns:p="http://schemas.microsoft.com/office/2006/metadata/properties" xmlns:ns1="http://schemas.microsoft.com/sharepoint/v3" xmlns:ns2="64d77176-54eb-4753-be67-9b2e2fa23e0f" xmlns:ns3="70eaac67-e064-433b-ba54-6f78c0f1ecb1" targetNamespace="http://schemas.microsoft.com/office/2006/metadata/properties" ma:root="true" ma:fieldsID="d3943945027c01a84acc43f6b51e6dfa" ns1:_="" ns2:_="" ns3:_="">
    <xsd:import namespace="http://schemas.microsoft.com/sharepoint/v3"/>
    <xsd:import namespace="64d77176-54eb-4753-be67-9b2e2fa23e0f"/>
    <xsd:import namespace="70eaac67-e064-433b-ba54-6f78c0f1ec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ca5960cb-9bf6-480a-8d5d-5a94d253b0e7"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eaac67-e064-433b-ba54-6f78c0f1ecb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27c4427a-9750-41f9-ad55-9fc71e3b9295}" ma:internalName="TaxCatchAll" ma:showField="CatchAllData" ma:web="70eaac67-e064-433b-ba54-6f78c0f1ec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70eaac67-e064-433b-ba54-6f78c0f1ecb1">
      <UserInfo>
        <DisplayName>Stefany Ospino Cuellar</DisplayName>
        <AccountId>1659</AccountId>
        <AccountType/>
      </UserInfo>
      <UserInfo>
        <DisplayName>German Andres Hernandez Matiz</DisplayName>
        <AccountId>571</AccountId>
        <AccountType/>
      </UserInfo>
    </SharedWithUsers>
    <TaxCatchAll xmlns="70eaac67-e064-433b-ba54-6f78c0f1ecb1" xsi:nil="true"/>
    <lcf76f155ced4ddcb4097134ff3c332f xmlns="64d77176-54eb-4753-be67-9b2e2fa23e0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69D9A8-CC27-4F87-8559-4C8C1D4F56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4d77176-54eb-4753-be67-9b2e2fa23e0f"/>
    <ds:schemaRef ds:uri="70eaac67-e064-433b-ba54-6f78c0f1ec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D5E4EF-2809-49C9-8DCF-B2E4E5208101}">
  <ds:schemaRefs>
    <ds:schemaRef ds:uri="http://schemas.microsoft.com/office/2006/metadata/properties"/>
    <ds:schemaRef ds:uri="http://schemas.microsoft.com/office/infopath/2007/PartnerControls"/>
    <ds:schemaRef ds:uri="http://schemas.microsoft.com/sharepoint/v3"/>
    <ds:schemaRef ds:uri="70eaac67-e064-433b-ba54-6f78c0f1ecb1"/>
    <ds:schemaRef ds:uri="64d77176-54eb-4753-be67-9b2e2fa23e0f"/>
  </ds:schemaRefs>
</ds:datastoreItem>
</file>

<file path=customXml/itemProps3.xml><?xml version="1.0" encoding="utf-8"?>
<ds:datastoreItem xmlns:ds="http://schemas.openxmlformats.org/officeDocument/2006/customXml" ds:itemID="{0238E702-99CD-4A3A-A328-D1F3ADA68E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16</vt:i4>
      </vt:variant>
      <vt:variant>
        <vt:lpstr>Rangos con nombre</vt:lpstr>
      </vt:variant>
      <vt:variant>
        <vt:i4>7</vt:i4>
      </vt:variant>
    </vt:vector>
  </HeadingPairs>
  <TitlesOfParts>
    <vt:vector size="23" baseType="lpstr">
      <vt:lpstr>Intructivo</vt:lpstr>
      <vt:lpstr>Revisión DOFA</vt:lpstr>
      <vt:lpstr>Listas</vt:lpstr>
      <vt:lpstr>Riesgos de Gestión</vt:lpstr>
      <vt:lpstr>Matriz Calor Inherente</vt:lpstr>
      <vt:lpstr>Matriz Calor Residual</vt:lpstr>
      <vt:lpstr>Riesgos de Corrupción</vt:lpstr>
      <vt:lpstr>Impacto Corrupción </vt:lpstr>
      <vt:lpstr>Riesgos de Seguridad</vt:lpstr>
      <vt:lpstr>Tabla probabilidad</vt:lpstr>
      <vt:lpstr>Tabla Impacto</vt:lpstr>
      <vt:lpstr>Tipo de riesgos</vt:lpstr>
      <vt:lpstr>Amenazas</vt:lpstr>
      <vt:lpstr>Ejemplos de riesgos</vt:lpstr>
      <vt:lpstr>Tabla Valoración controles</vt:lpstr>
      <vt:lpstr>Hoja1</vt:lpstr>
      <vt:lpstr>'Impacto Corrupción '!Área_de_impresión</vt:lpstr>
      <vt:lpstr>'Riesgos de Corrupción'!Área_de_impresión</vt:lpstr>
      <vt:lpstr>'Riesgos de Gestión'!Área_de_impresión</vt:lpstr>
      <vt:lpstr>'Riesgos de Seguridad'!Área_de_impresión</vt:lpstr>
      <vt:lpstr>'Riesgos de Corrupción'!Títulos_a_imprimir</vt:lpstr>
      <vt:lpstr>'Riesgos de Gestión'!Títulos_a_imprimir</vt:lpstr>
      <vt:lpstr>'Riesgos de Seguridad'!Títulos_a_imprimir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Microsoft Office User</cp:lastModifiedBy>
  <cp:revision/>
  <dcterms:created xsi:type="dcterms:W3CDTF">2020-03-24T23:12:47Z</dcterms:created>
  <dcterms:modified xsi:type="dcterms:W3CDTF">2023-09-21T16:51:03Z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y fmtid="{D5CDD505-2E9C-101B-9397-08002B2CF9AE}" pid="3" name="MediaServiceImageTags">
    <vt:lpwstr/>
  </property>
</Properties>
</file>