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3/a. Enero/Mapa de Riesgos 2023/"/>
    </mc:Choice>
  </mc:AlternateContent>
  <xr:revisionPtr revIDLastSave="6" documentId="13_ncr:1_{5173845D-7C94-415E-B657-E2C86E55752B}" xr6:coauthVersionLast="47" xr6:coauthVersionMax="47" xr10:uidLastSave="{DC699E48-54D8-4DCA-A4E9-26E76DB97C76}"/>
  <bookViews>
    <workbookView xWindow="-120" yWindow="-120" windowWidth="20730" windowHeight="11040" tabRatio="933" activeTab="3"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Corrupción'!$A$1:$AR$62</definedName>
    <definedName name="_xlnm.Print_Area" localSheetId="3">'Riesgos de Gestión'!$A$1:$AR$68</definedName>
    <definedName name="_xlnm.Print_Area" localSheetId="8">'Riesgos de Seguridad'!$A$1:$AV$20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8" i="32" l="1"/>
  <c r="AB68" i="32"/>
  <c r="V68" i="32"/>
  <c r="AE67" i="32"/>
  <c r="AB67" i="32"/>
  <c r="AM68" i="32" s="1"/>
  <c r="AL68" i="32" s="1"/>
  <c r="V67" i="32"/>
  <c r="AE66" i="32"/>
  <c r="AB66" i="32"/>
  <c r="V66" i="32"/>
  <c r="AE65" i="32"/>
  <c r="AB65" i="32"/>
  <c r="V65" i="32"/>
  <c r="AM64" i="32"/>
  <c r="AL64" i="32" s="1"/>
  <c r="AE64" i="32"/>
  <c r="AB64" i="32"/>
  <c r="V64" i="32"/>
  <c r="AE63" i="32"/>
  <c r="AB63" i="32"/>
  <c r="AI64" i="32" s="1"/>
  <c r="V63" i="32"/>
  <c r="W63" i="32" s="1"/>
  <c r="S63" i="32"/>
  <c r="T63" i="32" s="1"/>
  <c r="AE62" i="32"/>
  <c r="AB62" i="32"/>
  <c r="V62" i="32"/>
  <c r="AE61" i="32"/>
  <c r="AB61" i="32"/>
  <c r="V61" i="32"/>
  <c r="AE60" i="32"/>
  <c r="AB60" i="32"/>
  <c r="AI61" i="32" s="1"/>
  <c r="V60" i="32"/>
  <c r="AE59" i="32"/>
  <c r="AB59" i="32"/>
  <c r="V59" i="32"/>
  <c r="AE58" i="32"/>
  <c r="AB58" i="32"/>
  <c r="AI59" i="32" s="1"/>
  <c r="V58" i="32"/>
  <c r="AE57" i="32"/>
  <c r="AB57" i="32"/>
  <c r="V57" i="32"/>
  <c r="W57" i="32" s="1"/>
  <c r="X57" i="32" s="1"/>
  <c r="S57" i="32"/>
  <c r="AE56" i="32"/>
  <c r="AB56" i="32"/>
  <c r="V56" i="32"/>
  <c r="AE55" i="32"/>
  <c r="AB55" i="32"/>
  <c r="V55" i="32"/>
  <c r="AE54" i="32"/>
  <c r="AB54" i="32"/>
  <c r="V54" i="32"/>
  <c r="AE53" i="32"/>
  <c r="AB53" i="32"/>
  <c r="AM54" i="32" s="1"/>
  <c r="AL54" i="32" s="1"/>
  <c r="V53" i="32"/>
  <c r="AE52" i="32"/>
  <c r="AB52" i="32"/>
  <c r="V52" i="32"/>
  <c r="AE51" i="32"/>
  <c r="AB51" i="32"/>
  <c r="AM51" i="32" s="1"/>
  <c r="AL51" i="32" s="1"/>
  <c r="V51" i="32"/>
  <c r="W51" i="32" s="1"/>
  <c r="X51" i="32" s="1"/>
  <c r="S51" i="32"/>
  <c r="AE50" i="32"/>
  <c r="AB50" i="32"/>
  <c r="V50" i="32"/>
  <c r="AE49" i="32"/>
  <c r="AB49" i="32"/>
  <c r="AM50" i="32" s="1"/>
  <c r="AL50" i="32" s="1"/>
  <c r="V49" i="32"/>
  <c r="AE48" i="32"/>
  <c r="AB48" i="32"/>
  <c r="V48" i="32"/>
  <c r="AE47" i="32"/>
  <c r="AB47" i="32"/>
  <c r="V47" i="32"/>
  <c r="AE46" i="32"/>
  <c r="AB46" i="32"/>
  <c r="AI47" i="32" s="1"/>
  <c r="V46" i="32"/>
  <c r="AE45" i="32"/>
  <c r="AB45" i="32"/>
  <c r="AM45" i="32" s="1"/>
  <c r="AL45" i="32" s="1"/>
  <c r="V45" i="32"/>
  <c r="W45" i="32" s="1"/>
  <c r="S45" i="32"/>
  <c r="T45" i="32" s="1"/>
  <c r="AE44" i="32"/>
  <c r="AB44" i="32"/>
  <c r="AM44" i="32" s="1"/>
  <c r="AL44" i="32" s="1"/>
  <c r="V44" i="32"/>
  <c r="AE43" i="32"/>
  <c r="AB43" i="32"/>
  <c r="V43" i="32"/>
  <c r="AE42" i="32"/>
  <c r="AB42" i="32"/>
  <c r="AM43" i="32" s="1"/>
  <c r="AL43" i="32" s="1"/>
  <c r="V42" i="32"/>
  <c r="AE41" i="32"/>
  <c r="AB41" i="32"/>
  <c r="V41" i="32"/>
  <c r="AE40" i="32"/>
  <c r="AB40" i="32"/>
  <c r="AM41" i="32" s="1"/>
  <c r="AL41" i="32" s="1"/>
  <c r="V40" i="32"/>
  <c r="AE39" i="32"/>
  <c r="AB39" i="32"/>
  <c r="AI39" i="32" s="1"/>
  <c r="AJ39" i="32" s="1"/>
  <c r="V39" i="32"/>
  <c r="W39" i="32" s="1"/>
  <c r="X39" i="32" s="1"/>
  <c r="S39" i="32"/>
  <c r="AE38" i="32"/>
  <c r="AB38" i="32"/>
  <c r="V38" i="32"/>
  <c r="AE37" i="32"/>
  <c r="AB37" i="32"/>
  <c r="V37" i="32"/>
  <c r="AE36" i="32"/>
  <c r="AB36" i="32"/>
  <c r="V36" i="32"/>
  <c r="AE35" i="32"/>
  <c r="AB35" i="32"/>
  <c r="V35" i="32"/>
  <c r="AE34" i="32"/>
  <c r="AB34" i="32"/>
  <c r="AI34" i="32" s="1"/>
  <c r="V34" i="32"/>
  <c r="AE33" i="32"/>
  <c r="AB33" i="32"/>
  <c r="AI33" i="32" s="1"/>
  <c r="V33" i="32"/>
  <c r="W33" i="32" s="1"/>
  <c r="X33" i="32" s="1"/>
  <c r="S33" i="32"/>
  <c r="T33" i="32" s="1"/>
  <c r="AM32" i="32"/>
  <c r="AL32" i="32" s="1"/>
  <c r="AE32" i="32"/>
  <c r="AB32" i="32"/>
  <c r="V32" i="32"/>
  <c r="AE31" i="32"/>
  <c r="AB31" i="32"/>
  <c r="AI32" i="32" s="1"/>
  <c r="AK32" i="32" s="1"/>
  <c r="V31" i="32"/>
  <c r="AE30" i="32"/>
  <c r="AB30" i="32"/>
  <c r="AI31" i="32" s="1"/>
  <c r="AK31" i="32" s="1"/>
  <c r="V30" i="32"/>
  <c r="AE29" i="32"/>
  <c r="AB29" i="32"/>
  <c r="V29" i="32"/>
  <c r="AE28" i="32"/>
  <c r="AB28" i="32"/>
  <c r="AI29" i="32" s="1"/>
  <c r="V28" i="32"/>
  <c r="AE27" i="32"/>
  <c r="AB27" i="32"/>
  <c r="AM27" i="32" s="1"/>
  <c r="AL27" i="32" s="1"/>
  <c r="W27" i="32"/>
  <c r="X27" i="32" s="1"/>
  <c r="V27" i="32"/>
  <c r="S27" i="32"/>
  <c r="Y27" i="32" s="1"/>
  <c r="AE26" i="32"/>
  <c r="AB26" i="32"/>
  <c r="V26" i="32"/>
  <c r="AE25" i="32"/>
  <c r="AB25" i="32"/>
  <c r="V25" i="32"/>
  <c r="AE24" i="32"/>
  <c r="AB24" i="32"/>
  <c r="AM25" i="32" s="1"/>
  <c r="AL25" i="32" s="1"/>
  <c r="V24" i="32"/>
  <c r="AE23" i="32"/>
  <c r="AB23" i="32"/>
  <c r="V23" i="32"/>
  <c r="AE22" i="32"/>
  <c r="AB22" i="32"/>
  <c r="V22" i="32"/>
  <c r="AE21" i="32"/>
  <c r="AB21" i="32"/>
  <c r="AM22" i="32" s="1"/>
  <c r="AL22" i="32" s="1"/>
  <c r="V21" i="32"/>
  <c r="W21" i="32" s="1"/>
  <c r="X21" i="32" s="1"/>
  <c r="S21" i="32"/>
  <c r="AE20" i="32"/>
  <c r="AB20" i="32"/>
  <c r="V20" i="32"/>
  <c r="AE19" i="32"/>
  <c r="AB19" i="32"/>
  <c r="AM20" i="32" s="1"/>
  <c r="AL20" i="32" s="1"/>
  <c r="V19" i="32"/>
  <c r="AE18" i="32"/>
  <c r="AB18" i="32"/>
  <c r="V18" i="32"/>
  <c r="AE17" i="32"/>
  <c r="AB17" i="32"/>
  <c r="AM18" i="32" s="1"/>
  <c r="AL18" i="32" s="1"/>
  <c r="V17" i="32"/>
  <c r="AE16" i="32"/>
  <c r="AB16" i="32"/>
  <c r="V16" i="32"/>
  <c r="AE15" i="32"/>
  <c r="AB15" i="32"/>
  <c r="AM15" i="32" s="1"/>
  <c r="AL15" i="32" s="1"/>
  <c r="V15" i="32"/>
  <c r="W15" i="32" s="1"/>
  <c r="Y15" i="32" s="1"/>
  <c r="S15" i="32"/>
  <c r="T15" i="32" s="1"/>
  <c r="AE14" i="32"/>
  <c r="AB14" i="32"/>
  <c r="V14" i="32"/>
  <c r="AE13" i="32"/>
  <c r="AB13" i="32"/>
  <c r="V13" i="32"/>
  <c r="W13" i="32" s="1"/>
  <c r="X13" i="32" s="1"/>
  <c r="S13" i="32"/>
  <c r="AA68" i="31"/>
  <c r="X68" i="31"/>
  <c r="R68" i="31"/>
  <c r="AA67" i="31"/>
  <c r="X67" i="31"/>
  <c r="AE68" i="31" s="1"/>
  <c r="R67" i="31"/>
  <c r="AA66" i="31"/>
  <c r="X66" i="31"/>
  <c r="R66" i="31"/>
  <c r="AA65" i="31"/>
  <c r="X65" i="31"/>
  <c r="AI66" i="31" s="1"/>
  <c r="AH66" i="31" s="1"/>
  <c r="R65" i="31"/>
  <c r="AA64" i="31"/>
  <c r="X64" i="31"/>
  <c r="AE65" i="31" s="1"/>
  <c r="AG65" i="31" s="1"/>
  <c r="R64" i="31"/>
  <c r="AA63" i="31"/>
  <c r="X63" i="31"/>
  <c r="AE63" i="31" s="1"/>
  <c r="R63" i="31"/>
  <c r="S63" i="31" s="1"/>
  <c r="T63" i="31" s="1"/>
  <c r="O63" i="31"/>
  <c r="P63" i="31" s="1"/>
  <c r="AA62" i="31"/>
  <c r="X62" i="31"/>
  <c r="R62" i="31"/>
  <c r="AA61" i="31"/>
  <c r="X61" i="31"/>
  <c r="AE62" i="31" s="1"/>
  <c r="AG62" i="31" s="1"/>
  <c r="R61" i="31"/>
  <c r="AA60" i="31"/>
  <c r="X60" i="31"/>
  <c r="R60" i="31"/>
  <c r="AA59" i="31"/>
  <c r="X59" i="31"/>
  <c r="AE60" i="31" s="1"/>
  <c r="R59" i="31"/>
  <c r="AA58" i="31"/>
  <c r="X58" i="31"/>
  <c r="R58" i="31"/>
  <c r="AA57" i="31"/>
  <c r="X57" i="31"/>
  <c r="R57" i="31"/>
  <c r="S57" i="31" s="1"/>
  <c r="O57" i="31"/>
  <c r="P57" i="31" s="1"/>
  <c r="AA56" i="31"/>
  <c r="X56" i="31"/>
  <c r="R56" i="31"/>
  <c r="AA55" i="31"/>
  <c r="X55" i="31"/>
  <c r="AI56" i="31" s="1"/>
  <c r="AH56" i="31" s="1"/>
  <c r="R55" i="31"/>
  <c r="AA54" i="31"/>
  <c r="X54" i="31"/>
  <c r="AI54" i="31" s="1"/>
  <c r="AH54" i="31" s="1"/>
  <c r="R54" i="31"/>
  <c r="AA53" i="31"/>
  <c r="X53" i="31"/>
  <c r="R53" i="31"/>
  <c r="AA52" i="31"/>
  <c r="X52" i="31"/>
  <c r="AI53" i="31" s="1"/>
  <c r="AH53" i="31" s="1"/>
  <c r="R52" i="31"/>
  <c r="AA51" i="31"/>
  <c r="X51" i="31"/>
  <c r="R51" i="31"/>
  <c r="S51" i="31" s="1"/>
  <c r="T51" i="31" s="1"/>
  <c r="O51" i="31"/>
  <c r="AA50" i="31"/>
  <c r="X50" i="31"/>
  <c r="R50" i="31"/>
  <c r="AA49" i="31"/>
  <c r="X49" i="31"/>
  <c r="R49" i="31"/>
  <c r="AA48" i="31"/>
  <c r="X48" i="31"/>
  <c r="R48" i="31"/>
  <c r="AA47" i="31"/>
  <c r="X47" i="31"/>
  <c r="AI48" i="31" s="1"/>
  <c r="AH48" i="31" s="1"/>
  <c r="R47" i="31"/>
  <c r="AA46" i="31"/>
  <c r="X46" i="31"/>
  <c r="R46" i="31"/>
  <c r="AA45" i="31"/>
  <c r="X45" i="31"/>
  <c r="AI45" i="31" s="1"/>
  <c r="AH45" i="31" s="1"/>
  <c r="R45" i="31"/>
  <c r="S45" i="31" s="1"/>
  <c r="T45" i="31" s="1"/>
  <c r="O45" i="31"/>
  <c r="P45" i="31" s="1"/>
  <c r="AA44" i="31"/>
  <c r="X44" i="31"/>
  <c r="R44" i="31"/>
  <c r="AA43" i="31"/>
  <c r="X43" i="31"/>
  <c r="AE44" i="31" s="1"/>
  <c r="AF44" i="31" s="1"/>
  <c r="R43" i="31"/>
  <c r="AA42" i="31"/>
  <c r="X42" i="31"/>
  <c r="R42" i="31"/>
  <c r="AA41" i="31"/>
  <c r="X41" i="31"/>
  <c r="R41" i="31"/>
  <c r="AA40" i="31"/>
  <c r="X40" i="31"/>
  <c r="AI41" i="31" s="1"/>
  <c r="AH41" i="31" s="1"/>
  <c r="R40" i="31"/>
  <c r="AA39" i="31"/>
  <c r="X39" i="31"/>
  <c r="AI39" i="31" s="1"/>
  <c r="AH39" i="31" s="1"/>
  <c r="R39" i="31"/>
  <c r="S39" i="31" s="1"/>
  <c r="O39" i="31"/>
  <c r="P39" i="31" s="1"/>
  <c r="AA38" i="31"/>
  <c r="X38" i="31"/>
  <c r="AI38" i="31" s="1"/>
  <c r="AH38" i="31" s="1"/>
  <c r="R38" i="31"/>
  <c r="AI37" i="31"/>
  <c r="AH37" i="31" s="1"/>
  <c r="AA37" i="31"/>
  <c r="X37" i="31"/>
  <c r="R37" i="31"/>
  <c r="AA36" i="31"/>
  <c r="X36" i="31"/>
  <c r="AE37" i="31" s="1"/>
  <c r="R36" i="31"/>
  <c r="AA35" i="31"/>
  <c r="X35" i="31"/>
  <c r="AI36" i="31" s="1"/>
  <c r="AH36" i="31" s="1"/>
  <c r="R35" i="31"/>
  <c r="AA34" i="31"/>
  <c r="X34" i="31"/>
  <c r="R34" i="31"/>
  <c r="AA33" i="31"/>
  <c r="X33" i="31"/>
  <c r="AI34" i="31" s="1"/>
  <c r="AH34" i="31" s="1"/>
  <c r="R33" i="31"/>
  <c r="S33" i="31" s="1"/>
  <c r="T33" i="31" s="1"/>
  <c r="O33" i="31"/>
  <c r="AA32" i="31"/>
  <c r="X32" i="31"/>
  <c r="R32" i="31"/>
  <c r="AA31" i="31"/>
  <c r="X31" i="31"/>
  <c r="AI32" i="31" s="1"/>
  <c r="AH32" i="31" s="1"/>
  <c r="R31" i="31"/>
  <c r="AA30" i="31"/>
  <c r="X30" i="31"/>
  <c r="AE31" i="31" s="1"/>
  <c r="AG31" i="31" s="1"/>
  <c r="R30" i="31"/>
  <c r="AA29" i="31"/>
  <c r="X29" i="31"/>
  <c r="R29" i="31"/>
  <c r="AA28" i="31"/>
  <c r="X28" i="31"/>
  <c r="AE29" i="31" s="1"/>
  <c r="R28" i="31"/>
  <c r="AI27" i="31"/>
  <c r="AH27" i="31" s="1"/>
  <c r="AA27" i="31"/>
  <c r="X27" i="31"/>
  <c r="AE27" i="31" s="1"/>
  <c r="R27" i="31"/>
  <c r="S27" i="31" s="1"/>
  <c r="T27" i="31" s="1"/>
  <c r="O27" i="31"/>
  <c r="P27" i="31" s="1"/>
  <c r="AA26" i="31"/>
  <c r="X26" i="31"/>
  <c r="AE26" i="31" s="1"/>
  <c r="AG26" i="31" s="1"/>
  <c r="R26" i="31"/>
  <c r="AA25" i="31"/>
  <c r="X25" i="31"/>
  <c r="R25" i="31"/>
  <c r="AA24" i="31"/>
  <c r="X24" i="31"/>
  <c r="R24" i="31"/>
  <c r="AA23" i="31"/>
  <c r="X23" i="31"/>
  <c r="AI23" i="31" s="1"/>
  <c r="AH23" i="31" s="1"/>
  <c r="R23" i="31"/>
  <c r="AA22" i="31"/>
  <c r="X22" i="31"/>
  <c r="R22" i="31"/>
  <c r="AA21" i="31"/>
  <c r="X21" i="31"/>
  <c r="AI22" i="31" s="1"/>
  <c r="AH22" i="31" s="1"/>
  <c r="R21" i="31"/>
  <c r="S21" i="31" s="1"/>
  <c r="O21" i="31"/>
  <c r="P21" i="31" s="1"/>
  <c r="AA20" i="31"/>
  <c r="X20" i="31"/>
  <c r="R20" i="31"/>
  <c r="AA19" i="31"/>
  <c r="X19" i="31"/>
  <c r="AE20" i="31" s="1"/>
  <c r="R19" i="31"/>
  <c r="AA18" i="31"/>
  <c r="X18" i="31"/>
  <c r="R18" i="31"/>
  <c r="AA17" i="31"/>
  <c r="X17" i="31"/>
  <c r="R17" i="31"/>
  <c r="AA16" i="31"/>
  <c r="X16" i="31"/>
  <c r="AE16" i="31" s="1"/>
  <c r="AF16" i="31" s="1"/>
  <c r="R16" i="31"/>
  <c r="AA15" i="31"/>
  <c r="X15" i="31"/>
  <c r="AI15" i="31" s="1"/>
  <c r="AH15" i="31" s="1"/>
  <c r="R15" i="31"/>
  <c r="S15" i="31" s="1"/>
  <c r="T15" i="31" s="1"/>
  <c r="O15" i="31"/>
  <c r="P15" i="31" s="1"/>
  <c r="AA14" i="31"/>
  <c r="X14" i="31"/>
  <c r="R14" i="31"/>
  <c r="AA13" i="31"/>
  <c r="X13" i="31"/>
  <c r="R13" i="31"/>
  <c r="S13" i="31" s="1"/>
  <c r="O13" i="31"/>
  <c r="P13" i="31" s="1"/>
  <c r="AM42" i="32" l="1"/>
  <c r="AL42" i="32" s="1"/>
  <c r="T27" i="32"/>
  <c r="AI35" i="32"/>
  <c r="AK35" i="32" s="1"/>
  <c r="Y63" i="32"/>
  <c r="AM23" i="32"/>
  <c r="AL23" i="32" s="1"/>
  <c r="AM30" i="32"/>
  <c r="AL30" i="32" s="1"/>
  <c r="AI44" i="32"/>
  <c r="AJ44" i="32" s="1"/>
  <c r="AN44" i="32" s="1"/>
  <c r="AM48" i="32"/>
  <c r="AL48" i="32" s="1"/>
  <c r="AM62" i="32"/>
  <c r="AL62" i="32" s="1"/>
  <c r="AI68" i="32"/>
  <c r="Y51" i="32"/>
  <c r="AM37" i="32"/>
  <c r="AL37" i="32" s="1"/>
  <c r="AI42" i="32"/>
  <c r="AK42" i="32" s="1"/>
  <c r="AI51" i="32"/>
  <c r="AK51" i="32" s="1"/>
  <c r="AM67" i="32"/>
  <c r="AL67" i="32" s="1"/>
  <c r="AM26" i="32"/>
  <c r="AL26" i="32" s="1"/>
  <c r="AM24" i="32"/>
  <c r="AL24" i="32" s="1"/>
  <c r="AI49" i="32"/>
  <c r="AK49" i="32" s="1"/>
  <c r="AI50" i="32"/>
  <c r="AK50" i="32" s="1"/>
  <c r="AM58" i="32"/>
  <c r="AL58" i="32" s="1"/>
  <c r="AM59" i="32"/>
  <c r="AL59" i="32" s="1"/>
  <c r="AM65" i="32"/>
  <c r="AL65" i="32" s="1"/>
  <c r="AI56" i="32"/>
  <c r="AK56" i="32" s="1"/>
  <c r="AF63" i="31"/>
  <c r="AG63" i="31"/>
  <c r="AI18" i="31"/>
  <c r="AH18" i="31" s="1"/>
  <c r="AI24" i="31"/>
  <c r="AH24" i="31" s="1"/>
  <c r="AE58" i="31"/>
  <c r="AF58" i="31" s="1"/>
  <c r="AE64" i="31"/>
  <c r="AF64" i="31" s="1"/>
  <c r="AI30" i="31"/>
  <c r="AH30" i="31" s="1"/>
  <c r="AI43" i="31"/>
  <c r="AH43" i="31" s="1"/>
  <c r="AE45" i="31"/>
  <c r="AG45" i="31" s="1"/>
  <c r="AE61" i="31"/>
  <c r="AF61" i="31" s="1"/>
  <c r="AI63" i="31"/>
  <c r="AH63" i="31" s="1"/>
  <c r="AE25" i="31"/>
  <c r="AG25" i="31" s="1"/>
  <c r="AE54" i="31"/>
  <c r="AG54" i="31" s="1"/>
  <c r="AI44" i="31"/>
  <c r="AH44" i="31" s="1"/>
  <c r="AE47" i="31"/>
  <c r="AF47" i="31" s="1"/>
  <c r="AE48" i="31"/>
  <c r="AG48" i="31" s="1"/>
  <c r="AI59" i="31"/>
  <c r="AH59" i="31" s="1"/>
  <c r="AI60" i="31"/>
  <c r="AH60" i="31" s="1"/>
  <c r="AI65" i="31"/>
  <c r="AH65" i="31" s="1"/>
  <c r="AE42" i="31"/>
  <c r="AG42" i="31" s="1"/>
  <c r="AG29" i="31"/>
  <c r="AF29" i="31"/>
  <c r="AJ29" i="31" s="1"/>
  <c r="AG60" i="31"/>
  <c r="AF60" i="31"/>
  <c r="AE46" i="31"/>
  <c r="AE56" i="31"/>
  <c r="AI17" i="31"/>
  <c r="AH17" i="31" s="1"/>
  <c r="AI19" i="31"/>
  <c r="AH19" i="31" s="1"/>
  <c r="AI20" i="31"/>
  <c r="AH20" i="31" s="1"/>
  <c r="AI26" i="31"/>
  <c r="AH26" i="31" s="1"/>
  <c r="AE30" i="31"/>
  <c r="AF30" i="31" s="1"/>
  <c r="AE34" i="31"/>
  <c r="AG34" i="31" s="1"/>
  <c r="AE38" i="31"/>
  <c r="AE41" i="31"/>
  <c r="AI49" i="31"/>
  <c r="AH49" i="31" s="1"/>
  <c r="AI57" i="31"/>
  <c r="AH57" i="31" s="1"/>
  <c r="AE59" i="31"/>
  <c r="AF45" i="31"/>
  <c r="AJ45" i="31" s="1"/>
  <c r="AI46" i="31"/>
  <c r="AH46" i="31" s="1"/>
  <c r="AE28" i="31"/>
  <c r="AI52" i="31"/>
  <c r="AH52" i="31" s="1"/>
  <c r="AI55" i="31"/>
  <c r="AH55" i="31" s="1"/>
  <c r="AI62" i="31"/>
  <c r="AH62" i="31" s="1"/>
  <c r="AI29" i="31"/>
  <c r="AH29" i="31" s="1"/>
  <c r="AE33" i="31"/>
  <c r="AF33" i="31" s="1"/>
  <c r="AE43" i="31"/>
  <c r="AI50" i="31"/>
  <c r="AH50" i="31" s="1"/>
  <c r="AI58" i="31"/>
  <c r="AH58" i="31" s="1"/>
  <c r="AI67" i="31"/>
  <c r="AH67" i="31" s="1"/>
  <c r="AI68" i="31"/>
  <c r="AH68" i="31" s="1"/>
  <c r="AE15" i="31"/>
  <c r="AF15" i="31" s="1"/>
  <c r="AE24" i="31"/>
  <c r="AF24" i="31" s="1"/>
  <c r="AJ24" i="31" s="1"/>
  <c r="AE51" i="31"/>
  <c r="AG51" i="31" s="1"/>
  <c r="AE55" i="31"/>
  <c r="AG55" i="31" s="1"/>
  <c r="AE17" i="31"/>
  <c r="AG17" i="31" s="1"/>
  <c r="AE23" i="31"/>
  <c r="AI31" i="31"/>
  <c r="AH31" i="31" s="1"/>
  <c r="AI35" i="31"/>
  <c r="AH35" i="31" s="1"/>
  <c r="AI40" i="31"/>
  <c r="AH40" i="31" s="1"/>
  <c r="AE57" i="31"/>
  <c r="AF25" i="31"/>
  <c r="AF26" i="31"/>
  <c r="AJ26" i="31" s="1"/>
  <c r="U13" i="31"/>
  <c r="Y45" i="32"/>
  <c r="X45" i="32"/>
  <c r="AK64" i="32"/>
  <c r="AJ64" i="32"/>
  <c r="AN64" i="32" s="1"/>
  <c r="AK47" i="32"/>
  <c r="AJ47" i="32"/>
  <c r="AK61" i="32"/>
  <c r="AJ61" i="32"/>
  <c r="AK34" i="32"/>
  <c r="AJ34" i="32"/>
  <c r="AI67" i="32"/>
  <c r="AI30" i="32"/>
  <c r="AJ31" i="32"/>
  <c r="AM35" i="32"/>
  <c r="AL35" i="32" s="1"/>
  <c r="AI43" i="32"/>
  <c r="AJ43" i="32" s="1"/>
  <c r="AN43" i="32" s="1"/>
  <c r="AJ50" i="32"/>
  <c r="AN50" i="32" s="1"/>
  <c r="AI16" i="32"/>
  <c r="AK16" i="32" s="1"/>
  <c r="AI15" i="32"/>
  <c r="AI19" i="32"/>
  <c r="AJ19" i="32" s="1"/>
  <c r="AI21" i="32"/>
  <c r="AJ21" i="32" s="1"/>
  <c r="AM28" i="32"/>
  <c r="AL28" i="32" s="1"/>
  <c r="AM16" i="32"/>
  <c r="AL16" i="32" s="1"/>
  <c r="AM19" i="32"/>
  <c r="AL19" i="32" s="1"/>
  <c r="AM21" i="32"/>
  <c r="AL21" i="32" s="1"/>
  <c r="T51" i="32"/>
  <c r="AM63" i="32"/>
  <c r="AL63" i="32" s="1"/>
  <c r="AI20" i="32"/>
  <c r="AJ20" i="32" s="1"/>
  <c r="AN20" i="32" s="1"/>
  <c r="AI25" i="32"/>
  <c r="AK25" i="32" s="1"/>
  <c r="Y39" i="32"/>
  <c r="AM53" i="32"/>
  <c r="AL53" i="32" s="1"/>
  <c r="AM66" i="32"/>
  <c r="AL66" i="32" s="1"/>
  <c r="AI66" i="32"/>
  <c r="AK66" i="32" s="1"/>
  <c r="AM47" i="32"/>
  <c r="AL47" i="32" s="1"/>
  <c r="AN47" i="32" s="1"/>
  <c r="AI53" i="32"/>
  <c r="AI18" i="32"/>
  <c r="AJ18" i="32" s="1"/>
  <c r="AN18" i="32" s="1"/>
  <c r="AI36" i="32"/>
  <c r="AK36" i="32" s="1"/>
  <c r="AM55" i="32"/>
  <c r="AL55" i="32" s="1"/>
  <c r="AM56" i="32"/>
  <c r="AL56" i="32" s="1"/>
  <c r="AM61" i="32"/>
  <c r="AL61" i="32" s="1"/>
  <c r="AN61" i="32" s="1"/>
  <c r="AM33" i="32"/>
  <c r="AL33" i="32" s="1"/>
  <c r="AM36" i="32"/>
  <c r="AL36" i="32" s="1"/>
  <c r="AI46" i="32"/>
  <c r="AI48" i="32"/>
  <c r="AI52" i="32"/>
  <c r="AK52" i="32" s="1"/>
  <c r="AI60" i="32"/>
  <c r="AK60" i="32" s="1"/>
  <c r="AI62" i="32"/>
  <c r="AI65" i="32"/>
  <c r="AI17" i="32"/>
  <c r="AI22" i="32"/>
  <c r="AJ22" i="32" s="1"/>
  <c r="AN22" i="32" s="1"/>
  <c r="AI26" i="32"/>
  <c r="AK26" i="32" s="1"/>
  <c r="AM29" i="32"/>
  <c r="AL29" i="32" s="1"/>
  <c r="AM38" i="32"/>
  <c r="AL38" i="32" s="1"/>
  <c r="AM40" i="32"/>
  <c r="AL40" i="32" s="1"/>
  <c r="AI63" i="32"/>
  <c r="Y13" i="32"/>
  <c r="Y21" i="32"/>
  <c r="AK46" i="32"/>
  <c r="AJ46" i="32"/>
  <c r="Y57" i="32"/>
  <c r="AK29" i="32"/>
  <c r="AJ29" i="32"/>
  <c r="Y33" i="32"/>
  <c r="AJ30" i="32"/>
  <c r="AK30" i="32"/>
  <c r="AJ33" i="32"/>
  <c r="AK33" i="32"/>
  <c r="AK59" i="32"/>
  <c r="AJ59" i="32"/>
  <c r="AK68" i="32"/>
  <c r="AJ68" i="32"/>
  <c r="AN68" i="32" s="1"/>
  <c r="AJ25" i="32"/>
  <c r="AN25" i="32" s="1"/>
  <c r="AM46" i="32"/>
  <c r="AL46" i="32" s="1"/>
  <c r="AJ49" i="32"/>
  <c r="AJ52" i="32"/>
  <c r="AM60" i="32"/>
  <c r="AL60" i="32" s="1"/>
  <c r="X63" i="32"/>
  <c r="AJ66" i="32"/>
  <c r="T21" i="32"/>
  <c r="AJ36" i="32"/>
  <c r="T13" i="32"/>
  <c r="AI13" i="32" s="1"/>
  <c r="AM17" i="32"/>
  <c r="AL17" i="32" s="1"/>
  <c r="AK19" i="32"/>
  <c r="AI24" i="32"/>
  <c r="AI27" i="32"/>
  <c r="AM31" i="32"/>
  <c r="AL31" i="32" s="1"/>
  <c r="AM34" i="32"/>
  <c r="AL34" i="32" s="1"/>
  <c r="AN34" i="32" s="1"/>
  <c r="AI38" i="32"/>
  <c r="AK39" i="32"/>
  <c r="AI41" i="32"/>
  <c r="AI55" i="32"/>
  <c r="T57" i="32"/>
  <c r="AI58" i="32"/>
  <c r="AI23" i="32"/>
  <c r="AI28" i="32"/>
  <c r="AI45" i="32"/>
  <c r="AM49" i="32"/>
  <c r="AL49" i="32" s="1"/>
  <c r="AM52" i="32"/>
  <c r="AL52" i="32" s="1"/>
  <c r="AJ32" i="32"/>
  <c r="AN32" i="32" s="1"/>
  <c r="AJ35" i="32"/>
  <c r="T39" i="32"/>
  <c r="AI57" i="32"/>
  <c r="AM39" i="32"/>
  <c r="AL39" i="32" s="1"/>
  <c r="AN39" i="32" s="1"/>
  <c r="AI37" i="32"/>
  <c r="AI40" i="32"/>
  <c r="AM13" i="32"/>
  <c r="AL13" i="32" s="1"/>
  <c r="AM57" i="32"/>
  <c r="AL57" i="32" s="1"/>
  <c r="X15" i="32"/>
  <c r="AI54" i="32"/>
  <c r="U57" i="31"/>
  <c r="T57" i="31"/>
  <c r="T39" i="31"/>
  <c r="U39" i="31"/>
  <c r="AJ63" i="31"/>
  <c r="U45" i="31"/>
  <c r="U27" i="31"/>
  <c r="U33" i="31"/>
  <c r="AJ44" i="31"/>
  <c r="AJ60" i="31"/>
  <c r="T13" i="31"/>
  <c r="AI13" i="31" s="1"/>
  <c r="AG38" i="31"/>
  <c r="AF38" i="31"/>
  <c r="AJ38" i="31" s="1"/>
  <c r="AG68" i="31"/>
  <c r="AF68" i="31"/>
  <c r="AG23" i="31"/>
  <c r="AF23" i="31"/>
  <c r="AJ23" i="31" s="1"/>
  <c r="U21" i="31"/>
  <c r="T21" i="31"/>
  <c r="AG27" i="31"/>
  <c r="AF27" i="31"/>
  <c r="AJ27" i="31" s="1"/>
  <c r="AJ15" i="31"/>
  <c r="AG41" i="31"/>
  <c r="AF41" i="31"/>
  <c r="AJ41" i="31" s="1"/>
  <c r="U63" i="31"/>
  <c r="AG20" i="31"/>
  <c r="AF20" i="31"/>
  <c r="AG37" i="31"/>
  <c r="AF37" i="31"/>
  <c r="AJ37" i="31" s="1"/>
  <c r="AG58" i="31"/>
  <c r="U15" i="31"/>
  <c r="U51" i="31"/>
  <c r="P33" i="31"/>
  <c r="AG16" i="31"/>
  <c r="AF17" i="31"/>
  <c r="AJ17" i="31" s="1"/>
  <c r="AE18" i="31"/>
  <c r="AE21" i="31"/>
  <c r="AI25" i="31"/>
  <c r="AH25" i="31" s="1"/>
  <c r="AI28" i="31"/>
  <c r="AH28" i="31" s="1"/>
  <c r="AF31" i="31"/>
  <c r="AE32" i="31"/>
  <c r="AG33" i="31"/>
  <c r="AF34" i="31"/>
  <c r="AJ34" i="31" s="1"/>
  <c r="AE35" i="31"/>
  <c r="AI42" i="31"/>
  <c r="AH42" i="31" s="1"/>
  <c r="AG44" i="31"/>
  <c r="AE49" i="31"/>
  <c r="P51" i="31"/>
  <c r="AF51" i="31"/>
  <c r="AE52" i="31"/>
  <c r="AG61" i="31"/>
  <c r="AF62" i="31"/>
  <c r="AF65" i="31"/>
  <c r="AJ65" i="31" s="1"/>
  <c r="AE66" i="31"/>
  <c r="AE19" i="31"/>
  <c r="AE22" i="31"/>
  <c r="AE36" i="31"/>
  <c r="AE39" i="31"/>
  <c r="AE50" i="31"/>
  <c r="AE53" i="31"/>
  <c r="AE67" i="31"/>
  <c r="AE13" i="31"/>
  <c r="AI16" i="31"/>
  <c r="AH16" i="31" s="1"/>
  <c r="AJ16" i="31" s="1"/>
  <c r="AI33" i="31"/>
  <c r="AH33" i="31" s="1"/>
  <c r="AJ33" i="31" s="1"/>
  <c r="AE40" i="31"/>
  <c r="AI47" i="31"/>
  <c r="AH47" i="31" s="1"/>
  <c r="AI61" i="31"/>
  <c r="AH61" i="31" s="1"/>
  <c r="AJ61" i="31" s="1"/>
  <c r="AI64" i="31"/>
  <c r="AH64" i="31" s="1"/>
  <c r="AI51" i="31"/>
  <c r="AH51" i="31" s="1"/>
  <c r="AI21" i="31"/>
  <c r="AH21" i="31" s="1"/>
  <c r="O13" i="1"/>
  <c r="P13" i="1" s="1"/>
  <c r="X13" i="1"/>
  <c r="AA13" i="1"/>
  <c r="X14" i="1"/>
  <c r="AA14" i="1"/>
  <c r="R14" i="1"/>
  <c r="AK43" i="32" l="1"/>
  <c r="AK44" i="32"/>
  <c r="AN30" i="32"/>
  <c r="AN31" i="32"/>
  <c r="AJ56" i="32"/>
  <c r="AJ42" i="32"/>
  <c r="AN42" i="32" s="1"/>
  <c r="AK21" i="32"/>
  <c r="AN59" i="32"/>
  <c r="AN35" i="32"/>
  <c r="AJ51" i="32"/>
  <c r="AN51" i="32" s="1"/>
  <c r="AJ64" i="31"/>
  <c r="AJ62" i="31"/>
  <c r="AJ25" i="31"/>
  <c r="AG24" i="31"/>
  <c r="AF54" i="31"/>
  <c r="AJ54" i="31" s="1"/>
  <c r="AF55" i="31"/>
  <c r="AJ55" i="31" s="1"/>
  <c r="AF48" i="31"/>
  <c r="AJ48" i="31" s="1"/>
  <c r="AJ20" i="31"/>
  <c r="AG64" i="31"/>
  <c r="AG47" i="31"/>
  <c r="AJ47" i="31"/>
  <c r="AJ42" i="31"/>
  <c r="AF42" i="31"/>
  <c r="AJ30" i="31"/>
  <c r="AJ58" i="31"/>
  <c r="AJ31" i="31"/>
  <c r="AJ68" i="31"/>
  <c r="AG56" i="31"/>
  <c r="AF56" i="31"/>
  <c r="AJ56" i="31" s="1"/>
  <c r="AG30" i="31"/>
  <c r="AG15" i="31"/>
  <c r="AG28" i="31"/>
  <c r="AF28" i="31"/>
  <c r="AJ28" i="31" s="1"/>
  <c r="AG46" i="31"/>
  <c r="AF46" i="31"/>
  <c r="AJ46" i="31" s="1"/>
  <c r="AG43" i="31"/>
  <c r="AF43" i="31"/>
  <c r="AJ43" i="31" s="1"/>
  <c r="AF57" i="31"/>
  <c r="AJ57" i="31" s="1"/>
  <c r="AG57" i="31"/>
  <c r="AF59" i="31"/>
  <c r="AJ59" i="31" s="1"/>
  <c r="AG59" i="31"/>
  <c r="AN36" i="32"/>
  <c r="AN56" i="32"/>
  <c r="AN66" i="32"/>
  <c r="AK22" i="32"/>
  <c r="AJ26" i="32"/>
  <c r="AN26" i="32" s="1"/>
  <c r="AK20" i="32"/>
  <c r="AJ16" i="32"/>
  <c r="AN16" i="32" s="1"/>
  <c r="AK18" i="32"/>
  <c r="AH13" i="31"/>
  <c r="AI14" i="31"/>
  <c r="AH14" i="31" s="1"/>
  <c r="AJ17" i="32"/>
  <c r="AN17" i="32" s="1"/>
  <c r="AK17" i="32"/>
  <c r="AK53" i="32"/>
  <c r="AJ53" i="32"/>
  <c r="AN53" i="32" s="1"/>
  <c r="AK15" i="32"/>
  <c r="AJ15" i="32"/>
  <c r="AN15" i="32" s="1"/>
  <c r="AN29" i="32"/>
  <c r="AJ65" i="32"/>
  <c r="AN65" i="32" s="1"/>
  <c r="AK65" i="32"/>
  <c r="AK67" i="32"/>
  <c r="AJ67" i="32"/>
  <c r="AN67" i="32" s="1"/>
  <c r="AJ62" i="32"/>
  <c r="AN62" i="32" s="1"/>
  <c r="AK62" i="32"/>
  <c r="AN33" i="32"/>
  <c r="AK63" i="32"/>
  <c r="AJ63" i="32"/>
  <c r="AN63" i="32" s="1"/>
  <c r="AJ60" i="32"/>
  <c r="AJ48" i="32"/>
  <c r="AN48" i="32" s="1"/>
  <c r="AK48" i="32"/>
  <c r="AN21" i="32"/>
  <c r="AN19" i="32"/>
  <c r="AK13" i="32"/>
  <c r="AI14" i="32" s="1"/>
  <c r="AJ13" i="32"/>
  <c r="AN13" i="32" s="1"/>
  <c r="AK41" i="32"/>
  <c r="AJ41" i="32"/>
  <c r="AN41" i="32" s="1"/>
  <c r="AK57" i="32"/>
  <c r="AJ57" i="32"/>
  <c r="AN57" i="32" s="1"/>
  <c r="AN52" i="32"/>
  <c r="AN46" i="32"/>
  <c r="AK54" i="32"/>
  <c r="AJ54" i="32"/>
  <c r="AN54" i="32" s="1"/>
  <c r="AK45" i="32"/>
  <c r="AJ45" i="32"/>
  <c r="AN45" i="32" s="1"/>
  <c r="AK38" i="32"/>
  <c r="AJ38" i="32"/>
  <c r="AN38" i="32" s="1"/>
  <c r="AN49" i="32"/>
  <c r="AK28" i="32"/>
  <c r="AJ28" i="32"/>
  <c r="AN28" i="32" s="1"/>
  <c r="AK58" i="32"/>
  <c r="AJ58" i="32"/>
  <c r="AN58" i="32" s="1"/>
  <c r="AK27" i="32"/>
  <c r="AJ27" i="32"/>
  <c r="AN27" i="32" s="1"/>
  <c r="AM14" i="32"/>
  <c r="AL14" i="32" s="1"/>
  <c r="AK40" i="32"/>
  <c r="AJ40" i="32"/>
  <c r="AN40" i="32" s="1"/>
  <c r="AN60" i="32"/>
  <c r="AK23" i="32"/>
  <c r="AJ23" i="32"/>
  <c r="AN23" i="32" s="1"/>
  <c r="AK24" i="32"/>
  <c r="AJ24" i="32"/>
  <c r="AN24" i="32" s="1"/>
  <c r="AK37" i="32"/>
  <c r="AJ37" i="32"/>
  <c r="AN37" i="32" s="1"/>
  <c r="AK55" i="32"/>
  <c r="AJ55" i="32"/>
  <c r="AN55" i="32" s="1"/>
  <c r="AG36" i="31"/>
  <c r="AF36" i="31"/>
  <c r="AJ36" i="31" s="1"/>
  <c r="AG52" i="31"/>
  <c r="AF52" i="31"/>
  <c r="AJ52" i="31" s="1"/>
  <c r="AG35" i="31"/>
  <c r="AF35" i="31"/>
  <c r="AJ35" i="31" s="1"/>
  <c r="AG21" i="31"/>
  <c r="AF21" i="31"/>
  <c r="AJ21" i="31" s="1"/>
  <c r="AG40" i="31"/>
  <c r="AF40" i="31"/>
  <c r="AJ40" i="31" s="1"/>
  <c r="AG18" i="31"/>
  <c r="AF18" i="31"/>
  <c r="AJ18" i="31" s="1"/>
  <c r="AG22" i="31"/>
  <c r="AF22" i="31"/>
  <c r="AJ22" i="31" s="1"/>
  <c r="AJ51" i="31"/>
  <c r="AG19" i="31"/>
  <c r="AF19" i="31"/>
  <c r="AJ19" i="31" s="1"/>
  <c r="AG53" i="31"/>
  <c r="AF53" i="31"/>
  <c r="AJ53" i="31" s="1"/>
  <c r="AG13" i="31"/>
  <c r="AE14" i="31" s="1"/>
  <c r="AF13" i="31"/>
  <c r="AG66" i="31"/>
  <c r="AF66" i="31"/>
  <c r="AJ66" i="31" s="1"/>
  <c r="AG49" i="31"/>
  <c r="AF49" i="31"/>
  <c r="AJ49" i="31" s="1"/>
  <c r="AG32" i="31"/>
  <c r="AF32" i="31"/>
  <c r="AJ32" i="31" s="1"/>
  <c r="AG50" i="31"/>
  <c r="AF50" i="31"/>
  <c r="AJ50" i="31" s="1"/>
  <c r="AG39" i="31"/>
  <c r="AF39" i="31"/>
  <c r="AJ39" i="31" s="1"/>
  <c r="AG67" i="31"/>
  <c r="AF67" i="31"/>
  <c r="AJ67" i="31" s="1"/>
  <c r="AE13" i="1"/>
  <c r="AG13" i="1" s="1"/>
  <c r="AE14" i="1" s="1"/>
  <c r="AJ13" i="31" l="1"/>
  <c r="AK14" i="32"/>
  <c r="AJ14" i="32"/>
  <c r="AN14" i="32" s="1"/>
  <c r="AG14" i="31"/>
  <c r="AF14" i="31"/>
  <c r="AJ14" i="31" s="1"/>
  <c r="AF13" i="1"/>
  <c r="AF14" i="1"/>
  <c r="AG14" i="1"/>
  <c r="O47" i="1" l="1"/>
  <c r="X15" i="1" l="1"/>
  <c r="X16" i="1"/>
  <c r="AI16" i="1" l="1"/>
  <c r="AI15" i="1"/>
  <c r="E24" i="22"/>
  <c r="E8" i="13"/>
  <c r="E7" i="13"/>
  <c r="E6" i="13"/>
  <c r="E5" i="13"/>
  <c r="R63" i="1"/>
  <c r="R30" i="1"/>
  <c r="R46" i="1"/>
  <c r="R16" i="1"/>
  <c r="R27" i="1"/>
  <c r="R24" i="1"/>
  <c r="R34" i="1"/>
  <c r="R39" i="1"/>
  <c r="R51" i="1"/>
  <c r="R56" i="1"/>
  <c r="R32" i="1"/>
  <c r="R62" i="1"/>
  <c r="R37" i="1"/>
  <c r="R22" i="1"/>
  <c r="R55" i="1"/>
  <c r="R20" i="1"/>
  <c r="R21" i="1"/>
  <c r="R49" i="1"/>
  <c r="R50" i="1"/>
  <c r="R54" i="1"/>
  <c r="R61" i="1"/>
  <c r="R60" i="1"/>
  <c r="R38" i="1"/>
  <c r="R36" i="1"/>
  <c r="R45" i="1"/>
  <c r="R42" i="1"/>
  <c r="R28" i="1"/>
  <c r="R31" i="1"/>
  <c r="R43" i="1"/>
  <c r="R33" i="1"/>
  <c r="R64" i="1"/>
  <c r="R19" i="1"/>
  <c r="R18" i="1"/>
  <c r="R57" i="1"/>
  <c r="R40" i="1"/>
  <c r="R48" i="1"/>
  <c r="R25" i="1"/>
  <c r="R52" i="1"/>
  <c r="R26" i="1"/>
  <c r="R44" i="1"/>
  <c r="R58" i="1"/>
  <c r="F222" i="13" l="1"/>
  <c r="F212" i="13"/>
  <c r="F213" i="13"/>
  <c r="F214" i="13"/>
  <c r="F215" i="13"/>
  <c r="F216" i="13"/>
  <c r="F217" i="13"/>
  <c r="F218" i="13"/>
  <c r="F219" i="13"/>
  <c r="F220" i="13"/>
  <c r="F221" i="13"/>
  <c r="F211" i="13"/>
  <c r="B222" i="13" a="1"/>
  <c r="B222" i="13" l="1"/>
  <c r="R13" i="1" s="1"/>
  <c r="S13" i="1" s="1"/>
  <c r="X47" i="1"/>
  <c r="X42" i="1"/>
  <c r="X36" i="1"/>
  <c r="AI47" i="1" l="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H13" i="1" l="1"/>
  <c r="AJ13" i="1" s="1"/>
  <c r="AI14" i="1"/>
  <c r="AH14" i="1" s="1"/>
  <c r="AJ14" i="1" s="1"/>
  <c r="AA64" i="1"/>
  <c r="X64" i="1"/>
  <c r="AA63" i="1"/>
  <c r="X63" i="1"/>
  <c r="AA62" i="1"/>
  <c r="X62" i="1"/>
  <c r="AA61" i="1"/>
  <c r="X61" i="1"/>
  <c r="AA60" i="1"/>
  <c r="X60" i="1"/>
  <c r="AA59" i="1"/>
  <c r="X59" i="1"/>
  <c r="O59" i="1"/>
  <c r="P59" i="1" s="1"/>
  <c r="AA58" i="1"/>
  <c r="X58" i="1"/>
  <c r="AA57" i="1"/>
  <c r="X57" i="1"/>
  <c r="AA56" i="1"/>
  <c r="X56" i="1"/>
  <c r="AA55" i="1"/>
  <c r="X55" i="1"/>
  <c r="AA54" i="1"/>
  <c r="X54" i="1"/>
  <c r="AA53" i="1"/>
  <c r="X53" i="1"/>
  <c r="O53" i="1"/>
  <c r="P53" i="1" s="1"/>
  <c r="AA52" i="1"/>
  <c r="X52" i="1"/>
  <c r="AA51" i="1"/>
  <c r="X51" i="1"/>
  <c r="AA50" i="1"/>
  <c r="X50" i="1"/>
  <c r="AA49" i="1"/>
  <c r="X49" i="1"/>
  <c r="AA48" i="1"/>
  <c r="X48" i="1"/>
  <c r="AA47" i="1"/>
  <c r="P47" i="1"/>
  <c r="AA46" i="1"/>
  <c r="X46" i="1"/>
  <c r="AA45" i="1"/>
  <c r="X45" i="1"/>
  <c r="AA44" i="1"/>
  <c r="X44" i="1"/>
  <c r="AA43" i="1"/>
  <c r="X43" i="1"/>
  <c r="AA42" i="1"/>
  <c r="AA41" i="1"/>
  <c r="X41" i="1"/>
  <c r="O41" i="1"/>
  <c r="P41" i="1" s="1"/>
  <c r="AA40" i="1"/>
  <c r="X40" i="1"/>
  <c r="AA39" i="1"/>
  <c r="X39" i="1"/>
  <c r="AA38" i="1"/>
  <c r="X38" i="1"/>
  <c r="AA37" i="1"/>
  <c r="X37" i="1"/>
  <c r="AA36" i="1"/>
  <c r="AA35" i="1"/>
  <c r="X35" i="1"/>
  <c r="O35" i="1"/>
  <c r="P35" i="1" s="1"/>
  <c r="AA34" i="1"/>
  <c r="X34" i="1"/>
  <c r="AA33" i="1"/>
  <c r="X33" i="1"/>
  <c r="AA32" i="1"/>
  <c r="X32" i="1"/>
  <c r="AA31" i="1"/>
  <c r="X31" i="1"/>
  <c r="AA30" i="1"/>
  <c r="X30" i="1"/>
  <c r="AA29" i="1"/>
  <c r="X29" i="1"/>
  <c r="O29" i="1"/>
  <c r="AA28" i="1"/>
  <c r="X28" i="1"/>
  <c r="AA27" i="1"/>
  <c r="X27" i="1"/>
  <c r="AA26" i="1"/>
  <c r="X26" i="1"/>
  <c r="AA25" i="1"/>
  <c r="X25" i="1"/>
  <c r="AA24" i="1"/>
  <c r="X24" i="1"/>
  <c r="AA23" i="1"/>
  <c r="X23" i="1"/>
  <c r="O23" i="1"/>
  <c r="P23" i="1" s="1"/>
  <c r="AA22" i="1"/>
  <c r="X22" i="1"/>
  <c r="AA21" i="1"/>
  <c r="X21" i="1"/>
  <c r="AA20" i="1"/>
  <c r="X20" i="1"/>
  <c r="AA19" i="1"/>
  <c r="X19" i="1"/>
  <c r="AA18" i="1"/>
  <c r="X18" i="1"/>
  <c r="AA17" i="1"/>
  <c r="X17" i="1"/>
  <c r="O17" i="1"/>
  <c r="P17" i="1" s="1"/>
  <c r="O15" i="1"/>
  <c r="AA16" i="1"/>
  <c r="AA15" i="1"/>
  <c r="P29" i="1" l="1"/>
  <c r="AI21" i="1"/>
  <c r="AI32" i="1"/>
  <c r="AI40" i="1"/>
  <c r="AI52" i="1"/>
  <c r="AI63" i="1"/>
  <c r="AI22" i="1"/>
  <c r="AI33" i="1"/>
  <c r="AI28" i="1"/>
  <c r="AI55" i="1"/>
  <c r="AI56" i="1"/>
  <c r="AI26" i="1"/>
  <c r="AI57" i="1"/>
  <c r="AI20" i="1"/>
  <c r="AI31" i="1"/>
  <c r="AI39" i="1"/>
  <c r="AI51" i="1"/>
  <c r="AI62" i="1"/>
  <c r="AI25" i="1"/>
  <c r="AI45" i="1"/>
  <c r="AH45" i="1" s="1"/>
  <c r="AI64" i="1"/>
  <c r="AI23" i="1"/>
  <c r="AI24" i="1"/>
  <c r="AI36" i="1"/>
  <c r="AI35" i="1"/>
  <c r="AI18" i="1"/>
  <c r="AI17" i="1"/>
  <c r="AI49" i="1"/>
  <c r="AI48" i="1"/>
  <c r="AI60" i="1"/>
  <c r="AI59" i="1"/>
  <c r="AI44" i="1"/>
  <c r="AI43" i="1"/>
  <c r="AI19" i="1"/>
  <c r="AI30" i="1"/>
  <c r="AI29" i="1"/>
  <c r="AI34" i="1"/>
  <c r="AI38" i="1"/>
  <c r="AI37" i="1"/>
  <c r="AI46" i="1"/>
  <c r="AH46" i="1" s="1"/>
  <c r="AI50" i="1"/>
  <c r="AI61" i="1"/>
  <c r="AI27" i="1"/>
  <c r="AI42" i="1"/>
  <c r="AI41" i="1"/>
  <c r="AI54" i="1"/>
  <c r="AI53" i="1"/>
  <c r="AI58" i="1"/>
  <c r="P15" i="1"/>
  <c r="AE15" i="1" s="1"/>
  <c r="AE59" i="1"/>
  <c r="AE53" i="1"/>
  <c r="AE47" i="1"/>
  <c r="AE41" i="1"/>
  <c r="AE45" i="1"/>
  <c r="AE46" i="1"/>
  <c r="AE35" i="1"/>
  <c r="AE29" i="1"/>
  <c r="AE23" i="1"/>
  <c r="AE17" i="1"/>
  <c r="AF59" i="1" l="1"/>
  <c r="AG59" i="1"/>
  <c r="AE60" i="1" s="1"/>
  <c r="AF60" i="1" s="1"/>
  <c r="AF53" i="1"/>
  <c r="AG53" i="1"/>
  <c r="AE54" i="1" s="1"/>
  <c r="AG54" i="1" s="1"/>
  <c r="AE55" i="1" s="1"/>
  <c r="AF47" i="1"/>
  <c r="AG47" i="1"/>
  <c r="AE48" i="1" s="1"/>
  <c r="AG48" i="1" s="1"/>
  <c r="AE49" i="1" s="1"/>
  <c r="AF46" i="1"/>
  <c r="AG46" i="1"/>
  <c r="AF45" i="1"/>
  <c r="AG45" i="1"/>
  <c r="AF41" i="1"/>
  <c r="AG41" i="1"/>
  <c r="AF35" i="1"/>
  <c r="AG35" i="1"/>
  <c r="AE36" i="1" s="1"/>
  <c r="AG36" i="1" s="1"/>
  <c r="AE37" i="1" s="1"/>
  <c r="AF29" i="1"/>
  <c r="AG29" i="1"/>
  <c r="AF23" i="1"/>
  <c r="AG23" i="1"/>
  <c r="AE24" i="1" s="1"/>
  <c r="AG24" i="1" s="1"/>
  <c r="AE25" i="1" s="1"/>
  <c r="AF25" i="1" s="1"/>
  <c r="AF17" i="1"/>
  <c r="AG17" i="1"/>
  <c r="AE18" i="1" s="1"/>
  <c r="AF18" i="1" s="1"/>
  <c r="AF15" i="1"/>
  <c r="AG15" i="1"/>
  <c r="AE16" i="1" s="1"/>
  <c r="AF54" i="1" l="1"/>
  <c r="AF48" i="1"/>
  <c r="AG18" i="1"/>
  <c r="AE19" i="1" s="1"/>
  <c r="AF19" i="1" s="1"/>
  <c r="AF36" i="1"/>
  <c r="AF24" i="1"/>
  <c r="AF37" i="1"/>
  <c r="AG37" i="1"/>
  <c r="AG55" i="1"/>
  <c r="AE56" i="1" s="1"/>
  <c r="AF55" i="1"/>
  <c r="AG49" i="1"/>
  <c r="AE50" i="1" s="1"/>
  <c r="AF49" i="1"/>
  <c r="AG60" i="1"/>
  <c r="AE61" i="1" s="1"/>
  <c r="AE30" i="1"/>
  <c r="AE42" i="1"/>
  <c r="AG2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45" i="1"/>
  <c r="AJ46" i="1"/>
  <c r="AF56" i="1" l="1"/>
  <c r="AG56" i="1"/>
  <c r="AF50" i="1"/>
  <c r="AG50" i="1"/>
  <c r="AE51" i="1" s="1"/>
  <c r="AG19" i="1"/>
  <c r="AE20" i="1" s="1"/>
  <c r="AG20" i="1" s="1"/>
  <c r="AF61" i="1"/>
  <c r="AG61" i="1"/>
  <c r="AE62" i="1" s="1"/>
  <c r="AF42" i="1"/>
  <c r="AG42" i="1"/>
  <c r="AE43" i="1" s="1"/>
  <c r="AF43" i="1" s="1"/>
  <c r="AE38" i="1"/>
  <c r="AF30" i="1"/>
  <c r="AG30" i="1"/>
  <c r="AE31" i="1" s="1"/>
  <c r="AF31" i="1" s="1"/>
  <c r="AE27" i="1"/>
  <c r="AF27" i="1" s="1"/>
  <c r="AE26" i="1"/>
  <c r="AF16" i="1"/>
  <c r="AG16" i="1"/>
  <c r="AG43" i="1" l="1"/>
  <c r="AE44" i="1" s="1"/>
  <c r="AF44" i="1" s="1"/>
  <c r="AG31" i="1"/>
  <c r="AE32" i="1" s="1"/>
  <c r="AG32" i="1" s="1"/>
  <c r="AE33" i="1" s="1"/>
  <c r="AF51" i="1"/>
  <c r="AG51" i="1"/>
  <c r="AE52" i="1" s="1"/>
  <c r="AE57" i="1"/>
  <c r="AE58" i="1"/>
  <c r="AF20" i="1"/>
  <c r="AF38" i="1"/>
  <c r="AG38" i="1"/>
  <c r="AE39" i="1" s="1"/>
  <c r="AF39" i="1" s="1"/>
  <c r="AE21" i="1"/>
  <c r="AG62" i="1"/>
  <c r="AF62" i="1"/>
  <c r="AF26" i="1"/>
  <c r="AG26" i="1"/>
  <c r="AG27" i="1"/>
  <c r="AE28" i="1" s="1"/>
  <c r="AG44" i="1" l="1"/>
  <c r="AF32" i="1"/>
  <c r="AF58" i="1"/>
  <c r="AG58" i="1"/>
  <c r="AF57" i="1"/>
  <c r="AG57" i="1"/>
  <c r="AF52" i="1"/>
  <c r="AG52" i="1"/>
  <c r="AE63" i="1"/>
  <c r="AE64" i="1"/>
  <c r="AG39" i="1"/>
  <c r="AE40" i="1" s="1"/>
  <c r="AF40" i="1" s="1"/>
  <c r="AG33" i="1"/>
  <c r="AE34" i="1" s="1"/>
  <c r="AF33" i="1"/>
  <c r="AF21" i="1"/>
  <c r="AG21" i="1"/>
  <c r="AE22" i="1" s="1"/>
  <c r="AF22" i="1" s="1"/>
  <c r="AF28" i="1"/>
  <c r="AG28" i="1"/>
  <c r="AF64" i="1" l="1"/>
  <c r="AG64" i="1"/>
  <c r="AF63" i="1"/>
  <c r="AG63" i="1"/>
  <c r="AF34" i="1"/>
  <c r="AG34" i="1"/>
  <c r="AG40" i="1"/>
  <c r="AG22" i="1"/>
  <c r="R35" i="1" l="1"/>
  <c r="S35" i="1" s="1"/>
  <c r="R23" i="1"/>
  <c r="S23" i="1" s="1"/>
  <c r="R17" i="1"/>
  <c r="S17" i="1" s="1"/>
  <c r="R47" i="1"/>
  <c r="S47" i="1" s="1"/>
  <c r="R41" i="1"/>
  <c r="S41" i="1" s="1"/>
  <c r="R29" i="1"/>
  <c r="S29" i="1" s="1"/>
  <c r="AD40" i="18" s="1"/>
  <c r="R59" i="1"/>
  <c r="S59" i="1" s="1"/>
  <c r="R53" i="1"/>
  <c r="S53" i="1" s="1"/>
  <c r="R15" i="1"/>
  <c r="S15" i="1" s="1"/>
  <c r="Z42" i="18" l="1"/>
  <c r="N42" i="18"/>
  <c r="AF26" i="18"/>
  <c r="N26" i="18"/>
  <c r="AF18" i="18"/>
  <c r="T10" i="18"/>
  <c r="N34" i="18"/>
  <c r="T34" i="18"/>
  <c r="T18" i="18"/>
  <c r="Z18" i="18"/>
  <c r="Z10" i="18"/>
  <c r="AL18" i="18"/>
  <c r="Z26" i="18"/>
  <c r="U53" i="1"/>
  <c r="T53"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47" i="1"/>
  <c r="AJ42" i="18"/>
  <c r="AJ18" i="18"/>
  <c r="AD26" i="18"/>
  <c r="L10" i="18"/>
  <c r="AD10" i="18"/>
  <c r="X18" i="18"/>
  <c r="AD42" i="18"/>
  <c r="L18" i="18"/>
  <c r="R10" i="18"/>
  <c r="U47" i="1"/>
  <c r="T59" i="1"/>
  <c r="AB36" i="18"/>
  <c r="AH12" i="18"/>
  <c r="P28" i="18"/>
  <c r="AH20" i="18"/>
  <c r="P36" i="18"/>
  <c r="V12" i="18"/>
  <c r="AH28" i="18"/>
  <c r="AB20" i="18"/>
  <c r="J12" i="18"/>
  <c r="J20" i="18"/>
  <c r="U59" i="1"/>
  <c r="P44" i="18"/>
  <c r="AB44" i="18"/>
  <c r="V28" i="18"/>
  <c r="V36" i="18"/>
  <c r="J28" i="18"/>
  <c r="AH36" i="18"/>
  <c r="J44" i="18"/>
  <c r="P12" i="18"/>
  <c r="AB12" i="18"/>
  <c r="V44" i="18"/>
  <c r="AH44" i="18"/>
  <c r="V20" i="18"/>
  <c r="P20" i="18"/>
  <c r="J36" i="18"/>
  <c r="AB28" i="18"/>
  <c r="T38" i="18"/>
  <c r="AF22" i="18"/>
  <c r="N38" i="18"/>
  <c r="AF30" i="18"/>
  <c r="AL6" i="18"/>
  <c r="Z6" i="18"/>
  <c r="U17" i="1"/>
  <c r="T14" i="18"/>
  <c r="T22" i="18"/>
  <c r="N6" i="18"/>
  <c r="AL30" i="18"/>
  <c r="Z22" i="18"/>
  <c r="Z14" i="18"/>
  <c r="T17" i="1"/>
  <c r="Z30" i="18"/>
  <c r="AL38" i="18"/>
  <c r="AL14" i="18"/>
  <c r="AF6" i="18"/>
  <c r="AL22" i="18"/>
  <c r="T30" i="18"/>
  <c r="Z38" i="18"/>
  <c r="AF14" i="18"/>
  <c r="N30" i="18"/>
  <c r="N14" i="18"/>
  <c r="N22" i="18"/>
  <c r="AF38" i="18"/>
  <c r="T6" i="18"/>
  <c r="T29" i="1"/>
  <c r="X32" i="18"/>
  <c r="AD32" i="18"/>
  <c r="AJ8" i="18"/>
  <c r="L16" i="18"/>
  <c r="R32" i="18"/>
  <c r="AJ32" i="18"/>
  <c r="U29" i="1"/>
  <c r="R40" i="18"/>
  <c r="AJ40" i="18"/>
  <c r="AD24" i="18"/>
  <c r="AJ24" i="18"/>
  <c r="R24" i="18"/>
  <c r="AJ16" i="18"/>
  <c r="AD8" i="18"/>
  <c r="L32" i="18"/>
  <c r="L40" i="18"/>
  <c r="R16" i="18"/>
  <c r="L24" i="18"/>
  <c r="AD16" i="18"/>
  <c r="L8" i="18"/>
  <c r="R8" i="18"/>
  <c r="X40" i="18"/>
  <c r="X8" i="18"/>
  <c r="X16" i="18"/>
  <c r="X24" i="18"/>
  <c r="T23" i="1"/>
  <c r="J40" i="18"/>
  <c r="J16" i="18"/>
  <c r="P16" i="18"/>
  <c r="V8" i="18"/>
  <c r="J8" i="18"/>
  <c r="J24" i="18"/>
  <c r="AH16" i="18"/>
  <c r="AB16" i="18"/>
  <c r="AB40" i="18"/>
  <c r="P32" i="18"/>
  <c r="P40" i="18"/>
  <c r="AH24" i="18"/>
  <c r="AB32" i="18"/>
  <c r="J32" i="18"/>
  <c r="V16" i="18"/>
  <c r="V40" i="18"/>
  <c r="AH32" i="18"/>
  <c r="V24" i="18"/>
  <c r="V32" i="18"/>
  <c r="AH8" i="18"/>
  <c r="AB8" i="18"/>
  <c r="P8" i="18"/>
  <c r="U23" i="1"/>
  <c r="AH40" i="18"/>
  <c r="AB24" i="18"/>
  <c r="P24" i="18"/>
  <c r="AD38" i="18"/>
  <c r="L30" i="18"/>
  <c r="AD30" i="18"/>
  <c r="AJ6" i="18"/>
  <c r="L14" i="18"/>
  <c r="L22" i="18"/>
  <c r="X6" i="18"/>
  <c r="L6" i="18"/>
  <c r="U15" i="1"/>
  <c r="R38" i="18"/>
  <c r="AJ38" i="18"/>
  <c r="L38" i="18"/>
  <c r="AD6" i="18"/>
  <c r="R6" i="18"/>
  <c r="AJ30" i="18"/>
  <c r="R30" i="18"/>
  <c r="AD22" i="18"/>
  <c r="AJ14" i="18"/>
  <c r="AJ22" i="18"/>
  <c r="AD14" i="18"/>
  <c r="X38" i="18"/>
  <c r="X14" i="18"/>
  <c r="R22" i="18"/>
  <c r="X22" i="18"/>
  <c r="T15"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1" i="1"/>
  <c r="AH34" i="18"/>
  <c r="AH42" i="18"/>
  <c r="AH18" i="18"/>
  <c r="AB10" i="18"/>
  <c r="J26" i="18"/>
  <c r="V18" i="18"/>
  <c r="V42" i="18"/>
  <c r="J42" i="18"/>
  <c r="P10" i="18"/>
  <c r="AB26" i="18"/>
  <c r="J34" i="18"/>
  <c r="J18" i="18"/>
  <c r="AH10" i="18"/>
  <c r="AB34" i="18"/>
  <c r="P26" i="18"/>
  <c r="P34" i="18"/>
  <c r="V34" i="18"/>
  <c r="AH26" i="18"/>
  <c r="J10" i="18"/>
  <c r="U41" i="1"/>
  <c r="P18" i="18"/>
  <c r="AB42" i="18"/>
  <c r="V10" i="18"/>
  <c r="AB18" i="18"/>
  <c r="P42" i="18"/>
  <c r="V26" i="18"/>
  <c r="Z32" i="18"/>
  <c r="N24" i="18"/>
  <c r="AL32" i="18"/>
  <c r="AL40" i="18"/>
  <c r="N8" i="18"/>
  <c r="AF24" i="18"/>
  <c r="Z40" i="18"/>
  <c r="Z16" i="18"/>
  <c r="N32" i="18"/>
  <c r="T32" i="18"/>
  <c r="N40" i="18"/>
  <c r="T8" i="18"/>
  <c r="T35" i="1"/>
  <c r="AF32" i="18"/>
  <c r="AL8" i="18"/>
  <c r="T24" i="18"/>
  <c r="N16" i="18"/>
  <c r="T16" i="18"/>
  <c r="Z24" i="18"/>
  <c r="AF16" i="18"/>
  <c r="U35" i="1"/>
  <c r="T40" i="18"/>
  <c r="AF8" i="18"/>
  <c r="AL24" i="18"/>
  <c r="Z8" i="18"/>
  <c r="AF40" i="18"/>
  <c r="AL16" i="18"/>
  <c r="AH23" i="1" l="1"/>
  <c r="AH59" i="1"/>
  <c r="AH35" i="1"/>
  <c r="AH47" i="1"/>
  <c r="AH15" i="1"/>
  <c r="AH17" i="1"/>
  <c r="AH41" i="1"/>
  <c r="AH29" i="1"/>
  <c r="AH42" i="1" l="1"/>
  <c r="AH48" i="1"/>
  <c r="AH54" i="1"/>
  <c r="AH30" i="1"/>
  <c r="AH36" i="1"/>
  <c r="AH24" i="1"/>
  <c r="AH18" i="1"/>
  <c r="J40" i="19"/>
  <c r="V30" i="19"/>
  <c r="AH20" i="19"/>
  <c r="J30" i="19"/>
  <c r="V20" i="19"/>
  <c r="AH10" i="19"/>
  <c r="P10" i="19"/>
  <c r="AB50" i="19"/>
  <c r="J50" i="19"/>
  <c r="AB40" i="19"/>
  <c r="P30" i="19"/>
  <c r="V50" i="19"/>
  <c r="P50" i="19"/>
  <c r="AB10" i="19"/>
  <c r="AH30" i="19"/>
  <c r="AH40" i="19"/>
  <c r="J10" i="19"/>
  <c r="AB20" i="19"/>
  <c r="AH50" i="19"/>
  <c r="AJ29" i="1"/>
  <c r="V10" i="19"/>
  <c r="P20" i="19"/>
  <c r="J20" i="19"/>
  <c r="P40" i="19"/>
  <c r="V40" i="19"/>
  <c r="AB30" i="19"/>
  <c r="J11" i="19"/>
  <c r="V11" i="19"/>
  <c r="AB21" i="19"/>
  <c r="P31" i="19"/>
  <c r="J31" i="19"/>
  <c r="AB41" i="19"/>
  <c r="AJ35"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59" i="1"/>
  <c r="P25" i="19"/>
  <c r="V55" i="19"/>
  <c r="J15" i="19"/>
  <c r="AB15" i="19"/>
  <c r="J35" i="19"/>
  <c r="AB35" i="19"/>
  <c r="J55" i="19"/>
  <c r="AB25" i="19"/>
  <c r="P35" i="19"/>
  <c r="P55" i="19"/>
  <c r="AB45" i="19"/>
  <c r="P15" i="19"/>
  <c r="J47" i="19"/>
  <c r="V27" i="19"/>
  <c r="AH7" i="19"/>
  <c r="P47" i="19"/>
  <c r="AB27" i="19"/>
  <c r="J17" i="19"/>
  <c r="V47" i="19"/>
  <c r="J37" i="19"/>
  <c r="AJ15" i="1"/>
  <c r="AB37" i="19"/>
  <c r="J27" i="19"/>
  <c r="V7" i="19"/>
  <c r="AH37" i="19"/>
  <c r="P27" i="19"/>
  <c r="AB7" i="19"/>
  <c r="P17" i="19"/>
  <c r="V17" i="19"/>
  <c r="AH47" i="19"/>
  <c r="P37" i="19"/>
  <c r="AB17" i="19"/>
  <c r="J7" i="19"/>
  <c r="V37" i="19"/>
  <c r="AH17" i="19"/>
  <c r="P7" i="19"/>
  <c r="AH27" i="19"/>
  <c r="AB47" i="19"/>
  <c r="AJ4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53" i="1"/>
  <c r="AJ2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17"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37" i="1"/>
  <c r="V32" i="19"/>
  <c r="P42" i="19"/>
  <c r="J12" i="19"/>
  <c r="J32" i="19"/>
  <c r="AB52" i="19"/>
  <c r="AJ41" i="1"/>
  <c r="J22" i="19"/>
  <c r="V22" i="19"/>
  <c r="J52" i="19"/>
  <c r="AH12" i="19"/>
  <c r="J42" i="19"/>
  <c r="AH42" i="19"/>
  <c r="P32" i="19"/>
  <c r="AB12" i="19"/>
  <c r="AH32" i="19"/>
  <c r="AB32" i="19"/>
  <c r="AB42" i="19"/>
  <c r="V42" i="19"/>
  <c r="V12" i="19"/>
  <c r="V52" i="19"/>
  <c r="AB22" i="19"/>
  <c r="AH52" i="19"/>
  <c r="AH22" i="19"/>
  <c r="P22" i="19"/>
  <c r="P12" i="19"/>
  <c r="P52" i="19"/>
  <c r="AH43" i="1"/>
  <c r="AH16" i="1"/>
  <c r="AH60" i="1" l="1"/>
  <c r="K45" i="19" s="1"/>
  <c r="AH44" i="1"/>
  <c r="S12" i="19" s="1"/>
  <c r="W37" i="19"/>
  <c r="AI7" i="19"/>
  <c r="W17" i="19"/>
  <c r="W27" i="19"/>
  <c r="Q47" i="19"/>
  <c r="W7" i="19"/>
  <c r="AI17" i="19"/>
  <c r="K47" i="19"/>
  <c r="AI47" i="19"/>
  <c r="Q27" i="19"/>
  <c r="AC27" i="19"/>
  <c r="AC47" i="19"/>
  <c r="AC37" i="19"/>
  <c r="AI37" i="19"/>
  <c r="AJ16"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54"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36" i="1"/>
  <c r="P54" i="19"/>
  <c r="AH14" i="19"/>
  <c r="AB14" i="19"/>
  <c r="AH34" i="19"/>
  <c r="AB54" i="19"/>
  <c r="AH54" i="19"/>
  <c r="AJ5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43" i="1"/>
  <c r="AD12" i="19"/>
  <c r="AD32" i="19"/>
  <c r="AD22" i="19"/>
  <c r="X52" i="19"/>
  <c r="AD52" i="19"/>
  <c r="L42" i="19"/>
  <c r="R42" i="19"/>
  <c r="AJ21" i="19"/>
  <c r="AD31" i="19"/>
  <c r="R21" i="19"/>
  <c r="AD41" i="19"/>
  <c r="AJ11" i="19"/>
  <c r="AJ51" i="19"/>
  <c r="AJ37" i="1"/>
  <c r="L41" i="19"/>
  <c r="AD11" i="19"/>
  <c r="L21" i="19"/>
  <c r="L11" i="19"/>
  <c r="X51" i="19"/>
  <c r="X21" i="19"/>
  <c r="R11" i="19"/>
  <c r="R31" i="19"/>
  <c r="AJ41" i="19"/>
  <c r="L31" i="19"/>
  <c r="R51" i="19"/>
  <c r="X31" i="19"/>
  <c r="X11" i="19"/>
  <c r="X41" i="19"/>
  <c r="AJ31" i="19"/>
  <c r="AD51" i="19"/>
  <c r="R41" i="19"/>
  <c r="AD21" i="19"/>
  <c r="L51" i="19"/>
  <c r="AH25" i="1"/>
  <c r="AH49" i="1"/>
  <c r="K42" i="19"/>
  <c r="AC32" i="19"/>
  <c r="W42" i="19"/>
  <c r="AI52" i="19"/>
  <c r="K22" i="19"/>
  <c r="Q32" i="19"/>
  <c r="AI12" i="19"/>
  <c r="AC52" i="19"/>
  <c r="Q42" i="19"/>
  <c r="AC42" i="19"/>
  <c r="K12" i="19"/>
  <c r="Q22" i="19"/>
  <c r="W52" i="19"/>
  <c r="AI42" i="19"/>
  <c r="W32" i="19"/>
  <c r="AI22" i="19"/>
  <c r="W12" i="19"/>
  <c r="AI32" i="19"/>
  <c r="AC12" i="19"/>
  <c r="Q12" i="19"/>
  <c r="Q52" i="19"/>
  <c r="AJ42" i="1"/>
  <c r="K32" i="19"/>
  <c r="W22" i="19"/>
  <c r="K52" i="19"/>
  <c r="AC22" i="19"/>
  <c r="AC40" i="19"/>
  <c r="W10" i="19"/>
  <c r="AC50" i="19"/>
  <c r="Q10" i="19"/>
  <c r="Q30" i="19"/>
  <c r="W50" i="19"/>
  <c r="K40" i="19"/>
  <c r="Q50" i="19"/>
  <c r="W20" i="19"/>
  <c r="AJ30"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55" i="1"/>
  <c r="K39" i="19"/>
  <c r="AC39" i="19"/>
  <c r="W29" i="19"/>
  <c r="AI49" i="19"/>
  <c r="W9" i="19"/>
  <c r="AC19" i="19"/>
  <c r="Q49" i="19"/>
  <c r="W49" i="19"/>
  <c r="AC9" i="19"/>
  <c r="AI9" i="19"/>
  <c r="Q29" i="19"/>
  <c r="W39" i="19"/>
  <c r="Q39" i="19"/>
  <c r="AJ2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48" i="1"/>
  <c r="Q33" i="19"/>
  <c r="AI23" i="19"/>
  <c r="K53" i="19"/>
  <c r="AC23" i="19"/>
  <c r="AC13" i="19"/>
  <c r="W23" i="19"/>
  <c r="W33" i="19"/>
  <c r="Q13" i="19"/>
  <c r="W13" i="19"/>
  <c r="AI13" i="19"/>
  <c r="Q43" i="19"/>
  <c r="Q23" i="19"/>
  <c r="W53" i="19"/>
  <c r="AK42" i="19"/>
  <c r="AE32" i="19"/>
  <c r="AJ44" i="1"/>
  <c r="Y52" i="19"/>
  <c r="S22" i="19"/>
  <c r="AK52" i="19"/>
  <c r="M22" i="19"/>
  <c r="AK32" i="19"/>
  <c r="AE22" i="19"/>
  <c r="AE42" i="19"/>
  <c r="S42" i="19"/>
  <c r="AH38" i="1"/>
  <c r="AH40" i="1"/>
  <c r="AH39" i="1"/>
  <c r="AH31"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18" i="1"/>
  <c r="M12" i="19" l="1"/>
  <c r="S52" i="19"/>
  <c r="AK22" i="19"/>
  <c r="AK12" i="19"/>
  <c r="AE52" i="19"/>
  <c r="Y42" i="19"/>
  <c r="Q55" i="19"/>
  <c r="Y22" i="19"/>
  <c r="Y32" i="19"/>
  <c r="AE12" i="19"/>
  <c r="M52" i="19"/>
  <c r="Y12" i="19"/>
  <c r="S32" i="19"/>
  <c r="M32" i="19"/>
  <c r="M42" i="19"/>
  <c r="W45" i="19"/>
  <c r="K25" i="19"/>
  <c r="W55" i="19"/>
  <c r="AI25" i="19"/>
  <c r="AI45" i="19"/>
  <c r="Q25" i="19"/>
  <c r="AJ60" i="1"/>
  <c r="AC35" i="19"/>
  <c r="AI15" i="19"/>
  <c r="Q35" i="19"/>
  <c r="W25" i="19"/>
  <c r="AC25" i="19"/>
  <c r="AI55" i="19"/>
  <c r="K15" i="19"/>
  <c r="Q15" i="19"/>
  <c r="K35" i="19"/>
  <c r="W35" i="19"/>
  <c r="W15" i="19"/>
  <c r="AC15" i="19"/>
  <c r="Q45" i="19"/>
  <c r="AC55" i="19"/>
  <c r="K55" i="19"/>
  <c r="AC45" i="19"/>
  <c r="AI35" i="19"/>
  <c r="AH61" i="1"/>
  <c r="AH19" i="1"/>
  <c r="R18" i="19" s="1"/>
  <c r="R40" i="19"/>
  <c r="AD10" i="19"/>
  <c r="X40" i="19"/>
  <c r="AJ10" i="19"/>
  <c r="R50" i="19"/>
  <c r="X10" i="19"/>
  <c r="R30" i="19"/>
  <c r="AJ31" i="1"/>
  <c r="L10" i="19"/>
  <c r="L50" i="19"/>
  <c r="AJ20" i="19"/>
  <c r="AJ40" i="19"/>
  <c r="AD30" i="19"/>
  <c r="R20" i="19"/>
  <c r="AD50" i="19"/>
  <c r="AJ30" i="19"/>
  <c r="AJ50" i="19"/>
  <c r="X30" i="19"/>
  <c r="AD20" i="19"/>
  <c r="L40" i="19"/>
  <c r="X50" i="19"/>
  <c r="X20" i="19"/>
  <c r="AD40" i="19"/>
  <c r="R10" i="19"/>
  <c r="L30" i="19"/>
  <c r="L20" i="19"/>
  <c r="AH50" i="1"/>
  <c r="AH64"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H21" i="1"/>
  <c r="AH20" i="1"/>
  <c r="AH22" i="1"/>
  <c r="AJ43" i="19"/>
  <c r="AD33" i="19"/>
  <c r="X33" i="19"/>
  <c r="X13" i="19"/>
  <c r="AD43" i="19"/>
  <c r="L43" i="19"/>
  <c r="AJ49"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J3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0" i="1"/>
  <c r="AG11" i="19"/>
  <c r="AM41" i="19"/>
  <c r="AA21" i="19"/>
  <c r="AA51" i="19"/>
  <c r="U51" i="19"/>
  <c r="U31" i="19"/>
  <c r="AA11" i="19"/>
  <c r="AG21" i="19"/>
  <c r="O31" i="19"/>
  <c r="AH56" i="1"/>
  <c r="AH26" i="1"/>
  <c r="AH27" i="1"/>
  <c r="AH28"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32" i="1"/>
  <c r="AE11" i="19"/>
  <c r="Y41" i="19"/>
  <c r="M41" i="19"/>
  <c r="Y21" i="19"/>
  <c r="AK41" i="19"/>
  <c r="S31" i="19"/>
  <c r="M31" i="19"/>
  <c r="M51" i="19"/>
  <c r="Y51" i="19"/>
  <c r="AK21" i="19"/>
  <c r="AK31" i="19"/>
  <c r="Y11" i="19"/>
  <c r="AE41" i="19"/>
  <c r="AE21" i="19"/>
  <c r="S51" i="19"/>
  <c r="AE51" i="19"/>
  <c r="AK51" i="19"/>
  <c r="M21" i="19"/>
  <c r="AE31" i="19"/>
  <c r="AJ38" i="1"/>
  <c r="S41" i="19"/>
  <c r="AK11" i="19"/>
  <c r="S11" i="19"/>
  <c r="Y31" i="19"/>
  <c r="S21" i="19"/>
  <c r="M11" i="19"/>
  <c r="L54" i="19"/>
  <c r="AJ14" i="19"/>
  <c r="AD44" i="19"/>
  <c r="X54" i="19"/>
  <c r="R14" i="19"/>
  <c r="AD24" i="19"/>
  <c r="AD34" i="19"/>
  <c r="R54" i="19"/>
  <c r="L34" i="19"/>
  <c r="AJ34" i="19"/>
  <c r="X24" i="19"/>
  <c r="AJ24" i="19"/>
  <c r="X44" i="19"/>
  <c r="R24" i="19"/>
  <c r="AJ55" i="1"/>
  <c r="X34" i="19"/>
  <c r="L14" i="19"/>
  <c r="AD14" i="19"/>
  <c r="L44" i="19"/>
  <c r="R44" i="19"/>
  <c r="AD54" i="19"/>
  <c r="X14" i="19"/>
  <c r="AJ44" i="19"/>
  <c r="R34" i="19"/>
  <c r="AJ54" i="19"/>
  <c r="L24" i="19"/>
  <c r="AD29" i="19"/>
  <c r="AD19" i="19"/>
  <c r="R39" i="19"/>
  <c r="R9" i="19"/>
  <c r="X49" i="19"/>
  <c r="X9" i="19"/>
  <c r="AD39" i="19"/>
  <c r="R29" i="19"/>
  <c r="L49" i="19"/>
  <c r="X19" i="19"/>
  <c r="X29" i="19"/>
  <c r="X39" i="19"/>
  <c r="L9" i="19"/>
  <c r="AJ25" i="1"/>
  <c r="AD9" i="19"/>
  <c r="AJ49" i="19"/>
  <c r="L39" i="19"/>
  <c r="R19" i="19"/>
  <c r="AJ39" i="19"/>
  <c r="AJ29" i="19"/>
  <c r="AJ19" i="19"/>
  <c r="AJ9" i="19"/>
  <c r="AD49" i="19"/>
  <c r="L19" i="19"/>
  <c r="L29" i="19"/>
  <c r="R49" i="19"/>
  <c r="R15" i="19" l="1"/>
  <c r="R55" i="19"/>
  <c r="AD25" i="19"/>
  <c r="L55" i="19"/>
  <c r="AJ35" i="19"/>
  <c r="X55" i="19"/>
  <c r="X35" i="19"/>
  <c r="AJ61" i="1"/>
  <c r="AD15" i="19"/>
  <c r="X25" i="19"/>
  <c r="X45" i="19"/>
  <c r="L35" i="19"/>
  <c r="R35" i="19"/>
  <c r="AJ15" i="19"/>
  <c r="L15" i="19"/>
  <c r="AJ25" i="19"/>
  <c r="AJ55" i="19"/>
  <c r="L45" i="19"/>
  <c r="AD35" i="19"/>
  <c r="R25" i="19"/>
  <c r="AD45" i="19"/>
  <c r="R45" i="19"/>
  <c r="AD55" i="19"/>
  <c r="X15" i="19"/>
  <c r="L25" i="19"/>
  <c r="AJ45" i="19"/>
  <c r="AH63" i="1"/>
  <c r="Z35" i="19" s="1"/>
  <c r="AH62" i="1"/>
  <c r="AJ48" i="19"/>
  <c r="L18" i="19"/>
  <c r="AD8" i="19"/>
  <c r="AJ8" i="19"/>
  <c r="AJ28" i="19"/>
  <c r="R48" i="19"/>
  <c r="X48" i="19"/>
  <c r="L8" i="19"/>
  <c r="AD28" i="19"/>
  <c r="X38" i="19"/>
  <c r="AJ19" i="1"/>
  <c r="X8" i="19"/>
  <c r="L48" i="19"/>
  <c r="AD48" i="19"/>
  <c r="AD38" i="19"/>
  <c r="X18" i="19"/>
  <c r="R38" i="19"/>
  <c r="R8" i="19"/>
  <c r="L38" i="19"/>
  <c r="R28" i="19"/>
  <c r="AJ38" i="19"/>
  <c r="AD18" i="19"/>
  <c r="L28" i="19"/>
  <c r="AJ18" i="19"/>
  <c r="X28" i="19"/>
  <c r="AH33" i="1"/>
  <c r="AH34" i="1"/>
  <c r="AG39" i="19"/>
  <c r="AG29" i="19"/>
  <c r="AM19" i="19"/>
  <c r="O39" i="19"/>
  <c r="AJ2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56"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0" i="1"/>
  <c r="AE28" i="19"/>
  <c r="AA55" i="19"/>
  <c r="O45" i="19"/>
  <c r="AA15" i="19"/>
  <c r="AM55" i="19"/>
  <c r="O55" i="19"/>
  <c r="AG35" i="19"/>
  <c r="AM25" i="19"/>
  <c r="AM35" i="19"/>
  <c r="AA25" i="19"/>
  <c r="AM45" i="19"/>
  <c r="AG25" i="19"/>
  <c r="AA35" i="19"/>
  <c r="O25" i="19"/>
  <c r="U25" i="19"/>
  <c r="AG45" i="19"/>
  <c r="U35" i="19"/>
  <c r="AA45" i="19"/>
  <c r="AM15" i="19"/>
  <c r="U45" i="19"/>
  <c r="O35" i="19"/>
  <c r="O15" i="19"/>
  <c r="AJ64" i="1"/>
  <c r="AG15" i="19"/>
  <c r="U15" i="19"/>
  <c r="AG55" i="19"/>
  <c r="U55" i="19"/>
  <c r="AE40" i="19"/>
  <c r="Y30" i="19"/>
  <c r="M20" i="19"/>
  <c r="AJ3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27" i="1"/>
  <c r="T19" i="19"/>
  <c r="AL49" i="19"/>
  <c r="T29" i="19"/>
  <c r="AF29" i="19"/>
  <c r="T18" i="19"/>
  <c r="N48" i="19"/>
  <c r="N8" i="19"/>
  <c r="T28" i="19"/>
  <c r="AF38" i="19"/>
  <c r="Z28" i="19"/>
  <c r="Z18" i="19"/>
  <c r="AF8" i="19"/>
  <c r="AJ21"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26" i="1"/>
  <c r="M9" i="19"/>
  <c r="Y29" i="19"/>
  <c r="AH51" i="1"/>
  <c r="AH52"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57" i="1"/>
  <c r="AH58" i="1"/>
  <c r="O8" i="19"/>
  <c r="AA48" i="19"/>
  <c r="AM38" i="19"/>
  <c r="U48" i="19"/>
  <c r="AA18" i="19"/>
  <c r="AG18" i="19"/>
  <c r="AG48" i="19"/>
  <c r="AM18" i="19"/>
  <c r="AA28" i="19"/>
  <c r="AG28" i="19"/>
  <c r="AA8" i="19"/>
  <c r="U18" i="19"/>
  <c r="AG38" i="19"/>
  <c r="U38" i="19"/>
  <c r="AM8" i="19"/>
  <c r="AA38" i="19"/>
  <c r="AM48" i="19"/>
  <c r="U28" i="19"/>
  <c r="O38" i="19"/>
  <c r="U8" i="19"/>
  <c r="AG8" i="19"/>
  <c r="AJ2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0"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63"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62"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58" i="1"/>
  <c r="AA14" i="19"/>
  <c r="O54" i="19"/>
  <c r="U44" i="19"/>
  <c r="U43" i="19"/>
  <c r="U13" i="19"/>
  <c r="AM53" i="19"/>
  <c r="AA53" i="19"/>
  <c r="AA43" i="19"/>
  <c r="O53" i="19"/>
  <c r="O23" i="19"/>
  <c r="O13" i="19"/>
  <c r="AG43" i="19"/>
  <c r="U33" i="19"/>
  <c r="U23" i="19"/>
  <c r="AM13" i="19"/>
  <c r="AM23" i="19"/>
  <c r="AG13" i="19"/>
  <c r="AA23" i="19"/>
  <c r="AG33" i="19"/>
  <c r="AA33" i="19"/>
  <c r="AM33" i="19"/>
  <c r="AA13" i="19"/>
  <c r="AJ5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57" i="1"/>
  <c r="AF53" i="19"/>
  <c r="T43" i="19"/>
  <c r="Z53" i="19"/>
  <c r="N43" i="19"/>
  <c r="T23" i="19"/>
  <c r="AF43" i="19"/>
  <c r="Z13" i="19"/>
  <c r="Z43" i="19"/>
  <c r="AF23" i="19"/>
  <c r="AL13" i="19"/>
  <c r="Z23" i="19"/>
  <c r="AL43" i="19"/>
  <c r="AF13" i="19"/>
  <c r="AL23" i="19"/>
  <c r="N13" i="19"/>
  <c r="T33" i="19"/>
  <c r="AL53" i="19"/>
  <c r="N23" i="19"/>
  <c r="N53" i="19"/>
  <c r="AF33" i="19"/>
  <c r="N33" i="19"/>
  <c r="AJ5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3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J3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<sst xmlns="http://schemas.openxmlformats.org/spreadsheetml/2006/main" count="879" uniqueCount="489">
  <si>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</si>
  <si>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</si>
  <si>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</si>
  <si>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</si>
  <si>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</si>
  <si>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</si>
  <si>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</si>
  <si>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</si>
  <si>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</si>
  <si>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</si>
  <si>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</si>
  <si>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</si>
  <si>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</si>
  <si>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</si>
  <si>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</si>
  <si>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</si>
  <si>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</si>
  <si>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</si>
  <si>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</si>
  <si>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</si>
  <si>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</si>
  <si>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</si>
  <si>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</si>
  <si>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</si>
  <si>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</si>
  <si>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</si>
  <si>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</si>
  <si>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</si>
  <si>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</si>
  <si>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</si>
  <si>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</si>
  <si>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</si>
  <si>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</si>
  <si>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</si>
  <si>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</si>
  <si>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</si>
  <si>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</si>
  <si>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</si>
  <si>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</si>
  <si>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</si>
  <si>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</si>
  <si>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</si>
  <si>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</si>
  <si>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</si>
  <si>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</si>
  <si>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</si>
  <si>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</si>
  <si>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</si>
  <si>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</si>
  <si>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</si>
  <si>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</si>
  <si>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</si>
  <si>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</si>
  <si>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</si>
  <si>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</si>
  <si>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</si>
  <si>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</si>
  <si>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</si>
  <si>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</si>
  <si>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</si>
  <si>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</si>
  <si>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</si>
  <si>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</si>
  <si>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</si>
  <si>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</si>
  <si>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</si>
  <si>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</si>
  <si>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</si>
  <si>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</si>
  <si>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</si>
  <si>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</si>
  <si>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</si>
  <si>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</si>
  <si>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</si>
  <si>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</si>
  <si>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</si>
  <si>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</si>
  <si>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</si>
  <si>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</si>
  <si>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</si>
  <si>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</si>
  <si>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</si>
  <si>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</si>
  <si>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</si>
  <si>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</si>
  <si>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</si>
  <si>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</si>
  <si>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</si>
  <si>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</si>
  <si>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</si>
  <si>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</si>
  <si>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</si>
  <si>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</si>
  <si>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</si>
  <si>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</si>
  <si>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</si>
  <si>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</si>
  <si>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</si>
  <si>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</si>
  <si>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</si>
  <si>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</si>
  <si>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</si>
  <si>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</si>
  <si>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</si>
  <si>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</si>
  <si>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</si>
  <si>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</si>
  <si>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</si>
  <si>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</si>
  <si>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</si>
  <si>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</si>
  <si>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</si>
  <si>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</si>
  <si>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</si>
  <si>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</si>
  <si>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</si>
  <si>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</si>
  <si>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</si>
  <si>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</si>
  <si>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</si>
  <si>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</si>
  <si>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</si>
  <si>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</si>
  <si>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</si>
  <si>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</si>
  <si>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</si>
  <si>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</si>
  <si>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</si>
  <si>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</si>
  <si>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</si>
  <si>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</si>
  <si>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</si>
  <si>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</si>
  <si>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</si>
  <si>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</si>
  <si>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</si>
  <si>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</si>
  <si>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</si>
  <si>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</si>
  <si>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</si>
  <si>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</si>
  <si>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</si>
  <si>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</si>
  <si>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</si>
  <si>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</si>
  <si>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</si>
  <si>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</si>
  <si>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</si>
  <si>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</si>
  <si>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</si>
  <si>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</si>
  <si>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</si>
  <si>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</si>
  <si>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</si>
  <si>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</si>
  <si>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</si>
  <si>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</si>
  <si>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</si>
  <si>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</si>
  <si>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</si>
  <si>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</si>
  <si>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</si>
  <si>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</si>
  <si>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</si>
  <si>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</si>
  <si>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</si>
  <si>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</si>
  <si>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</si>
  <si>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</si>
  <si>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</si>
  <si>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</si>
  <si>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</si>
  <si>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</si>
  <si>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</si>
  <si>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</si>
  <si>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</si>
  <si>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</si>
  <si>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</si>
  <si>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</si>
  <si>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</si>
  <si>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</si>
  <si>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</si>
  <si>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</si>
  <si>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</si>
  <si>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</si>
  <si>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</si>
  <si>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</si>
  <si>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</si>
  <si>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</si>
  <si>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</si>
  <si>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</si>
  <si>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</si>
  <si>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</si>
  <si>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</si>
  <si>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</si>
  <si>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</si>
  <si>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</si>
  <si>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</si>
  <si>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</si>
  <si>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</si>
  <si>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</si>
  <si>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</si>
  <si>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</si>
  <si>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</si>
  <si>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</si>
  <si>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</si>
  <si>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</si>
  <si>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</si>
  <si>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</si>
  <si>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</si>
  <si>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</si>
  <si>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</si>
  <si>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</si>
  <si>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</si>
  <si>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</si>
  <si>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</si>
  <si>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</si>
  <si>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</si>
  <si>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</si>
  <si>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</si>
  <si>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</si>
  <si>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</si>
  <si>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</si>
  <si>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</si>
  <si>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</si>
  <si>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</si>
  <si>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</si>
  <si>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</si>
  <si>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</si>
  <si>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</si>
  <si>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</si>
  <si>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</si>
  <si>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</si>
  <si>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</si>
  <si>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</si>
  <si>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</si>
  <si>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</si>
  <si>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</si>
  <si>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</si>
  <si>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</si>
  <si>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</si>
  <si>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</si>
  <si>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</si>
  <si>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</si>
  <si>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</si>
  <si>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</si>
  <si>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</si>
  <si>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</si>
  <si>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</si>
  <si>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</si>
  <si>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</si>
  <si>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</si>
  <si>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</si>
  <si>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</si>
  <si>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</si>
  <si>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</si>
  <si>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</si>
  <si>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</si>
  <si>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</si>
  <si>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</si>
  <si>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</si>
  <si>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</si>
  <si>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</si>
  <si>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</si>
  <si>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</si>
  <si>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</si>
  <si>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</si>
  <si>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</si>
  <si>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</si>
  <si>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</si>
  <si>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</si>
  <si>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</si>
  <si>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</si>
  <si>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</si>
  <si>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</si>
  <si>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</si>
  <si>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</si>
  <si>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</si>
  <si>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</si>
  <si>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</si>
  <si>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</si>
  <si>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</si>
  <si>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</si>
  <si>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</si>
  <si>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</si>
  <si>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</si>
  <si>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</si>
  <si>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</si>
  <si>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</si>
  <si>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</si>
  <si>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</si>
  <si>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</si>
  <si>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</si>
  <si>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</si>
  <si>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</si>
  <si>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</si>
  <si>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</si>
  <si>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</si>
  <si>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</si>
  <si>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</si>
  <si>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</si>
  <si>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</si>
  <si>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</si>
  <si>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</si>
  <si>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</si>
  <si>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</si>
  <si>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</si>
  <si>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</si>
  <si>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</si>
  <si>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</si>
  <si>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</si>
  <si>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</si>
  <si>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</si>
  <si>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</si>
  <si>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</si>
  <si>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</si>
  <si>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</si>
  <si>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</si>
  <si>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</si>
  <si>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</si>
  <si>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</si>
  <si>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</si>
  <si>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</si>
  <si>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</si>
  <si>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</si>
  <si>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</si>
  <si>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</si>
  <si>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</si>
  <si>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</si>
  <si>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</si>
  <si>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</si>
  <si>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</si>
  <si>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</si>
  <si>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</si>
  <si>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</si>
  <si>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</si>
  <si>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</si>
  <si>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</si>
  <si>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</si>
  <si>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</si>
  <si>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</si>
  <si>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</si>
  <si>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</si>
  <si>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</si>
  <si>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</si>
  <si>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</si>
  <si>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</si>
  <si>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</si>
  <si>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</si>
  <si>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</si>
  <si>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</si>
  <si>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</si>
  <si>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</si>
  <si>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</si>
  <si>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</si>
  <si>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</si>
  <si>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</si>
  <si>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</si>
  <si>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</si>
  <si>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</si>
  <si>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</si>
  <si>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</si>
  <si>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</si>
  <si>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</si>
  <si>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</si>
  <si>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</si>
  <si>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</si>
  <si>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</si>
  <si>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</si>
  <si>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</si>
  <si>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</si>
  <si>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</si>
  <si>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</si>
  <si>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</si>
  <si>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</si>
  <si>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</si>
  <si>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</si>
  <si>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</si>
  <si>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</si>
  <si>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</si>
  <si>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</si>
  <si>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</si>
  <si>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</si>
  <si>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</si>
  <si>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</si>
  <si>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</si>
  <si>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</si>
  <si>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</si>
  <si>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</si>
  <si>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</si>
  <si>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</si>
  <si>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</si>
  <si>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</si>
  <si>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</si>
  <si>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</si>
  <si>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</si>
  <si>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</si>
  <si>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</si>
  <si>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</si>
  <si>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</si>
  <si>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</si>
  <si>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</si>
  <si>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</si>
  <si>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</si>
  <si>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</si>
  <si>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</si>
  <si>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</si>
  <si>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</si>
  <si>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</si>
  <si>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</si>
  <si>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</si>
  <si>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</si>
  <si>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</si>
  <si>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</si>
  <si>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</si>
  <si>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</si>
  <si>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</si>
  <si>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</si>
  <si>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</si>
  <si>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</si>
  <si>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</si>
  <si>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</si>
  <si>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</si>
  <si>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</si>
  <si>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</si>
  <si>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</si>
  <si>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Representar, asesorar y prestar apoyo a la UAERMV de manera oportuna y eficaz en los asuntos de orden legal y todos aquellos procesos judiciales, tramites extrajudiciales y administrativos, que se deriven de actos, hechos, omisiones y operaciones administrativas propias de la misionalidad de la Unidad, tramitando las correspondientes acciones judiciales para la defensa de sus intereses y adicionalmente expidiendo conceptos y tramitando los procesos coactivos a que haya lugar, todo lo anterior enmarcado en el cumplimento de las normas legales vigentes.</t>
  </si>
  <si>
    <t xml:space="preserve"> Inicia con la formulación de las estrategia, planes y programas para la gestión jurídica de la entidad, continuando con el análisis jurídico del caso y finaliza con el concepto, acto administrativo, contestación, mandamiento o fallo debidamente ejecutoriado y/o el cumplimiento de la sentencia.</t>
  </si>
  <si>
    <t xml:space="preserve">Condenas por falta de control y seguimiento a los términos procesales </t>
  </si>
  <si>
    <t xml:space="preserve"> Establecer  metodologías  para el control y cumplimiento de la Defensa y Representación Judicial de la Entidad.</t>
  </si>
  <si>
    <t xml:space="preserve">Semanalmente durante toda la vigencia </t>
  </si>
  <si>
    <t>Solicitar investigación disciplinaria y remitir información al comité de conciliación</t>
  </si>
  <si>
    <t>Jefe Oficina Asesora Jurídica</t>
  </si>
  <si>
    <t>Inoportunidad en la radicación de la solicitud de pago a la Secretaría General
Demoras en la generación del pago</t>
  </si>
  <si>
    <t>Falta de comunicación interna o inoportuna respecto de actividades procesales
Falta de monitoreo sobre el cumplimiento de términos procesales</t>
  </si>
  <si>
    <t>Posibilidad de afectación reputacional y económica por condenas que se deriven de la  falta de control y seguimiento a los términos procesales, debido a la falta de comunicación interna o inoportuna respecto de actividades procesales, así como la falta de monitoreo permanente sobre el cumplimiento de dichos términos.</t>
  </si>
  <si>
    <t>Elaborar una lista de criterios básicos a tener en cuenta en el informe</t>
  </si>
  <si>
    <t>Profesional especilizado OAJ</t>
  </si>
  <si>
    <t>Listado de criterios para informe SIPROJ</t>
  </si>
  <si>
    <t>28 de febrero de 2023</t>
  </si>
  <si>
    <t>Programar reunión semanal en el calendario virtual de la OAJ</t>
  </si>
  <si>
    <t>Auxiliar administrativa OAJ</t>
  </si>
  <si>
    <t>Programación semanal</t>
  </si>
  <si>
    <t>Todas las semanas durante la vigencia</t>
  </si>
  <si>
    <t>El jefe de la OAJ o la persona que este designe revisará semanalmente, mediante reunión,  que los apoderados de la entidad tengan presentes los términos de los procesos a su cargo y verificará que éstos se estén cumpliendo conforme a lo establecido en la normatividad que corresponda. En caso de encontrar incumplimiento respecto de los términos procesales, se informará al/la Jefe de la OAJ por medio de correo electrónico para que requiera al abogado  y adelante las actuaciones a que haya lugar. Como evidencia se tiene el acta de reunión en la que se da cuenta sobre la revisión semanal de los términos procesales.</t>
  </si>
  <si>
    <t>El jefe de la OAJ o la persona que este designe revisará, cada vez que se requiera , las sentencias judiciales emitidas y verificará si en éstas se genera obligación de pago de dinero. Seguidamente, requerirá al apoderado encargado para que realice la solicitud de pago dentro del término legal (si hay lugar a ello). En caso de encontrar incumplimiento en la solicitudes de pago, se informará al/la Jede de la OAJ por medio de correo electrónico para que requiera al abogado  y adelante las actuaciones a que haya lugar. Como evidencia se tiene correo electrónico mensual con reporte sobre número de solicitudes de pago realizadas en el periodo y cumplimiento sobre el término legal para este trámite.</t>
  </si>
  <si>
    <t>El jefe de la OAJ o la persona que éste designe,  revisará mensualmente si la Secretaría General ha dado trámite a las solicitudes de pago de sentencias judiciales radicadas en el periodo, con base en la información de seguimiento que sea proporcionada por los apoderads de la UAERMV. En caso de encontrar incumplimiento en el trámite de las solicitudes de pago, se remitirá comunicación escrita a la Secretaría General para que informe las razones por las que no se ha tramitado el pago. Como evidencia se tiene correo electrónico mensual con reporte sobre el estado de trámite de pago de las solicitudes radicadas en el periodo.</t>
  </si>
  <si>
    <t xml:space="preserve">Inapropiado manejo de las piezas documentales  que hacen parte de los expedientes a cargo de la OAJ con el interés de favorecer a un tercero  </t>
  </si>
  <si>
    <t>Ausencia de control de las actuaciones procesales 
Ausencia de controles respecto de las piezas procesales y su inclusión en el expediente</t>
  </si>
  <si>
    <r>
      <t xml:space="preserve">
</t>
    </r>
    <r>
      <rPr>
        <b/>
        <sz val="12"/>
        <color theme="1"/>
        <rFont val="Arial"/>
        <family val="2"/>
      </rPr>
      <t>Posibilidad</t>
    </r>
    <r>
      <rPr>
        <sz val="12"/>
        <color theme="1"/>
        <rFont val="Arial"/>
        <family val="2"/>
      </rPr>
      <t xml:space="preserve"> de afectación Reputacional </t>
    </r>
    <r>
      <rPr>
        <b/>
        <sz val="12"/>
        <color theme="1"/>
        <rFont val="Arial"/>
        <family val="2"/>
      </rPr>
      <t>por</t>
    </r>
    <r>
      <rPr>
        <sz val="12"/>
        <color theme="1"/>
        <rFont val="Arial"/>
        <family val="2"/>
      </rPr>
      <t xml:space="preserve"> inapropiado manejo de las piezas documentales  que hacen parte de los expedientes a cargo de la OAJ con el interés de favorecer a un tercero,</t>
    </r>
    <r>
      <rPr>
        <b/>
        <sz val="12"/>
        <color theme="1"/>
        <rFont val="Arial"/>
        <family val="2"/>
      </rPr>
      <t xml:space="preserve"> lo cual se debe </t>
    </r>
    <r>
      <rPr>
        <sz val="12"/>
        <color theme="1"/>
        <rFont val="Arial"/>
        <family val="2"/>
      </rPr>
      <t>a la ausencia de controles respecto de las actuaciones procesales  y las piezas documentales que se derivan de estas</t>
    </r>
  </si>
  <si>
    <t>Base de datos con movimientos semanales por cada proceso activo</t>
  </si>
  <si>
    <t>Auxiliar Administrativa OAJ</t>
  </si>
  <si>
    <t xml:space="preserve">El profesional especializado de la OAJ revisará cuatrimestralmente el cumplimiento  de las actuaciones  procesales, a través de un informe de control y seguimiento, donde  se dará cuenta del monitoreo semanal a cada uno de los procesos judiciales en los que intervenga la UAERMV.  En caso de encontrar incumplimiento en las actuaciones procesales por parte de los apoderados, se informará al/la Jede de la OAJ por medio de correo electrónico, para que requiera al abogado  y adelante las actuaciones a que haya lugar. Como evidencia se tiene el informe cuatrimestral de monitoreo a los procesos </t>
  </si>
  <si>
    <t>Lista de chequeo sobre piezas procesales básicas o mínimas que deben estar contenidas en el SIPROJ WEB</t>
  </si>
  <si>
    <t>El profesional especializado de la OAJ, verificará cuatrimestralmente que los apoderados de la entidad tengan actualizado el Sistema de Información de Procesos Judiciales - SIPROJ WEB, respecto de la inclusión de piezas procesales, a través de un informe de control y seguimiento en el que se dará cuenta del estado de los procesos  y la actualización por parte de los apoderados.  
En caso de encontrar incumplimiento en el estado de actualización del SIPROJ WEB, se informará al/la Jefe de la OAJ por medio de correo electrónico para que requiera al abogado  y adelante las actuaciones a que haya lugar. Como evidencia se tiene el informe cuatrimestral de SIPROJ WEB.</t>
  </si>
  <si>
    <t>Jefe de OAJ o quien este designe</t>
  </si>
  <si>
    <t xml:space="preserve">Base de datos </t>
  </si>
  <si>
    <t>Lista de chequeo</t>
  </si>
  <si>
    <t>30 de abril de 2023</t>
  </si>
  <si>
    <t>X</t>
  </si>
  <si>
    <t>Pérdida de confidencialidad de las actas de comité de conciliación</t>
  </si>
  <si>
    <t>Acta de comité de conciliación</t>
  </si>
  <si>
    <t>Manipulación indebida de la información, debido a falta de controles en el proceso de elaboración, archivo y custodia de las actas</t>
  </si>
  <si>
    <t xml:space="preserve"> Incorporación de actuaciones
procesales y administrativas en el aplicativo SIPROJ </t>
  </si>
  <si>
    <t>Ausencia de controles en el proceso de elaboración e impresión en la sede adminsitrativa
Ausencia de controles en el proceso de archivo y custodia física</t>
  </si>
  <si>
    <t>Posibilidad de afectación Reputacional y económica por pérdida de confidencialidad de las actas de comité de conciliación, debido a falta de controles en el proceso de archivo y custodia física, asi como en el proceso de elaboración e impresión de éstas en la sede adminsitrativa</t>
  </si>
  <si>
    <t>Generación de intereses por no pago oportuno de sentencias judiciales y/o reclamaciones administrativas a las aseguradosras</t>
  </si>
  <si>
    <r>
      <t xml:space="preserve">El Secretario Técnico del Comité de Conciliación </t>
    </r>
    <r>
      <rPr>
        <b/>
        <sz val="12"/>
        <rFont val="Arial"/>
        <family val="2"/>
      </rPr>
      <t>verificará cuatrimestralmente</t>
    </r>
    <r>
      <rPr>
        <sz val="12"/>
        <rFont val="Arial"/>
        <family val="2"/>
      </rPr>
      <t xml:space="preserve"> que las actas se hayan generado en documento electrónico y que sean frimadas por este mismo medio. En caso de encontrar que las actas no están siendo generadas y firmadas electrónicamente, se informará al/la Jede de la OAJ por medio de correo electrónico, para que requiera a la persona encargada de esta actividad. </t>
    </r>
    <r>
      <rPr>
        <b/>
        <sz val="12"/>
        <rFont val="Arial"/>
        <family val="2"/>
      </rPr>
      <t xml:space="preserve">Como evidencia </t>
    </r>
    <r>
      <rPr>
        <sz val="12"/>
        <rFont val="Arial"/>
        <family val="2"/>
      </rPr>
      <t xml:space="preserve">se tiene  correo electrónico remitido a la jefe de la OAJ con reporte sobre las actas generadas y suscritas electronicamente en el periodo. </t>
    </r>
  </si>
  <si>
    <r>
      <t xml:space="preserve">El Secretario Técnico del Comité de Conciliación </t>
    </r>
    <r>
      <rPr>
        <b/>
        <sz val="12"/>
        <rFont val="Arial"/>
        <family val="2"/>
      </rPr>
      <t>revisará</t>
    </r>
    <r>
      <rPr>
        <sz val="12"/>
        <rFont val="Arial"/>
        <family val="2"/>
      </rPr>
      <t xml:space="preserve"> </t>
    </r>
    <r>
      <rPr>
        <b/>
        <sz val="12"/>
        <rFont val="Arial"/>
        <family val="2"/>
      </rPr>
      <t xml:space="preserve">cuatrimestralmente </t>
    </r>
    <r>
      <rPr>
        <sz val="12"/>
        <rFont val="Arial"/>
        <family val="2"/>
      </rPr>
      <t>que las actas de comité de conciliación elaboradas en el periodo, se encuentren debidamente archivadas en un expediente electrónico con acceso restringido.  En caso de encontrar que las actas no se encuentran debidamente archivadas, se informará al/la Jede de la OAJ por medio de correo electrónico, para que requiera a la persona encargada de dicha custodia.</t>
    </r>
    <r>
      <rPr>
        <b/>
        <sz val="12"/>
        <rFont val="Arial"/>
        <family val="2"/>
      </rPr>
      <t xml:space="preserve"> Como evidencia </t>
    </r>
    <r>
      <rPr>
        <sz val="12"/>
        <rFont val="Arial"/>
        <family val="2"/>
      </rPr>
      <t xml:space="preserve">se tiene correo electrónico remitido a la jefe de la OAJ con reporte sobre estado de archivo y custodia de las actas,  en el expedientes dispuetso para este fin. </t>
    </r>
  </si>
  <si>
    <t>Posibilidad de afectación económica por la generación de intereses debido al no pago oportuno de sentencias judiciales  y/o reclamaciones administrativas a las aseguradosras, debido a la inoportunidad en la radicación de la solicitud de pago ante la Secretaría General, así como a las demoras en la generación del pago.</t>
  </si>
  <si>
    <t xml:space="preserve">Deficiencias en el seguimiento a los términos procesales </t>
  </si>
  <si>
    <t>Fallas técnicas o complicación de acceso al SIPROJ</t>
  </si>
  <si>
    <t>Sanciones disciplinarias y/o condenas en contra de la entidad</t>
  </si>
  <si>
    <t>Demoras en los traslados proesupuestales necesarios para pago de sentencias judiciales, así como en la generación de CDP</t>
  </si>
  <si>
    <t>Entrega inoportuna de la sentencia por parte del despacho judicial</t>
  </si>
  <si>
    <t>Sanciones penales, disciplinarias, fiscales y patrimoniales</t>
  </si>
  <si>
    <t xml:space="preserve">Deficiencias en el seguimiento a los términos y piezas procesales </t>
  </si>
  <si>
    <t>Sanciones penales y disciplinarias</t>
  </si>
  <si>
    <t>Intereses de terceros en la obtención de información sobre la estrategia de defensa, pruebas, etc.</t>
  </si>
  <si>
    <t>Resolución 037 de 2020, artículos 3 , 17 y 19</t>
  </si>
  <si>
    <t>Intereses de terceros en la obtención de información tratada en las reuniones de Comité de Conciliación.</t>
  </si>
  <si>
    <t>Informar al comité de conciliación para que se tomen las acciones a que haya lugar</t>
  </si>
  <si>
    <t>Secretario Técnico Comité de Conciliación</t>
  </si>
  <si>
    <t>Memorando a la Secretaria General remitiendo el caso para la investigación a que haya lugar</t>
  </si>
  <si>
    <t>Solicitar el inicio de las investigaciones disciplinarias y/o penales a que haya lugar</t>
  </si>
  <si>
    <t xml:space="preserve">Oficio o memorando remisorio </t>
  </si>
  <si>
    <t>Solicitar el inicio de las investigaciones a que haya lugar</t>
  </si>
  <si>
    <t>El profesional especializado de la OAJ, verificará cuatrimestralmente que los apoderados de la entidad tengan actualizado el Sistema de Información de Procesos Judiciales - SIPROJ WEB, a través de un informe de control y seguimiento en el que se dará cuenta del estado de los procesos  y la actualización por parte de los apoderados.  
En caso de encontrar incumplimiento en el estado de actualización del SIPROJ WEB, se informará al/la Jede de la OAJ por medio de correo electrónico para que requiera al abogado  y adelante las actuaciones a que haya lugar. Como evidencia se tiene el reporte  de SIPROJ WEB sobre estado de actualización de píezas procesales.</t>
  </si>
  <si>
    <t>Deconocimiento del protocolo para la gestión de comités de concilaición y de la resolución 302 de 2022 de la UAERMV.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</si>
</sst>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2"/>
      <color rgb="FF000000"/>
      <name val="Arial"/>
      <family val="2"/>
    </font>
    <font>
      <b/>
      <sz val="12"/>
      <color theme="1"/>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3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hair">
        <color theme="6" tint="-0.499984740745262"/>
      </right>
      <top style="medium">
        <color theme="6" tint="-0.499984740745262"/>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hair">
        <color theme="6" tint="-0.499984740745262"/>
      </right>
      <top/>
      <bottom style="medium">
        <color theme="6" tint="-0.499984740745262"/>
      </bottom>
      <diagonal/>
    </border>
    <border>
      <left style="hair">
        <color theme="6" tint="-0.499984740745262"/>
      </left>
      <right/>
      <top style="medium">
        <color theme="6" tint="-0.499984740745262"/>
      </top>
      <bottom style="hair">
        <color theme="6" tint="-0.499984740745262"/>
      </bottom>
      <diagonal/>
    </border>
    <border>
      <left/>
      <right/>
      <top style="medium">
        <color theme="6" tint="-0.499984740745262"/>
      </top>
      <bottom style="hair">
        <color theme="6" tint="-0.499984740745262"/>
      </bottom>
      <diagonal/>
    </border>
    <border>
      <left style="medium">
        <color theme="6" tint="-0.499984740745262"/>
      </left>
      <right/>
      <top style="medium">
        <color theme="6" tint="-0.499984740745262"/>
      </top>
      <bottom style="hair">
        <color theme="6" tint="-0.499984740745262"/>
      </bottom>
      <diagonal/>
    </border>
    <border>
      <left/>
      <right/>
      <top style="hair">
        <color theme="6" tint="-0.499984740745262"/>
      </top>
      <bottom style="medium">
        <color theme="6" tint="-0.499984740745262"/>
      </bottom>
      <diagonal/>
    </border>
    <border>
      <left style="medium">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9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15" xfId="0" applyFont="1" applyFill="1" applyBorder="1" applyAlignment="1" applyProtection="1">
      <alignment horizontal="center" vertical="center" wrapText="1"/>
      <protection hidden="1"/>
    </xf>
    <xf numFmtId="0" fontId="87" fillId="28" borderId="116" xfId="0" applyFont="1" applyFill="1" applyBorder="1" applyAlignment="1" applyProtection="1">
      <alignment horizontal="center" vertical="center" wrapText="1"/>
      <protection hidden="1"/>
    </xf>
    <xf numFmtId="0" fontId="87" fillId="28" borderId="117"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125" xfId="0" applyFont="1" applyBorder="1" applyAlignment="1">
      <alignment vertical="center"/>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79" fillId="0" borderId="130" xfId="0" applyFont="1" applyBorder="1" applyAlignment="1">
      <alignment vertical="center"/>
    </xf>
    <xf numFmtId="0" fontId="89" fillId="0" borderId="118" xfId="0" applyFont="1" applyBorder="1" applyAlignment="1">
      <alignment vertical="center"/>
    </xf>
    <xf numFmtId="0" fontId="80" fillId="3" borderId="0" xfId="0" applyFont="1" applyFill="1" applyAlignment="1" applyProtection="1">
      <alignment vertical="center"/>
      <protection locked="0"/>
    </xf>
    <xf numFmtId="14" fontId="80" fillId="0" borderId="90" xfId="0" applyNumberFormat="1" applyFont="1" applyBorder="1" applyAlignment="1" applyProtection="1">
      <alignment horizontal="center" vertical="center"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18" xfId="0" applyFont="1" applyFill="1" applyBorder="1" applyAlignment="1">
      <alignment horizontal="center" vertical="center" wrapText="1"/>
    </xf>
    <xf numFmtId="0" fontId="81" fillId="21" borderId="94" xfId="0" applyFont="1" applyFill="1" applyBorder="1" applyAlignment="1">
      <alignment horizontal="center" vertical="center" wrapText="1"/>
    </xf>
    <xf numFmtId="0" fontId="81" fillId="16" borderId="112" xfId="0" applyFont="1" applyFill="1" applyBorder="1" applyAlignment="1">
      <alignment horizontal="center" vertical="center"/>
    </xf>
    <xf numFmtId="0" fontId="81" fillId="16" borderId="113" xfId="0" applyFont="1" applyFill="1" applyBorder="1" applyAlignment="1">
      <alignment horizontal="center" vertical="center"/>
    </xf>
    <xf numFmtId="0" fontId="81" fillId="16" borderId="114" xfId="0" applyFont="1" applyFill="1" applyBorder="1" applyAlignment="1">
      <alignment horizontal="center" vertical="center"/>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16" borderId="90" xfId="0" applyFont="1" applyFill="1" applyBorder="1" applyAlignment="1">
      <alignment horizontal="center" vertical="center" textRotation="90" wrapText="1"/>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horizontal="center" vertical="center"/>
    </xf>
    <xf numFmtId="0" fontId="80" fillId="0" borderId="90" xfId="0" applyFont="1" applyBorder="1" applyAlignment="1" applyProtection="1">
      <alignment horizontal="center" vertical="center"/>
      <protection locked="0"/>
    </xf>
    <xf numFmtId="0" fontId="81" fillId="29" borderId="112" xfId="0" applyFont="1" applyFill="1" applyBorder="1" applyAlignment="1">
      <alignment horizontal="center" vertical="center"/>
    </xf>
    <xf numFmtId="0" fontId="81" fillId="29" borderId="113" xfId="0" applyFont="1" applyFill="1" applyBorder="1" applyAlignment="1">
      <alignment horizontal="center" vertical="center"/>
    </xf>
    <xf numFmtId="0" fontId="81" fillId="29" borderId="114" xfId="0" applyFont="1" applyFill="1" applyBorder="1" applyAlignment="1">
      <alignment horizontal="center" vertical="center"/>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1" fillId="16" borderId="112" xfId="0" applyFont="1" applyFill="1" applyBorder="1" applyAlignment="1">
      <alignment horizontal="center" vertical="center" wrapText="1"/>
    </xf>
    <xf numFmtId="0" fontId="81" fillId="16" borderId="113" xfId="0" applyFont="1" applyFill="1" applyBorder="1" applyAlignment="1">
      <alignment horizontal="center" vertical="center" wrapText="1"/>
    </xf>
    <xf numFmtId="0" fontId="81" fillId="16" borderId="114" xfId="0" applyFont="1" applyFill="1" applyBorder="1" applyAlignment="1">
      <alignment horizontal="center" vertical="center" wrapText="1"/>
    </xf>
    <xf numFmtId="0" fontId="81" fillId="16" borderId="90" xfId="0" applyFont="1" applyFill="1" applyBorder="1" applyAlignment="1">
      <alignment horizontal="center" vertical="center"/>
    </xf>
    <xf numFmtId="0" fontId="81" fillId="0" borderId="90" xfId="0" applyFont="1" applyBorder="1" applyAlignment="1">
      <alignment horizontal="center" vertical="center"/>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91"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6" xfId="0" applyFont="1" applyFill="1" applyBorder="1" applyAlignment="1">
      <alignment horizontal="left" vertical="center"/>
    </xf>
    <xf numFmtId="0" fontId="81" fillId="21" borderId="107" xfId="0" applyFont="1" applyFill="1" applyBorder="1" applyAlignment="1">
      <alignment horizontal="left" vertical="center"/>
    </xf>
    <xf numFmtId="0" fontId="81" fillId="21" borderId="108" xfId="0" applyFont="1" applyFill="1" applyBorder="1" applyAlignment="1">
      <alignment horizontal="left" vertical="center"/>
    </xf>
    <xf numFmtId="0" fontId="81" fillId="21" borderId="109" xfId="0" applyFont="1" applyFill="1" applyBorder="1" applyAlignment="1">
      <alignment horizontal="left" vertical="center"/>
    </xf>
    <xf numFmtId="0" fontId="81" fillId="21" borderId="110" xfId="0" applyFont="1" applyFill="1" applyBorder="1" applyAlignment="1">
      <alignment horizontal="left" vertical="center"/>
    </xf>
    <xf numFmtId="0" fontId="81" fillId="21" borderId="111" xfId="0" applyFont="1" applyFill="1" applyBorder="1" applyAlignment="1">
      <alignment horizontal="left" vertical="center"/>
    </xf>
    <xf numFmtId="0" fontId="81" fillId="3" borderId="0" xfId="0" applyFont="1" applyFill="1" applyAlignment="1">
      <alignment horizontal="left" vertical="center"/>
    </xf>
    <xf numFmtId="0" fontId="80" fillId="0" borderId="24" xfId="0" applyFont="1" applyBorder="1" applyAlignment="1" applyProtection="1">
      <alignment horizontal="left" vertical="center"/>
      <protection locked="0"/>
    </xf>
    <xf numFmtId="0" fontId="80" fillId="0" borderId="25" xfId="0" applyFont="1" applyBorder="1" applyAlignment="1" applyProtection="1">
      <alignment horizontal="left" vertical="center"/>
      <protection locked="0"/>
    </xf>
    <xf numFmtId="0" fontId="80" fillId="0" borderId="36" xfId="0" applyFont="1" applyBorder="1" applyAlignment="1" applyProtection="1">
      <alignment horizontal="left" vertical="center"/>
      <protection locked="0"/>
    </xf>
    <xf numFmtId="0" fontId="80" fillId="3" borderId="24" xfId="0" applyFont="1" applyFill="1" applyBorder="1" applyAlignment="1" applyProtection="1">
      <alignment horizontal="left" vertical="center" wrapText="1"/>
      <protection locked="0"/>
    </xf>
    <xf numFmtId="0" fontId="80" fillId="3" borderId="25" xfId="0" applyFont="1" applyFill="1" applyBorder="1" applyAlignment="1" applyProtection="1">
      <alignment horizontal="left" vertical="center" wrapText="1"/>
      <protection locked="0"/>
    </xf>
    <xf numFmtId="0" fontId="80" fillId="3" borderId="36" xfId="0" applyFont="1" applyFill="1" applyBorder="1" applyAlignment="1" applyProtection="1">
      <alignment horizontal="left" vertical="center" wrapText="1"/>
      <protection locked="0"/>
    </xf>
    <xf numFmtId="0" fontId="81" fillId="27" borderId="112" xfId="0" applyFont="1" applyFill="1" applyBorder="1" applyAlignment="1">
      <alignment horizontal="center" vertical="center"/>
    </xf>
    <xf numFmtId="0" fontId="81" fillId="27" borderId="113" xfId="0" applyFont="1" applyFill="1" applyBorder="1" applyAlignment="1">
      <alignment horizontal="center" vertical="center"/>
    </xf>
    <xf numFmtId="0" fontId="81" fillId="27" borderId="114" xfId="0" applyFont="1" applyFill="1" applyBorder="1" applyAlignment="1">
      <alignment horizontal="center" vertical="center"/>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5" fillId="0" borderId="95" xfId="0" applyFont="1" applyBorder="1" applyAlignment="1">
      <alignment horizontal="center" vertical="center"/>
    </xf>
    <xf numFmtId="0" fontId="85" fillId="0" borderId="96" xfId="0" applyFont="1" applyBorder="1" applyAlignment="1">
      <alignment horizontal="center" vertical="center"/>
    </xf>
    <xf numFmtId="0" fontId="85" fillId="0" borderId="125" xfId="0" applyFont="1" applyBorder="1" applyAlignment="1">
      <alignment horizontal="center" vertical="center"/>
    </xf>
    <xf numFmtId="0" fontId="85" fillId="0" borderId="98" xfId="0" applyFont="1" applyBorder="1" applyAlignment="1">
      <alignment horizontal="center" vertical="center"/>
    </xf>
    <xf numFmtId="0" fontId="85" fillId="0" borderId="90" xfId="0" applyFont="1" applyBorder="1" applyAlignment="1">
      <alignment horizontal="center" vertical="center"/>
    </xf>
    <xf numFmtId="0" fontId="85" fillId="0" borderId="131" xfId="0" applyFont="1" applyBorder="1" applyAlignment="1">
      <alignment horizontal="center" vertical="center"/>
    </xf>
    <xf numFmtId="0" fontId="85" fillId="0" borderId="100" xfId="0" applyFont="1" applyBorder="1" applyAlignment="1">
      <alignment horizontal="center" vertical="center"/>
    </xf>
    <xf numFmtId="0" fontId="85" fillId="0" borderId="101" xfId="0" applyFont="1" applyBorder="1" applyAlignment="1">
      <alignment horizontal="center" vertical="center"/>
    </xf>
    <xf numFmtId="0" fontId="85" fillId="0" borderId="130"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6" fillId="0" borderId="91" xfId="0" applyFont="1" applyBorder="1" applyAlignment="1" applyProtection="1">
      <alignment horizontal="center" vertical="center" wrapText="1"/>
      <protection locked="0"/>
    </xf>
    <xf numFmtId="0" fontId="86" fillId="0" borderId="103" xfId="0" applyFont="1" applyBorder="1" applyAlignment="1" applyProtection="1">
      <alignment horizontal="center" vertical="center" wrapText="1"/>
      <protection locked="0"/>
    </xf>
    <xf numFmtId="0" fontId="85" fillId="0" borderId="97" xfId="0" applyFont="1" applyBorder="1" applyAlignment="1">
      <alignment horizontal="center" vertical="center"/>
    </xf>
    <xf numFmtId="0" fontId="85" fillId="0" borderId="99" xfId="0" applyFont="1" applyBorder="1" applyAlignment="1">
      <alignment horizontal="center" vertical="center"/>
    </xf>
    <xf numFmtId="0" fontId="85" fillId="0" borderId="102" xfId="0" applyFont="1" applyBorder="1" applyAlignment="1">
      <alignment horizontal="center" vertical="center"/>
    </xf>
    <xf numFmtId="0" fontId="79" fillId="0" borderId="119" xfId="0" applyFont="1" applyBorder="1" applyAlignment="1">
      <alignment horizontal="center" vertical="center"/>
    </xf>
    <xf numFmtId="0" fontId="79" fillId="0" borderId="120" xfId="0" applyFont="1" applyBorder="1" applyAlignment="1">
      <alignment horizontal="center" vertical="center"/>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79" fillId="0" borderId="123" xfId="0" applyFont="1" applyBorder="1" applyAlignment="1">
      <alignment horizontal="center" vertical="center"/>
    </xf>
    <xf numFmtId="0" fontId="79" fillId="0" borderId="124" xfId="0" applyFont="1" applyBorder="1" applyAlignment="1">
      <alignment horizontal="center" vertical="center"/>
    </xf>
    <xf numFmtId="0" fontId="79" fillId="0" borderId="127" xfId="0" applyFont="1" applyBorder="1" applyAlignment="1">
      <alignment horizontal="left" vertical="center"/>
    </xf>
    <xf numFmtId="0" fontId="79" fillId="0" borderId="126" xfId="0" applyFont="1" applyBorder="1" applyAlignment="1">
      <alignment horizontal="left" vertical="center"/>
    </xf>
    <xf numFmtId="0" fontId="79" fillId="0" borderId="104" xfId="0" applyFont="1" applyBorder="1" applyAlignment="1">
      <alignment horizontal="left" vertical="center"/>
    </xf>
    <xf numFmtId="0" fontId="79" fillId="0" borderId="125" xfId="0" applyFont="1" applyBorder="1" applyAlignment="1">
      <alignment horizontal="left" vertical="center"/>
    </xf>
    <xf numFmtId="0" fontId="79" fillId="0" borderId="129" xfId="0" applyFont="1" applyBorder="1" applyAlignment="1">
      <alignment horizontal="left" vertical="center"/>
    </xf>
    <xf numFmtId="0" fontId="79" fillId="0" borderId="128" xfId="0" applyFont="1" applyBorder="1" applyAlignment="1">
      <alignment horizontal="left" vertical="center"/>
    </xf>
    <xf numFmtId="0" fontId="79" fillId="0" borderId="105" xfId="0" applyFont="1" applyBorder="1" applyAlignment="1">
      <alignment horizontal="left" vertical="center"/>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0" fillId="3" borderId="105" xfId="0" applyFont="1" applyFill="1" applyBorder="1" applyAlignment="1" applyProtection="1">
      <alignment horizontal="left" vertical="center" wrapText="1"/>
      <protection locked="0"/>
    </xf>
    <xf numFmtId="0" fontId="80" fillId="3" borderId="101" xfId="0" applyFont="1" applyFill="1" applyBorder="1" applyAlignment="1" applyProtection="1">
      <alignment horizontal="left" vertical="center" wrapText="1"/>
      <protection locked="0"/>
    </xf>
    <xf numFmtId="0" fontId="80" fillId="3" borderId="130" xfId="0" applyFont="1" applyFill="1" applyBorder="1" applyAlignment="1" applyProtection="1">
      <alignment horizontal="left" vertical="center" wrapText="1"/>
      <protection locked="0"/>
    </xf>
    <xf numFmtId="0" fontId="81" fillId="21" borderId="112" xfId="0" applyFont="1" applyFill="1" applyBorder="1" applyAlignment="1">
      <alignment horizontal="center" vertical="center" wrapText="1"/>
    </xf>
    <xf numFmtId="0" fontId="81" fillId="21" borderId="114" xfId="0" applyFont="1" applyFill="1" applyBorder="1" applyAlignment="1">
      <alignment horizontal="center" vertical="center" wrapText="1"/>
    </xf>
    <xf numFmtId="0" fontId="80" fillId="3" borderId="104" xfId="0" applyFont="1" applyFill="1" applyBorder="1" applyAlignment="1" applyProtection="1">
      <alignment horizontal="left" vertical="center"/>
      <protection locked="0"/>
    </xf>
    <xf numFmtId="0" fontId="80" fillId="3" borderId="96" xfId="0" applyFont="1" applyFill="1" applyBorder="1" applyAlignment="1" applyProtection="1">
      <alignment horizontal="left" vertical="center"/>
      <protection locked="0"/>
    </xf>
    <xf numFmtId="0" fontId="80" fillId="3" borderId="125" xfId="0" applyFont="1" applyFill="1" applyBorder="1" applyAlignment="1" applyProtection="1">
      <alignment horizontal="left" vertical="center"/>
      <protection locked="0"/>
    </xf>
    <xf numFmtId="0" fontId="80" fillId="3" borderId="93" xfId="0" applyFont="1" applyFill="1" applyBorder="1" applyAlignment="1" applyProtection="1">
      <alignment horizontal="left" vertical="center" wrapText="1"/>
      <protection locked="0"/>
    </xf>
    <xf numFmtId="0" fontId="80" fillId="3" borderId="90" xfId="0" applyFont="1" applyFill="1" applyBorder="1" applyAlignment="1" applyProtection="1">
      <alignment horizontal="left" vertical="center" wrapText="1"/>
      <protection locked="0"/>
    </xf>
    <xf numFmtId="0" fontId="80" fillId="3" borderId="131" xfId="0" applyFont="1" applyFill="1" applyBorder="1" applyAlignment="1" applyProtection="1">
      <alignment horizontal="left" vertical="center" wrapText="1"/>
      <protection locked="0"/>
    </xf>
    <xf numFmtId="0" fontId="79" fillId="0" borderId="104" xfId="0" applyFont="1" applyBorder="1" applyAlignment="1">
      <alignment horizontal="center" vertical="center"/>
    </xf>
    <xf numFmtId="0" fontId="79" fillId="0" borderId="96" xfId="0" applyFont="1" applyBorder="1" applyAlignment="1">
      <alignment horizontal="center" vertical="center"/>
    </xf>
    <xf numFmtId="0" fontId="79" fillId="0" borderId="125" xfId="0" applyFont="1" applyBorder="1" applyAlignment="1">
      <alignment horizontal="center" vertical="center"/>
    </xf>
    <xf numFmtId="0" fontId="79" fillId="0" borderId="105" xfId="0" applyFont="1" applyBorder="1" applyAlignment="1">
      <alignment horizontal="center" vertical="center"/>
    </xf>
    <xf numFmtId="0" fontId="79" fillId="0" borderId="101" xfId="0" applyFont="1" applyBorder="1" applyAlignment="1">
      <alignment horizontal="center" vertical="center"/>
    </xf>
    <xf numFmtId="0" fontId="79" fillId="0" borderId="130" xfId="0" applyFont="1" applyBorder="1" applyAlignment="1">
      <alignment horizontal="center" vertical="center"/>
    </xf>
    <xf numFmtId="0" fontId="79" fillId="0" borderId="94" xfId="0" applyFont="1" applyBorder="1" applyAlignment="1">
      <alignment horizontal="left" vertical="center"/>
    </xf>
    <xf numFmtId="0" fontId="79" fillId="0" borderId="103" xfId="0" applyFont="1" applyBorder="1" applyAlignment="1">
      <alignment horizontal="left" vertical="center"/>
    </xf>
    <xf numFmtId="0" fontId="79" fillId="0" borderId="118" xfId="0" applyFont="1" applyBorder="1" applyAlignment="1">
      <alignment horizontal="left" vertical="center"/>
    </xf>
    <xf numFmtId="0" fontId="79" fillId="0" borderId="101" xfId="0" applyFont="1" applyBorder="1" applyAlignment="1">
      <alignment horizontal="left" vertical="center"/>
    </xf>
    <xf numFmtId="0" fontId="79" fillId="0" borderId="130" xfId="0" applyFont="1" applyBorder="1" applyAlignment="1">
      <alignment horizontal="left" vertical="center"/>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133350</xdr:rowOff>
    </xdr:from>
    <xdr:ext cx="1403803" cy="105863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403803" cy="105863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19" zoomScale="110" zoomScaleNormal="110" workbookViewId="0">
      <selection activeCell="E27" sqref="E27:F27"/>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2" t="s">
        <v>0</v>
      </c>
      <c r="C2" s="263"/>
      <c r="D2" s="263"/>
      <c r="E2" s="263"/>
      <c r="F2" s="263"/>
      <c r="G2" s="263"/>
      <c r="H2" s="264"/>
    </row>
    <row r="3" spans="2:8" x14ac:dyDescent="0.25">
      <c r="B3" s="67"/>
      <c r="C3" s="68"/>
      <c r="D3" s="68"/>
      <c r="E3" s="68"/>
      <c r="F3" s="68"/>
      <c r="G3" s="68"/>
      <c r="H3" s="69"/>
    </row>
    <row r="4" spans="2:8" ht="63" customHeight="1" x14ac:dyDescent="0.25">
      <c r="B4" s="265" t="s">
        <v>1</v>
      </c>
      <c r="C4" s="266"/>
      <c r="D4" s="266"/>
      <c r="E4" s="266"/>
      <c r="F4" s="266"/>
      <c r="G4" s="266"/>
      <c r="H4" s="267"/>
    </row>
    <row r="5" spans="2:8" ht="63" customHeight="1" x14ac:dyDescent="0.25">
      <c r="B5" s="268"/>
      <c r="C5" s="269"/>
      <c r="D5" s="269"/>
      <c r="E5" s="269"/>
      <c r="F5" s="269"/>
      <c r="G5" s="269"/>
      <c r="H5" s="270"/>
    </row>
    <row r="6" spans="2:8" ht="16.5" x14ac:dyDescent="0.25">
      <c r="B6" s="271" t="s">
        <v>2</v>
      </c>
      <c r="C6" s="272"/>
      <c r="D6" s="272"/>
      <c r="E6" s="272"/>
      <c r="F6" s="272"/>
      <c r="G6" s="272"/>
      <c r="H6" s="273"/>
    </row>
    <row r="7" spans="2:8" ht="95.25" customHeight="1" x14ac:dyDescent="0.25">
      <c r="B7" s="281" t="s">
        <v>3</v>
      </c>
      <c r="C7" s="282"/>
      <c r="D7" s="282"/>
      <c r="E7" s="282"/>
      <c r="F7" s="282"/>
      <c r="G7" s="282"/>
      <c r="H7" s="283"/>
    </row>
    <row r="8" spans="2:8" ht="16.5" x14ac:dyDescent="0.25">
      <c r="B8" s="101"/>
      <c r="C8" s="102"/>
      <c r="D8" s="102"/>
      <c r="E8" s="102"/>
      <c r="F8" s="102"/>
      <c r="G8" s="102"/>
      <c r="H8" s="103"/>
    </row>
    <row r="9" spans="2:8" ht="16.5" customHeight="1" x14ac:dyDescent="0.25">
      <c r="B9" s="274" t="s">
        <v>4</v>
      </c>
      <c r="C9" s="275"/>
      <c r="D9" s="275"/>
      <c r="E9" s="275"/>
      <c r="F9" s="275"/>
      <c r="G9" s="275"/>
      <c r="H9" s="276"/>
    </row>
    <row r="10" spans="2:8" ht="44.25" customHeight="1" x14ac:dyDescent="0.25">
      <c r="B10" s="274"/>
      <c r="C10" s="275"/>
      <c r="D10" s="275"/>
      <c r="E10" s="275"/>
      <c r="F10" s="275"/>
      <c r="G10" s="275"/>
      <c r="H10" s="276"/>
    </row>
    <row r="11" spans="2:8" ht="15.75" thickBot="1" x14ac:dyDescent="0.3">
      <c r="B11" s="90"/>
      <c r="C11" s="93"/>
      <c r="D11" s="98"/>
      <c r="E11" s="99"/>
      <c r="F11" s="99"/>
      <c r="G11" s="100"/>
      <c r="H11" s="94"/>
    </row>
    <row r="12" spans="2:8" ht="15.75" thickTop="1" x14ac:dyDescent="0.25">
      <c r="B12" s="90"/>
      <c r="C12" s="277" t="s">
        <v>5</v>
      </c>
      <c r="D12" s="278"/>
      <c r="E12" s="279" t="s">
        <v>6</v>
      </c>
      <c r="F12" s="280"/>
      <c r="G12" s="93"/>
      <c r="H12" s="94"/>
    </row>
    <row r="13" spans="2:8" ht="35.25" customHeight="1" x14ac:dyDescent="0.25">
      <c r="B13" s="90"/>
      <c r="C13" s="284" t="s">
        <v>7</v>
      </c>
      <c r="D13" s="285"/>
      <c r="E13" s="286" t="s">
        <v>8</v>
      </c>
      <c r="F13" s="287"/>
      <c r="G13" s="93"/>
      <c r="H13" s="94"/>
    </row>
    <row r="14" spans="2:8" ht="17.25" customHeight="1" x14ac:dyDescent="0.25">
      <c r="B14" s="90"/>
      <c r="C14" s="284" t="s">
        <v>9</v>
      </c>
      <c r="D14" s="285"/>
      <c r="E14" s="286" t="s">
        <v>10</v>
      </c>
      <c r="F14" s="287"/>
      <c r="G14" s="93"/>
      <c r="H14" s="94"/>
    </row>
    <row r="15" spans="2:8" ht="19.5" customHeight="1" x14ac:dyDescent="0.25">
      <c r="B15" s="90"/>
      <c r="C15" s="284" t="s">
        <v>11</v>
      </c>
      <c r="D15" s="285"/>
      <c r="E15" s="286" t="s">
        <v>12</v>
      </c>
      <c r="F15" s="287"/>
      <c r="G15" s="93"/>
      <c r="H15" s="94"/>
    </row>
    <row r="16" spans="2:8" ht="69.75" customHeight="1" x14ac:dyDescent="0.25">
      <c r="B16" s="90"/>
      <c r="C16" s="284" t="s">
        <v>13</v>
      </c>
      <c r="D16" s="285"/>
      <c r="E16" s="286" t="s">
        <v>14</v>
      </c>
      <c r="F16" s="287"/>
      <c r="G16" s="93"/>
      <c r="H16" s="94"/>
    </row>
    <row r="17" spans="2:8" ht="34.5" customHeight="1" x14ac:dyDescent="0.25">
      <c r="B17" s="90"/>
      <c r="C17" s="288" t="s">
        <v>15</v>
      </c>
      <c r="D17" s="289"/>
      <c r="E17" s="290" t="s">
        <v>16</v>
      </c>
      <c r="F17" s="291"/>
      <c r="G17" s="93"/>
      <c r="H17" s="94"/>
    </row>
    <row r="18" spans="2:8" ht="27.75" customHeight="1" x14ac:dyDescent="0.25">
      <c r="B18" s="90"/>
      <c r="C18" s="288" t="s">
        <v>17</v>
      </c>
      <c r="D18" s="289"/>
      <c r="E18" s="290" t="s">
        <v>18</v>
      </c>
      <c r="F18" s="291"/>
      <c r="G18" s="93"/>
      <c r="H18" s="94"/>
    </row>
    <row r="19" spans="2:8" ht="28.5" customHeight="1" x14ac:dyDescent="0.25">
      <c r="B19" s="90"/>
      <c r="C19" s="288" t="s">
        <v>19</v>
      </c>
      <c r="D19" s="289"/>
      <c r="E19" s="290" t="s">
        <v>20</v>
      </c>
      <c r="F19" s="291"/>
      <c r="G19" s="93"/>
      <c r="H19" s="94"/>
    </row>
    <row r="20" spans="2:8" ht="72.75" customHeight="1" x14ac:dyDescent="0.25">
      <c r="B20" s="90"/>
      <c r="C20" s="288" t="s">
        <v>21</v>
      </c>
      <c r="D20" s="289"/>
      <c r="E20" s="290" t="s">
        <v>22</v>
      </c>
      <c r="F20" s="291"/>
      <c r="G20" s="93"/>
      <c r="H20" s="94"/>
    </row>
    <row r="21" spans="2:8" ht="64.5" customHeight="1" x14ac:dyDescent="0.25">
      <c r="B21" s="90"/>
      <c r="C21" s="288" t="s">
        <v>23</v>
      </c>
      <c r="D21" s="289"/>
      <c r="E21" s="290" t="s">
        <v>24</v>
      </c>
      <c r="F21" s="291"/>
      <c r="G21" s="93"/>
      <c r="H21" s="94"/>
    </row>
    <row r="22" spans="2:8" ht="71.25" customHeight="1" x14ac:dyDescent="0.25">
      <c r="B22" s="90"/>
      <c r="C22" s="288" t="s">
        <v>25</v>
      </c>
      <c r="D22" s="289"/>
      <c r="E22" s="290" t="s">
        <v>26</v>
      </c>
      <c r="F22" s="291"/>
      <c r="G22" s="93"/>
      <c r="H22" s="94"/>
    </row>
    <row r="23" spans="2:8" ht="55.5" customHeight="1" x14ac:dyDescent="0.25">
      <c r="B23" s="90"/>
      <c r="C23" s="295" t="s">
        <v>27</v>
      </c>
      <c r="D23" s="296"/>
      <c r="E23" s="290" t="s">
        <v>28</v>
      </c>
      <c r="F23" s="291"/>
      <c r="G23" s="93"/>
      <c r="H23" s="94"/>
    </row>
    <row r="24" spans="2:8" ht="42" customHeight="1" x14ac:dyDescent="0.25">
      <c r="B24" s="90"/>
      <c r="C24" s="295" t="s">
        <v>29</v>
      </c>
      <c r="D24" s="296"/>
      <c r="E24" s="290" t="s">
        <v>30</v>
      </c>
      <c r="F24" s="291"/>
      <c r="G24" s="93"/>
      <c r="H24" s="94"/>
    </row>
    <row r="25" spans="2:8" ht="59.25" customHeight="1" x14ac:dyDescent="0.25">
      <c r="B25" s="90"/>
      <c r="C25" s="295" t="s">
        <v>31</v>
      </c>
      <c r="D25" s="296"/>
      <c r="E25" s="290" t="s">
        <v>32</v>
      </c>
      <c r="F25" s="291"/>
      <c r="G25" s="93"/>
      <c r="H25" s="94"/>
    </row>
    <row r="26" spans="2:8" ht="23.25" customHeight="1" x14ac:dyDescent="0.25">
      <c r="B26" s="90"/>
      <c r="C26" s="295" t="s">
        <v>33</v>
      </c>
      <c r="D26" s="296"/>
      <c r="E26" s="290" t="s">
        <v>34</v>
      </c>
      <c r="F26" s="291"/>
      <c r="G26" s="93"/>
      <c r="H26" s="94"/>
    </row>
    <row r="27" spans="2:8" ht="30.75" customHeight="1" x14ac:dyDescent="0.25">
      <c r="B27" s="90"/>
      <c r="C27" s="295" t="s">
        <v>35</v>
      </c>
      <c r="D27" s="296"/>
      <c r="E27" s="290" t="s">
        <v>36</v>
      </c>
      <c r="F27" s="291"/>
      <c r="G27" s="93"/>
      <c r="H27" s="94"/>
    </row>
    <row r="28" spans="2:8" ht="35.25" customHeight="1" x14ac:dyDescent="0.25">
      <c r="B28" s="90"/>
      <c r="C28" s="295" t="s">
        <v>37</v>
      </c>
      <c r="D28" s="296"/>
      <c r="E28" s="290" t="s">
        <v>38</v>
      </c>
      <c r="F28" s="291"/>
      <c r="G28" s="93"/>
      <c r="H28" s="94"/>
    </row>
    <row r="29" spans="2:8" ht="33" customHeight="1" x14ac:dyDescent="0.25">
      <c r="B29" s="90"/>
      <c r="C29" s="295" t="s">
        <v>37</v>
      </c>
      <c r="D29" s="296"/>
      <c r="E29" s="290" t="s">
        <v>38</v>
      </c>
      <c r="F29" s="291"/>
      <c r="G29" s="93"/>
      <c r="H29" s="94"/>
    </row>
    <row r="30" spans="2:8" ht="30" customHeight="1" x14ac:dyDescent="0.25">
      <c r="B30" s="90"/>
      <c r="C30" s="295" t="s">
        <v>39</v>
      </c>
      <c r="D30" s="296"/>
      <c r="E30" s="290" t="s">
        <v>40</v>
      </c>
      <c r="F30" s="291"/>
      <c r="G30" s="93"/>
      <c r="H30" s="94"/>
    </row>
    <row r="31" spans="2:8" ht="35.25" customHeight="1" x14ac:dyDescent="0.25">
      <c r="B31" s="90"/>
      <c r="C31" s="295" t="s">
        <v>41</v>
      </c>
      <c r="D31" s="296"/>
      <c r="E31" s="290" t="s">
        <v>42</v>
      </c>
      <c r="F31" s="291"/>
      <c r="G31" s="93"/>
      <c r="H31" s="94"/>
    </row>
    <row r="32" spans="2:8" ht="31.5" customHeight="1" x14ac:dyDescent="0.25">
      <c r="B32" s="90"/>
      <c r="C32" s="295" t="s">
        <v>43</v>
      </c>
      <c r="D32" s="296"/>
      <c r="E32" s="290" t="s">
        <v>44</v>
      </c>
      <c r="F32" s="291"/>
      <c r="G32" s="93"/>
      <c r="H32" s="94"/>
    </row>
    <row r="33" spans="2:8" ht="35.25" customHeight="1" x14ac:dyDescent="0.25">
      <c r="B33" s="90"/>
      <c r="C33" s="295" t="s">
        <v>45</v>
      </c>
      <c r="D33" s="296"/>
      <c r="E33" s="290" t="s">
        <v>46</v>
      </c>
      <c r="F33" s="291"/>
      <c r="G33" s="93"/>
      <c r="H33" s="94"/>
    </row>
    <row r="34" spans="2:8" ht="59.25" customHeight="1" x14ac:dyDescent="0.25">
      <c r="B34" s="90"/>
      <c r="C34" s="295" t="s">
        <v>47</v>
      </c>
      <c r="D34" s="296"/>
      <c r="E34" s="290" t="s">
        <v>48</v>
      </c>
      <c r="F34" s="291"/>
      <c r="G34" s="93"/>
      <c r="H34" s="94"/>
    </row>
    <row r="35" spans="2:8" ht="29.25" customHeight="1" x14ac:dyDescent="0.25">
      <c r="B35" s="90"/>
      <c r="C35" s="295" t="s">
        <v>49</v>
      </c>
      <c r="D35" s="296"/>
      <c r="E35" s="290" t="s">
        <v>50</v>
      </c>
      <c r="F35" s="291"/>
      <c r="G35" s="93"/>
      <c r="H35" s="94"/>
    </row>
    <row r="36" spans="2:8" ht="82.5" customHeight="1" x14ac:dyDescent="0.25">
      <c r="B36" s="90"/>
      <c r="C36" s="295" t="s">
        <v>51</v>
      </c>
      <c r="D36" s="296"/>
      <c r="E36" s="290" t="s">
        <v>52</v>
      </c>
      <c r="F36" s="291"/>
      <c r="G36" s="93"/>
      <c r="H36" s="94"/>
    </row>
    <row r="37" spans="2:8" ht="46.5" customHeight="1" x14ac:dyDescent="0.25">
      <c r="B37" s="90"/>
      <c r="C37" s="295" t="s">
        <v>53</v>
      </c>
      <c r="D37" s="296"/>
      <c r="E37" s="290" t="s">
        <v>54</v>
      </c>
      <c r="F37" s="291"/>
      <c r="G37" s="93"/>
      <c r="H37" s="94"/>
    </row>
    <row r="38" spans="2:8" ht="6.75" customHeight="1" thickBot="1" x14ac:dyDescent="0.3">
      <c r="B38" s="90"/>
      <c r="C38" s="297"/>
      <c r="D38" s="298"/>
      <c r="E38" s="299"/>
      <c r="F38" s="300"/>
      <c r="G38" s="93"/>
      <c r="H38" s="94"/>
    </row>
    <row r="39" spans="2:8" ht="15.75" thickTop="1" x14ac:dyDescent="0.25">
      <c r="B39" s="90"/>
      <c r="C39" s="91"/>
      <c r="D39" s="91"/>
      <c r="E39" s="92"/>
      <c r="F39" s="92"/>
      <c r="G39" s="93"/>
      <c r="H39" s="94"/>
    </row>
    <row r="40" spans="2:8" ht="21" customHeight="1" x14ac:dyDescent="0.25">
      <c r="B40" s="292" t="s">
        <v>55</v>
      </c>
      <c r="C40" s="293"/>
      <c r="D40" s="293"/>
      <c r="E40" s="293"/>
      <c r="F40" s="293"/>
      <c r="G40" s="293"/>
      <c r="H40" s="294"/>
    </row>
    <row r="41" spans="2:8" ht="20.25" customHeight="1" x14ac:dyDescent="0.25">
      <c r="B41" s="292" t="s">
        <v>56</v>
      </c>
      <c r="C41" s="293"/>
      <c r="D41" s="293"/>
      <c r="E41" s="293"/>
      <c r="F41" s="293"/>
      <c r="G41" s="293"/>
      <c r="H41" s="294"/>
    </row>
    <row r="42" spans="2:8" ht="20.25" customHeight="1" x14ac:dyDescent="0.25">
      <c r="B42" s="292" t="s">
        <v>57</v>
      </c>
      <c r="C42" s="293"/>
      <c r="D42" s="293"/>
      <c r="E42" s="293"/>
      <c r="F42" s="293"/>
      <c r="G42" s="293"/>
      <c r="H42" s="294"/>
    </row>
    <row r="43" spans="2:8" ht="20.25" customHeight="1" x14ac:dyDescent="0.25">
      <c r="B43" s="292" t="s">
        <v>58</v>
      </c>
      <c r="C43" s="293"/>
      <c r="D43" s="293"/>
      <c r="E43" s="293"/>
      <c r="F43" s="293"/>
      <c r="G43" s="293"/>
      <c r="H43" s="294"/>
    </row>
    <row r="44" spans="2:8" x14ac:dyDescent="0.25">
      <c r="B44" s="292" t="s">
        <v>59</v>
      </c>
      <c r="C44" s="293"/>
      <c r="D44" s="293"/>
      <c r="E44" s="293"/>
      <c r="F44" s="293"/>
      <c r="G44" s="293"/>
      <c r="H44" s="294"/>
    </row>
    <row r="45" spans="2:8" ht="15.75" thickBot="1" x14ac:dyDescent="0.3">
      <c r="B45" s="95"/>
      <c r="C45" s="96"/>
      <c r="D45" s="96"/>
      <c r="E45" s="96"/>
      <c r="F45" s="96"/>
      <c r="G45" s="96"/>
      <c r="H45" s="97"/>
    </row>
    <row r="47" spans="2:8" x14ac:dyDescent="0.25">
      <c r="B47" s="248" t="s">
        <v>60</v>
      </c>
    </row>
    <row r="48" spans="2:8" x14ac:dyDescent="0.25">
      <c r="B48" s="66" t="s">
        <v>61</v>
      </c>
    </row>
    <row r="49" spans="2:6" ht="25.5" x14ac:dyDescent="0.25">
      <c r="B49" s="240" t="s">
        <v>62</v>
      </c>
      <c r="C49" s="240" t="s">
        <v>63</v>
      </c>
      <c r="D49" s="240" t="s">
        <v>64</v>
      </c>
      <c r="E49" s="241" t="s">
        <v>65</v>
      </c>
      <c r="F49" s="242" t="s">
        <v>66</v>
      </c>
    </row>
    <row r="50" spans="2:6" x14ac:dyDescent="0.25">
      <c r="B50" s="243" t="s">
        <v>67</v>
      </c>
      <c r="C50" s="243" t="s">
        <v>68</v>
      </c>
      <c r="D50" s="244">
        <v>44957</v>
      </c>
      <c r="E50" s="243" t="s">
        <v>68</v>
      </c>
      <c r="F50" s="243" t="s">
        <v>68</v>
      </c>
    </row>
    <row r="51" spans="2:6" ht="30" x14ac:dyDescent="0.25">
      <c r="B51" s="243" t="s">
        <v>69</v>
      </c>
      <c r="C51" s="243" t="s">
        <v>70</v>
      </c>
      <c r="D51" s="244">
        <v>45016</v>
      </c>
      <c r="E51" s="243" t="s">
        <v>71</v>
      </c>
      <c r="F51" s="245" t="s">
        <v>72</v>
      </c>
    </row>
    <row r="300" spans="3:3" ht="31.5" x14ac:dyDescent="0.25">
      <c r="C300" s="169" t="s">
        <v>73</v>
      </c>
    </row>
    <row r="301" spans="3:3" ht="47.25" x14ac:dyDescent="0.25">
      <c r="C301" s="169" t="s">
        <v>74</v>
      </c>
    </row>
    <row r="302" spans="3:3" ht="31.5" x14ac:dyDescent="0.25">
      <c r="C302" s="170" t="s">
        <v>75</v>
      </c>
    </row>
    <row r="303" spans="3:3" ht="31.5" x14ac:dyDescent="0.25">
      <c r="C303" s="169" t="s">
        <v>76</v>
      </c>
    </row>
    <row r="304" spans="3:3" ht="47.25" x14ac:dyDescent="0.25">
      <c r="C304" s="169" t="s">
        <v>77</v>
      </c>
    </row>
    <row r="305" spans="3:3" ht="31.5" x14ac:dyDescent="0.25">
      <c r="C305" s="169" t="s">
        <v>78</v>
      </c>
    </row>
    <row r="306" spans="3:3" ht="47.25" x14ac:dyDescent="0.25">
      <c r="C306" s="170" t="s">
        <v>79</v>
      </c>
    </row>
    <row r="307" spans="3:3" ht="31.5" x14ac:dyDescent="0.25">
      <c r="C307" s="169" t="s">
        <v>80</v>
      </c>
    </row>
    <row r="308" spans="3:3" ht="15.75" x14ac:dyDescent="0.25">
      <c r="C308" s="169" t="s">
        <v>81</v>
      </c>
    </row>
    <row r="309" spans="3:3" ht="15.75" x14ac:dyDescent="0.25">
      <c r="C309" s="169" t="s">
        <v>82</v>
      </c>
    </row>
    <row r="310" spans="3:3" ht="31.5" x14ac:dyDescent="0.25">
      <c r="C310" s="169" t="s">
        <v>83</v>
      </c>
    </row>
    <row r="311" spans="3:3" ht="31.5" x14ac:dyDescent="0.25">
      <c r="C311" s="169" t="s">
        <v>84</v>
      </c>
    </row>
    <row r="312" spans="3:3" ht="15.75" x14ac:dyDescent="0.25">
      <c r="C312" s="169" t="s">
        <v>85</v>
      </c>
    </row>
    <row r="313" spans="3:3" ht="15.75" x14ac:dyDescent="0.25">
      <c r="C313" s="169" t="s">
        <v>86</v>
      </c>
    </row>
    <row r="314" spans="3:3" ht="15.75" x14ac:dyDescent="0.25">
      <c r="C314" s="169" t="s">
        <v>87</v>
      </c>
    </row>
    <row r="315" spans="3:3" ht="31.5" x14ac:dyDescent="0.25">
      <c r="C315" s="169" t="s">
        <v>88</v>
      </c>
    </row>
    <row r="316" spans="3:3" ht="31.5" x14ac:dyDescent="0.25">
      <c r="C316" s="169"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topLeftCell="A7"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79" t="s">
        <v>313</v>
      </c>
      <c r="C1" s="579"/>
      <c r="D1" s="579"/>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topLeftCell="A207"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3" customFormat="1" ht="45.75" customHeight="1" x14ac:dyDescent="0.25">
      <c r="A2" s="181"/>
      <c r="B2" s="580" t="s">
        <v>325</v>
      </c>
      <c r="C2" s="580"/>
      <c r="D2" s="580"/>
      <c r="E2" s="580"/>
      <c r="F2" s="182"/>
      <c r="G2" s="181"/>
      <c r="H2" s="181"/>
      <c r="I2" s="181"/>
      <c r="J2" s="181"/>
      <c r="K2" s="181"/>
      <c r="L2" s="181"/>
      <c r="M2" s="181"/>
      <c r="N2" s="181"/>
      <c r="O2" s="181"/>
      <c r="P2" s="181"/>
      <c r="Q2" s="181"/>
      <c r="R2" s="181"/>
      <c r="S2" s="181"/>
      <c r="T2" s="181"/>
      <c r="U2" s="181"/>
    </row>
    <row r="3" spans="1:21" s="183" customFormat="1" ht="18.75" customHeight="1" x14ac:dyDescent="0.25">
      <c r="A3" s="181"/>
      <c r="B3" s="184"/>
      <c r="C3" s="181"/>
      <c r="D3" s="181"/>
      <c r="E3" s="181"/>
      <c r="F3" s="182"/>
      <c r="G3" s="181"/>
      <c r="H3" s="181"/>
      <c r="I3" s="181"/>
      <c r="J3" s="181"/>
      <c r="K3" s="181"/>
      <c r="L3" s="181"/>
      <c r="M3" s="181"/>
      <c r="N3" s="181"/>
      <c r="O3" s="181"/>
      <c r="P3" s="181"/>
      <c r="Q3" s="181"/>
      <c r="R3" s="181"/>
      <c r="S3" s="181"/>
      <c r="T3" s="181"/>
      <c r="U3" s="181"/>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19">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19">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19">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19">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19"/>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12"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81" t="s">
        <v>367</v>
      </c>
      <c r="C3" s="154" t="s">
        <v>368</v>
      </c>
      <c r="D3" s="152" t="s">
        <v>369</v>
      </c>
      <c r="AX3" t="s">
        <v>367</v>
      </c>
    </row>
    <row r="4" spans="2:50" ht="48.75" thickBot="1" x14ac:dyDescent="0.3">
      <c r="B4" s="582"/>
      <c r="C4" s="155" t="s">
        <v>370</v>
      </c>
      <c r="D4" s="153" t="s">
        <v>371</v>
      </c>
      <c r="AX4" t="s">
        <v>146</v>
      </c>
    </row>
    <row r="5" spans="2:50" ht="48.75" thickBot="1" x14ac:dyDescent="0.3">
      <c r="B5" s="582"/>
      <c r="C5" s="155" t="s">
        <v>372</v>
      </c>
      <c r="D5" s="153" t="s">
        <v>373</v>
      </c>
      <c r="AX5" t="s">
        <v>374</v>
      </c>
    </row>
    <row r="6" spans="2:50" ht="36.75" thickBot="1" x14ac:dyDescent="0.3">
      <c r="B6" s="583"/>
      <c r="C6" s="155" t="s">
        <v>375</v>
      </c>
      <c r="D6" s="153" t="s">
        <v>376</v>
      </c>
    </row>
    <row r="7" spans="2:50" ht="36.75" thickBot="1" x14ac:dyDescent="0.3">
      <c r="B7" s="581" t="s">
        <v>146</v>
      </c>
      <c r="C7" s="155" t="s">
        <v>377</v>
      </c>
      <c r="D7" s="153" t="s">
        <v>378</v>
      </c>
    </row>
    <row r="8" spans="2:50" ht="96.75" thickBot="1" x14ac:dyDescent="0.3">
      <c r="B8" s="582"/>
      <c r="C8" s="155" t="s">
        <v>379</v>
      </c>
      <c r="D8" s="153" t="s">
        <v>380</v>
      </c>
    </row>
    <row r="9" spans="2:50" ht="48.75" thickBot="1" x14ac:dyDescent="0.3">
      <c r="B9" s="583"/>
      <c r="C9" s="155" t="s">
        <v>150</v>
      </c>
      <c r="D9" s="153" t="s">
        <v>381</v>
      </c>
    </row>
    <row r="10" spans="2:50" x14ac:dyDescent="0.25">
      <c r="B10" s="581" t="s">
        <v>374</v>
      </c>
      <c r="C10" s="156"/>
      <c r="D10" s="584" t="s">
        <v>382</v>
      </c>
    </row>
    <row r="11" spans="2:50" x14ac:dyDescent="0.25">
      <c r="B11" s="582"/>
      <c r="C11" s="156" t="s">
        <v>153</v>
      </c>
      <c r="D11" s="585"/>
    </row>
    <row r="12" spans="2:50" ht="15.75" thickBot="1" x14ac:dyDescent="0.3">
      <c r="B12" s="582"/>
      <c r="C12" s="155"/>
      <c r="D12" s="586"/>
    </row>
    <row r="13" spans="2:50" ht="22.5" customHeight="1" x14ac:dyDescent="0.25">
      <c r="B13" s="582"/>
      <c r="C13" s="156"/>
      <c r="D13" s="584" t="s">
        <v>383</v>
      </c>
    </row>
    <row r="14" spans="2:50" ht="22.5" customHeight="1" x14ac:dyDescent="0.25">
      <c r="B14" s="582"/>
      <c r="C14" s="156" t="s">
        <v>152</v>
      </c>
      <c r="D14" s="585"/>
    </row>
    <row r="15" spans="2:50" ht="22.5" customHeight="1" thickBot="1" x14ac:dyDescent="0.3">
      <c r="B15" s="582"/>
      <c r="C15" s="155"/>
      <c r="D15" s="586"/>
    </row>
    <row r="16" spans="2:50" ht="25.5" customHeight="1" x14ac:dyDescent="0.25">
      <c r="B16" s="582"/>
      <c r="C16" s="156"/>
      <c r="D16" s="584" t="s">
        <v>384</v>
      </c>
    </row>
    <row r="17" spans="2:4" ht="25.5" customHeight="1" x14ac:dyDescent="0.25">
      <c r="B17" s="582"/>
      <c r="C17" s="156" t="s">
        <v>154</v>
      </c>
      <c r="D17" s="585"/>
    </row>
    <row r="18" spans="2:4" ht="25.5" customHeight="1" thickBot="1" x14ac:dyDescent="0.3">
      <c r="B18" s="583"/>
      <c r="C18" s="155"/>
      <c r="D18" s="586"/>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4" t="s">
        <v>385</v>
      </c>
    </row>
    <row r="2" spans="3:6" ht="15.75" thickBot="1" x14ac:dyDescent="0.3">
      <c r="C2" s="172" t="s">
        <v>386</v>
      </c>
      <c r="E2" s="175" t="s">
        <v>159</v>
      </c>
      <c r="F2" s="176" t="s">
        <v>160</v>
      </c>
    </row>
    <row r="3" spans="3:6" ht="15.75" thickBot="1" x14ac:dyDescent="0.3">
      <c r="C3" s="172" t="s">
        <v>387</v>
      </c>
      <c r="E3" s="311" t="s">
        <v>158</v>
      </c>
      <c r="F3" s="161" t="s">
        <v>162</v>
      </c>
    </row>
    <row r="4" spans="3:6" ht="15.75" thickBot="1" x14ac:dyDescent="0.3">
      <c r="C4" s="172" t="s">
        <v>388</v>
      </c>
      <c r="E4" s="309"/>
      <c r="F4" s="161" t="s">
        <v>164</v>
      </c>
    </row>
    <row r="5" spans="3:6" ht="15.75" thickBot="1" x14ac:dyDescent="0.3">
      <c r="C5" s="172" t="s">
        <v>389</v>
      </c>
      <c r="E5" s="309"/>
      <c r="F5" s="161" t="s">
        <v>166</v>
      </c>
    </row>
    <row r="6" spans="3:6" ht="15.75" thickBot="1" x14ac:dyDescent="0.3">
      <c r="C6" s="172" t="s">
        <v>390</v>
      </c>
      <c r="E6" s="309"/>
      <c r="F6" s="161" t="s">
        <v>168</v>
      </c>
    </row>
    <row r="7" spans="3:6" ht="15.75" thickBot="1" x14ac:dyDescent="0.3">
      <c r="C7" s="173" t="s">
        <v>391</v>
      </c>
      <c r="E7" s="309"/>
      <c r="F7" s="161" t="s">
        <v>169</v>
      </c>
    </row>
    <row r="8" spans="3:6" ht="15.75" thickBot="1" x14ac:dyDescent="0.3">
      <c r="C8" s="172" t="s">
        <v>392</v>
      </c>
      <c r="E8" s="310"/>
      <c r="F8" s="161" t="s">
        <v>170</v>
      </c>
    </row>
    <row r="9" spans="3:6" ht="15.75" thickBot="1" x14ac:dyDescent="0.3">
      <c r="C9" s="172" t="s">
        <v>393</v>
      </c>
      <c r="E9" s="308" t="s">
        <v>167</v>
      </c>
      <c r="F9" s="161" t="s">
        <v>171</v>
      </c>
    </row>
    <row r="10" spans="3:6" ht="15.75" thickBot="1" x14ac:dyDescent="0.3">
      <c r="C10" s="171" t="s">
        <v>394</v>
      </c>
      <c r="E10" s="309"/>
      <c r="F10" s="161" t="s">
        <v>172</v>
      </c>
    </row>
    <row r="11" spans="3:6" ht="15.75" thickBot="1" x14ac:dyDescent="0.3">
      <c r="C11" s="247" t="s">
        <v>395</v>
      </c>
      <c r="E11" s="309"/>
      <c r="F11" s="161" t="s">
        <v>173</v>
      </c>
    </row>
    <row r="12" spans="3:6" ht="15.75" thickBot="1" x14ac:dyDescent="0.3">
      <c r="E12" s="309"/>
      <c r="F12" s="161" t="s">
        <v>174</v>
      </c>
    </row>
    <row r="13" spans="3:6" ht="15.75" thickBot="1" x14ac:dyDescent="0.3">
      <c r="E13" s="310"/>
      <c r="F13" s="161" t="s">
        <v>175</v>
      </c>
    </row>
    <row r="14" spans="3:6" ht="24.75" thickBot="1" x14ac:dyDescent="0.3">
      <c r="E14" s="308" t="s">
        <v>163</v>
      </c>
      <c r="F14" s="161" t="s">
        <v>176</v>
      </c>
    </row>
    <row r="15" spans="3:6" ht="15.75" thickBot="1" x14ac:dyDescent="0.3">
      <c r="E15" s="309"/>
      <c r="F15" s="161" t="s">
        <v>177</v>
      </c>
    </row>
    <row r="16" spans="3:6" ht="15.75" thickBot="1" x14ac:dyDescent="0.3">
      <c r="E16" s="310"/>
      <c r="F16" s="161" t="s">
        <v>178</v>
      </c>
    </row>
    <row r="17" spans="5:6" ht="15.75" thickBot="1" x14ac:dyDescent="0.3">
      <c r="E17" s="308" t="s">
        <v>165</v>
      </c>
      <c r="F17" s="161" t="s">
        <v>179</v>
      </c>
    </row>
    <row r="18" spans="5:6" ht="15.75" thickBot="1" x14ac:dyDescent="0.3">
      <c r="E18" s="309"/>
      <c r="F18" s="161" t="s">
        <v>180</v>
      </c>
    </row>
    <row r="19" spans="5:6" ht="15.75" thickBot="1" x14ac:dyDescent="0.3">
      <c r="E19" s="310"/>
      <c r="F19" s="161" t="s">
        <v>181</v>
      </c>
    </row>
    <row r="20" spans="5:6" ht="24.75" thickBot="1" x14ac:dyDescent="0.3">
      <c r="E20" s="308" t="s">
        <v>156</v>
      </c>
      <c r="F20" s="161" t="s">
        <v>182</v>
      </c>
    </row>
    <row r="21" spans="5:6" ht="15.75" thickBot="1" x14ac:dyDescent="0.3">
      <c r="E21" s="309"/>
      <c r="F21" s="161" t="s">
        <v>183</v>
      </c>
    </row>
    <row r="22" spans="5:6" ht="15.75" thickBot="1" x14ac:dyDescent="0.3">
      <c r="E22" s="309"/>
      <c r="F22" s="161" t="s">
        <v>184</v>
      </c>
    </row>
    <row r="23" spans="5:6" ht="15.75" thickBot="1" x14ac:dyDescent="0.3">
      <c r="E23" s="309"/>
      <c r="F23" s="161" t="s">
        <v>185</v>
      </c>
    </row>
    <row r="24" spans="5:6" ht="15.75" thickBot="1" x14ac:dyDescent="0.3">
      <c r="E24" s="309"/>
      <c r="F24" s="161" t="s">
        <v>186</v>
      </c>
    </row>
    <row r="25" spans="5:6" ht="24.75" thickBot="1" x14ac:dyDescent="0.3">
      <c r="E25" s="309"/>
      <c r="F25" s="161" t="s">
        <v>187</v>
      </c>
    </row>
    <row r="26" spans="5:6" ht="15.75" thickBot="1" x14ac:dyDescent="0.3">
      <c r="E26" s="309"/>
      <c r="F26" s="161" t="s">
        <v>188</v>
      </c>
    </row>
    <row r="27" spans="5:6" ht="24.75" thickBot="1" x14ac:dyDescent="0.3">
      <c r="E27" s="309"/>
      <c r="F27" s="161" t="s">
        <v>189</v>
      </c>
    </row>
    <row r="28" spans="5:6" ht="15.75" thickBot="1" x14ac:dyDescent="0.3">
      <c r="E28" s="309"/>
      <c r="F28" s="161" t="s">
        <v>190</v>
      </c>
    </row>
    <row r="29" spans="5:6" ht="15.75" thickBot="1" x14ac:dyDescent="0.3">
      <c r="E29" s="309"/>
      <c r="F29" s="161" t="s">
        <v>191</v>
      </c>
    </row>
    <row r="30" spans="5:6" ht="15.75" thickBot="1" x14ac:dyDescent="0.3">
      <c r="E30" s="310"/>
      <c r="F30" s="161" t="s">
        <v>192</v>
      </c>
    </row>
    <row r="31" spans="5:6" ht="15.75" thickBot="1" x14ac:dyDescent="0.3">
      <c r="E31" s="308" t="s">
        <v>161</v>
      </c>
      <c r="F31" s="161" t="s">
        <v>193</v>
      </c>
    </row>
    <row r="32" spans="5:6" ht="15.75" thickBot="1" x14ac:dyDescent="0.3">
      <c r="E32" s="309"/>
      <c r="F32" s="161" t="s">
        <v>194</v>
      </c>
    </row>
    <row r="33" spans="5:6" ht="15.75" thickBot="1" x14ac:dyDescent="0.3">
      <c r="E33" s="309"/>
      <c r="F33" s="161" t="s">
        <v>195</v>
      </c>
    </row>
    <row r="34" spans="5:6" ht="15.75" thickBot="1" x14ac:dyDescent="0.3">
      <c r="E34" s="309"/>
      <c r="F34" s="161" t="s">
        <v>196</v>
      </c>
    </row>
    <row r="35" spans="5:6" ht="24.75" thickBot="1" x14ac:dyDescent="0.3">
      <c r="E35" s="310"/>
      <c r="F35" s="161" t="s">
        <v>197</v>
      </c>
    </row>
    <row r="36" spans="5:6" ht="15.75" thickBot="1" x14ac:dyDescent="0.3">
      <c r="E36" s="308" t="s">
        <v>155</v>
      </c>
      <c r="F36" s="161" t="s">
        <v>198</v>
      </c>
    </row>
    <row r="37" spans="5:6" ht="15.75" thickBot="1" x14ac:dyDescent="0.3">
      <c r="E37" s="309"/>
      <c r="F37" s="161" t="s">
        <v>199</v>
      </c>
    </row>
    <row r="38" spans="5:6" ht="15.75" thickBot="1" x14ac:dyDescent="0.3">
      <c r="E38" s="309"/>
      <c r="F38" s="161" t="s">
        <v>200</v>
      </c>
    </row>
    <row r="39" spans="5:6" ht="15.75" thickBot="1" x14ac:dyDescent="0.3">
      <c r="E39" s="309"/>
      <c r="F39" s="161" t="s">
        <v>201</v>
      </c>
    </row>
    <row r="40" spans="5:6" ht="15.75" thickBot="1" x14ac:dyDescent="0.3">
      <c r="E40" s="310"/>
      <c r="F40" s="161" t="s">
        <v>202</v>
      </c>
    </row>
    <row r="41" spans="5:6" ht="15.75" thickBot="1" x14ac:dyDescent="0.3">
      <c r="E41" s="308" t="s">
        <v>157</v>
      </c>
      <c r="F41" s="161" t="s">
        <v>203</v>
      </c>
    </row>
    <row r="42" spans="5:6" ht="15.75" thickBot="1" x14ac:dyDescent="0.3">
      <c r="E42" s="309"/>
      <c r="F42" s="161" t="s">
        <v>204</v>
      </c>
    </row>
    <row r="43" spans="5:6" ht="15.75" thickBot="1" x14ac:dyDescent="0.3">
      <c r="E43" s="309"/>
      <c r="F43" s="161" t="s">
        <v>205</v>
      </c>
    </row>
    <row r="44" spans="5:6" ht="15.75" thickBot="1" x14ac:dyDescent="0.3">
      <c r="E44" s="309"/>
      <c r="F44" s="161" t="s">
        <v>206</v>
      </c>
    </row>
    <row r="45" spans="5:6" ht="24.75" thickBot="1" x14ac:dyDescent="0.3">
      <c r="E45" s="310"/>
      <c r="F45" s="161"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44"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topLeftCell="A10"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87" t="s">
        <v>396</v>
      </c>
      <c r="C1" s="588"/>
      <c r="D1" s="588"/>
      <c r="E1" s="588"/>
      <c r="F1" s="589"/>
    </row>
    <row r="2" spans="2:6" ht="16.5" thickBot="1" x14ac:dyDescent="0.3">
      <c r="B2" s="72"/>
      <c r="C2" s="72"/>
      <c r="D2" s="72"/>
      <c r="E2" s="72"/>
      <c r="F2" s="72"/>
    </row>
    <row r="3" spans="2:6" ht="16.5" thickBot="1" x14ac:dyDescent="0.25">
      <c r="B3" s="591" t="s">
        <v>397</v>
      </c>
      <c r="C3" s="592"/>
      <c r="D3" s="592"/>
      <c r="E3" s="84" t="s">
        <v>398</v>
      </c>
      <c r="F3" s="85" t="s">
        <v>399</v>
      </c>
    </row>
    <row r="4" spans="2:6" ht="31.5" x14ac:dyDescent="0.2">
      <c r="B4" s="593" t="s">
        <v>400</v>
      </c>
      <c r="C4" s="595" t="s">
        <v>247</v>
      </c>
      <c r="D4" s="73" t="s">
        <v>254</v>
      </c>
      <c r="E4" s="74" t="s">
        <v>401</v>
      </c>
      <c r="F4" s="75">
        <v>0.25</v>
      </c>
    </row>
    <row r="5" spans="2:6" ht="47.25" x14ac:dyDescent="0.2">
      <c r="B5" s="594"/>
      <c r="C5" s="596"/>
      <c r="D5" s="76" t="s">
        <v>259</v>
      </c>
      <c r="E5" s="77" t="s">
        <v>402</v>
      </c>
      <c r="F5" s="78">
        <v>0.15</v>
      </c>
    </row>
    <row r="6" spans="2:6" ht="47.25" x14ac:dyDescent="0.2">
      <c r="B6" s="594"/>
      <c r="C6" s="596"/>
      <c r="D6" s="76" t="s">
        <v>281</v>
      </c>
      <c r="E6" s="77" t="s">
        <v>403</v>
      </c>
      <c r="F6" s="78">
        <v>0.1</v>
      </c>
    </row>
    <row r="7" spans="2:6" ht="63" x14ac:dyDescent="0.2">
      <c r="B7" s="594"/>
      <c r="C7" s="596" t="s">
        <v>248</v>
      </c>
      <c r="D7" s="76" t="s">
        <v>404</v>
      </c>
      <c r="E7" s="77" t="s">
        <v>405</v>
      </c>
      <c r="F7" s="78">
        <v>0.25</v>
      </c>
    </row>
    <row r="8" spans="2:6" ht="31.5" x14ac:dyDescent="0.2">
      <c r="B8" s="594"/>
      <c r="C8" s="596"/>
      <c r="D8" s="76" t="s">
        <v>255</v>
      </c>
      <c r="E8" s="77" t="s">
        <v>406</v>
      </c>
      <c r="F8" s="78">
        <v>0.15</v>
      </c>
    </row>
    <row r="9" spans="2:6" ht="47.25" x14ac:dyDescent="0.2">
      <c r="B9" s="594" t="s">
        <v>407</v>
      </c>
      <c r="C9" s="596" t="s">
        <v>250</v>
      </c>
      <c r="D9" s="76" t="s">
        <v>256</v>
      </c>
      <c r="E9" s="77" t="s">
        <v>408</v>
      </c>
      <c r="F9" s="79" t="s">
        <v>409</v>
      </c>
    </row>
    <row r="10" spans="2:6" ht="63" x14ac:dyDescent="0.2">
      <c r="B10" s="594"/>
      <c r="C10" s="596"/>
      <c r="D10" s="76" t="s">
        <v>260</v>
      </c>
      <c r="E10" s="77" t="s">
        <v>410</v>
      </c>
      <c r="F10" s="79" t="s">
        <v>409</v>
      </c>
    </row>
    <row r="11" spans="2:6" ht="47.25" x14ac:dyDescent="0.2">
      <c r="B11" s="594"/>
      <c r="C11" s="596" t="s">
        <v>251</v>
      </c>
      <c r="D11" s="76" t="s">
        <v>257</v>
      </c>
      <c r="E11" s="77" t="s">
        <v>411</v>
      </c>
      <c r="F11" s="79" t="s">
        <v>409</v>
      </c>
    </row>
    <row r="12" spans="2:6" ht="47.25" x14ac:dyDescent="0.2">
      <c r="B12" s="594"/>
      <c r="C12" s="596"/>
      <c r="D12" s="76" t="s">
        <v>412</v>
      </c>
      <c r="E12" s="77" t="s">
        <v>413</v>
      </c>
      <c r="F12" s="79" t="s">
        <v>409</v>
      </c>
    </row>
    <row r="13" spans="2:6" ht="31.5" x14ac:dyDescent="0.2">
      <c r="B13" s="594"/>
      <c r="C13" s="596" t="s">
        <v>252</v>
      </c>
      <c r="D13" s="76" t="s">
        <v>258</v>
      </c>
      <c r="E13" s="77" t="s">
        <v>414</v>
      </c>
      <c r="F13" s="79" t="s">
        <v>409</v>
      </c>
    </row>
    <row r="14" spans="2:6" ht="32.25" thickBot="1" x14ac:dyDescent="0.25">
      <c r="B14" s="597"/>
      <c r="C14" s="598"/>
      <c r="D14" s="80" t="s">
        <v>415</v>
      </c>
      <c r="E14" s="81" t="s">
        <v>416</v>
      </c>
      <c r="F14" s="82" t="s">
        <v>409</v>
      </c>
    </row>
    <row r="15" spans="2:6" ht="49.5" customHeight="1" x14ac:dyDescent="0.2">
      <c r="B15" s="590" t="s">
        <v>417</v>
      </c>
      <c r="C15" s="590"/>
      <c r="D15" s="590"/>
      <c r="E15" s="590"/>
      <c r="F15" s="590"/>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01" t="s">
        <v>90</v>
      </c>
      <c r="C2" s="301"/>
      <c r="D2" s="301"/>
      <c r="E2" s="302"/>
      <c r="F2" s="306" t="s">
        <v>91</v>
      </c>
    </row>
    <row r="3" spans="1:6" s="129" customFormat="1" ht="40.5" customHeight="1" thickBot="1" x14ac:dyDescent="0.4">
      <c r="A3" s="125"/>
      <c r="B3" s="303" t="s">
        <v>92</v>
      </c>
      <c r="C3" s="126" t="s">
        <v>93</v>
      </c>
      <c r="D3" s="127" t="s">
        <v>94</v>
      </c>
      <c r="E3" s="128" t="s">
        <v>95</v>
      </c>
      <c r="F3" s="307"/>
    </row>
    <row r="4" spans="1:6" s="129" customFormat="1" ht="228.75" customHeight="1" thickBot="1" x14ac:dyDescent="0.4">
      <c r="A4" s="125"/>
      <c r="B4" s="304"/>
      <c r="C4" s="130" t="s">
        <v>96</v>
      </c>
      <c r="D4" s="131" t="s">
        <v>97</v>
      </c>
      <c r="E4" s="162" t="s">
        <v>98</v>
      </c>
      <c r="F4" s="167" t="s">
        <v>99</v>
      </c>
    </row>
    <row r="5" spans="1:6" s="129" customFormat="1" ht="289.5" thickBot="1" x14ac:dyDescent="0.4">
      <c r="A5" s="125"/>
      <c r="B5" s="304"/>
      <c r="C5" s="132" t="s">
        <v>100</v>
      </c>
      <c r="D5" s="133" t="s">
        <v>101</v>
      </c>
      <c r="E5" s="163" t="s">
        <v>102</v>
      </c>
      <c r="F5" s="166" t="s">
        <v>103</v>
      </c>
    </row>
    <row r="6" spans="1:6" s="129" customFormat="1" ht="237" thickBot="1" x14ac:dyDescent="0.4">
      <c r="A6" s="125"/>
      <c r="B6" s="304"/>
      <c r="C6" s="134" t="s">
        <v>104</v>
      </c>
      <c r="D6" s="135" t="s">
        <v>105</v>
      </c>
      <c r="E6" s="164" t="s">
        <v>106</v>
      </c>
      <c r="F6" s="166"/>
    </row>
    <row r="7" spans="1:6" s="129" customFormat="1" ht="154.5" customHeight="1" thickBot="1" x14ac:dyDescent="0.4">
      <c r="A7" s="125"/>
      <c r="B7" s="304"/>
      <c r="C7" s="136" t="s">
        <v>107</v>
      </c>
      <c r="D7" s="137"/>
      <c r="E7" s="163"/>
      <c r="F7" s="166"/>
    </row>
    <row r="8" spans="1:6" s="129" customFormat="1" ht="186.75" thickBot="1" x14ac:dyDescent="0.4">
      <c r="A8" s="125"/>
      <c r="B8" s="304"/>
      <c r="C8" s="138" t="s">
        <v>108</v>
      </c>
      <c r="D8" s="135" t="s">
        <v>109</v>
      </c>
      <c r="E8" s="165" t="s">
        <v>110</v>
      </c>
      <c r="F8" s="166"/>
    </row>
    <row r="9" spans="1:6" s="129" customFormat="1" ht="182.25" thickBot="1" x14ac:dyDescent="0.4">
      <c r="A9" s="125"/>
      <c r="B9" s="304"/>
      <c r="C9" s="136" t="s">
        <v>111</v>
      </c>
      <c r="D9" s="133" t="s">
        <v>112</v>
      </c>
      <c r="E9" s="165" t="s">
        <v>113</v>
      </c>
      <c r="F9" s="166"/>
    </row>
    <row r="10" spans="1:6" s="141" customFormat="1" ht="263.25" thickBot="1" x14ac:dyDescent="0.4">
      <c r="A10" s="139"/>
      <c r="B10" s="304"/>
      <c r="C10" s="140" t="s">
        <v>114</v>
      </c>
      <c r="D10" s="133" t="s">
        <v>115</v>
      </c>
      <c r="E10" s="164" t="s">
        <v>116</v>
      </c>
      <c r="F10" s="168"/>
    </row>
    <row r="11" spans="1:6" s="141" customFormat="1" ht="28.5" thickBot="1" x14ac:dyDescent="0.4">
      <c r="A11" s="139"/>
      <c r="B11" s="305"/>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5" t="s">
        <v>23</v>
      </c>
      <c r="B11" s="236"/>
      <c r="C11" s="237"/>
      <c r="D11" s="238"/>
      <c r="H11" t="s">
        <v>134</v>
      </c>
    </row>
    <row r="12" spans="1:8" x14ac:dyDescent="0.25">
      <c r="A12" s="224" t="s">
        <v>135</v>
      </c>
      <c r="B12" s="225" t="s">
        <v>136</v>
      </c>
      <c r="D12" s="226"/>
      <c r="H12" t="s">
        <v>137</v>
      </c>
    </row>
    <row r="13" spans="1:8" x14ac:dyDescent="0.25">
      <c r="A13" s="224"/>
      <c r="B13" s="225" t="s">
        <v>138</v>
      </c>
      <c r="D13" s="226"/>
      <c r="H13" t="s">
        <v>139</v>
      </c>
    </row>
    <row r="14" spans="1:8" x14ac:dyDescent="0.25">
      <c r="A14" s="224"/>
      <c r="B14" s="225" t="s">
        <v>140</v>
      </c>
      <c r="D14" s="226"/>
      <c r="H14" t="s">
        <v>141</v>
      </c>
    </row>
    <row r="15" spans="1:8" x14ac:dyDescent="0.25">
      <c r="A15" s="224"/>
      <c r="B15" s="225" t="s">
        <v>142</v>
      </c>
      <c r="D15" s="226"/>
      <c r="H15" t="s">
        <v>143</v>
      </c>
    </row>
    <row r="16" spans="1:8" x14ac:dyDescent="0.25">
      <c r="A16" s="224"/>
      <c r="B16" s="225" t="s">
        <v>144</v>
      </c>
      <c r="D16" s="226"/>
      <c r="H16" t="s">
        <v>145</v>
      </c>
    </row>
    <row r="17" spans="1:8" x14ac:dyDescent="0.25">
      <c r="A17" s="227" t="s">
        <v>146</v>
      </c>
      <c r="B17" s="228" t="s">
        <v>147</v>
      </c>
      <c r="D17" s="226"/>
      <c r="H17" t="s">
        <v>148</v>
      </c>
    </row>
    <row r="18" spans="1:8" x14ac:dyDescent="0.25">
      <c r="A18" s="227"/>
      <c r="B18" s="228" t="s">
        <v>149</v>
      </c>
      <c r="D18" s="226"/>
      <c r="H18" t="s">
        <v>137</v>
      </c>
    </row>
    <row r="19" spans="1:8" x14ac:dyDescent="0.25">
      <c r="A19" s="227"/>
      <c r="B19" s="228" t="s">
        <v>150</v>
      </c>
      <c r="D19" s="226"/>
    </row>
    <row r="20" spans="1:8" x14ac:dyDescent="0.25">
      <c r="A20" s="229" t="s">
        <v>151</v>
      </c>
      <c r="B20" s="230" t="s">
        <v>152</v>
      </c>
      <c r="D20" s="226"/>
    </row>
    <row r="21" spans="1:8" x14ac:dyDescent="0.25">
      <c r="A21" s="229"/>
      <c r="B21" s="230" t="s">
        <v>153</v>
      </c>
      <c r="D21" s="226"/>
    </row>
    <row r="22" spans="1:8" ht="15.75" thickBot="1" x14ac:dyDescent="0.3">
      <c r="A22" s="231"/>
      <c r="B22" s="232" t="s">
        <v>154</v>
      </c>
      <c r="C22" s="233"/>
      <c r="D22" s="234"/>
    </row>
    <row r="25" spans="1:8" x14ac:dyDescent="0.25">
      <c r="B25" t="s">
        <v>155</v>
      </c>
    </row>
    <row r="26" spans="1:8" x14ac:dyDescent="0.25">
      <c r="B26" t="s">
        <v>156</v>
      </c>
    </row>
    <row r="27" spans="1:8" ht="15.75" thickBot="1" x14ac:dyDescent="0.3">
      <c r="B27" t="s">
        <v>157</v>
      </c>
    </row>
    <row r="28" spans="1:8" ht="15.75" thickBot="1" x14ac:dyDescent="0.3">
      <c r="B28" t="s">
        <v>158</v>
      </c>
      <c r="F28" s="159" t="s">
        <v>159</v>
      </c>
      <c r="G28" s="160" t="s">
        <v>160</v>
      </c>
    </row>
    <row r="29" spans="1:8" ht="15.75" thickBot="1" x14ac:dyDescent="0.3">
      <c r="B29" t="s">
        <v>161</v>
      </c>
      <c r="F29" s="311" t="s">
        <v>158</v>
      </c>
      <c r="G29" s="161" t="s">
        <v>162</v>
      </c>
    </row>
    <row r="30" spans="1:8" ht="15.75" thickBot="1" x14ac:dyDescent="0.3">
      <c r="B30" t="s">
        <v>163</v>
      </c>
      <c r="F30" s="309"/>
      <c r="G30" s="161" t="s">
        <v>164</v>
      </c>
    </row>
    <row r="31" spans="1:8" ht="15.75" thickBot="1" x14ac:dyDescent="0.3">
      <c r="B31" t="s">
        <v>165</v>
      </c>
      <c r="F31" s="309"/>
      <c r="G31" s="161" t="s">
        <v>166</v>
      </c>
    </row>
    <row r="32" spans="1:8" ht="15.75" thickBot="1" x14ac:dyDescent="0.3">
      <c r="B32" t="s">
        <v>167</v>
      </c>
      <c r="F32" s="309"/>
      <c r="G32" s="161" t="s">
        <v>168</v>
      </c>
    </row>
    <row r="33" spans="6:7" ht="15.75" thickBot="1" x14ac:dyDescent="0.3">
      <c r="F33" s="309"/>
      <c r="G33" s="161" t="s">
        <v>169</v>
      </c>
    </row>
    <row r="34" spans="6:7" ht="15.75" thickBot="1" x14ac:dyDescent="0.3">
      <c r="F34" s="310"/>
      <c r="G34" s="161" t="s">
        <v>170</v>
      </c>
    </row>
    <row r="35" spans="6:7" ht="15.75" thickBot="1" x14ac:dyDescent="0.3">
      <c r="F35" s="308" t="s">
        <v>167</v>
      </c>
      <c r="G35" s="161" t="s">
        <v>171</v>
      </c>
    </row>
    <row r="36" spans="6:7" ht="15.75" thickBot="1" x14ac:dyDescent="0.3">
      <c r="F36" s="309"/>
      <c r="G36" s="161" t="s">
        <v>172</v>
      </c>
    </row>
    <row r="37" spans="6:7" ht="15.75" thickBot="1" x14ac:dyDescent="0.3">
      <c r="F37" s="309"/>
      <c r="G37" s="161" t="s">
        <v>173</v>
      </c>
    </row>
    <row r="38" spans="6:7" ht="21.75" customHeight="1" thickBot="1" x14ac:dyDescent="0.3">
      <c r="F38" s="309"/>
      <c r="G38" s="161" t="s">
        <v>174</v>
      </c>
    </row>
    <row r="39" spans="6:7" ht="15.75" thickBot="1" x14ac:dyDescent="0.3">
      <c r="F39" s="310"/>
      <c r="G39" s="161" t="s">
        <v>175</v>
      </c>
    </row>
    <row r="40" spans="6:7" ht="45.75" customHeight="1" thickBot="1" x14ac:dyDescent="0.3">
      <c r="F40" s="308" t="s">
        <v>163</v>
      </c>
      <c r="G40" s="161" t="s">
        <v>176</v>
      </c>
    </row>
    <row r="41" spans="6:7" ht="15.75" thickBot="1" x14ac:dyDescent="0.3">
      <c r="F41" s="309"/>
      <c r="G41" s="161" t="s">
        <v>177</v>
      </c>
    </row>
    <row r="42" spans="6:7" ht="30" customHeight="1" thickBot="1" x14ac:dyDescent="0.3">
      <c r="F42" s="310"/>
      <c r="G42" s="161" t="s">
        <v>178</v>
      </c>
    </row>
    <row r="43" spans="6:7" ht="15.75" thickBot="1" x14ac:dyDescent="0.3">
      <c r="F43" s="308" t="s">
        <v>165</v>
      </c>
      <c r="G43" s="161" t="s">
        <v>179</v>
      </c>
    </row>
    <row r="44" spans="6:7" ht="15.75" thickBot="1" x14ac:dyDescent="0.3">
      <c r="F44" s="309"/>
      <c r="G44" s="161" t="s">
        <v>180</v>
      </c>
    </row>
    <row r="45" spans="6:7" ht="15.75" thickBot="1" x14ac:dyDescent="0.3">
      <c r="F45" s="310"/>
      <c r="G45" s="161" t="s">
        <v>181</v>
      </c>
    </row>
    <row r="46" spans="6:7" ht="24.75" thickBot="1" x14ac:dyDescent="0.3">
      <c r="F46" s="308" t="s">
        <v>156</v>
      </c>
      <c r="G46" s="161" t="s">
        <v>182</v>
      </c>
    </row>
    <row r="47" spans="6:7" ht="15.75" thickBot="1" x14ac:dyDescent="0.3">
      <c r="F47" s="309"/>
      <c r="G47" s="161" t="s">
        <v>183</v>
      </c>
    </row>
    <row r="48" spans="6:7" ht="15.75" thickBot="1" x14ac:dyDescent="0.3">
      <c r="F48" s="309"/>
      <c r="G48" s="161" t="s">
        <v>184</v>
      </c>
    </row>
    <row r="49" spans="6:7" ht="15.75" thickBot="1" x14ac:dyDescent="0.3">
      <c r="F49" s="309"/>
      <c r="G49" s="161" t="s">
        <v>185</v>
      </c>
    </row>
    <row r="50" spans="6:7" ht="15.75" thickBot="1" x14ac:dyDescent="0.3">
      <c r="F50" s="309"/>
      <c r="G50" s="161" t="s">
        <v>186</v>
      </c>
    </row>
    <row r="51" spans="6:7" ht="24.75" thickBot="1" x14ac:dyDescent="0.3">
      <c r="F51" s="309"/>
      <c r="G51" s="161" t="s">
        <v>187</v>
      </c>
    </row>
    <row r="52" spans="6:7" ht="15.75" thickBot="1" x14ac:dyDescent="0.3">
      <c r="F52" s="309"/>
      <c r="G52" s="161" t="s">
        <v>188</v>
      </c>
    </row>
    <row r="53" spans="6:7" ht="24.75" thickBot="1" x14ac:dyDescent="0.3">
      <c r="F53" s="309"/>
      <c r="G53" s="161" t="s">
        <v>189</v>
      </c>
    </row>
    <row r="54" spans="6:7" ht="15.75" thickBot="1" x14ac:dyDescent="0.3">
      <c r="F54" s="309"/>
      <c r="G54" s="161" t="s">
        <v>190</v>
      </c>
    </row>
    <row r="55" spans="6:7" ht="15.75" thickBot="1" x14ac:dyDescent="0.3">
      <c r="F55" s="309"/>
      <c r="G55" s="161" t="s">
        <v>191</v>
      </c>
    </row>
    <row r="56" spans="6:7" ht="15.75" thickBot="1" x14ac:dyDescent="0.3">
      <c r="F56" s="310"/>
      <c r="G56" s="161" t="s">
        <v>192</v>
      </c>
    </row>
    <row r="57" spans="6:7" ht="15.75" thickBot="1" x14ac:dyDescent="0.3">
      <c r="F57" s="308" t="s">
        <v>161</v>
      </c>
      <c r="G57" s="161" t="s">
        <v>193</v>
      </c>
    </row>
    <row r="58" spans="6:7" ht="15.75" thickBot="1" x14ac:dyDescent="0.3">
      <c r="F58" s="309"/>
      <c r="G58" s="161" t="s">
        <v>194</v>
      </c>
    </row>
    <row r="59" spans="6:7" ht="24.75" thickBot="1" x14ac:dyDescent="0.3">
      <c r="F59" s="309"/>
      <c r="G59" s="161" t="s">
        <v>195</v>
      </c>
    </row>
    <row r="60" spans="6:7" ht="15.75" thickBot="1" x14ac:dyDescent="0.3">
      <c r="F60" s="309"/>
      <c r="G60" s="161" t="s">
        <v>196</v>
      </c>
    </row>
    <row r="61" spans="6:7" ht="36.75" thickBot="1" x14ac:dyDescent="0.3">
      <c r="F61" s="310"/>
      <c r="G61" s="161" t="s">
        <v>197</v>
      </c>
    </row>
    <row r="62" spans="6:7" ht="15.75" thickBot="1" x14ac:dyDescent="0.3">
      <c r="F62" s="308" t="s">
        <v>155</v>
      </c>
      <c r="G62" s="161" t="s">
        <v>198</v>
      </c>
    </row>
    <row r="63" spans="6:7" ht="15.75" thickBot="1" x14ac:dyDescent="0.3">
      <c r="F63" s="309"/>
      <c r="G63" s="161" t="s">
        <v>199</v>
      </c>
    </row>
    <row r="64" spans="6:7" ht="15.75" thickBot="1" x14ac:dyDescent="0.3">
      <c r="F64" s="309"/>
      <c r="G64" s="161" t="s">
        <v>200</v>
      </c>
    </row>
    <row r="65" spans="6:7" ht="15.75" thickBot="1" x14ac:dyDescent="0.3">
      <c r="F65" s="309"/>
      <c r="G65" s="161" t="s">
        <v>201</v>
      </c>
    </row>
    <row r="66" spans="6:7" ht="15.75" thickBot="1" x14ac:dyDescent="0.3">
      <c r="F66" s="310"/>
      <c r="G66" s="161" t="s">
        <v>202</v>
      </c>
    </row>
    <row r="67" spans="6:7" ht="15.75" thickBot="1" x14ac:dyDescent="0.3">
      <c r="F67" s="308" t="s">
        <v>157</v>
      </c>
      <c r="G67" s="161" t="s">
        <v>203</v>
      </c>
    </row>
    <row r="68" spans="6:7" ht="15.75" thickBot="1" x14ac:dyDescent="0.3">
      <c r="F68" s="309"/>
      <c r="G68" s="161" t="s">
        <v>204</v>
      </c>
    </row>
    <row r="69" spans="6:7" ht="15.75" thickBot="1" x14ac:dyDescent="0.3">
      <c r="F69" s="309"/>
      <c r="G69" s="161" t="s">
        <v>205</v>
      </c>
    </row>
    <row r="70" spans="6:7" ht="15.75" thickBot="1" x14ac:dyDescent="0.3">
      <c r="F70" s="309"/>
      <c r="G70" s="161" t="s">
        <v>206</v>
      </c>
    </row>
    <row r="71" spans="6:7" ht="24.75" thickBot="1" x14ac:dyDescent="0.3">
      <c r="F71" s="310"/>
      <c r="G71" s="161"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67"/>
  <sheetViews>
    <sheetView tabSelected="1" topLeftCell="J6" zoomScale="30" zoomScaleNormal="30" zoomScaleSheetLayoutView="50" zoomScalePageLayoutView="60" workbookViewId="0">
      <selection activeCell="U13" sqref="U13:U14"/>
    </sheetView>
  </sheetViews>
  <sheetFormatPr baseColWidth="10" defaultColWidth="11.42578125" defaultRowHeight="15" x14ac:dyDescent="0.2"/>
  <cols>
    <col min="1" max="1" width="6.5703125" style="217" customWidth="1"/>
    <col min="2" max="2" width="16" style="217" customWidth="1"/>
    <col min="3" max="3" width="19.140625" style="217" customWidth="1"/>
    <col min="4" max="4" width="25.28515625" style="217" customWidth="1"/>
    <col min="5" max="5" width="51.140625" style="217" customWidth="1"/>
    <col min="6" max="6" width="21" style="197" customWidth="1"/>
    <col min="7" max="7" width="17.7109375" style="197" customWidth="1"/>
    <col min="8" max="8" width="24.28515625" style="197" customWidth="1"/>
    <col min="9" max="10" width="29.42578125" style="197" customWidth="1"/>
    <col min="11" max="11" width="24.28515625" style="197" customWidth="1"/>
    <col min="12" max="12" width="19.42578125" style="197" customWidth="1"/>
    <col min="13" max="13" width="20.5703125" style="197" customWidth="1"/>
    <col min="14" max="14" width="16.7109375" style="218" customWidth="1"/>
    <col min="15" max="24" width="20.42578125" style="197" customWidth="1"/>
    <col min="25" max="30" width="9" style="197" customWidth="1"/>
    <col min="31" max="31" width="7.5703125" style="197" hidden="1" customWidth="1"/>
    <col min="32" max="32" width="8.5703125" style="197" customWidth="1"/>
    <col min="33" max="37" width="10.85546875" style="197" customWidth="1"/>
    <col min="38" max="38" width="14" style="216" customWidth="1"/>
    <col min="39" max="39" width="23" style="197" customWidth="1"/>
    <col min="40" max="40" width="18.85546875" style="197" customWidth="1"/>
    <col min="41" max="41" width="23.7109375" style="197" customWidth="1"/>
    <col min="42" max="42" width="22.42578125" style="197" customWidth="1"/>
    <col min="43" max="43" width="16.42578125" style="197" customWidth="1"/>
    <col min="44" max="44" width="20.5703125" style="197" customWidth="1"/>
    <col min="45" max="16384" width="11.42578125" style="197"/>
  </cols>
  <sheetData>
    <row r="1" spans="1:272" s="200" customFormat="1" ht="20.25" x14ac:dyDescent="0.3">
      <c r="A1" s="376"/>
      <c r="B1" s="377"/>
      <c r="C1" s="378"/>
      <c r="D1" s="367" t="s">
        <v>208</v>
      </c>
      <c r="E1" s="368"/>
      <c r="F1" s="368"/>
      <c r="G1" s="368"/>
      <c r="H1" s="368"/>
      <c r="I1" s="368"/>
      <c r="J1" s="368"/>
      <c r="K1" s="368"/>
      <c r="L1" s="368"/>
      <c r="M1" s="368"/>
      <c r="N1" s="368"/>
      <c r="O1" s="368"/>
      <c r="P1" s="368"/>
      <c r="Q1" s="368"/>
      <c r="R1" s="368"/>
      <c r="S1" s="368"/>
      <c r="T1" s="369"/>
      <c r="U1" s="252"/>
      <c r="V1" s="252"/>
      <c r="W1" s="252"/>
      <c r="X1" s="349"/>
      <c r="Y1" s="349"/>
      <c r="Z1" s="349"/>
      <c r="AA1" s="349"/>
      <c r="AB1" s="349"/>
      <c r="AC1" s="349"/>
      <c r="AD1" s="349"/>
      <c r="AE1" s="349"/>
      <c r="AF1" s="349"/>
      <c r="AG1" s="349"/>
      <c r="AH1" s="349"/>
      <c r="AI1" s="349"/>
      <c r="AJ1" s="349"/>
      <c r="AK1" s="349"/>
      <c r="AL1" s="349"/>
      <c r="AM1" s="349"/>
      <c r="AN1" s="349"/>
      <c r="AO1" s="349"/>
      <c r="AP1" s="349"/>
      <c r="AQ1" s="349"/>
      <c r="AR1" s="34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row>
    <row r="2" spans="1:272" s="200" customFormat="1" ht="21" thickBot="1" x14ac:dyDescent="0.35">
      <c r="A2" s="379"/>
      <c r="B2" s="380"/>
      <c r="C2" s="381"/>
      <c r="D2" s="370"/>
      <c r="E2" s="371"/>
      <c r="F2" s="371"/>
      <c r="G2" s="371"/>
      <c r="H2" s="371"/>
      <c r="I2" s="371"/>
      <c r="J2" s="371"/>
      <c r="K2" s="371"/>
      <c r="L2" s="371"/>
      <c r="M2" s="371"/>
      <c r="N2" s="371"/>
      <c r="O2" s="371"/>
      <c r="P2" s="371"/>
      <c r="Q2" s="371"/>
      <c r="R2" s="371"/>
      <c r="S2" s="371"/>
      <c r="T2" s="372"/>
      <c r="U2" s="252"/>
      <c r="V2" s="252"/>
      <c r="W2" s="252"/>
      <c r="X2" s="349"/>
      <c r="Y2" s="349"/>
      <c r="Z2" s="349"/>
      <c r="AA2" s="349"/>
      <c r="AB2" s="349"/>
      <c r="AC2" s="349"/>
      <c r="AD2" s="349"/>
      <c r="AE2" s="349"/>
      <c r="AF2" s="349"/>
      <c r="AG2" s="349"/>
      <c r="AH2" s="349"/>
      <c r="AI2" s="349"/>
      <c r="AJ2" s="349"/>
      <c r="AK2" s="349"/>
      <c r="AL2" s="349"/>
      <c r="AM2" s="349"/>
      <c r="AN2" s="349"/>
      <c r="AO2" s="349"/>
      <c r="AP2" s="349"/>
      <c r="AQ2" s="349"/>
      <c r="AR2" s="34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row>
    <row r="3" spans="1:272" s="200" customFormat="1" ht="27.75" customHeight="1" thickBot="1" x14ac:dyDescent="0.35">
      <c r="A3" s="379"/>
      <c r="B3" s="380"/>
      <c r="C3" s="381"/>
      <c r="D3" s="373" t="s">
        <v>209</v>
      </c>
      <c r="E3" s="374"/>
      <c r="F3" s="374"/>
      <c r="G3" s="374"/>
      <c r="H3" s="374"/>
      <c r="I3" s="375"/>
      <c r="J3" s="373" t="s">
        <v>210</v>
      </c>
      <c r="K3" s="374"/>
      <c r="L3" s="374"/>
      <c r="M3" s="374"/>
      <c r="N3" s="374"/>
      <c r="O3" s="374"/>
      <c r="P3" s="374"/>
      <c r="Q3" s="374"/>
      <c r="R3" s="374"/>
      <c r="S3" s="374"/>
      <c r="T3" s="375"/>
      <c r="U3" s="253"/>
      <c r="V3" s="253"/>
      <c r="W3" s="252"/>
      <c r="X3" s="350"/>
      <c r="Y3" s="350"/>
      <c r="Z3" s="350"/>
      <c r="AA3" s="350"/>
      <c r="AB3" s="350"/>
      <c r="AC3" s="350"/>
      <c r="AD3" s="350"/>
      <c r="AE3" s="350"/>
      <c r="AF3" s="350"/>
      <c r="AG3" s="350"/>
      <c r="AH3" s="350"/>
      <c r="AI3" s="350"/>
      <c r="AJ3" s="350"/>
      <c r="AK3" s="350"/>
      <c r="AL3" s="350"/>
      <c r="AM3" s="350"/>
      <c r="AN3" s="350"/>
      <c r="AO3" s="350"/>
      <c r="AP3" s="350"/>
      <c r="AQ3" s="350"/>
      <c r="AR3" s="350"/>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row>
    <row r="4" spans="1:272" s="200" customFormat="1" ht="27.75" customHeight="1" thickBot="1" x14ac:dyDescent="0.35">
      <c r="A4" s="382"/>
      <c r="B4" s="383"/>
      <c r="C4" s="384"/>
      <c r="D4" s="373" t="s">
        <v>422</v>
      </c>
      <c r="E4" s="374"/>
      <c r="F4" s="374"/>
      <c r="G4" s="374"/>
      <c r="H4" s="374"/>
      <c r="I4" s="374"/>
      <c r="J4" s="374"/>
      <c r="K4" s="374"/>
      <c r="L4" s="374"/>
      <c r="M4" s="374"/>
      <c r="N4" s="374"/>
      <c r="O4" s="374"/>
      <c r="P4" s="374"/>
      <c r="Q4" s="374"/>
      <c r="R4" s="374"/>
      <c r="S4" s="374"/>
      <c r="T4" s="375"/>
      <c r="U4" s="252"/>
      <c r="V4" s="252"/>
      <c r="W4" s="252"/>
      <c r="X4" s="350"/>
      <c r="Y4" s="350"/>
      <c r="Z4" s="350"/>
      <c r="AA4" s="350"/>
      <c r="AB4" s="350"/>
      <c r="AC4" s="350"/>
      <c r="AD4" s="350"/>
      <c r="AE4" s="350"/>
      <c r="AF4" s="350"/>
      <c r="AG4" s="350"/>
      <c r="AH4" s="350"/>
      <c r="AI4" s="350"/>
      <c r="AJ4" s="350"/>
      <c r="AK4" s="350"/>
      <c r="AL4" s="350"/>
      <c r="AM4" s="350"/>
      <c r="AN4" s="350"/>
      <c r="AO4" s="350"/>
      <c r="AP4" s="350"/>
      <c r="AQ4" s="350"/>
      <c r="AR4" s="350"/>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row>
    <row r="5" spans="1:272" ht="15.75" thickBot="1" x14ac:dyDescent="0.25">
      <c r="A5" s="201"/>
      <c r="B5" s="202"/>
      <c r="C5" s="201"/>
      <c r="D5" s="201"/>
      <c r="E5" s="201"/>
      <c r="F5" s="203"/>
      <c r="G5" s="203"/>
      <c r="H5" s="203"/>
      <c r="I5" s="203"/>
      <c r="J5" s="203"/>
      <c r="K5" s="203"/>
      <c r="L5" s="203"/>
      <c r="M5" s="203"/>
      <c r="N5" s="204"/>
      <c r="O5" s="203"/>
      <c r="P5" s="203"/>
      <c r="Q5" s="203"/>
      <c r="R5" s="203"/>
      <c r="S5" s="203"/>
      <c r="T5" s="203"/>
      <c r="U5" s="203"/>
      <c r="V5" s="203"/>
      <c r="W5" s="203"/>
      <c r="X5" s="203"/>
      <c r="Y5" s="203"/>
      <c r="Z5" s="203"/>
      <c r="AA5" s="203"/>
      <c r="AB5" s="203"/>
      <c r="AC5" s="203"/>
      <c r="AD5" s="203"/>
      <c r="AE5" s="203"/>
      <c r="AF5" s="203"/>
      <c r="AG5" s="203"/>
      <c r="AH5" s="203"/>
      <c r="AI5" s="203"/>
      <c r="AJ5" s="203"/>
      <c r="AK5" s="203"/>
      <c r="AL5" s="254"/>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row>
    <row r="6" spans="1:272" ht="27" customHeight="1" thickBot="1" x14ac:dyDescent="0.25">
      <c r="A6" s="351" t="s">
        <v>211</v>
      </c>
      <c r="B6" s="352"/>
      <c r="C6" s="358" t="s">
        <v>87</v>
      </c>
      <c r="D6" s="359"/>
      <c r="E6" s="359"/>
      <c r="F6" s="359"/>
      <c r="G6" s="359"/>
      <c r="H6" s="359"/>
      <c r="I6" s="359"/>
      <c r="J6" s="359"/>
      <c r="K6" s="359"/>
      <c r="L6" s="359"/>
      <c r="M6" s="359"/>
      <c r="N6" s="359"/>
      <c r="O6" s="359"/>
      <c r="P6" s="359"/>
      <c r="Q6" s="359"/>
      <c r="R6" s="359"/>
      <c r="S6" s="359"/>
      <c r="T6" s="360"/>
      <c r="U6" s="255"/>
      <c r="V6" s="255"/>
      <c r="W6" s="357"/>
      <c r="X6" s="357"/>
      <c r="Y6" s="357"/>
      <c r="Z6" s="348"/>
      <c r="AA6" s="348"/>
      <c r="AB6" s="348"/>
      <c r="AC6" s="348"/>
      <c r="AD6" s="348"/>
      <c r="AE6" s="348"/>
      <c r="AF6" s="348"/>
      <c r="AG6" s="348"/>
      <c r="AH6" s="348"/>
      <c r="AI6" s="348"/>
      <c r="AJ6" s="348"/>
      <c r="AK6" s="348"/>
      <c r="AL6" s="348"/>
      <c r="AM6" s="348"/>
      <c r="AN6" s="348"/>
      <c r="AO6" s="348"/>
      <c r="AP6" s="348"/>
      <c r="AQ6" s="348"/>
      <c r="AR6" s="348"/>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row>
    <row r="7" spans="1:272" ht="46.5" customHeight="1" thickBot="1" x14ac:dyDescent="0.3">
      <c r="A7" s="353" t="s">
        <v>212</v>
      </c>
      <c r="B7" s="354"/>
      <c r="C7" s="361" t="s">
        <v>426</v>
      </c>
      <c r="D7" s="362"/>
      <c r="E7" s="362"/>
      <c r="F7" s="362"/>
      <c r="G7" s="362"/>
      <c r="H7" s="362"/>
      <c r="I7" s="362"/>
      <c r="J7" s="362"/>
      <c r="K7" s="362"/>
      <c r="L7" s="362"/>
      <c r="M7" s="362"/>
      <c r="N7" s="362"/>
      <c r="O7" s="362"/>
      <c r="P7" s="362"/>
      <c r="Q7" s="362"/>
      <c r="R7" s="362"/>
      <c r="S7" s="362"/>
      <c r="T7" s="363"/>
      <c r="U7" s="256"/>
      <c r="V7" s="256"/>
      <c r="W7" s="257"/>
      <c r="X7" s="257"/>
      <c r="Y7" s="257"/>
      <c r="Z7" s="348"/>
      <c r="AA7" s="348"/>
      <c r="AB7" s="348"/>
      <c r="AC7" s="348"/>
      <c r="AD7" s="348"/>
      <c r="AE7" s="348"/>
      <c r="AF7" s="348"/>
      <c r="AG7" s="348"/>
      <c r="AH7" s="348"/>
      <c r="AI7" s="348"/>
      <c r="AJ7" s="348"/>
      <c r="AK7" s="348"/>
      <c r="AL7" s="348"/>
      <c r="AM7" s="348"/>
      <c r="AN7" s="348"/>
      <c r="AO7" s="348"/>
      <c r="AP7" s="348"/>
      <c r="AQ7" s="348"/>
      <c r="AR7" s="348"/>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row>
    <row r="8" spans="1:272" ht="35.25" customHeight="1" thickBot="1" x14ac:dyDescent="0.3">
      <c r="A8" s="355" t="s">
        <v>213</v>
      </c>
      <c r="B8" s="356"/>
      <c r="C8" s="361" t="s">
        <v>427</v>
      </c>
      <c r="D8" s="362"/>
      <c r="E8" s="362"/>
      <c r="F8" s="362"/>
      <c r="G8" s="362"/>
      <c r="H8" s="362"/>
      <c r="I8" s="362"/>
      <c r="J8" s="362"/>
      <c r="K8" s="362"/>
      <c r="L8" s="362"/>
      <c r="M8" s="362"/>
      <c r="N8" s="362"/>
      <c r="O8" s="362"/>
      <c r="P8" s="362"/>
      <c r="Q8" s="362"/>
      <c r="R8" s="362"/>
      <c r="S8" s="362"/>
      <c r="T8" s="363"/>
      <c r="U8" s="256"/>
      <c r="V8" s="256"/>
      <c r="W8" s="257"/>
      <c r="X8" s="257"/>
      <c r="Y8" s="257"/>
      <c r="Z8" s="348"/>
      <c r="AA8" s="348"/>
      <c r="AB8" s="348"/>
      <c r="AC8" s="348"/>
      <c r="AD8" s="348"/>
      <c r="AE8" s="348"/>
      <c r="AF8" s="348"/>
      <c r="AG8" s="348"/>
      <c r="AH8" s="348"/>
      <c r="AI8" s="348"/>
      <c r="AJ8" s="348"/>
      <c r="AK8" s="348"/>
      <c r="AL8" s="348"/>
      <c r="AM8" s="348"/>
      <c r="AN8" s="348"/>
      <c r="AO8" s="348"/>
      <c r="AP8" s="348"/>
      <c r="AQ8" s="348"/>
      <c r="AR8" s="348"/>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row>
    <row r="9" spans="1:272" ht="15.75" x14ac:dyDescent="0.25">
      <c r="A9" s="205"/>
      <c r="B9" s="205"/>
      <c r="C9" s="206"/>
      <c r="D9" s="206"/>
      <c r="E9" s="206"/>
      <c r="F9" s="206"/>
      <c r="G9" s="206"/>
      <c r="H9" s="206"/>
      <c r="I9" s="206"/>
      <c r="J9" s="206"/>
      <c r="K9" s="206"/>
      <c r="L9" s="206"/>
      <c r="M9" s="206"/>
      <c r="N9" s="206"/>
      <c r="O9" s="206"/>
      <c r="P9" s="206"/>
      <c r="Q9" s="206"/>
      <c r="R9" s="206"/>
      <c r="S9" s="206"/>
      <c r="T9" s="206"/>
      <c r="U9" s="206"/>
      <c r="V9" s="206"/>
      <c r="W9" s="207"/>
      <c r="X9" s="207"/>
      <c r="Y9" s="207"/>
      <c r="Z9" s="208"/>
      <c r="AA9" s="208"/>
      <c r="AB9" s="208"/>
      <c r="AC9" s="208"/>
      <c r="AD9" s="208"/>
      <c r="AE9" s="208"/>
      <c r="AF9" s="208"/>
      <c r="AG9" s="208"/>
      <c r="AH9" s="208"/>
      <c r="AI9" s="208"/>
      <c r="AJ9" s="208"/>
      <c r="AK9" s="208"/>
      <c r="AL9" s="208"/>
      <c r="AM9" s="208"/>
      <c r="AN9" s="208"/>
      <c r="AO9" s="208"/>
      <c r="AP9" s="208"/>
      <c r="AQ9" s="208"/>
      <c r="AR9" s="208"/>
    </row>
    <row r="10" spans="1:272" ht="27.75" customHeight="1" x14ac:dyDescent="0.2">
      <c r="A10" s="364" t="s">
        <v>214</v>
      </c>
      <c r="B10" s="365"/>
      <c r="C10" s="365"/>
      <c r="D10" s="365"/>
      <c r="E10" s="365"/>
      <c r="F10" s="366"/>
      <c r="G10" s="328" t="s">
        <v>215</v>
      </c>
      <c r="H10" s="329"/>
      <c r="I10" s="329"/>
      <c r="J10" s="329"/>
      <c r="K10" s="330"/>
      <c r="L10" s="314" t="s">
        <v>216</v>
      </c>
      <c r="M10" s="315"/>
      <c r="N10" s="316" t="s">
        <v>217</v>
      </c>
      <c r="O10" s="317"/>
      <c r="P10" s="317"/>
      <c r="Q10" s="317"/>
      <c r="R10" s="317"/>
      <c r="S10" s="317"/>
      <c r="T10" s="317"/>
      <c r="U10" s="317"/>
      <c r="V10" s="318"/>
      <c r="W10" s="326" t="s">
        <v>218</v>
      </c>
      <c r="X10" s="326"/>
      <c r="Y10" s="326"/>
      <c r="Z10" s="326"/>
      <c r="AA10" s="326"/>
      <c r="AB10" s="326"/>
      <c r="AC10" s="326"/>
      <c r="AD10" s="326"/>
      <c r="AE10" s="326"/>
      <c r="AF10" s="333" t="s">
        <v>219</v>
      </c>
      <c r="AG10" s="334"/>
      <c r="AH10" s="334"/>
      <c r="AI10" s="334"/>
      <c r="AJ10" s="335"/>
      <c r="AK10" s="316" t="s">
        <v>423</v>
      </c>
      <c r="AL10" s="317"/>
      <c r="AM10" s="317"/>
      <c r="AN10" s="317"/>
      <c r="AO10" s="318"/>
      <c r="AP10" s="316" t="s">
        <v>424</v>
      </c>
      <c r="AQ10" s="317"/>
      <c r="AR10" s="318"/>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row>
    <row r="11" spans="1:272" ht="15.75" x14ac:dyDescent="0.2">
      <c r="A11" s="338" t="s">
        <v>222</v>
      </c>
      <c r="B11" s="339" t="s">
        <v>15</v>
      </c>
      <c r="C11" s="340" t="s">
        <v>17</v>
      </c>
      <c r="D11" s="340" t="s">
        <v>19</v>
      </c>
      <c r="E11" s="339" t="s">
        <v>21</v>
      </c>
      <c r="F11" s="340" t="s">
        <v>23</v>
      </c>
      <c r="G11" s="341" t="s">
        <v>124</v>
      </c>
      <c r="H11" s="341" t="s">
        <v>223</v>
      </c>
      <c r="I11" s="341" t="s">
        <v>224</v>
      </c>
      <c r="J11" s="341" t="s">
        <v>225</v>
      </c>
      <c r="K11" s="341" t="s">
        <v>226</v>
      </c>
      <c r="L11" s="314"/>
      <c r="M11" s="315"/>
      <c r="N11" s="312" t="s">
        <v>227</v>
      </c>
      <c r="O11" s="312" t="s">
        <v>228</v>
      </c>
      <c r="P11" s="336" t="s">
        <v>229</v>
      </c>
      <c r="Q11" s="312" t="s">
        <v>230</v>
      </c>
      <c r="R11" s="312" t="s">
        <v>231</v>
      </c>
      <c r="S11" s="312" t="s">
        <v>232</v>
      </c>
      <c r="T11" s="336" t="s">
        <v>229</v>
      </c>
      <c r="U11" s="312" t="s">
        <v>29</v>
      </c>
      <c r="V11" s="324" t="s">
        <v>233</v>
      </c>
      <c r="W11" s="312" t="s">
        <v>31</v>
      </c>
      <c r="X11" s="312" t="s">
        <v>33</v>
      </c>
      <c r="Y11" s="312" t="s">
        <v>234</v>
      </c>
      <c r="Z11" s="312"/>
      <c r="AA11" s="312"/>
      <c r="AB11" s="312"/>
      <c r="AC11" s="312"/>
      <c r="AD11" s="312"/>
      <c r="AE11" s="324" t="s">
        <v>235</v>
      </c>
      <c r="AF11" s="324" t="s">
        <v>236</v>
      </c>
      <c r="AG11" s="324" t="s">
        <v>229</v>
      </c>
      <c r="AH11" s="324" t="s">
        <v>237</v>
      </c>
      <c r="AI11" s="324" t="s">
        <v>229</v>
      </c>
      <c r="AJ11" s="324" t="s">
        <v>238</v>
      </c>
      <c r="AK11" s="324" t="s">
        <v>49</v>
      </c>
      <c r="AL11" s="312" t="s">
        <v>239</v>
      </c>
      <c r="AM11" s="312" t="s">
        <v>240</v>
      </c>
      <c r="AN11" s="312" t="s">
        <v>241</v>
      </c>
      <c r="AO11" s="312" t="s">
        <v>242</v>
      </c>
      <c r="AP11" s="312" t="s">
        <v>239</v>
      </c>
      <c r="AQ11" s="312" t="s">
        <v>241</v>
      </c>
      <c r="AR11" s="312" t="s">
        <v>240</v>
      </c>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row>
    <row r="12" spans="1:272" s="212" customFormat="1" ht="99" x14ac:dyDescent="0.25">
      <c r="A12" s="338"/>
      <c r="B12" s="339"/>
      <c r="C12" s="340"/>
      <c r="D12" s="340"/>
      <c r="E12" s="339"/>
      <c r="F12" s="340"/>
      <c r="G12" s="342"/>
      <c r="H12" s="342"/>
      <c r="I12" s="342"/>
      <c r="J12" s="342"/>
      <c r="K12" s="342"/>
      <c r="L12" s="249" t="s">
        <v>425</v>
      </c>
      <c r="M12" s="249" t="s">
        <v>246</v>
      </c>
      <c r="N12" s="312"/>
      <c r="O12" s="312"/>
      <c r="P12" s="336"/>
      <c r="Q12" s="312"/>
      <c r="R12" s="312"/>
      <c r="S12" s="336"/>
      <c r="T12" s="336"/>
      <c r="U12" s="312"/>
      <c r="V12" s="324"/>
      <c r="W12" s="312"/>
      <c r="X12" s="312"/>
      <c r="Y12" s="209" t="s">
        <v>247</v>
      </c>
      <c r="Z12" s="209" t="s">
        <v>248</v>
      </c>
      <c r="AA12" s="209" t="s">
        <v>249</v>
      </c>
      <c r="AB12" s="209" t="s">
        <v>250</v>
      </c>
      <c r="AC12" s="209" t="s">
        <v>251</v>
      </c>
      <c r="AD12" s="209" t="s">
        <v>252</v>
      </c>
      <c r="AE12" s="324"/>
      <c r="AF12" s="324"/>
      <c r="AG12" s="324"/>
      <c r="AH12" s="324"/>
      <c r="AI12" s="324"/>
      <c r="AJ12" s="324"/>
      <c r="AK12" s="324"/>
      <c r="AL12" s="312"/>
      <c r="AM12" s="312"/>
      <c r="AN12" s="312"/>
      <c r="AO12" s="312"/>
      <c r="AP12" s="312"/>
      <c r="AQ12" s="312"/>
      <c r="AR12" s="312"/>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c r="IW12" s="211"/>
      <c r="IX12" s="211"/>
      <c r="IY12" s="211"/>
      <c r="IZ12" s="211"/>
      <c r="JA12" s="211"/>
      <c r="JB12" s="211"/>
      <c r="JC12" s="211"/>
      <c r="JD12" s="211"/>
      <c r="JE12" s="211"/>
      <c r="JF12" s="211"/>
      <c r="JG12" s="211"/>
      <c r="JH12" s="211"/>
      <c r="JI12" s="211"/>
      <c r="JJ12" s="211"/>
      <c r="JK12" s="211"/>
      <c r="JL12" s="211"/>
    </row>
    <row r="13" spans="1:272" s="214" customFormat="1" ht="240" customHeight="1" x14ac:dyDescent="0.25">
      <c r="A13" s="337">
        <v>1</v>
      </c>
      <c r="B13" s="331" t="s">
        <v>122</v>
      </c>
      <c r="C13" s="331" t="s">
        <v>428</v>
      </c>
      <c r="D13" s="331" t="s">
        <v>434</v>
      </c>
      <c r="E13" s="332" t="s">
        <v>435</v>
      </c>
      <c r="F13" s="331" t="s">
        <v>140</v>
      </c>
      <c r="G13" s="319" t="s">
        <v>130</v>
      </c>
      <c r="H13" s="319" t="s">
        <v>463</v>
      </c>
      <c r="I13" s="319" t="s">
        <v>470</v>
      </c>
      <c r="J13" s="319" t="s">
        <v>471</v>
      </c>
      <c r="K13" s="319" t="s">
        <v>472</v>
      </c>
      <c r="L13" s="319" t="s">
        <v>131</v>
      </c>
      <c r="M13" s="319" t="s">
        <v>143</v>
      </c>
      <c r="N13" s="327">
        <v>200</v>
      </c>
      <c r="O13" s="323" t="str">
        <f>IF(N13&lt;=0,"",IF(N13&lt;=2,"Muy Baja",IF(N13&lt;=24,"Baja",IF(N13&lt;=500,"Media",IF(N13&lt;=5000,"Alta","Muy Alta")))))</f>
        <v>Media</v>
      </c>
      <c r="P13" s="322">
        <f>IF(O13="","",IF(O13="Muy Baja",0.2,IF(O13="Baja",0.4,IF(O13="Media",0.6,IF(O13="Alta",0.8,IF(O13="Muy Alta",1,))))))</f>
        <v>0.6</v>
      </c>
      <c r="Q13" s="313" t="s">
        <v>253</v>
      </c>
      <c r="R13" s="322"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23" t="str">
        <f>IF(OR(R13='Tabla Impacto'!$C$12,R13='Tabla Impacto'!$D$12),"Leve",IF(OR(R13='Tabla Impacto'!$C$13,R13='Tabla Impacto'!$D$13),"Menor",IF(OR(R13='Tabla Impacto'!$C$14,R13='Tabla Impacto'!$D$14),"Moderado",IF(OR(R13='Tabla Impacto'!$C$15,R13='Tabla Impacto'!$D$15),"Mayor",IF(OR(R13='Tabla Impacto'!$C$16,R13='Tabla Impacto'!$D$16),"Catastrófico","")))))</f>
        <v>Moderado</v>
      </c>
      <c r="T13" s="322">
        <f>IF(S13="","",IF(S13="Leve",0.2,IF(S13="Menor",0.4,IF(S13="Moderado",0.6,IF(S13="Mayor",0.8,IF(S13="Catastrófico",1,))))))</f>
        <v>0.6</v>
      </c>
      <c r="U13" s="321"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3">
        <v>1</v>
      </c>
      <c r="W13" s="186" t="s">
        <v>487</v>
      </c>
      <c r="X13" s="188" t="str">
        <f t="shared" ref="X13:X14" si="0">IF(OR(Y13="Preventivo",Y13="Detectivo"),"Probabilidad",IF(Y13="Correctivo","Impacto",""))</f>
        <v>Probabilidad</v>
      </c>
      <c r="Y13" s="189" t="s">
        <v>254</v>
      </c>
      <c r="Z13" s="189" t="s">
        <v>255</v>
      </c>
      <c r="AA13" s="190" t="str">
        <f>IF(AND(Y13="Preventivo",Z13="Automático"),"50%",IF(AND(Y13="Preventivo",Z13="Manual"),"40%",IF(AND(Y13="Detectivo",Z13="Automático"),"40%",IF(AND(Y13="Detectivo",Z13="Manual"),"30%",IF(AND(Y13="Correctivo",Z13="Automático"),"35%",IF(AND(Y13="Correctivo",Z13="Manual"),"25%",""))))))</f>
        <v>40%</v>
      </c>
      <c r="AB13" s="189" t="s">
        <v>256</v>
      </c>
      <c r="AC13" s="189" t="s">
        <v>257</v>
      </c>
      <c r="AD13" s="189" t="s">
        <v>258</v>
      </c>
      <c r="AE13" s="191">
        <f>IFERROR(IF(X13="Probabilidad",(P13-(+P13*AA13)),IF(X13="Impacto",P13,"")),"")</f>
        <v>0.36</v>
      </c>
      <c r="AF13" s="192" t="str">
        <f>IFERROR(IF(AE13="","",IF(AE13&lt;=0.2,"Muy Baja",IF(AE13&lt;=0.4,"Baja",IF(AE13&lt;=0.6,"Media",IF(AE13&lt;=0.8,"Alta","Muy Alta"))))),"")</f>
        <v>Baja</v>
      </c>
      <c r="AG13" s="190">
        <f>+AE13</f>
        <v>0.36</v>
      </c>
      <c r="AH13" s="192" t="str">
        <f>IFERROR(IF(AI13="","",IF(AI13&lt;=0.2,"Leve",IF(AI13&lt;=0.4,"Menor",IF(AI13&lt;=0.6,"Moderado",IF(AI13&lt;=0.8,"Mayor","Catastrófico"))))),"")</f>
        <v>Moderado</v>
      </c>
      <c r="AI13" s="190">
        <f>IFERROR(IF(X13="Impacto",(T13-(+T13*AA13)),IF(X13="Probabilidad",T13,"")),"")</f>
        <v>0.6</v>
      </c>
      <c r="AJ13" s="193"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4" t="s">
        <v>123</v>
      </c>
      <c r="AL13" s="185" t="s">
        <v>436</v>
      </c>
      <c r="AM13" s="185" t="s">
        <v>437</v>
      </c>
      <c r="AN13" s="185" t="s">
        <v>438</v>
      </c>
      <c r="AO13" s="261" t="s">
        <v>439</v>
      </c>
      <c r="AP13" s="331" t="s">
        <v>431</v>
      </c>
      <c r="AQ13" s="331" t="s">
        <v>483</v>
      </c>
      <c r="AR13" s="331" t="s">
        <v>432</v>
      </c>
    </row>
    <row r="14" spans="1:272" ht="240.75" customHeight="1" x14ac:dyDescent="0.2">
      <c r="A14" s="337"/>
      <c r="B14" s="331"/>
      <c r="C14" s="331"/>
      <c r="D14" s="331"/>
      <c r="E14" s="332"/>
      <c r="F14" s="331"/>
      <c r="G14" s="320"/>
      <c r="H14" s="320"/>
      <c r="I14" s="320"/>
      <c r="J14" s="320"/>
      <c r="K14" s="320"/>
      <c r="L14" s="320"/>
      <c r="M14" s="320"/>
      <c r="N14" s="327"/>
      <c r="O14" s="323"/>
      <c r="P14" s="322"/>
      <c r="Q14" s="313"/>
      <c r="R14" s="322">
        <f>IF(NOT(ISERROR(MATCH(Q14,_xlfn.ANCHORARRAY(E17),0))),P19&amp;"Por favor no seleccionar los criterios de impacto",Q14)</f>
        <v>0</v>
      </c>
      <c r="S14" s="323"/>
      <c r="T14" s="322"/>
      <c r="U14" s="321"/>
      <c r="V14" s="213">
        <v>2</v>
      </c>
      <c r="W14" s="186" t="s">
        <v>444</v>
      </c>
      <c r="X14" s="188" t="str">
        <f t="shared" si="0"/>
        <v>Probabilidad</v>
      </c>
      <c r="Y14" s="189" t="s">
        <v>254</v>
      </c>
      <c r="Z14" s="189" t="s">
        <v>255</v>
      </c>
      <c r="AA14" s="190" t="str">
        <f t="shared" ref="AA14" si="1">IF(AND(Y14="Preventivo",Z14="Automático"),"50%",IF(AND(Y14="Preventivo",Z14="Manual"),"40%",IF(AND(Y14="Detectivo",Z14="Automático"),"40%",IF(AND(Y14="Detectivo",Z14="Manual"),"30%",IF(AND(Y14="Correctivo",Z14="Automático"),"35%",IF(AND(Y14="Correctivo",Z14="Manual"),"25%",""))))))</f>
        <v>40%</v>
      </c>
      <c r="AB14" s="189" t="s">
        <v>256</v>
      </c>
      <c r="AC14" s="189" t="s">
        <v>257</v>
      </c>
      <c r="AD14" s="189" t="s">
        <v>258</v>
      </c>
      <c r="AE14" s="191">
        <f>IFERROR(IF(AND(X13="Probabilidad",X14="Probabilidad"),(AG13-(+AG13*AA14)),IF(X14="Probabilidad",(P13-(+P13*AA14)),IF(X14="Impacto",AG13,""))),"")</f>
        <v>0.216</v>
      </c>
      <c r="AF14" s="192" t="str">
        <f t="shared" ref="AF14:AF64" si="2">IFERROR(IF(AE14="","",IF(AE14&lt;=0.2,"Muy Baja",IF(AE14&lt;=0.4,"Baja",IF(AE14&lt;=0.6,"Media",IF(AE14&lt;=0.8,"Alta","Muy Alta"))))),"")</f>
        <v>Baja</v>
      </c>
      <c r="AG14" s="190">
        <f t="shared" ref="AG14" si="3">+AE14</f>
        <v>0.216</v>
      </c>
      <c r="AH14" s="192" t="str">
        <f t="shared" ref="AH14:AH64" si="4">IFERROR(IF(AI14="","",IF(AI14&lt;=0.2,"Leve",IF(AI14&lt;=0.4,"Menor",IF(AI14&lt;=0.6,"Moderado",IF(AI14&lt;=0.8,"Mayor","Catastrófico"))))),"")</f>
        <v>Moderado</v>
      </c>
      <c r="AI14" s="190">
        <f>IFERROR(IF(AND(X13="Impacto",X14="Impacto"),(AI13-(+AI13*AA14)),IF(X14="Impacto",($T$13-(+$T$13*AA14)),IF(X14="Probabilidad",AI13,""))),"")</f>
        <v>0.6</v>
      </c>
      <c r="AJ14" s="193" t="str">
        <f t="shared" ref="AJ14"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4" t="s">
        <v>123</v>
      </c>
      <c r="AL14" s="185" t="s">
        <v>440</v>
      </c>
      <c r="AM14" s="185" t="s">
        <v>441</v>
      </c>
      <c r="AN14" s="185" t="s">
        <v>442</v>
      </c>
      <c r="AO14" s="261" t="s">
        <v>443</v>
      </c>
      <c r="AP14" s="331"/>
      <c r="AQ14" s="331"/>
      <c r="AR14" s="331"/>
    </row>
    <row r="15" spans="1:272" ht="248.25" customHeight="1" x14ac:dyDescent="0.2">
      <c r="A15" s="337">
        <v>2</v>
      </c>
      <c r="B15" s="331" t="s">
        <v>118</v>
      </c>
      <c r="C15" s="331" t="s">
        <v>466</v>
      </c>
      <c r="D15" s="331" t="s">
        <v>433</v>
      </c>
      <c r="E15" s="332" t="s">
        <v>469</v>
      </c>
      <c r="F15" s="331" t="s">
        <v>144</v>
      </c>
      <c r="G15" s="319" t="s">
        <v>130</v>
      </c>
      <c r="H15" s="319" t="s">
        <v>429</v>
      </c>
      <c r="I15" s="319" t="s">
        <v>473</v>
      </c>
      <c r="J15" s="319" t="s">
        <v>474</v>
      </c>
      <c r="K15" s="319" t="s">
        <v>475</v>
      </c>
      <c r="L15" s="319" t="s">
        <v>131</v>
      </c>
      <c r="M15" s="319" t="s">
        <v>143</v>
      </c>
      <c r="N15" s="327">
        <v>24</v>
      </c>
      <c r="O15" s="323" t="str">
        <f>IF(N15&lt;=0,"",IF(N15&lt;=2,"Muy Baja",IF(N15&lt;=24,"Baja",IF(N15&lt;=500,"Media",IF(N15&lt;=5000,"Alta","Muy Alta")))))</f>
        <v>Baja</v>
      </c>
      <c r="P15" s="322">
        <f>IF(O15="","",IF(O15="Muy Baja",0.2,IF(O15="Baja",0.4,IF(O15="Media",0.6,IF(O15="Alta",0.8,IF(O15="Muy Alta",1,))))))</f>
        <v>0.4</v>
      </c>
      <c r="Q15" s="313" t="s">
        <v>349</v>
      </c>
      <c r="R15" s="322" t="str">
        <f>IF(NOT(ISERROR(MATCH(Q15,'Tabla Impacto'!$B$222:$B$224,0))),'Tabla Impacto'!$F$224&amp;"Por favor no seleccionar los criterios de impacto(Afectación Económica o presupuestal y Pérdida Reputacional)",Q15)</f>
        <v xml:space="preserve">     Afectación menor a 130 SMLMV .</v>
      </c>
      <c r="S15" s="323" t="str">
        <f>IF(OR(R15='Tabla Impacto'!$C$12,R15='Tabla Impacto'!$D$12),"Leve",IF(OR(R15='Tabla Impacto'!$C$13,R15='Tabla Impacto'!$D$13),"Menor",IF(OR(R15='Tabla Impacto'!$C$14,R15='Tabla Impacto'!$D$14),"Moderado",IF(OR(R15='Tabla Impacto'!$C$15,R15='Tabla Impacto'!$D$15),"Mayor",IF(OR(R15='Tabla Impacto'!$C$16,R15='Tabla Impacto'!$D$16),"Catastrófico","")))))</f>
        <v>Leve</v>
      </c>
      <c r="T15" s="322">
        <f>IF(S15="","",IF(S15="Leve",0.2,IF(S15="Menor",0.4,IF(S15="Moderado",0.6,IF(S15="Mayor",0.8,IF(S15="Catastrófico",1,))))))</f>
        <v>0.2</v>
      </c>
      <c r="U15" s="321" t="str">
        <f>IF(OR(AND(O15="Muy Baja",S15="Leve"),AND(O15="Muy Baja",S15="Menor"),AND(O15="Baja",S15="Leve")),"Bajo",IF(OR(AND(O15="Muy baja",S15="Moderado"),AND(O15="Baja",S15="Menor"),AND(O15="Baja",S15="Moderado"),AND(O15="Media",S15="Leve"),AND(O15="Media",S15="Menor"),AND(O15="Media",S15="Moderado"),AND(O15="Alta",S15="Leve"),AND(O15="Alta",S15="Menor")),"Moderado",IF(OR(AND(O15="Muy Baja",S15="Mayor"),AND(O15="Baja",S15="Mayor"),AND(O15="Media",S15="Mayor"),AND(O15="Alta",S15="Moderado"),AND(O15="Alta",S15="Mayor"),AND(O15="Muy Alta",S15="Leve"),AND(O15="Muy Alta",S15="Menor"),AND(O15="Muy Alta",S15="Moderado"),AND(O15="Muy Alta",S15="Mayor")),"Alto",IF(OR(AND(O15="Muy Baja",S15="Catastrófico"),AND(O15="Baja",S15="Catastrófico"),AND(O15="Media",S15="Catastrófico"),AND(O15="Alta",S15="Catastrófico"),AND(O15="Muy Alta",S15="Catastrófico")),"Extremo",""))))</f>
        <v>Bajo</v>
      </c>
      <c r="V15" s="213">
        <v>1</v>
      </c>
      <c r="W15" s="186" t="s">
        <v>445</v>
      </c>
      <c r="X15" s="188" t="str">
        <f>IF(OR(Y15="Preventivo",Y15="Detectivo"),"Probabilidad",IF(Y15="Correctivo","Impacto",""))</f>
        <v>Probabilidad</v>
      </c>
      <c r="Y15" s="189" t="s">
        <v>254</v>
      </c>
      <c r="Z15" s="189" t="s">
        <v>255</v>
      </c>
      <c r="AA15" s="190" t="str">
        <f>IF(AND(Y15="Preventivo",Z15="Automático"),"50%",IF(AND(Y15="Preventivo",Z15="Manual"),"40%",IF(AND(Y15="Detectivo",Z15="Automático"),"40%",IF(AND(Y15="Detectivo",Z15="Manual"),"30%",IF(AND(Y15="Correctivo",Z15="Automático"),"35%",IF(AND(Y15="Correctivo",Z15="Manual"),"25%",""))))))</f>
        <v>40%</v>
      </c>
      <c r="AB15" s="189" t="s">
        <v>256</v>
      </c>
      <c r="AC15" s="189" t="s">
        <v>257</v>
      </c>
      <c r="AD15" s="189" t="s">
        <v>258</v>
      </c>
      <c r="AE15" s="191">
        <f>IFERROR(IF(X15="Probabilidad",(P15-(+P15*AA15)),IF(X15="Impacto",P15,"")),"")</f>
        <v>0.24</v>
      </c>
      <c r="AF15" s="192" t="str">
        <f>IFERROR(IF(AE15="","",IF(AE15&lt;=0.2,"Muy Baja",IF(AE15&lt;=0.4,"Baja",IF(AE15&lt;=0.6,"Media",IF(AE15&lt;=0.8,"Alta","Muy Alta"))))),"")</f>
        <v>Baja</v>
      </c>
      <c r="AG15" s="190">
        <f>+AE15</f>
        <v>0.24</v>
      </c>
      <c r="AH15" s="192" t="str">
        <f>IFERROR(IF(AI15="","",IF(AI15&lt;=0.2,"Leve",IF(AI15&lt;=0.4,"Menor",IF(AI15&lt;=0.6,"Moderado",IF(AI15&lt;=0.8,"Mayor","Catastrófico"))))),"")</f>
        <v>Leve</v>
      </c>
      <c r="AI15" s="190">
        <f t="shared" ref="AI15" si="6">IFERROR(IF(X15="Impacto",(T15-(+T15*AA15)),IF(X15="Probabilidad",T15,"")),"")</f>
        <v>0.2</v>
      </c>
      <c r="AJ15" s="193" t="str">
        <f>IFERROR(IF(OR(AND(AF15="Muy Baja",AH15="Leve"),AND(AF15="Muy Baja",AH15="Menor"),AND(AF15="Baja",AH15="Leve")),"Bajo",IF(OR(AND(AF15="Muy baja",AH15="Moderado"),AND(AF15="Baja",AH15="Menor"),AND(AF15="Baja",AH15="Moderado"),AND(AF15="Media",AH15="Leve"),AND(AF15="Media",AH15="Menor"),AND(AF15="Media",AH15="Moderado"),AND(AF15="Alta",AH15="Leve"),AND(AF15="Alta",AH15="Menor")),"Moderado",IF(OR(AND(AF15="Muy Baja",AH15="Mayor"),AND(AF15="Baja",AH15="Mayor"),AND(AF15="Media",AH15="Mayor"),AND(AF15="Alta",AH15="Moderado"),AND(AF15="Alta",AH15="Mayor"),AND(AF15="Muy Alta",AH15="Leve"),AND(AF15="Muy Alta",AH15="Menor"),AND(AF15="Muy Alta",AH15="Moderado"),AND(AF15="Muy Alta",AH15="Mayor")),"Alto",IF(OR(AND(AF15="Muy Baja",AH15="Catastrófico"),AND(AF15="Baja",AH15="Catastrófico"),AND(AF15="Media",AH15="Catastrófico"),AND(AF15="Alta",AH15="Catastrófico"),AND(AF15="Muy Alta",AH15="Catastrófico")),"Extremo","")))),"")</f>
        <v>Bajo</v>
      </c>
      <c r="AK15" s="194" t="s">
        <v>117</v>
      </c>
      <c r="AL15" s="185"/>
      <c r="AM15" s="185"/>
      <c r="AN15" s="185"/>
      <c r="AO15" s="261"/>
      <c r="AP15" s="331" t="s">
        <v>486</v>
      </c>
      <c r="AQ15" s="331" t="s">
        <v>485</v>
      </c>
      <c r="AR15" s="331" t="s">
        <v>432</v>
      </c>
    </row>
    <row r="16" spans="1:272" ht="244.5" customHeight="1" x14ac:dyDescent="0.2">
      <c r="A16" s="337"/>
      <c r="B16" s="331"/>
      <c r="C16" s="331"/>
      <c r="D16" s="331"/>
      <c r="E16" s="332"/>
      <c r="F16" s="331"/>
      <c r="G16" s="320"/>
      <c r="H16" s="320"/>
      <c r="I16" s="320"/>
      <c r="J16" s="320"/>
      <c r="K16" s="320"/>
      <c r="L16" s="320"/>
      <c r="M16" s="320"/>
      <c r="N16" s="327"/>
      <c r="O16" s="323"/>
      <c r="P16" s="322"/>
      <c r="Q16" s="313"/>
      <c r="R16" s="322">
        <f>IF(NOT(ISERROR(MATCH(Q16,_xlfn.ANCHORARRAY(E23),0))),P25&amp;"Por favor no seleccionar los criterios de impacto",Q16)</f>
        <v>0</v>
      </c>
      <c r="S16" s="323"/>
      <c r="T16" s="322"/>
      <c r="U16" s="321"/>
      <c r="V16" s="213">
        <v>2</v>
      </c>
      <c r="W16" s="186" t="s">
        <v>446</v>
      </c>
      <c r="X16" s="188" t="str">
        <f>IF(OR(Y16="Preventivo",Y16="Detectivo"),"Probabilidad",IF(Y16="Correctivo","Impacto",""))</f>
        <v>Probabilidad</v>
      </c>
      <c r="Y16" s="189" t="s">
        <v>254</v>
      </c>
      <c r="Z16" s="189" t="s">
        <v>255</v>
      </c>
      <c r="AA16" s="190" t="str">
        <f t="shared" ref="AA16" si="7">IF(AND(Y16="Preventivo",Z16="Automático"),"50%",IF(AND(Y16="Preventivo",Z16="Manual"),"40%",IF(AND(Y16="Detectivo",Z16="Automático"),"40%",IF(AND(Y16="Detectivo",Z16="Manual"),"30%",IF(AND(Y16="Correctivo",Z16="Automático"),"35%",IF(AND(Y16="Correctivo",Z16="Manual"),"25%",""))))))</f>
        <v>40%</v>
      </c>
      <c r="AB16" s="189" t="s">
        <v>256</v>
      </c>
      <c r="AC16" s="189" t="s">
        <v>257</v>
      </c>
      <c r="AD16" s="189" t="s">
        <v>258</v>
      </c>
      <c r="AE16" s="191">
        <f>IFERROR(IF(AND(X15="Probabilidad",X16="Probabilidad"),(AG15-(+AG15*AA16)),IF(X16="Probabilidad",(P15-(+P15*AA16)),IF(X16="Impacto",AG15,""))),"")</f>
        <v>0.14399999999999999</v>
      </c>
      <c r="AF16" s="192" t="str">
        <f t="shared" si="2"/>
        <v>Muy Baja</v>
      </c>
      <c r="AG16" s="190">
        <f t="shared" ref="AG16" si="8">+AE16</f>
        <v>0.14399999999999999</v>
      </c>
      <c r="AH16" s="192" t="str">
        <f t="shared" si="4"/>
        <v>Leve</v>
      </c>
      <c r="AI16" s="190">
        <f t="shared" ref="AI16" si="9">IFERROR(IF(AND(X15="Impacto",X16="Impacto"),(AI15-(+AI15*AA16)),IF(X16="Impacto",($T$13-(+$T$13*AA16)),IF(X16="Probabilidad",AI15,""))),"")</f>
        <v>0.2</v>
      </c>
      <c r="AJ16" s="193" t="str">
        <f t="shared" ref="AJ16" si="10">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Bajo</v>
      </c>
      <c r="AK16" s="194" t="s">
        <v>117</v>
      </c>
      <c r="AL16" s="185"/>
      <c r="AM16" s="195"/>
      <c r="AN16" s="185"/>
      <c r="AO16" s="196"/>
      <c r="AP16" s="331"/>
      <c r="AQ16" s="331"/>
      <c r="AR16" s="331"/>
    </row>
    <row r="17" spans="1:44" x14ac:dyDescent="0.2">
      <c r="A17" s="337">
        <v>3</v>
      </c>
      <c r="B17" s="331"/>
      <c r="C17" s="331"/>
      <c r="D17" s="331"/>
      <c r="E17" s="332"/>
      <c r="F17" s="331"/>
      <c r="G17" s="319"/>
      <c r="H17" s="319"/>
      <c r="I17" s="319"/>
      <c r="J17" s="319"/>
      <c r="K17" s="319"/>
      <c r="L17" s="319"/>
      <c r="M17" s="319"/>
      <c r="N17" s="327"/>
      <c r="O17" s="323" t="str">
        <f>IF(N17&lt;=0,"",IF(N17&lt;=2,"Muy Baja",IF(N17&lt;=24,"Baja",IF(N17&lt;=500,"Media",IF(N17&lt;=5000,"Alta","Muy Alta")))))</f>
        <v/>
      </c>
      <c r="P17" s="322" t="str">
        <f>IF(O17="","",IF(O17="Muy Baja",0.2,IF(O17="Baja",0.4,IF(O17="Media",0.6,IF(O17="Alta",0.8,IF(O17="Muy Alta",1,))))))</f>
        <v/>
      </c>
      <c r="Q17" s="313"/>
      <c r="R17" s="322">
        <f>IF(NOT(ISERROR(MATCH(Q17,'Tabla Impacto'!$B$222:$B$224,0))),'Tabla Impacto'!$F$224&amp;"Por favor no seleccionar los criterios de impacto(Afectación Económica o presupuestal y Pérdida Reputacional)",Q17)</f>
        <v>0</v>
      </c>
      <c r="S17" s="323" t="str">
        <f>IF(OR(R17='Tabla Impacto'!$C$12,R17='Tabla Impacto'!$D$12),"Leve",IF(OR(R17='Tabla Impacto'!$C$13,R17='Tabla Impacto'!$D$13),"Menor",IF(OR(R17='Tabla Impacto'!$C$14,R17='Tabla Impacto'!$D$14),"Moderado",IF(OR(R17='Tabla Impacto'!$C$15,R17='Tabla Impacto'!$D$15),"Mayor",IF(OR(R17='Tabla Impacto'!$C$16,R17='Tabla Impacto'!$D$16),"Catastrófico","")))))</f>
        <v/>
      </c>
      <c r="T17" s="322" t="str">
        <f>IF(S17="","",IF(S17="Leve",0.2,IF(S17="Menor",0.4,IF(S17="Moderado",0.6,IF(S17="Mayor",0.8,IF(S17="Catastrófico",1,))))))</f>
        <v/>
      </c>
      <c r="U17" s="321" t="str">
        <f>IF(OR(AND(O17="Muy Baja",S17="Leve"),AND(O17="Muy Baja",S17="Menor"),AND(O17="Baja",S17="Leve")),"Bajo",IF(OR(AND(O17="Muy baja",S17="Moderado"),AND(O17="Baja",S17="Menor"),AND(O17="Baja",S17="Moderado"),AND(O17="Media",S17="Leve"),AND(O17="Media",S17="Menor"),AND(O17="Media",S17="Moderado"),AND(O17="Alta",S17="Leve"),AND(O17="Alta",S17="Menor")),"Moderado",IF(OR(AND(O17="Muy Baja",S17="Mayor"),AND(O17="Baja",S17="Mayor"),AND(O17="Media",S17="Mayor"),AND(O17="Alta",S17="Moderado"),AND(O17="Alta",S17="Mayor"),AND(O17="Muy Alta",S17="Leve"),AND(O17="Muy Alta",S17="Menor"),AND(O17="Muy Alta",S17="Moderado"),AND(O17="Muy Alta",S17="Mayor")),"Alto",IF(OR(AND(O17="Muy Baja",S17="Catastrófico"),AND(O17="Baja",S17="Catastrófico"),AND(O17="Media",S17="Catastrófico"),AND(O17="Alta",S17="Catastrófico"),AND(O17="Muy Alta",S17="Catastrófico")),"Extremo",""))))</f>
        <v/>
      </c>
      <c r="V17" s="213">
        <v>1</v>
      </c>
      <c r="W17" s="186"/>
      <c r="X17" s="188" t="str">
        <f>IF(OR(Y17="Preventivo",Y17="Detectivo"),"Probabilidad",IF(Y17="Correctivo","Impacto",""))</f>
        <v/>
      </c>
      <c r="Y17" s="189"/>
      <c r="Z17" s="189"/>
      <c r="AA17" s="190" t="str">
        <f>IF(AND(Y17="Preventivo",Z17="Automático"),"50%",IF(AND(Y17="Preventivo",Z17="Manual"),"40%",IF(AND(Y17="Detectivo",Z17="Automático"),"40%",IF(AND(Y17="Detectivo",Z17="Manual"),"30%",IF(AND(Y17="Correctivo",Z17="Automático"),"35%",IF(AND(Y17="Correctivo",Z17="Manual"),"25%",""))))))</f>
        <v/>
      </c>
      <c r="AB17" s="189"/>
      <c r="AC17" s="189"/>
      <c r="AD17" s="189"/>
      <c r="AE17" s="191" t="str">
        <f>IFERROR(IF(X17="Probabilidad",(P17-(+P17*AA17)),IF(X17="Impacto",P17,"")),"")</f>
        <v/>
      </c>
      <c r="AF17" s="192" t="str">
        <f>IFERROR(IF(AE17="","",IF(AE17&lt;=0.2,"Muy Baja",IF(AE17&lt;=0.4,"Baja",IF(AE17&lt;=0.6,"Media",IF(AE17&lt;=0.8,"Alta","Muy Alta"))))),"")</f>
        <v/>
      </c>
      <c r="AG17" s="190" t="str">
        <f>+AE17</f>
        <v/>
      </c>
      <c r="AH17" s="192" t="str">
        <f>IFERROR(IF(AI17="","",IF(AI17&lt;=0.2,"Leve",IF(AI17&lt;=0.4,"Menor",IF(AI17&lt;=0.6,"Moderado",IF(AI17&lt;=0.8,"Mayor","Catastrófico"))))),"")</f>
        <v/>
      </c>
      <c r="AI17" s="190" t="str">
        <f t="shared" ref="AI17" si="11">IFERROR(IF(X17="Impacto",(T17-(+T17*AA17)),IF(X17="Probabilidad",T17,"")),"")</f>
        <v/>
      </c>
      <c r="AJ17" s="193" t="str">
        <f>IFERROR(IF(OR(AND(AF17="Muy Baja",AH17="Leve"),AND(AF17="Muy Baja",AH17="Menor"),AND(AF17="Baja",AH17="Leve")),"Bajo",IF(OR(AND(AF17="Muy baja",AH17="Moderado"),AND(AF17="Baja",AH17="Menor"),AND(AF17="Baja",AH17="Moderado"),AND(AF17="Media",AH17="Leve"),AND(AF17="Media",AH17="Menor"),AND(AF17="Media",AH17="Moderado"),AND(AF17="Alta",AH17="Leve"),AND(AF17="Alta",AH17="Menor")),"Moderado",IF(OR(AND(AF17="Muy Baja",AH17="Mayor"),AND(AF17="Baja",AH17="Mayor"),AND(AF17="Media",AH17="Mayor"),AND(AF17="Alta",AH17="Moderado"),AND(AF17="Alta",AH17="Mayor"),AND(AF17="Muy Alta",AH17="Leve"),AND(AF17="Muy Alta",AH17="Menor"),AND(AF17="Muy Alta",AH17="Moderado"),AND(AF17="Muy Alta",AH17="Mayor")),"Alto",IF(OR(AND(AF17="Muy Baja",AH17="Catastrófico"),AND(AF17="Baja",AH17="Catastrófico"),AND(AF17="Media",AH17="Catastrófico"),AND(AF17="Alta",AH17="Catastrófico"),AND(AF17="Muy Alta",AH17="Catastrófico")),"Extremo","")))),"")</f>
        <v/>
      </c>
      <c r="AK17" s="194"/>
      <c r="AL17" s="185"/>
      <c r="AM17" s="195"/>
      <c r="AN17" s="195"/>
      <c r="AO17" s="196"/>
      <c r="AP17" s="327"/>
      <c r="AQ17" s="327"/>
      <c r="AR17" s="327"/>
    </row>
    <row r="18" spans="1:44" x14ac:dyDescent="0.2">
      <c r="A18" s="337"/>
      <c r="B18" s="331"/>
      <c r="C18" s="331"/>
      <c r="D18" s="331"/>
      <c r="E18" s="332"/>
      <c r="F18" s="331"/>
      <c r="G18" s="320"/>
      <c r="H18" s="320"/>
      <c r="I18" s="320"/>
      <c r="J18" s="320"/>
      <c r="K18" s="320"/>
      <c r="L18" s="320"/>
      <c r="M18" s="320"/>
      <c r="N18" s="327"/>
      <c r="O18" s="323"/>
      <c r="P18" s="322"/>
      <c r="Q18" s="313"/>
      <c r="R18" s="322">
        <f>IF(NOT(ISERROR(MATCH(Q18,_xlfn.ANCHORARRAY(E29),0))),P31&amp;"Por favor no seleccionar los criterios de impacto",Q18)</f>
        <v>0</v>
      </c>
      <c r="S18" s="323"/>
      <c r="T18" s="322"/>
      <c r="U18" s="321"/>
      <c r="V18" s="213">
        <v>2</v>
      </c>
      <c r="W18" s="186"/>
      <c r="X18" s="188" t="str">
        <f>IF(OR(Y18="Preventivo",Y18="Detectivo"),"Probabilidad",IF(Y18="Correctivo","Impacto",""))</f>
        <v/>
      </c>
      <c r="Y18" s="189"/>
      <c r="Z18" s="189"/>
      <c r="AA18" s="190" t="str">
        <f t="shared" ref="AA18:AA22" si="12">IF(AND(Y18="Preventivo",Z18="Automático"),"50%",IF(AND(Y18="Preventivo",Z18="Manual"),"40%",IF(AND(Y18="Detectivo",Z18="Automático"),"40%",IF(AND(Y18="Detectivo",Z18="Manual"),"30%",IF(AND(Y18="Correctivo",Z18="Automático"),"35%",IF(AND(Y18="Correctivo",Z18="Manual"),"25%",""))))))</f>
        <v/>
      </c>
      <c r="AB18" s="189"/>
      <c r="AC18" s="189"/>
      <c r="AD18" s="189"/>
      <c r="AE18" s="191" t="str">
        <f>IFERROR(IF(AND(X17="Probabilidad",X18="Probabilidad"),(AG17-(+AG17*AA18)),IF(X18="Probabilidad",(P17-(+P17*AA18)),IF(X18="Impacto",AG17,""))),"")</f>
        <v/>
      </c>
      <c r="AF18" s="192" t="str">
        <f t="shared" si="2"/>
        <v/>
      </c>
      <c r="AG18" s="190" t="str">
        <f t="shared" ref="AG18:AG22" si="13">+AE18</f>
        <v/>
      </c>
      <c r="AH18" s="192" t="str">
        <f t="shared" si="4"/>
        <v/>
      </c>
      <c r="AI18" s="190" t="str">
        <f t="shared" ref="AI18" si="14">IFERROR(IF(AND(X17="Impacto",X18="Impacto"),(AI17-(+AI17*AA18)),IF(X18="Impacto",($T$13-(+$T$13*AA18)),IF(X18="Probabilidad",AI17,""))),"")</f>
        <v/>
      </c>
      <c r="AJ18" s="193" t="str">
        <f t="shared" ref="AJ18:AJ19" si="15">IFERROR(IF(OR(AND(AF18="Muy Baja",AH18="Leve"),AND(AF18="Muy Baja",AH18="Menor"),AND(AF18="Baja",AH18="Leve")),"Bajo",IF(OR(AND(AF18="Muy baja",AH18="Moderado"),AND(AF18="Baja",AH18="Menor"),AND(AF18="Baja",AH18="Moderado"),AND(AF18="Media",AH18="Leve"),AND(AF18="Media",AH18="Menor"),AND(AF18="Media",AH18="Moderado"),AND(AF18="Alta",AH18="Leve"),AND(AF18="Alta",AH18="Menor")),"Moderado",IF(OR(AND(AF18="Muy Baja",AH18="Mayor"),AND(AF18="Baja",AH18="Mayor"),AND(AF18="Media",AH18="Mayor"),AND(AF18="Alta",AH18="Moderado"),AND(AF18="Alta",AH18="Mayor"),AND(AF18="Muy Alta",AH18="Leve"),AND(AF18="Muy Alta",AH18="Menor"),AND(AF18="Muy Alta",AH18="Moderado"),AND(AF18="Muy Alta",AH18="Mayor")),"Alto",IF(OR(AND(AF18="Muy Baja",AH18="Catastrófico"),AND(AF18="Baja",AH18="Catastrófico"),AND(AF18="Media",AH18="Catastrófico"),AND(AF18="Alta",AH18="Catastrófico"),AND(AF18="Muy Alta",AH18="Catastrófico")),"Extremo","")))),"")</f>
        <v/>
      </c>
      <c r="AK18" s="194"/>
      <c r="AL18" s="185"/>
      <c r="AM18" s="195"/>
      <c r="AN18" s="195"/>
      <c r="AO18" s="196"/>
      <c r="AP18" s="327"/>
      <c r="AQ18" s="327"/>
      <c r="AR18" s="327"/>
    </row>
    <row r="19" spans="1:44" x14ac:dyDescent="0.2">
      <c r="A19" s="337"/>
      <c r="B19" s="331"/>
      <c r="C19" s="331"/>
      <c r="D19" s="331"/>
      <c r="E19" s="332"/>
      <c r="F19" s="331"/>
      <c r="G19" s="320"/>
      <c r="H19" s="320"/>
      <c r="I19" s="320"/>
      <c r="J19" s="320"/>
      <c r="K19" s="320"/>
      <c r="L19" s="320"/>
      <c r="M19" s="320"/>
      <c r="N19" s="327"/>
      <c r="O19" s="323"/>
      <c r="P19" s="322"/>
      <c r="Q19" s="313"/>
      <c r="R19" s="322">
        <f>IF(NOT(ISERROR(MATCH(Q19,_xlfn.ANCHORARRAY(E30),0))),P32&amp;"Por favor no seleccionar los criterios de impacto",Q19)</f>
        <v>0</v>
      </c>
      <c r="S19" s="323"/>
      <c r="T19" s="322"/>
      <c r="U19" s="321"/>
      <c r="V19" s="213">
        <v>3</v>
      </c>
      <c r="W19" s="186"/>
      <c r="X19" s="188" t="str">
        <f>IF(OR(Y19="Preventivo",Y19="Detectivo"),"Probabilidad",IF(Y19="Correctivo","Impacto",""))</f>
        <v/>
      </c>
      <c r="Y19" s="189"/>
      <c r="Z19" s="189"/>
      <c r="AA19" s="190" t="str">
        <f t="shared" si="12"/>
        <v/>
      </c>
      <c r="AB19" s="189"/>
      <c r="AC19" s="189"/>
      <c r="AD19" s="189"/>
      <c r="AE19" s="191" t="str">
        <f>IFERROR(IF(AND(X18="Probabilidad",X19="Probabilidad"),(AG18-(+AG18*AA19)),IF(AND(X18="Impacto",X19="Probabilidad"),(AG17-(+AG17*AA19)),IF(X19="Impacto",AG18,""))),"")</f>
        <v/>
      </c>
      <c r="AF19" s="192" t="str">
        <f t="shared" si="2"/>
        <v/>
      </c>
      <c r="AG19" s="190" t="str">
        <f t="shared" si="13"/>
        <v/>
      </c>
      <c r="AH19" s="192" t="str">
        <f t="shared" si="4"/>
        <v/>
      </c>
      <c r="AI19" s="190" t="str">
        <f t="shared" ref="AI19" si="16">IFERROR(IF(AND(X18="Impacto",X19="Impacto"),(AI18-(+AI18*AA19)),IF(AND(X18="Probabilidad",X19="Impacto"),(AI17-(+AI17*AA19)),IF(X19="Probabilidad",AI18,""))),"")</f>
        <v/>
      </c>
      <c r="AJ19" s="193" t="str">
        <f t="shared" si="15"/>
        <v/>
      </c>
      <c r="AK19" s="194"/>
      <c r="AL19" s="185"/>
      <c r="AM19" s="195"/>
      <c r="AN19" s="195"/>
      <c r="AO19" s="196"/>
      <c r="AP19" s="327"/>
      <c r="AQ19" s="327"/>
      <c r="AR19" s="327"/>
    </row>
    <row r="20" spans="1:44" x14ac:dyDescent="0.2">
      <c r="A20" s="337"/>
      <c r="B20" s="331"/>
      <c r="C20" s="331"/>
      <c r="D20" s="331"/>
      <c r="E20" s="332"/>
      <c r="F20" s="331"/>
      <c r="G20" s="320"/>
      <c r="H20" s="320"/>
      <c r="I20" s="320"/>
      <c r="J20" s="320"/>
      <c r="K20" s="320"/>
      <c r="L20" s="320"/>
      <c r="M20" s="320"/>
      <c r="N20" s="327"/>
      <c r="O20" s="323"/>
      <c r="P20" s="322"/>
      <c r="Q20" s="313"/>
      <c r="R20" s="322">
        <f>IF(NOT(ISERROR(MATCH(Q20,_xlfn.ANCHORARRAY(E31),0))),P33&amp;"Por favor no seleccionar los criterios de impacto",Q20)</f>
        <v>0</v>
      </c>
      <c r="S20" s="323"/>
      <c r="T20" s="322"/>
      <c r="U20" s="321"/>
      <c r="V20" s="213">
        <v>4</v>
      </c>
      <c r="W20" s="186"/>
      <c r="X20" s="188" t="str">
        <f t="shared" ref="X20:X22" si="17">IF(OR(Y20="Preventivo",Y20="Detectivo"),"Probabilidad",IF(Y20="Correctivo","Impacto",""))</f>
        <v/>
      </c>
      <c r="Y20" s="189"/>
      <c r="Z20" s="189"/>
      <c r="AA20" s="190" t="str">
        <f t="shared" si="12"/>
        <v/>
      </c>
      <c r="AB20" s="189"/>
      <c r="AC20" s="189"/>
      <c r="AD20" s="189"/>
      <c r="AE20" s="191" t="str">
        <f t="shared" ref="AE20:AE22" si="18">IFERROR(IF(AND(X19="Probabilidad",X20="Probabilidad"),(AG19-(+AG19*AA20)),IF(AND(X19="Impacto",X20="Probabilidad"),(AG18-(+AG18*AA20)),IF(X20="Impacto",AG19,""))),"")</f>
        <v/>
      </c>
      <c r="AF20" s="192" t="str">
        <f t="shared" si="2"/>
        <v/>
      </c>
      <c r="AG20" s="190" t="str">
        <f t="shared" si="13"/>
        <v/>
      </c>
      <c r="AH20" s="192" t="str">
        <f t="shared" si="4"/>
        <v/>
      </c>
      <c r="AI20" s="190" t="str">
        <f t="shared" ref="AI20:AI64" si="19">IFERROR(IF(AND(X19="Impacto",X20="Impacto"),(AI19-(+AI19*AA20)),IF(AND(X19="Probabilidad",X20="Impacto"),(AI18-(+AI18*AA20)),IF(X20="Probabilidad",AI19,""))),"")</f>
        <v/>
      </c>
      <c r="AJ20" s="193" t="str">
        <f>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4"/>
      <c r="AL20" s="185"/>
      <c r="AM20" s="195"/>
      <c r="AN20" s="195"/>
      <c r="AO20" s="196"/>
      <c r="AP20" s="327"/>
      <c r="AQ20" s="327"/>
      <c r="AR20" s="327"/>
    </row>
    <row r="21" spans="1:44" x14ac:dyDescent="0.2">
      <c r="A21" s="337"/>
      <c r="B21" s="331"/>
      <c r="C21" s="331"/>
      <c r="D21" s="331"/>
      <c r="E21" s="332"/>
      <c r="F21" s="331"/>
      <c r="G21" s="320"/>
      <c r="H21" s="320"/>
      <c r="I21" s="320"/>
      <c r="J21" s="320"/>
      <c r="K21" s="320"/>
      <c r="L21" s="320"/>
      <c r="M21" s="320"/>
      <c r="N21" s="327"/>
      <c r="O21" s="323"/>
      <c r="P21" s="322"/>
      <c r="Q21" s="313"/>
      <c r="R21" s="322">
        <f>IF(NOT(ISERROR(MATCH(Q21,_xlfn.ANCHORARRAY(E32),0))),P34&amp;"Por favor no seleccionar los criterios de impacto",Q21)</f>
        <v>0</v>
      </c>
      <c r="S21" s="323"/>
      <c r="T21" s="322"/>
      <c r="U21" s="321"/>
      <c r="V21" s="213">
        <v>5</v>
      </c>
      <c r="W21" s="186"/>
      <c r="X21" s="188" t="str">
        <f t="shared" si="17"/>
        <v/>
      </c>
      <c r="Y21" s="189"/>
      <c r="Z21" s="189"/>
      <c r="AA21" s="190" t="str">
        <f t="shared" si="12"/>
        <v/>
      </c>
      <c r="AB21" s="189"/>
      <c r="AC21" s="189"/>
      <c r="AD21" s="189"/>
      <c r="AE21" s="191" t="str">
        <f t="shared" si="18"/>
        <v/>
      </c>
      <c r="AF21" s="192" t="str">
        <f t="shared" si="2"/>
        <v/>
      </c>
      <c r="AG21" s="190" t="str">
        <f t="shared" si="13"/>
        <v/>
      </c>
      <c r="AH21" s="192" t="str">
        <f t="shared" si="4"/>
        <v/>
      </c>
      <c r="AI21" s="190" t="str">
        <f t="shared" si="19"/>
        <v/>
      </c>
      <c r="AJ21" s="193" t="str">
        <f t="shared" ref="AJ21:AJ22" si="20">IFERROR(IF(OR(AND(AF21="Muy Baja",AH21="Leve"),AND(AF21="Muy Baja",AH21="Menor"),AND(AF21="Baja",AH21="Leve")),"Bajo",IF(OR(AND(AF21="Muy baja",AH21="Moderado"),AND(AF21="Baja",AH21="Menor"),AND(AF21="Baja",AH21="Moderado"),AND(AF21="Media",AH21="Leve"),AND(AF21="Media",AH21="Menor"),AND(AF21="Media",AH21="Moderado"),AND(AF21="Alta",AH21="Leve"),AND(AF21="Alta",AH21="Menor")),"Moderado",IF(OR(AND(AF21="Muy Baja",AH21="Mayor"),AND(AF21="Baja",AH21="Mayor"),AND(AF21="Media",AH21="Mayor"),AND(AF21="Alta",AH21="Moderado"),AND(AF21="Alta",AH21="Mayor"),AND(AF21="Muy Alta",AH21="Leve"),AND(AF21="Muy Alta",AH21="Menor"),AND(AF21="Muy Alta",AH21="Moderado"),AND(AF21="Muy Alta",AH21="Mayor")),"Alto",IF(OR(AND(AF21="Muy Baja",AH21="Catastrófico"),AND(AF21="Baja",AH21="Catastrófico"),AND(AF21="Media",AH21="Catastrófico"),AND(AF21="Alta",AH21="Catastrófico"),AND(AF21="Muy Alta",AH21="Catastrófico")),"Extremo","")))),"")</f>
        <v/>
      </c>
      <c r="AK21" s="194"/>
      <c r="AL21" s="185"/>
      <c r="AM21" s="195"/>
      <c r="AN21" s="195"/>
      <c r="AO21" s="196"/>
      <c r="AP21" s="327"/>
      <c r="AQ21" s="327"/>
      <c r="AR21" s="327"/>
    </row>
    <row r="22" spans="1:44" x14ac:dyDescent="0.2">
      <c r="A22" s="337"/>
      <c r="B22" s="331"/>
      <c r="C22" s="331"/>
      <c r="D22" s="331"/>
      <c r="E22" s="332"/>
      <c r="F22" s="331"/>
      <c r="G22" s="325"/>
      <c r="H22" s="325"/>
      <c r="I22" s="325"/>
      <c r="J22" s="325"/>
      <c r="K22" s="325"/>
      <c r="L22" s="325"/>
      <c r="M22" s="325"/>
      <c r="N22" s="327"/>
      <c r="O22" s="323"/>
      <c r="P22" s="322"/>
      <c r="Q22" s="313"/>
      <c r="R22" s="322">
        <f>IF(NOT(ISERROR(MATCH(Q22,_xlfn.ANCHORARRAY(E33),0))),P35&amp;"Por favor no seleccionar los criterios de impacto",Q22)</f>
        <v>0</v>
      </c>
      <c r="S22" s="323"/>
      <c r="T22" s="322"/>
      <c r="U22" s="321"/>
      <c r="V22" s="213">
        <v>6</v>
      </c>
      <c r="W22" s="186"/>
      <c r="X22" s="188" t="str">
        <f t="shared" si="17"/>
        <v/>
      </c>
      <c r="Y22" s="189"/>
      <c r="Z22" s="189"/>
      <c r="AA22" s="190" t="str">
        <f t="shared" si="12"/>
        <v/>
      </c>
      <c r="AB22" s="189"/>
      <c r="AC22" s="189"/>
      <c r="AD22" s="189"/>
      <c r="AE22" s="191" t="str">
        <f t="shared" si="18"/>
        <v/>
      </c>
      <c r="AF22" s="192" t="str">
        <f t="shared" si="2"/>
        <v/>
      </c>
      <c r="AG22" s="190" t="str">
        <f t="shared" si="13"/>
        <v/>
      </c>
      <c r="AH22" s="192" t="str">
        <f t="shared" si="4"/>
        <v/>
      </c>
      <c r="AI22" s="190" t="str">
        <f t="shared" si="19"/>
        <v/>
      </c>
      <c r="AJ22" s="193" t="str">
        <f t="shared" si="20"/>
        <v/>
      </c>
      <c r="AK22" s="194"/>
      <c r="AL22" s="185"/>
      <c r="AM22" s="195"/>
      <c r="AN22" s="195"/>
      <c r="AO22" s="196"/>
      <c r="AP22" s="327"/>
      <c r="AQ22" s="327"/>
      <c r="AR22" s="327"/>
    </row>
    <row r="23" spans="1:44" x14ac:dyDescent="0.2">
      <c r="A23" s="337">
        <v>4</v>
      </c>
      <c r="B23" s="331"/>
      <c r="C23" s="331"/>
      <c r="D23" s="331"/>
      <c r="E23" s="343"/>
      <c r="F23" s="331"/>
      <c r="G23" s="319"/>
      <c r="H23" s="319"/>
      <c r="I23" s="319"/>
      <c r="J23" s="319"/>
      <c r="K23" s="319"/>
      <c r="L23" s="319"/>
      <c r="M23" s="319"/>
      <c r="N23" s="327"/>
      <c r="O23" s="323" t="str">
        <f>IF(N23&lt;=0,"",IF(N23&lt;=2,"Muy Baja",IF(N23&lt;=24,"Baja",IF(N23&lt;=500,"Media",IF(N23&lt;=5000,"Alta","Muy Alta")))))</f>
        <v/>
      </c>
      <c r="P23" s="322" t="str">
        <f>IF(O23="","",IF(O23="Muy Baja",0.2,IF(O23="Baja",0.4,IF(O23="Media",0.6,IF(O23="Alta",0.8,IF(O23="Muy Alta",1,))))))</f>
        <v/>
      </c>
      <c r="Q23" s="313"/>
      <c r="R23" s="322">
        <f>IF(NOT(ISERROR(MATCH(Q23,'Tabla Impacto'!$B$222:$B$224,0))),'Tabla Impacto'!$F$224&amp;"Por favor no seleccionar los criterios de impacto(Afectación Económica o presupuestal y Pérdida Reputacional)",Q23)</f>
        <v>0</v>
      </c>
      <c r="S23" s="323" t="str">
        <f>IF(OR(R23='Tabla Impacto'!$C$12,R23='Tabla Impacto'!$D$12),"Leve",IF(OR(R23='Tabla Impacto'!$C$13,R23='Tabla Impacto'!$D$13),"Menor",IF(OR(R23='Tabla Impacto'!$C$14,R23='Tabla Impacto'!$D$14),"Moderado",IF(OR(R23='Tabla Impacto'!$C$15,R23='Tabla Impacto'!$D$15),"Mayor",IF(OR(R23='Tabla Impacto'!$C$16,R23='Tabla Impacto'!$D$16),"Catastrófico","")))))</f>
        <v/>
      </c>
      <c r="T23" s="322" t="str">
        <f>IF(S23="","",IF(S23="Leve",0.2,IF(S23="Menor",0.4,IF(S23="Moderado",0.6,IF(S23="Mayor",0.8,IF(S23="Catastrófico",1,))))))</f>
        <v/>
      </c>
      <c r="U23" s="321" t="str">
        <f>IF(OR(AND(O23="Muy Baja",S23="Leve"),AND(O23="Muy Baja",S23="Menor"),AND(O23="Baja",S23="Leve")),"Bajo",IF(OR(AND(O23="Muy baja",S23="Moderado"),AND(O23="Baja",S23="Menor"),AND(O23="Baja",S23="Moderado"),AND(O23="Media",S23="Leve"),AND(O23="Media",S23="Menor"),AND(O23="Media",S23="Moderado"),AND(O23="Alta",S23="Leve"),AND(O23="Alta",S23="Menor")),"Moderado",IF(OR(AND(O23="Muy Baja",S23="Mayor"),AND(O23="Baja",S23="Mayor"),AND(O23="Media",S23="Mayor"),AND(O23="Alta",S23="Moderado"),AND(O23="Alta",S23="Mayor"),AND(O23="Muy Alta",S23="Leve"),AND(O23="Muy Alta",S23="Menor"),AND(O23="Muy Alta",S23="Moderado"),AND(O23="Muy Alta",S23="Mayor")),"Alto",IF(OR(AND(O23="Muy Baja",S23="Catastrófico"),AND(O23="Baja",S23="Catastrófico"),AND(O23="Media",S23="Catastrófico"),AND(O23="Alta",S23="Catastrófico"),AND(O23="Muy Alta",S23="Catastrófico")),"Extremo",""))))</f>
        <v/>
      </c>
      <c r="V23" s="213">
        <v>1</v>
      </c>
      <c r="W23" s="186"/>
      <c r="X23" s="188" t="str">
        <f>IF(OR(Y23="Preventivo",Y23="Detectivo"),"Probabilidad",IF(Y23="Correctivo","Impacto",""))</f>
        <v/>
      </c>
      <c r="Y23" s="189"/>
      <c r="Z23" s="189"/>
      <c r="AA23" s="190" t="str">
        <f>IF(AND(Y23="Preventivo",Z23="Automático"),"50%",IF(AND(Y23="Preventivo",Z23="Manual"),"40%",IF(AND(Y23="Detectivo",Z23="Automático"),"40%",IF(AND(Y23="Detectivo",Z23="Manual"),"30%",IF(AND(Y23="Correctivo",Z23="Automático"),"35%",IF(AND(Y23="Correctivo",Z23="Manual"),"25%",""))))))</f>
        <v/>
      </c>
      <c r="AB23" s="189"/>
      <c r="AC23" s="189"/>
      <c r="AD23" s="189"/>
      <c r="AE23" s="191" t="str">
        <f>IFERROR(IF(X23="Probabilidad",(P23-(+P23*AA23)),IF(X23="Impacto",P23,"")),"")</f>
        <v/>
      </c>
      <c r="AF23" s="192" t="str">
        <f>IFERROR(IF(AE23="","",IF(AE23&lt;=0.2,"Muy Baja",IF(AE23&lt;=0.4,"Baja",IF(AE23&lt;=0.6,"Media",IF(AE23&lt;=0.8,"Alta","Muy Alta"))))),"")</f>
        <v/>
      </c>
      <c r="AG23" s="190" t="str">
        <f>+AE23</f>
        <v/>
      </c>
      <c r="AH23" s="192" t="str">
        <f>IFERROR(IF(AI23="","",IF(AI23&lt;=0.2,"Leve",IF(AI23&lt;=0.4,"Menor",IF(AI23&lt;=0.6,"Moderado",IF(AI23&lt;=0.8,"Mayor","Catastrófico"))))),"")</f>
        <v/>
      </c>
      <c r="AI23" s="190" t="str">
        <f t="shared" ref="AI23" si="21">IFERROR(IF(X23="Impacto",(T23-(+T23*AA23)),IF(X23="Probabilidad",T23,"")),"")</f>
        <v/>
      </c>
      <c r="AJ23" s="193" t="str">
        <f>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4"/>
      <c r="AL23" s="185"/>
      <c r="AM23" s="195"/>
      <c r="AN23" s="195"/>
      <c r="AO23" s="196"/>
      <c r="AP23" s="327"/>
      <c r="AQ23" s="327"/>
      <c r="AR23" s="327"/>
    </row>
    <row r="24" spans="1:44" x14ac:dyDescent="0.2">
      <c r="A24" s="337"/>
      <c r="B24" s="331"/>
      <c r="C24" s="331"/>
      <c r="D24" s="331"/>
      <c r="E24" s="344"/>
      <c r="F24" s="331"/>
      <c r="G24" s="320"/>
      <c r="H24" s="320"/>
      <c r="I24" s="320"/>
      <c r="J24" s="320"/>
      <c r="K24" s="320"/>
      <c r="L24" s="320"/>
      <c r="M24" s="320"/>
      <c r="N24" s="327"/>
      <c r="O24" s="323"/>
      <c r="P24" s="322"/>
      <c r="Q24" s="313"/>
      <c r="R24" s="322">
        <f>IF(NOT(ISERROR(MATCH(Q24,_xlfn.ANCHORARRAY(E35),0))),P37&amp;"Por favor no seleccionar los criterios de impacto",Q24)</f>
        <v>0</v>
      </c>
      <c r="S24" s="323"/>
      <c r="T24" s="322"/>
      <c r="U24" s="321"/>
      <c r="V24" s="213">
        <v>2</v>
      </c>
      <c r="W24" s="186"/>
      <c r="X24" s="188" t="str">
        <f>IF(OR(Y24="Preventivo",Y24="Detectivo"),"Probabilidad",IF(Y24="Correctivo","Impacto",""))</f>
        <v/>
      </c>
      <c r="Y24" s="189"/>
      <c r="Z24" s="189"/>
      <c r="AA24" s="190" t="str">
        <f t="shared" ref="AA24:AA28" si="22">IF(AND(Y24="Preventivo",Z24="Automático"),"50%",IF(AND(Y24="Preventivo",Z24="Manual"),"40%",IF(AND(Y24="Detectivo",Z24="Automático"),"40%",IF(AND(Y24="Detectivo",Z24="Manual"),"30%",IF(AND(Y24="Correctivo",Z24="Automático"),"35%",IF(AND(Y24="Correctivo",Z24="Manual"),"25%",""))))))</f>
        <v/>
      </c>
      <c r="AB24" s="189"/>
      <c r="AC24" s="189"/>
      <c r="AD24" s="189"/>
      <c r="AE24" s="191" t="str">
        <f>IFERROR(IF(AND(X23="Probabilidad",X24="Probabilidad"),(AG23-(+AG23*AA24)),IF(X24="Probabilidad",(P23-(+P23*AA24)),IF(X24="Impacto",AG23,""))),"")</f>
        <v/>
      </c>
      <c r="AF24" s="192" t="str">
        <f t="shared" si="2"/>
        <v/>
      </c>
      <c r="AG24" s="190" t="str">
        <f t="shared" ref="AG24:AG28" si="23">+AE24</f>
        <v/>
      </c>
      <c r="AH24" s="192" t="str">
        <f t="shared" si="4"/>
        <v/>
      </c>
      <c r="AI24" s="190" t="str">
        <f t="shared" ref="AI24" si="24">IFERROR(IF(AND(X23="Impacto",X24="Impacto"),(AI23-(+AI23*AA24)),IF(X24="Impacto",($T$13-(+$T$13*AA24)),IF(X24="Probabilidad",AI23,""))),"")</f>
        <v/>
      </c>
      <c r="AJ24" s="193" t="str">
        <f t="shared" ref="AJ24:AJ25" si="25">IFERROR(IF(OR(AND(AF24="Muy Baja",AH24="Leve"),AND(AF24="Muy Baja",AH24="Menor"),AND(AF24="Baja",AH24="Leve")),"Bajo",IF(OR(AND(AF24="Muy baja",AH24="Moderado"),AND(AF24="Baja",AH24="Menor"),AND(AF24="Baja",AH24="Moderado"),AND(AF24="Media",AH24="Leve"),AND(AF24="Media",AH24="Menor"),AND(AF24="Media",AH24="Moderado"),AND(AF24="Alta",AH24="Leve"),AND(AF24="Alta",AH24="Menor")),"Moderado",IF(OR(AND(AF24="Muy Baja",AH24="Mayor"),AND(AF24="Baja",AH24="Mayor"),AND(AF24="Media",AH24="Mayor"),AND(AF24="Alta",AH24="Moderado"),AND(AF24="Alta",AH24="Mayor"),AND(AF24="Muy Alta",AH24="Leve"),AND(AF24="Muy Alta",AH24="Menor"),AND(AF24="Muy Alta",AH24="Moderado"),AND(AF24="Muy Alta",AH24="Mayor")),"Alto",IF(OR(AND(AF24="Muy Baja",AH24="Catastrófico"),AND(AF24="Baja",AH24="Catastrófico"),AND(AF24="Media",AH24="Catastrófico"),AND(AF24="Alta",AH24="Catastrófico"),AND(AF24="Muy Alta",AH24="Catastrófico")),"Extremo","")))),"")</f>
        <v/>
      </c>
      <c r="AK24" s="194"/>
      <c r="AL24" s="185"/>
      <c r="AM24" s="195"/>
      <c r="AN24" s="195"/>
      <c r="AO24" s="196"/>
      <c r="AP24" s="327"/>
      <c r="AQ24" s="327"/>
      <c r="AR24" s="327"/>
    </row>
    <row r="25" spans="1:44" x14ac:dyDescent="0.2">
      <c r="A25" s="337"/>
      <c r="B25" s="331"/>
      <c r="C25" s="331"/>
      <c r="D25" s="331"/>
      <c r="E25" s="344"/>
      <c r="F25" s="331"/>
      <c r="G25" s="320"/>
      <c r="H25" s="320"/>
      <c r="I25" s="320"/>
      <c r="J25" s="320"/>
      <c r="K25" s="320"/>
      <c r="L25" s="320"/>
      <c r="M25" s="320"/>
      <c r="N25" s="327"/>
      <c r="O25" s="323"/>
      <c r="P25" s="322"/>
      <c r="Q25" s="313"/>
      <c r="R25" s="322">
        <f>IF(NOT(ISERROR(MATCH(Q25,_xlfn.ANCHORARRAY(E36),0))),P38&amp;"Por favor no seleccionar los criterios de impacto",Q25)</f>
        <v>0</v>
      </c>
      <c r="S25" s="323"/>
      <c r="T25" s="322"/>
      <c r="U25" s="321"/>
      <c r="V25" s="213">
        <v>3</v>
      </c>
      <c r="W25" s="187"/>
      <c r="X25" s="188" t="str">
        <f>IF(OR(Y25="Preventivo",Y25="Detectivo"),"Probabilidad",IF(Y25="Correctivo","Impacto",""))</f>
        <v/>
      </c>
      <c r="Y25" s="189"/>
      <c r="Z25" s="189"/>
      <c r="AA25" s="190" t="str">
        <f t="shared" si="22"/>
        <v/>
      </c>
      <c r="AB25" s="189"/>
      <c r="AC25" s="189"/>
      <c r="AD25" s="189"/>
      <c r="AE25" s="191" t="str">
        <f>IFERROR(IF(AND(X24="Probabilidad",X25="Probabilidad"),(AG24-(+AG24*AA25)),IF(AND(X24="Impacto",X25="Probabilidad"),(AG23-(+AG23*AA25)),IF(X25="Impacto",AG24,""))),"")</f>
        <v/>
      </c>
      <c r="AF25" s="192" t="str">
        <f t="shared" si="2"/>
        <v/>
      </c>
      <c r="AG25" s="190" t="str">
        <f t="shared" si="23"/>
        <v/>
      </c>
      <c r="AH25" s="192" t="str">
        <f t="shared" si="4"/>
        <v/>
      </c>
      <c r="AI25" s="190" t="str">
        <f t="shared" ref="AI25" si="26">IFERROR(IF(AND(X24="Impacto",X25="Impacto"),(AI24-(+AI24*AA25)),IF(AND(X24="Probabilidad",X25="Impacto"),(AI23-(+AI23*AA25)),IF(X25="Probabilidad",AI24,""))),"")</f>
        <v/>
      </c>
      <c r="AJ25" s="193" t="str">
        <f t="shared" si="25"/>
        <v/>
      </c>
      <c r="AK25" s="194"/>
      <c r="AL25" s="185"/>
      <c r="AM25" s="195"/>
      <c r="AN25" s="195"/>
      <c r="AO25" s="196"/>
      <c r="AP25" s="327"/>
      <c r="AQ25" s="327"/>
      <c r="AR25" s="327"/>
    </row>
    <row r="26" spans="1:44" x14ac:dyDescent="0.2">
      <c r="A26" s="337"/>
      <c r="B26" s="331"/>
      <c r="C26" s="331"/>
      <c r="D26" s="331"/>
      <c r="E26" s="344"/>
      <c r="F26" s="331"/>
      <c r="G26" s="320"/>
      <c r="H26" s="320"/>
      <c r="I26" s="320"/>
      <c r="J26" s="320"/>
      <c r="K26" s="320"/>
      <c r="L26" s="320"/>
      <c r="M26" s="320"/>
      <c r="N26" s="327"/>
      <c r="O26" s="323"/>
      <c r="P26" s="322"/>
      <c r="Q26" s="313"/>
      <c r="R26" s="322">
        <f>IF(NOT(ISERROR(MATCH(Q26,_xlfn.ANCHORARRAY(E37),0))),P39&amp;"Por favor no seleccionar los criterios de impacto",Q26)</f>
        <v>0</v>
      </c>
      <c r="S26" s="323"/>
      <c r="T26" s="322"/>
      <c r="U26" s="321"/>
      <c r="V26" s="213">
        <v>4</v>
      </c>
      <c r="W26" s="186"/>
      <c r="X26" s="188" t="str">
        <f t="shared" ref="X26:X28" si="27">IF(OR(Y26="Preventivo",Y26="Detectivo"),"Probabilidad",IF(Y26="Correctivo","Impacto",""))</f>
        <v/>
      </c>
      <c r="Y26" s="189"/>
      <c r="Z26" s="189"/>
      <c r="AA26" s="190" t="str">
        <f t="shared" si="22"/>
        <v/>
      </c>
      <c r="AB26" s="189"/>
      <c r="AC26" s="189"/>
      <c r="AD26" s="189"/>
      <c r="AE26" s="191" t="str">
        <f t="shared" ref="AE26:AE28" si="28">IFERROR(IF(AND(X25="Probabilidad",X26="Probabilidad"),(AG25-(+AG25*AA26)),IF(AND(X25="Impacto",X26="Probabilidad"),(AG24-(+AG24*AA26)),IF(X26="Impacto",AG25,""))),"")</f>
        <v/>
      </c>
      <c r="AF26" s="192" t="str">
        <f t="shared" si="2"/>
        <v/>
      </c>
      <c r="AG26" s="190" t="str">
        <f t="shared" si="23"/>
        <v/>
      </c>
      <c r="AH26" s="192" t="str">
        <f t="shared" si="4"/>
        <v/>
      </c>
      <c r="AI26" s="190" t="str">
        <f t="shared" si="19"/>
        <v/>
      </c>
      <c r="AJ26" s="193" t="str">
        <f>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4"/>
      <c r="AL26" s="185"/>
      <c r="AM26" s="195"/>
      <c r="AN26" s="195"/>
      <c r="AO26" s="196"/>
      <c r="AP26" s="327"/>
      <c r="AQ26" s="327"/>
      <c r="AR26" s="327"/>
    </row>
    <row r="27" spans="1:44" x14ac:dyDescent="0.2">
      <c r="A27" s="337"/>
      <c r="B27" s="331"/>
      <c r="C27" s="331"/>
      <c r="D27" s="331"/>
      <c r="E27" s="344"/>
      <c r="F27" s="331"/>
      <c r="G27" s="320"/>
      <c r="H27" s="320"/>
      <c r="I27" s="320"/>
      <c r="J27" s="320"/>
      <c r="K27" s="320"/>
      <c r="L27" s="320"/>
      <c r="M27" s="320"/>
      <c r="N27" s="327"/>
      <c r="O27" s="323"/>
      <c r="P27" s="322"/>
      <c r="Q27" s="313"/>
      <c r="R27" s="322">
        <f>IF(NOT(ISERROR(MATCH(Q27,_xlfn.ANCHORARRAY(E38),0))),P40&amp;"Por favor no seleccionar los criterios de impacto",Q27)</f>
        <v>0</v>
      </c>
      <c r="S27" s="323"/>
      <c r="T27" s="322"/>
      <c r="U27" s="321"/>
      <c r="V27" s="213">
        <v>5</v>
      </c>
      <c r="W27" s="186"/>
      <c r="X27" s="188" t="str">
        <f t="shared" si="27"/>
        <v/>
      </c>
      <c r="Y27" s="189"/>
      <c r="Z27" s="189"/>
      <c r="AA27" s="190" t="str">
        <f t="shared" si="22"/>
        <v/>
      </c>
      <c r="AB27" s="189"/>
      <c r="AC27" s="189"/>
      <c r="AD27" s="189"/>
      <c r="AE27" s="191" t="str">
        <f t="shared" si="28"/>
        <v/>
      </c>
      <c r="AF27" s="192" t="str">
        <f>IFERROR(IF(AE27="","",IF(AE27&lt;=0.2,"Muy Baja",IF(AE27&lt;=0.4,"Baja",IF(AE27&lt;=0.6,"Media",IF(AE27&lt;=0.8,"Alta","Muy Alta"))))),"")</f>
        <v/>
      </c>
      <c r="AG27" s="190" t="str">
        <f t="shared" si="23"/>
        <v/>
      </c>
      <c r="AH27" s="192" t="str">
        <f t="shared" si="4"/>
        <v/>
      </c>
      <c r="AI27" s="190" t="str">
        <f t="shared" si="19"/>
        <v/>
      </c>
      <c r="AJ27" s="193" t="str">
        <f t="shared" ref="AJ27:AJ28" si="29">IFERROR(IF(OR(AND(AF27="Muy Baja",AH27="Leve"),AND(AF27="Muy Baja",AH27="Menor"),AND(AF27="Baja",AH27="Leve")),"Bajo",IF(OR(AND(AF27="Muy baja",AH27="Moderado"),AND(AF27="Baja",AH27="Menor"),AND(AF27="Baja",AH27="Moderado"),AND(AF27="Media",AH27="Leve"),AND(AF27="Media",AH27="Menor"),AND(AF27="Media",AH27="Moderado"),AND(AF27="Alta",AH27="Leve"),AND(AF27="Alta",AH27="Menor")),"Moderado",IF(OR(AND(AF27="Muy Baja",AH27="Mayor"),AND(AF27="Baja",AH27="Mayor"),AND(AF27="Media",AH27="Mayor"),AND(AF27="Alta",AH27="Moderado"),AND(AF27="Alta",AH27="Mayor"),AND(AF27="Muy Alta",AH27="Leve"),AND(AF27="Muy Alta",AH27="Menor"),AND(AF27="Muy Alta",AH27="Moderado"),AND(AF27="Muy Alta",AH27="Mayor")),"Alto",IF(OR(AND(AF27="Muy Baja",AH27="Catastrófico"),AND(AF27="Baja",AH27="Catastrófico"),AND(AF27="Media",AH27="Catastrófico"),AND(AF27="Alta",AH27="Catastrófico"),AND(AF27="Muy Alta",AH27="Catastrófico")),"Extremo","")))),"")</f>
        <v/>
      </c>
      <c r="AK27" s="194"/>
      <c r="AL27" s="185"/>
      <c r="AM27" s="195"/>
      <c r="AN27" s="195"/>
      <c r="AO27" s="196"/>
      <c r="AP27" s="327"/>
      <c r="AQ27" s="327"/>
      <c r="AR27" s="327"/>
    </row>
    <row r="28" spans="1:44" x14ac:dyDescent="0.2">
      <c r="A28" s="337"/>
      <c r="B28" s="331"/>
      <c r="C28" s="331"/>
      <c r="D28" s="331"/>
      <c r="E28" s="344"/>
      <c r="F28" s="331"/>
      <c r="G28" s="325"/>
      <c r="H28" s="325"/>
      <c r="I28" s="325"/>
      <c r="J28" s="325"/>
      <c r="K28" s="325"/>
      <c r="L28" s="325"/>
      <c r="M28" s="325"/>
      <c r="N28" s="327"/>
      <c r="O28" s="323"/>
      <c r="P28" s="322"/>
      <c r="Q28" s="313"/>
      <c r="R28" s="322">
        <f>IF(NOT(ISERROR(MATCH(Q28,_xlfn.ANCHORARRAY(E39),0))),P41&amp;"Por favor no seleccionar los criterios de impacto",Q28)</f>
        <v>0</v>
      </c>
      <c r="S28" s="323"/>
      <c r="T28" s="322"/>
      <c r="U28" s="321"/>
      <c r="V28" s="213">
        <v>6</v>
      </c>
      <c r="W28" s="186"/>
      <c r="X28" s="188" t="str">
        <f t="shared" si="27"/>
        <v/>
      </c>
      <c r="Y28" s="189"/>
      <c r="Z28" s="189"/>
      <c r="AA28" s="190" t="str">
        <f t="shared" si="22"/>
        <v/>
      </c>
      <c r="AB28" s="189"/>
      <c r="AC28" s="189"/>
      <c r="AD28" s="189"/>
      <c r="AE28" s="191" t="str">
        <f t="shared" si="28"/>
        <v/>
      </c>
      <c r="AF28" s="192" t="str">
        <f t="shared" si="2"/>
        <v/>
      </c>
      <c r="AG28" s="190" t="str">
        <f t="shared" si="23"/>
        <v/>
      </c>
      <c r="AH28" s="192" t="str">
        <f t="shared" si="4"/>
        <v/>
      </c>
      <c r="AI28" s="190" t="str">
        <f t="shared" si="19"/>
        <v/>
      </c>
      <c r="AJ28" s="193" t="str">
        <f t="shared" si="29"/>
        <v/>
      </c>
      <c r="AK28" s="194"/>
      <c r="AL28" s="185"/>
      <c r="AM28" s="195"/>
      <c r="AN28" s="195"/>
      <c r="AO28" s="196"/>
      <c r="AP28" s="327"/>
      <c r="AQ28" s="327"/>
      <c r="AR28" s="327"/>
    </row>
    <row r="29" spans="1:44" x14ac:dyDescent="0.2">
      <c r="A29" s="337">
        <v>5</v>
      </c>
      <c r="B29" s="331"/>
      <c r="C29" s="331"/>
      <c r="D29" s="331"/>
      <c r="E29" s="331"/>
      <c r="F29" s="331"/>
      <c r="G29" s="319"/>
      <c r="H29" s="319"/>
      <c r="I29" s="319"/>
      <c r="J29" s="319"/>
      <c r="K29" s="319"/>
      <c r="L29" s="319"/>
      <c r="M29" s="319"/>
      <c r="N29" s="327"/>
      <c r="O29" s="323" t="str">
        <f>IF(N29&lt;=0,"",IF(N29&lt;=2,"Muy Baja",IF(N29&lt;=24,"Baja",IF(N29&lt;=500,"Media",IF(N29&lt;=5000,"Alta","Muy Alta")))))</f>
        <v/>
      </c>
      <c r="P29" s="322" t="str">
        <f>IF(O29="","",IF(O29="Muy Baja",0.2,IF(O29="Baja",0.4,IF(O29="Media",0.6,IF(O29="Alta",0.8,IF(O29="Muy Alta",1,))))))</f>
        <v/>
      </c>
      <c r="Q29" s="313"/>
      <c r="R29" s="322">
        <f>IF(NOT(ISERROR(MATCH(Q29,'Tabla Impacto'!$B$222:$B$224,0))),'Tabla Impacto'!$F$224&amp;"Por favor no seleccionar los criterios de impacto(Afectación Económica o presupuestal y Pérdida Reputacional)",Q29)</f>
        <v>0</v>
      </c>
      <c r="S29" s="323" t="str">
        <f>IF(OR(R29='Tabla Impacto'!$C$12,R29='Tabla Impacto'!$D$12),"Leve",IF(OR(R29='Tabla Impacto'!$C$13,R29='Tabla Impacto'!$D$13),"Menor",IF(OR(R29='Tabla Impacto'!$C$14,R29='Tabla Impacto'!$D$14),"Moderado",IF(OR(R29='Tabla Impacto'!$C$15,R29='Tabla Impacto'!$D$15),"Mayor",IF(OR(R29='Tabla Impacto'!$C$16,R29='Tabla Impacto'!$D$16),"Catastrófico","")))))</f>
        <v/>
      </c>
      <c r="T29" s="322" t="str">
        <f>IF(S29="","",IF(S29="Leve",0.2,IF(S29="Menor",0.4,IF(S29="Moderado",0.6,IF(S29="Mayor",0.8,IF(S29="Catastrófico",1,))))))</f>
        <v/>
      </c>
      <c r="U29" s="321" t="str">
        <f>IF(OR(AND(O29="Muy Baja",S29="Leve"),AND(O29="Muy Baja",S29="Menor"),AND(O29="Baja",S29="Leve")),"Bajo",IF(OR(AND(O29="Muy baja",S29="Moderado"),AND(O29="Baja",S29="Menor"),AND(O29="Baja",S29="Moderado"),AND(O29="Media",S29="Leve"),AND(O29="Media",S29="Menor"),AND(O29="Media",S29="Moderado"),AND(O29="Alta",S29="Leve"),AND(O29="Alta",S29="Menor")),"Moderado",IF(OR(AND(O29="Muy Baja",S29="Mayor"),AND(O29="Baja",S29="Mayor"),AND(O29="Media",S29="Mayor"),AND(O29="Alta",S29="Moderado"),AND(O29="Alta",S29="Mayor"),AND(O29="Muy Alta",S29="Leve"),AND(O29="Muy Alta",S29="Menor"),AND(O29="Muy Alta",S29="Moderado"),AND(O29="Muy Alta",S29="Mayor")),"Alto",IF(OR(AND(O29="Muy Baja",S29="Catastrófico"),AND(O29="Baja",S29="Catastrófico"),AND(O29="Media",S29="Catastrófico"),AND(O29="Alta",S29="Catastrófico"),AND(O29="Muy Alta",S29="Catastrófico")),"Extremo",""))))</f>
        <v/>
      </c>
      <c r="V29" s="213">
        <v>1</v>
      </c>
      <c r="W29" s="186"/>
      <c r="X29" s="188" t="str">
        <f>IF(OR(Y29="Preventivo",Y29="Detectivo"),"Probabilidad",IF(Y29="Correctivo","Impacto",""))</f>
        <v/>
      </c>
      <c r="Y29" s="189"/>
      <c r="Z29" s="189"/>
      <c r="AA29" s="190" t="str">
        <f>IF(AND(Y29="Preventivo",Z29="Automático"),"50%",IF(AND(Y29="Preventivo",Z29="Manual"),"40%",IF(AND(Y29="Detectivo",Z29="Automático"),"40%",IF(AND(Y29="Detectivo",Z29="Manual"),"30%",IF(AND(Y29="Correctivo",Z29="Automático"),"35%",IF(AND(Y29="Correctivo",Z29="Manual"),"25%",""))))))</f>
        <v/>
      </c>
      <c r="AB29" s="189"/>
      <c r="AC29" s="189"/>
      <c r="AD29" s="189"/>
      <c r="AE29" s="191" t="str">
        <f>IFERROR(IF(X29="Probabilidad",(P29-(+P29*AA29)),IF(X29="Impacto",P29,"")),"")</f>
        <v/>
      </c>
      <c r="AF29" s="192" t="str">
        <f>IFERROR(IF(AE29="","",IF(AE29&lt;=0.2,"Muy Baja",IF(AE29&lt;=0.4,"Baja",IF(AE29&lt;=0.6,"Media",IF(AE29&lt;=0.8,"Alta","Muy Alta"))))),"")</f>
        <v/>
      </c>
      <c r="AG29" s="190" t="str">
        <f>+AE29</f>
        <v/>
      </c>
      <c r="AH29" s="192" t="str">
        <f>IFERROR(IF(AI29="","",IF(AI29&lt;=0.2,"Leve",IF(AI29&lt;=0.4,"Menor",IF(AI29&lt;=0.6,"Moderado",IF(AI29&lt;=0.8,"Mayor","Catastrófico"))))),"")</f>
        <v/>
      </c>
      <c r="AI29" s="190" t="str">
        <f t="shared" ref="AI29" si="30">IFERROR(IF(X29="Impacto",(T29-(+T29*AA29)),IF(X29="Probabilidad",T29,"")),"")</f>
        <v/>
      </c>
      <c r="AJ29" s="193" t="str">
        <f>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4"/>
      <c r="AL29" s="185"/>
      <c r="AM29" s="195"/>
      <c r="AN29" s="195"/>
      <c r="AO29" s="196"/>
      <c r="AP29" s="327"/>
      <c r="AQ29" s="327"/>
      <c r="AR29" s="327"/>
    </row>
    <row r="30" spans="1:44" x14ac:dyDescent="0.2">
      <c r="A30" s="337"/>
      <c r="B30" s="331"/>
      <c r="C30" s="331"/>
      <c r="D30" s="331"/>
      <c r="E30" s="331"/>
      <c r="F30" s="331"/>
      <c r="G30" s="320"/>
      <c r="H30" s="320"/>
      <c r="I30" s="320"/>
      <c r="J30" s="320"/>
      <c r="K30" s="320"/>
      <c r="L30" s="320"/>
      <c r="M30" s="320"/>
      <c r="N30" s="327"/>
      <c r="O30" s="323"/>
      <c r="P30" s="322"/>
      <c r="Q30" s="313"/>
      <c r="R30" s="322">
        <f>IF(NOT(ISERROR(MATCH(Q30,_xlfn.ANCHORARRAY(E41),0))),P43&amp;"Por favor no seleccionar los criterios de impacto",Q30)</f>
        <v>0</v>
      </c>
      <c r="S30" s="323"/>
      <c r="T30" s="322"/>
      <c r="U30" s="321"/>
      <c r="V30" s="213">
        <v>2</v>
      </c>
      <c r="W30" s="186"/>
      <c r="X30" s="188" t="str">
        <f>IF(OR(Y30="Preventivo",Y30="Detectivo"),"Probabilidad",IF(Y30="Correctivo","Impacto",""))</f>
        <v/>
      </c>
      <c r="Y30" s="189"/>
      <c r="Z30" s="189"/>
      <c r="AA30" s="190" t="str">
        <f t="shared" ref="AA30:AA34" si="31">IF(AND(Y30="Preventivo",Z30="Automático"),"50%",IF(AND(Y30="Preventivo",Z30="Manual"),"40%",IF(AND(Y30="Detectivo",Z30="Automático"),"40%",IF(AND(Y30="Detectivo",Z30="Manual"),"30%",IF(AND(Y30="Correctivo",Z30="Automático"),"35%",IF(AND(Y30="Correctivo",Z30="Manual"),"25%",""))))))</f>
        <v/>
      </c>
      <c r="AB30" s="189"/>
      <c r="AC30" s="189"/>
      <c r="AD30" s="189"/>
      <c r="AE30" s="191" t="str">
        <f>IFERROR(IF(AND(X29="Probabilidad",X30="Probabilidad"),(AG29-(+AG29*AA30)),IF(X30="Probabilidad",(P29-(+P29*AA30)),IF(X30="Impacto",AG29,""))),"")</f>
        <v/>
      </c>
      <c r="AF30" s="192" t="str">
        <f t="shared" si="2"/>
        <v/>
      </c>
      <c r="AG30" s="190" t="str">
        <f t="shared" ref="AG30:AG34" si="32">+AE30</f>
        <v/>
      </c>
      <c r="AH30" s="192" t="str">
        <f t="shared" si="4"/>
        <v/>
      </c>
      <c r="AI30" s="190" t="str">
        <f t="shared" ref="AI30" si="33">IFERROR(IF(AND(X29="Impacto",X30="Impacto"),(AI29-(+AI29*AA30)),IF(X30="Impacto",($T$13-(+$T$13*AA30)),IF(X30="Probabilidad",AI29,""))),"")</f>
        <v/>
      </c>
      <c r="AJ30" s="193" t="str">
        <f t="shared" ref="AJ30:AJ31" si="34">IFERROR(IF(OR(AND(AF30="Muy Baja",AH30="Leve"),AND(AF30="Muy Baja",AH30="Menor"),AND(AF30="Baja",AH30="Leve")),"Bajo",IF(OR(AND(AF30="Muy baja",AH30="Moderado"),AND(AF30="Baja",AH30="Menor"),AND(AF30="Baja",AH30="Moderado"),AND(AF30="Media",AH30="Leve"),AND(AF30="Media",AH30="Menor"),AND(AF30="Media",AH30="Moderado"),AND(AF30="Alta",AH30="Leve"),AND(AF30="Alta",AH30="Menor")),"Moderado",IF(OR(AND(AF30="Muy Baja",AH30="Mayor"),AND(AF30="Baja",AH30="Mayor"),AND(AF30="Media",AH30="Mayor"),AND(AF30="Alta",AH30="Moderado"),AND(AF30="Alta",AH30="Mayor"),AND(AF30="Muy Alta",AH30="Leve"),AND(AF30="Muy Alta",AH30="Menor"),AND(AF30="Muy Alta",AH30="Moderado"),AND(AF30="Muy Alta",AH30="Mayor")),"Alto",IF(OR(AND(AF30="Muy Baja",AH30="Catastrófico"),AND(AF30="Baja",AH30="Catastrófico"),AND(AF30="Media",AH30="Catastrófico"),AND(AF30="Alta",AH30="Catastrófico"),AND(AF30="Muy Alta",AH30="Catastrófico")),"Extremo","")))),"")</f>
        <v/>
      </c>
      <c r="AK30" s="194"/>
      <c r="AL30" s="185"/>
      <c r="AM30" s="195"/>
      <c r="AN30" s="195"/>
      <c r="AO30" s="196"/>
      <c r="AP30" s="327"/>
      <c r="AQ30" s="327"/>
      <c r="AR30" s="327"/>
    </row>
    <row r="31" spans="1:44" x14ac:dyDescent="0.2">
      <c r="A31" s="337"/>
      <c r="B31" s="331"/>
      <c r="C31" s="331"/>
      <c r="D31" s="331"/>
      <c r="E31" s="331"/>
      <c r="F31" s="331"/>
      <c r="G31" s="320"/>
      <c r="H31" s="320"/>
      <c r="I31" s="320"/>
      <c r="J31" s="320"/>
      <c r="K31" s="320"/>
      <c r="L31" s="320"/>
      <c r="M31" s="320"/>
      <c r="N31" s="327"/>
      <c r="O31" s="323"/>
      <c r="P31" s="322"/>
      <c r="Q31" s="313"/>
      <c r="R31" s="322">
        <f>IF(NOT(ISERROR(MATCH(Q31,_xlfn.ANCHORARRAY(E42),0))),P44&amp;"Por favor no seleccionar los criterios de impacto",Q31)</f>
        <v>0</v>
      </c>
      <c r="S31" s="323"/>
      <c r="T31" s="322"/>
      <c r="U31" s="321"/>
      <c r="V31" s="213">
        <v>3</v>
      </c>
      <c r="W31" s="187"/>
      <c r="X31" s="188" t="str">
        <f>IF(OR(Y31="Preventivo",Y31="Detectivo"),"Probabilidad",IF(Y31="Correctivo","Impacto",""))</f>
        <v/>
      </c>
      <c r="Y31" s="189"/>
      <c r="Z31" s="189"/>
      <c r="AA31" s="190" t="str">
        <f t="shared" si="31"/>
        <v/>
      </c>
      <c r="AB31" s="189"/>
      <c r="AC31" s="189"/>
      <c r="AD31" s="189"/>
      <c r="AE31" s="191" t="str">
        <f>IFERROR(IF(AND(X30="Probabilidad",X31="Probabilidad"),(AG30-(+AG30*AA31)),IF(AND(X30="Impacto",X31="Probabilidad"),(AG29-(+AG29*AA31)),IF(X31="Impacto",AG30,""))),"")</f>
        <v/>
      </c>
      <c r="AF31" s="192" t="str">
        <f t="shared" si="2"/>
        <v/>
      </c>
      <c r="AG31" s="190" t="str">
        <f t="shared" si="32"/>
        <v/>
      </c>
      <c r="AH31" s="192" t="str">
        <f t="shared" si="4"/>
        <v/>
      </c>
      <c r="AI31" s="190" t="str">
        <f t="shared" ref="AI31" si="35">IFERROR(IF(AND(X30="Impacto",X31="Impacto"),(AI30-(+AI30*AA31)),IF(AND(X30="Probabilidad",X31="Impacto"),(AI29-(+AI29*AA31)),IF(X31="Probabilidad",AI30,""))),"")</f>
        <v/>
      </c>
      <c r="AJ31" s="193" t="str">
        <f t="shared" si="34"/>
        <v/>
      </c>
      <c r="AK31" s="194"/>
      <c r="AL31" s="185"/>
      <c r="AM31" s="195"/>
      <c r="AN31" s="195"/>
      <c r="AO31" s="196"/>
      <c r="AP31" s="327"/>
      <c r="AQ31" s="327"/>
      <c r="AR31" s="327"/>
    </row>
    <row r="32" spans="1:44" x14ac:dyDescent="0.2">
      <c r="A32" s="337"/>
      <c r="B32" s="331"/>
      <c r="C32" s="331"/>
      <c r="D32" s="331"/>
      <c r="E32" s="331"/>
      <c r="F32" s="331"/>
      <c r="G32" s="320"/>
      <c r="H32" s="320"/>
      <c r="I32" s="320"/>
      <c r="J32" s="320"/>
      <c r="K32" s="320"/>
      <c r="L32" s="320"/>
      <c r="M32" s="320"/>
      <c r="N32" s="327"/>
      <c r="O32" s="323"/>
      <c r="P32" s="322"/>
      <c r="Q32" s="313"/>
      <c r="R32" s="322">
        <f>IF(NOT(ISERROR(MATCH(Q32,_xlfn.ANCHORARRAY(E43),0))),P45&amp;"Por favor no seleccionar los criterios de impacto",Q32)</f>
        <v>0</v>
      </c>
      <c r="S32" s="323"/>
      <c r="T32" s="322"/>
      <c r="U32" s="321"/>
      <c r="V32" s="213">
        <v>4</v>
      </c>
      <c r="W32" s="186"/>
      <c r="X32" s="188" t="str">
        <f t="shared" ref="X32:X34" si="36">IF(OR(Y32="Preventivo",Y32="Detectivo"),"Probabilidad",IF(Y32="Correctivo","Impacto",""))</f>
        <v/>
      </c>
      <c r="Y32" s="189"/>
      <c r="Z32" s="189"/>
      <c r="AA32" s="190" t="str">
        <f t="shared" si="31"/>
        <v/>
      </c>
      <c r="AB32" s="189"/>
      <c r="AC32" s="189"/>
      <c r="AD32" s="189"/>
      <c r="AE32" s="191" t="str">
        <f t="shared" ref="AE32:AE34" si="37">IFERROR(IF(AND(X31="Probabilidad",X32="Probabilidad"),(AG31-(+AG31*AA32)),IF(AND(X31="Impacto",X32="Probabilidad"),(AG30-(+AG30*AA32)),IF(X32="Impacto",AG31,""))),"")</f>
        <v/>
      </c>
      <c r="AF32" s="192" t="str">
        <f t="shared" si="2"/>
        <v/>
      </c>
      <c r="AG32" s="190" t="str">
        <f t="shared" si="32"/>
        <v/>
      </c>
      <c r="AH32" s="192" t="str">
        <f t="shared" si="4"/>
        <v/>
      </c>
      <c r="AI32" s="190" t="str">
        <f t="shared" si="19"/>
        <v/>
      </c>
      <c r="AJ32" s="193" t="str">
        <f>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4"/>
      <c r="AL32" s="185"/>
      <c r="AM32" s="195"/>
      <c r="AN32" s="195"/>
      <c r="AO32" s="196"/>
      <c r="AP32" s="327"/>
      <c r="AQ32" s="327"/>
      <c r="AR32" s="327"/>
    </row>
    <row r="33" spans="1:44" x14ac:dyDescent="0.2">
      <c r="A33" s="337"/>
      <c r="B33" s="331"/>
      <c r="C33" s="331"/>
      <c r="D33" s="331"/>
      <c r="E33" s="331"/>
      <c r="F33" s="331"/>
      <c r="G33" s="320"/>
      <c r="H33" s="320"/>
      <c r="I33" s="320"/>
      <c r="J33" s="320"/>
      <c r="K33" s="320"/>
      <c r="L33" s="320"/>
      <c r="M33" s="320"/>
      <c r="N33" s="327"/>
      <c r="O33" s="323"/>
      <c r="P33" s="322"/>
      <c r="Q33" s="313"/>
      <c r="R33" s="322">
        <f>IF(NOT(ISERROR(MATCH(Q33,_xlfn.ANCHORARRAY(E44),0))),P46&amp;"Por favor no seleccionar los criterios de impacto",Q33)</f>
        <v>0</v>
      </c>
      <c r="S33" s="323"/>
      <c r="T33" s="322"/>
      <c r="U33" s="321"/>
      <c r="V33" s="213">
        <v>5</v>
      </c>
      <c r="W33" s="186"/>
      <c r="X33" s="188" t="str">
        <f t="shared" si="36"/>
        <v/>
      </c>
      <c r="Y33" s="189"/>
      <c r="Z33" s="189"/>
      <c r="AA33" s="190" t="str">
        <f t="shared" si="31"/>
        <v/>
      </c>
      <c r="AB33" s="189"/>
      <c r="AC33" s="189"/>
      <c r="AD33" s="189"/>
      <c r="AE33" s="191" t="str">
        <f t="shared" si="37"/>
        <v/>
      </c>
      <c r="AF33" s="192" t="str">
        <f t="shared" si="2"/>
        <v/>
      </c>
      <c r="AG33" s="190" t="str">
        <f t="shared" si="32"/>
        <v/>
      </c>
      <c r="AH33" s="192" t="str">
        <f t="shared" si="4"/>
        <v/>
      </c>
      <c r="AI33" s="190" t="str">
        <f t="shared" si="19"/>
        <v/>
      </c>
      <c r="AJ33" s="193" t="str">
        <f t="shared" ref="AJ33:AJ34" si="38">IFERROR(IF(OR(AND(AF33="Muy Baja",AH33="Leve"),AND(AF33="Muy Baja",AH33="Menor"),AND(AF33="Baja",AH33="Leve")),"Bajo",IF(OR(AND(AF33="Muy baja",AH33="Moderado"),AND(AF33="Baja",AH33="Menor"),AND(AF33="Baja",AH33="Moderado"),AND(AF33="Media",AH33="Leve"),AND(AF33="Media",AH33="Menor"),AND(AF33="Media",AH33="Moderado"),AND(AF33="Alta",AH33="Leve"),AND(AF33="Alta",AH33="Menor")),"Moderado",IF(OR(AND(AF33="Muy Baja",AH33="Mayor"),AND(AF33="Baja",AH33="Mayor"),AND(AF33="Media",AH33="Mayor"),AND(AF33="Alta",AH33="Moderado"),AND(AF33="Alta",AH33="Mayor"),AND(AF33="Muy Alta",AH33="Leve"),AND(AF33="Muy Alta",AH33="Menor"),AND(AF33="Muy Alta",AH33="Moderado"),AND(AF33="Muy Alta",AH33="Mayor")),"Alto",IF(OR(AND(AF33="Muy Baja",AH33="Catastrófico"),AND(AF33="Baja",AH33="Catastrófico"),AND(AF33="Media",AH33="Catastrófico"),AND(AF33="Alta",AH33="Catastrófico"),AND(AF33="Muy Alta",AH33="Catastrófico")),"Extremo","")))),"")</f>
        <v/>
      </c>
      <c r="AK33" s="194"/>
      <c r="AL33" s="185"/>
      <c r="AM33" s="195"/>
      <c r="AN33" s="195"/>
      <c r="AO33" s="196"/>
      <c r="AP33" s="327"/>
      <c r="AQ33" s="327"/>
      <c r="AR33" s="327"/>
    </row>
    <row r="34" spans="1:44" x14ac:dyDescent="0.2">
      <c r="A34" s="337"/>
      <c r="B34" s="331"/>
      <c r="C34" s="331"/>
      <c r="D34" s="331"/>
      <c r="E34" s="331"/>
      <c r="F34" s="331"/>
      <c r="G34" s="325"/>
      <c r="H34" s="325"/>
      <c r="I34" s="325"/>
      <c r="J34" s="325"/>
      <c r="K34" s="325"/>
      <c r="L34" s="325"/>
      <c r="M34" s="325"/>
      <c r="N34" s="327"/>
      <c r="O34" s="323"/>
      <c r="P34" s="322"/>
      <c r="Q34" s="313"/>
      <c r="R34" s="322">
        <f>IF(NOT(ISERROR(MATCH(Q34,_xlfn.ANCHORARRAY(E45),0))),P47&amp;"Por favor no seleccionar los criterios de impacto",Q34)</f>
        <v>0</v>
      </c>
      <c r="S34" s="323"/>
      <c r="T34" s="322"/>
      <c r="U34" s="321"/>
      <c r="V34" s="213">
        <v>6</v>
      </c>
      <c r="W34" s="186"/>
      <c r="X34" s="188" t="str">
        <f t="shared" si="36"/>
        <v/>
      </c>
      <c r="Y34" s="189"/>
      <c r="Z34" s="189"/>
      <c r="AA34" s="190" t="str">
        <f t="shared" si="31"/>
        <v/>
      </c>
      <c r="AB34" s="189"/>
      <c r="AC34" s="189"/>
      <c r="AD34" s="189"/>
      <c r="AE34" s="191" t="str">
        <f t="shared" si="37"/>
        <v/>
      </c>
      <c r="AF34" s="192" t="str">
        <f t="shared" si="2"/>
        <v/>
      </c>
      <c r="AG34" s="190" t="str">
        <f t="shared" si="32"/>
        <v/>
      </c>
      <c r="AH34" s="192" t="str">
        <f t="shared" si="4"/>
        <v/>
      </c>
      <c r="AI34" s="190" t="str">
        <f t="shared" si="19"/>
        <v/>
      </c>
      <c r="AJ34" s="193" t="str">
        <f t="shared" si="38"/>
        <v/>
      </c>
      <c r="AK34" s="194"/>
      <c r="AL34" s="185"/>
      <c r="AM34" s="195"/>
      <c r="AN34" s="195"/>
      <c r="AO34" s="196"/>
      <c r="AP34" s="327"/>
      <c r="AQ34" s="327"/>
      <c r="AR34" s="327"/>
    </row>
    <row r="35" spans="1:44" x14ac:dyDescent="0.2">
      <c r="A35" s="337">
        <v>6</v>
      </c>
      <c r="B35" s="331"/>
      <c r="C35" s="331"/>
      <c r="D35" s="331"/>
      <c r="E35" s="319"/>
      <c r="F35" s="331"/>
      <c r="G35" s="319"/>
      <c r="H35" s="319"/>
      <c r="I35" s="319"/>
      <c r="J35" s="319"/>
      <c r="K35" s="319"/>
      <c r="L35" s="319"/>
      <c r="M35" s="319"/>
      <c r="N35" s="327"/>
      <c r="O35" s="323" t="str">
        <f>IF(N35&lt;=0,"",IF(N35&lt;=2,"Muy Baja",IF(N35&lt;=24,"Baja",IF(N35&lt;=500,"Media",IF(N35&lt;=5000,"Alta","Muy Alta")))))</f>
        <v/>
      </c>
      <c r="P35" s="322" t="str">
        <f>IF(O35="","",IF(O35="Muy Baja",0.2,IF(O35="Baja",0.4,IF(O35="Media",0.6,IF(O35="Alta",0.8,IF(O35="Muy Alta",1,))))))</f>
        <v/>
      </c>
      <c r="Q35" s="313"/>
      <c r="R35" s="322">
        <f>IF(NOT(ISERROR(MATCH(Q35,'Tabla Impacto'!$B$222:$B$224,0))),'Tabla Impacto'!$F$224&amp;"Por favor no seleccionar los criterios de impacto(Afectación Económica o presupuestal y Pérdida Reputacional)",Q35)</f>
        <v>0</v>
      </c>
      <c r="S35" s="323" t="str">
        <f>IF(OR(R35='Tabla Impacto'!$C$12,R35='Tabla Impacto'!$D$12),"Leve",IF(OR(R35='Tabla Impacto'!$C$13,R35='Tabla Impacto'!$D$13),"Menor",IF(OR(R35='Tabla Impacto'!$C$14,R35='Tabla Impacto'!$D$14),"Moderado",IF(OR(R35='Tabla Impacto'!$C$15,R35='Tabla Impacto'!$D$15),"Mayor",IF(OR(R35='Tabla Impacto'!$C$16,R35='Tabla Impacto'!$D$16),"Catastrófico","")))))</f>
        <v/>
      </c>
      <c r="T35" s="322" t="str">
        <f>IF(S35="","",IF(S35="Leve",0.2,IF(S35="Menor",0.4,IF(S35="Moderado",0.6,IF(S35="Mayor",0.8,IF(S35="Catastrófico",1,))))))</f>
        <v/>
      </c>
      <c r="U35" s="321" t="str">
        <f>IF(OR(AND(O35="Muy Baja",S35="Leve"),AND(O35="Muy Baja",S35="Menor"),AND(O35="Baja",S35="Leve")),"Bajo",IF(OR(AND(O35="Muy baja",S35="Moderado"),AND(O35="Baja",S35="Menor"),AND(O35="Baja",S35="Moderado"),AND(O35="Media",S35="Leve"),AND(O35="Media",S35="Menor"),AND(O35="Media",S35="Moderado"),AND(O35="Alta",S35="Leve"),AND(O35="Alta",S35="Menor")),"Moderado",IF(OR(AND(O35="Muy Baja",S35="Mayor"),AND(O35="Baja",S35="Mayor"),AND(O35="Media",S35="Mayor"),AND(O35="Alta",S35="Moderado"),AND(O35="Alta",S35="Mayor"),AND(O35="Muy Alta",S35="Leve"),AND(O35="Muy Alta",S35="Menor"),AND(O35="Muy Alta",S35="Moderado"),AND(O35="Muy Alta",S35="Mayor")),"Alto",IF(OR(AND(O35="Muy Baja",S35="Catastrófico"),AND(O35="Baja",S35="Catastrófico"),AND(O35="Media",S35="Catastrófico"),AND(O35="Alta",S35="Catastrófico"),AND(O35="Muy Alta",S35="Catastrófico")),"Extremo",""))))</f>
        <v/>
      </c>
      <c r="V35" s="213">
        <v>1</v>
      </c>
      <c r="W35" s="186"/>
      <c r="X35" s="188" t="str">
        <f>IF(OR(Y35="Preventivo",Y35="Detectivo"),"Probabilidad",IF(Y35="Correctivo","Impacto",""))</f>
        <v/>
      </c>
      <c r="Y35" s="189"/>
      <c r="Z35" s="189"/>
      <c r="AA35" s="190" t="str">
        <f>IF(AND(Y35="Preventivo",Z35="Automático"),"50%",IF(AND(Y35="Preventivo",Z35="Manual"),"40%",IF(AND(Y35="Detectivo",Z35="Automático"),"40%",IF(AND(Y35="Detectivo",Z35="Manual"),"30%",IF(AND(Y35="Correctivo",Z35="Automático"),"35%",IF(AND(Y35="Correctivo",Z35="Manual"),"25%",""))))))</f>
        <v/>
      </c>
      <c r="AB35" s="189"/>
      <c r="AC35" s="189"/>
      <c r="AD35" s="189"/>
      <c r="AE35" s="191" t="str">
        <f>IFERROR(IF(X35="Probabilidad",(P35-(+P35*AA35)),IF(X35="Impacto",P35,"")),"")</f>
        <v/>
      </c>
      <c r="AF35" s="192" t="str">
        <f>IFERROR(IF(AE35="","",IF(AE35&lt;=0.2,"Muy Baja",IF(AE35&lt;=0.4,"Baja",IF(AE35&lt;=0.6,"Media",IF(AE35&lt;=0.8,"Alta","Muy Alta"))))),"")</f>
        <v/>
      </c>
      <c r="AG35" s="190" t="str">
        <f>+AE35</f>
        <v/>
      </c>
      <c r="AH35" s="192" t="str">
        <f>IFERROR(IF(AI35="","",IF(AI35&lt;=0.2,"Leve",IF(AI35&lt;=0.4,"Menor",IF(AI35&lt;=0.6,"Moderado",IF(AI35&lt;=0.8,"Mayor","Catastrófico"))))),"")</f>
        <v/>
      </c>
      <c r="AI35" s="190" t="str">
        <f t="shared" ref="AI35" si="39">IFERROR(IF(X35="Impacto",(T35-(+T35*AA35)),IF(X35="Probabilidad",T35,"")),"")</f>
        <v/>
      </c>
      <c r="AJ35" s="193" t="str">
        <f>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9"/>
      <c r="AL35" s="185"/>
      <c r="AM35" s="195"/>
      <c r="AN35" s="195"/>
      <c r="AO35" s="196"/>
      <c r="AP35" s="327"/>
      <c r="AQ35" s="327"/>
      <c r="AR35" s="327"/>
    </row>
    <row r="36" spans="1:44" x14ac:dyDescent="0.2">
      <c r="A36" s="337"/>
      <c r="B36" s="331"/>
      <c r="C36" s="331"/>
      <c r="D36" s="331"/>
      <c r="E36" s="320"/>
      <c r="F36" s="331"/>
      <c r="G36" s="320"/>
      <c r="H36" s="320"/>
      <c r="I36" s="320"/>
      <c r="J36" s="320"/>
      <c r="K36" s="320"/>
      <c r="L36" s="320"/>
      <c r="M36" s="320"/>
      <c r="N36" s="327"/>
      <c r="O36" s="323"/>
      <c r="P36" s="322"/>
      <c r="Q36" s="313"/>
      <c r="R36" s="322">
        <f>IF(NOT(ISERROR(MATCH(Q36,_xlfn.ANCHORARRAY(E47),0))),P49&amp;"Por favor no seleccionar los criterios de impacto",Q36)</f>
        <v>0</v>
      </c>
      <c r="S36" s="323"/>
      <c r="T36" s="322"/>
      <c r="U36" s="321"/>
      <c r="V36" s="213">
        <v>2</v>
      </c>
      <c r="W36" s="186"/>
      <c r="X36" s="188" t="str">
        <f>IF(OR(Y36="Preventivo",Y36="Detectivo"),"Probabilidad",IF(Y36="Correctivo","Impacto",""))</f>
        <v/>
      </c>
      <c r="Y36" s="189"/>
      <c r="Z36" s="189"/>
      <c r="AA36" s="190" t="str">
        <f t="shared" ref="AA36:AA40" si="40">IF(AND(Y36="Preventivo",Z36="Automático"),"50%",IF(AND(Y36="Preventivo",Z36="Manual"),"40%",IF(AND(Y36="Detectivo",Z36="Automático"),"40%",IF(AND(Y36="Detectivo",Z36="Manual"),"30%",IF(AND(Y36="Correctivo",Z36="Automático"),"35%",IF(AND(Y36="Correctivo",Z36="Manual"),"25%",""))))))</f>
        <v/>
      </c>
      <c r="AB36" s="189"/>
      <c r="AC36" s="189"/>
      <c r="AD36" s="189"/>
      <c r="AE36" s="191" t="str">
        <f>IFERROR(IF(AND(X35="Probabilidad",X36="Probabilidad"),(AG35-(+AG35*AA36)),IF(X36="Probabilidad",(P35-(+P35*AA36)),IF(X36="Impacto",AG35,""))),"")</f>
        <v/>
      </c>
      <c r="AF36" s="192" t="str">
        <f t="shared" si="2"/>
        <v/>
      </c>
      <c r="AG36" s="190" t="str">
        <f t="shared" ref="AG36:AG40" si="41">+AE36</f>
        <v/>
      </c>
      <c r="AH36" s="192" t="str">
        <f t="shared" si="4"/>
        <v/>
      </c>
      <c r="AI36" s="190" t="str">
        <f t="shared" ref="AI36" si="42">IFERROR(IF(AND(X35="Impacto",X36="Impacto"),(AI35-(+AI35*AA36)),IF(X36="Impacto",($T$13-(+$T$13*AA36)),IF(X36="Probabilidad",AI35,""))),"")</f>
        <v/>
      </c>
      <c r="AJ36" s="193" t="str">
        <f t="shared" ref="AJ36:AJ37" si="43">IFERROR(IF(OR(AND(AF36="Muy Baja",AH36="Leve"),AND(AF36="Muy Baja",AH36="Menor"),AND(AF36="Baja",AH36="Leve")),"Bajo",IF(OR(AND(AF36="Muy baja",AH36="Moderado"),AND(AF36="Baja",AH36="Menor"),AND(AF36="Baja",AH36="Moderado"),AND(AF36="Media",AH36="Leve"),AND(AF36="Media",AH36="Menor"),AND(AF36="Media",AH36="Moderado"),AND(AF36="Alta",AH36="Leve"),AND(AF36="Alta",AH36="Menor")),"Moderado",IF(OR(AND(AF36="Muy Baja",AH36="Mayor"),AND(AF36="Baja",AH36="Mayor"),AND(AF36="Media",AH36="Mayor"),AND(AF36="Alta",AH36="Moderado"),AND(AF36="Alta",AH36="Mayor"),AND(AF36="Muy Alta",AH36="Leve"),AND(AF36="Muy Alta",AH36="Menor"),AND(AF36="Muy Alta",AH36="Moderado"),AND(AF36="Muy Alta",AH36="Mayor")),"Alto",IF(OR(AND(AF36="Muy Baja",AH36="Catastrófico"),AND(AF36="Baja",AH36="Catastrófico"),AND(AF36="Media",AH36="Catastrófico"),AND(AF36="Alta",AH36="Catastrófico"),AND(AF36="Muy Alta",AH36="Catastrófico")),"Extremo","")))),"")</f>
        <v/>
      </c>
      <c r="AK36" s="194"/>
      <c r="AL36" s="185"/>
      <c r="AM36" s="195"/>
      <c r="AN36" s="195"/>
      <c r="AO36" s="196"/>
      <c r="AP36" s="327"/>
      <c r="AQ36" s="327"/>
      <c r="AR36" s="327"/>
    </row>
    <row r="37" spans="1:44" x14ac:dyDescent="0.2">
      <c r="A37" s="337"/>
      <c r="B37" s="331"/>
      <c r="C37" s="331"/>
      <c r="D37" s="331"/>
      <c r="E37" s="320"/>
      <c r="F37" s="331"/>
      <c r="G37" s="320"/>
      <c r="H37" s="320"/>
      <c r="I37" s="320"/>
      <c r="J37" s="320"/>
      <c r="K37" s="320"/>
      <c r="L37" s="320"/>
      <c r="M37" s="320"/>
      <c r="N37" s="327"/>
      <c r="O37" s="323"/>
      <c r="P37" s="322"/>
      <c r="Q37" s="313"/>
      <c r="R37" s="322">
        <f>IF(NOT(ISERROR(MATCH(Q37,_xlfn.ANCHORARRAY(E48),0))),P50&amp;"Por favor no seleccionar los criterios de impacto",Q37)</f>
        <v>0</v>
      </c>
      <c r="S37" s="323"/>
      <c r="T37" s="322"/>
      <c r="U37" s="321"/>
      <c r="V37" s="213">
        <v>3</v>
      </c>
      <c r="W37" s="187"/>
      <c r="X37" s="188" t="str">
        <f>IF(OR(Y37="Preventivo",Y37="Detectivo"),"Probabilidad",IF(Y37="Correctivo","Impacto",""))</f>
        <v/>
      </c>
      <c r="Y37" s="189"/>
      <c r="Z37" s="189"/>
      <c r="AA37" s="190" t="str">
        <f t="shared" si="40"/>
        <v/>
      </c>
      <c r="AB37" s="189"/>
      <c r="AC37" s="189"/>
      <c r="AD37" s="189"/>
      <c r="AE37" s="191" t="str">
        <f>IFERROR(IF(AND(X36="Probabilidad",X37="Probabilidad"),(AG36-(+AG36*AA37)),IF(AND(X36="Impacto",X37="Probabilidad"),(AG35-(+AG35*AA37)),IF(X37="Impacto",AG36,""))),"")</f>
        <v/>
      </c>
      <c r="AF37" s="192" t="str">
        <f t="shared" si="2"/>
        <v/>
      </c>
      <c r="AG37" s="190" t="str">
        <f t="shared" si="41"/>
        <v/>
      </c>
      <c r="AH37" s="192" t="str">
        <f t="shared" si="4"/>
        <v/>
      </c>
      <c r="AI37" s="190" t="str">
        <f t="shared" ref="AI37" si="44">IFERROR(IF(AND(X36="Impacto",X37="Impacto"),(AI36-(+AI36*AA37)),IF(AND(X36="Probabilidad",X37="Impacto"),(AI35-(+AI35*AA37)),IF(X37="Probabilidad",AI36,""))),"")</f>
        <v/>
      </c>
      <c r="AJ37" s="193" t="str">
        <f t="shared" si="43"/>
        <v/>
      </c>
      <c r="AK37" s="194"/>
      <c r="AL37" s="185"/>
      <c r="AM37" s="195"/>
      <c r="AN37" s="195"/>
      <c r="AO37" s="196"/>
      <c r="AP37" s="327"/>
      <c r="AQ37" s="327"/>
      <c r="AR37" s="327"/>
    </row>
    <row r="38" spans="1:44" x14ac:dyDescent="0.2">
      <c r="A38" s="337"/>
      <c r="B38" s="331"/>
      <c r="C38" s="331"/>
      <c r="D38" s="331"/>
      <c r="E38" s="320"/>
      <c r="F38" s="331"/>
      <c r="G38" s="320"/>
      <c r="H38" s="320"/>
      <c r="I38" s="320"/>
      <c r="J38" s="320"/>
      <c r="K38" s="320"/>
      <c r="L38" s="320"/>
      <c r="M38" s="320"/>
      <c r="N38" s="327"/>
      <c r="O38" s="323"/>
      <c r="P38" s="322"/>
      <c r="Q38" s="313"/>
      <c r="R38" s="322">
        <f>IF(NOT(ISERROR(MATCH(Q38,_xlfn.ANCHORARRAY(E49),0))),P51&amp;"Por favor no seleccionar los criterios de impacto",Q38)</f>
        <v>0</v>
      </c>
      <c r="S38" s="323"/>
      <c r="T38" s="322"/>
      <c r="U38" s="321"/>
      <c r="V38" s="213">
        <v>4</v>
      </c>
      <c r="W38" s="186"/>
      <c r="X38" s="188" t="str">
        <f t="shared" ref="X38:X40" si="45">IF(OR(Y38="Preventivo",Y38="Detectivo"),"Probabilidad",IF(Y38="Correctivo","Impacto",""))</f>
        <v/>
      </c>
      <c r="Y38" s="189"/>
      <c r="Z38" s="189"/>
      <c r="AA38" s="190" t="str">
        <f t="shared" si="40"/>
        <v/>
      </c>
      <c r="AB38" s="189"/>
      <c r="AC38" s="189"/>
      <c r="AD38" s="189"/>
      <c r="AE38" s="191" t="str">
        <f t="shared" ref="AE38:AE40" si="46">IFERROR(IF(AND(X37="Probabilidad",X38="Probabilidad"),(AG37-(+AG37*AA38)),IF(AND(X37="Impacto",X38="Probabilidad"),(AG36-(+AG36*AA38)),IF(X38="Impacto",AG37,""))),"")</f>
        <v/>
      </c>
      <c r="AF38" s="192" t="str">
        <f t="shared" si="2"/>
        <v/>
      </c>
      <c r="AG38" s="190" t="str">
        <f t="shared" si="41"/>
        <v/>
      </c>
      <c r="AH38" s="192" t="str">
        <f t="shared" si="4"/>
        <v/>
      </c>
      <c r="AI38" s="190" t="str">
        <f t="shared" si="19"/>
        <v/>
      </c>
      <c r="AJ38" s="193" t="str">
        <f>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4"/>
      <c r="AL38" s="185"/>
      <c r="AM38" s="195"/>
      <c r="AN38" s="195"/>
      <c r="AO38" s="196"/>
      <c r="AP38" s="327"/>
      <c r="AQ38" s="327"/>
      <c r="AR38" s="327"/>
    </row>
    <row r="39" spans="1:44" x14ac:dyDescent="0.2">
      <c r="A39" s="337"/>
      <c r="B39" s="331"/>
      <c r="C39" s="331"/>
      <c r="D39" s="331"/>
      <c r="E39" s="320"/>
      <c r="F39" s="331"/>
      <c r="G39" s="320"/>
      <c r="H39" s="320"/>
      <c r="I39" s="320"/>
      <c r="J39" s="320"/>
      <c r="K39" s="320"/>
      <c r="L39" s="320"/>
      <c r="M39" s="320"/>
      <c r="N39" s="327"/>
      <c r="O39" s="323"/>
      <c r="P39" s="322"/>
      <c r="Q39" s="313"/>
      <c r="R39" s="322">
        <f>IF(NOT(ISERROR(MATCH(Q39,_xlfn.ANCHORARRAY(E50),0))),P52&amp;"Por favor no seleccionar los criterios de impacto",Q39)</f>
        <v>0</v>
      </c>
      <c r="S39" s="323"/>
      <c r="T39" s="322"/>
      <c r="U39" s="321"/>
      <c r="V39" s="213">
        <v>5</v>
      </c>
      <c r="W39" s="186"/>
      <c r="X39" s="188" t="str">
        <f t="shared" si="45"/>
        <v/>
      </c>
      <c r="Y39" s="189"/>
      <c r="Z39" s="189"/>
      <c r="AA39" s="190" t="str">
        <f t="shared" si="40"/>
        <v/>
      </c>
      <c r="AB39" s="189"/>
      <c r="AC39" s="189"/>
      <c r="AD39" s="189"/>
      <c r="AE39" s="191" t="str">
        <f t="shared" si="46"/>
        <v/>
      </c>
      <c r="AF39" s="192" t="str">
        <f t="shared" si="2"/>
        <v/>
      </c>
      <c r="AG39" s="190" t="str">
        <f t="shared" si="41"/>
        <v/>
      </c>
      <c r="AH39" s="192" t="str">
        <f t="shared" si="4"/>
        <v/>
      </c>
      <c r="AI39" s="190" t="str">
        <f t="shared" si="19"/>
        <v/>
      </c>
      <c r="AJ39" s="193" t="str">
        <f t="shared" ref="AJ39" si="47">IFERROR(IF(OR(AND(AF39="Muy Baja",AH39="Leve"),AND(AF39="Muy Baja",AH39="Menor"),AND(AF39="Baja",AH39="Leve")),"Bajo",IF(OR(AND(AF39="Muy baja",AH39="Moderado"),AND(AF39="Baja",AH39="Menor"),AND(AF39="Baja",AH39="Moderado"),AND(AF39="Media",AH39="Leve"),AND(AF39="Media",AH39="Menor"),AND(AF39="Media",AH39="Moderado"),AND(AF39="Alta",AH39="Leve"),AND(AF39="Alta",AH39="Menor")),"Moderado",IF(OR(AND(AF39="Muy Baja",AH39="Mayor"),AND(AF39="Baja",AH39="Mayor"),AND(AF39="Media",AH39="Mayor"),AND(AF39="Alta",AH39="Moderado"),AND(AF39="Alta",AH39="Mayor"),AND(AF39="Muy Alta",AH39="Leve"),AND(AF39="Muy Alta",AH39="Menor"),AND(AF39="Muy Alta",AH39="Moderado"),AND(AF39="Muy Alta",AH39="Mayor")),"Alto",IF(OR(AND(AF39="Muy Baja",AH39="Catastrófico"),AND(AF39="Baja",AH39="Catastrófico"),AND(AF39="Media",AH39="Catastrófico"),AND(AF39="Alta",AH39="Catastrófico"),AND(AF39="Muy Alta",AH39="Catastrófico")),"Extremo","")))),"")</f>
        <v/>
      </c>
      <c r="AK39" s="194"/>
      <c r="AL39" s="185"/>
      <c r="AM39" s="195"/>
      <c r="AN39" s="195"/>
      <c r="AO39" s="196"/>
      <c r="AP39" s="327"/>
      <c r="AQ39" s="327"/>
      <c r="AR39" s="327"/>
    </row>
    <row r="40" spans="1:44" x14ac:dyDescent="0.2">
      <c r="A40" s="337"/>
      <c r="B40" s="331"/>
      <c r="C40" s="331"/>
      <c r="D40" s="331"/>
      <c r="E40" s="325"/>
      <c r="F40" s="331"/>
      <c r="G40" s="325"/>
      <c r="H40" s="325"/>
      <c r="I40" s="325"/>
      <c r="J40" s="325"/>
      <c r="K40" s="325"/>
      <c r="L40" s="325"/>
      <c r="M40" s="325"/>
      <c r="N40" s="327"/>
      <c r="O40" s="323"/>
      <c r="P40" s="322"/>
      <c r="Q40" s="313"/>
      <c r="R40" s="322">
        <f>IF(NOT(ISERROR(MATCH(Q40,_xlfn.ANCHORARRAY(E51),0))),P53&amp;"Por favor no seleccionar los criterios de impacto",Q40)</f>
        <v>0</v>
      </c>
      <c r="S40" s="323"/>
      <c r="T40" s="322"/>
      <c r="U40" s="321"/>
      <c r="V40" s="213">
        <v>6</v>
      </c>
      <c r="W40" s="186"/>
      <c r="X40" s="188" t="str">
        <f t="shared" si="45"/>
        <v/>
      </c>
      <c r="Y40" s="189"/>
      <c r="Z40" s="189"/>
      <c r="AA40" s="190" t="str">
        <f t="shared" si="40"/>
        <v/>
      </c>
      <c r="AB40" s="189"/>
      <c r="AC40" s="189"/>
      <c r="AD40" s="189"/>
      <c r="AE40" s="191" t="str">
        <f t="shared" si="46"/>
        <v/>
      </c>
      <c r="AF40" s="192" t="str">
        <f t="shared" si="2"/>
        <v/>
      </c>
      <c r="AG40" s="190" t="str">
        <f t="shared" si="41"/>
        <v/>
      </c>
      <c r="AH40" s="192" t="str">
        <f>IFERROR(IF(AI40="","",IF(AI40&lt;=0.2,"Leve",IF(AI40&lt;=0.4,"Menor",IF(AI40&lt;=0.6,"Moderado",IF(AI40&lt;=0.8,"Mayor","Catastrófico"))))),"")</f>
        <v/>
      </c>
      <c r="AI40" s="190" t="str">
        <f t="shared" si="19"/>
        <v/>
      </c>
      <c r="AJ40" s="193"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4"/>
      <c r="AL40" s="185"/>
      <c r="AM40" s="195"/>
      <c r="AN40" s="195"/>
      <c r="AO40" s="196"/>
      <c r="AP40" s="327"/>
      <c r="AQ40" s="327"/>
      <c r="AR40" s="327"/>
    </row>
    <row r="41" spans="1:44" x14ac:dyDescent="0.2">
      <c r="A41" s="337">
        <v>7</v>
      </c>
      <c r="B41" s="331"/>
      <c r="C41" s="331"/>
      <c r="D41" s="345"/>
      <c r="E41" s="331"/>
      <c r="F41" s="331"/>
      <c r="G41" s="319"/>
      <c r="H41" s="319"/>
      <c r="I41" s="319"/>
      <c r="J41" s="319"/>
      <c r="K41" s="319"/>
      <c r="L41" s="319"/>
      <c r="M41" s="319"/>
      <c r="N41" s="327"/>
      <c r="O41" s="323" t="str">
        <f>IF(N41&lt;=0,"",IF(N41&lt;=2,"Muy Baja",IF(N41&lt;=24,"Baja",IF(N41&lt;=500,"Media",IF(N41&lt;=5000,"Alta","Muy Alta")))))</f>
        <v/>
      </c>
      <c r="P41" s="322" t="str">
        <f>IF(O41="","",IF(O41="Muy Baja",0.2,IF(O41="Baja",0.4,IF(O41="Media",0.6,IF(O41="Alta",0.8,IF(O41="Muy Alta",1,))))))</f>
        <v/>
      </c>
      <c r="Q41" s="313"/>
      <c r="R41" s="322">
        <f>IF(NOT(ISERROR(MATCH(Q41,'Tabla Impacto'!$B$222:$B$224,0))),'Tabla Impacto'!$F$224&amp;"Por favor no seleccionar los criterios de impacto(Afectación Económica o presupuestal y Pérdida Reputacional)",Q41)</f>
        <v>0</v>
      </c>
      <c r="S41" s="323" t="str">
        <f>IF(OR(R41='Tabla Impacto'!$C$12,R41='Tabla Impacto'!$D$12),"Leve",IF(OR(R41='Tabla Impacto'!$C$13,R41='Tabla Impacto'!$D$13),"Menor",IF(OR(R41='Tabla Impacto'!$C$14,R41='Tabla Impacto'!$D$14),"Moderado",IF(OR(R41='Tabla Impacto'!$C$15,R41='Tabla Impacto'!$D$15),"Mayor",IF(OR(R41='Tabla Impacto'!$C$16,R41='Tabla Impacto'!$D$16),"Catastrófico","")))))</f>
        <v/>
      </c>
      <c r="T41" s="322" t="str">
        <f>IF(S41="","",IF(S41="Leve",0.2,IF(S41="Menor",0.4,IF(S41="Moderado",0.6,IF(S41="Mayor",0.8,IF(S41="Catastrófico",1,))))))</f>
        <v/>
      </c>
      <c r="U41" s="321" t="str">
        <f>IF(OR(AND(O41="Muy Baja",S41="Leve"),AND(O41="Muy Baja",S41="Menor"),AND(O41="Baja",S41="Leve")),"Bajo",IF(OR(AND(O41="Muy baja",S41="Moderado"),AND(O41="Baja",S41="Menor"),AND(O41="Baja",S41="Moderado"),AND(O41="Media",S41="Leve"),AND(O41="Media",S41="Menor"),AND(O41="Media",S41="Moderado"),AND(O41="Alta",S41="Leve"),AND(O41="Alta",S41="Menor")),"Moderado",IF(OR(AND(O41="Muy Baja",S41="Mayor"),AND(O41="Baja",S41="Mayor"),AND(O41="Media",S41="Mayor"),AND(O41="Alta",S41="Moderado"),AND(O41="Alta",S41="Mayor"),AND(O41="Muy Alta",S41="Leve"),AND(O41="Muy Alta",S41="Menor"),AND(O41="Muy Alta",S41="Moderado"),AND(O41="Muy Alta",S41="Mayor")),"Alto",IF(OR(AND(O41="Muy Baja",S41="Catastrófico"),AND(O41="Baja",S41="Catastrófico"),AND(O41="Media",S41="Catastrófico"),AND(O41="Alta",S41="Catastrófico"),AND(O41="Muy Alta",S41="Catastrófico")),"Extremo",""))))</f>
        <v/>
      </c>
      <c r="V41" s="213">
        <v>1</v>
      </c>
      <c r="W41" s="198"/>
      <c r="X41" s="188" t="str">
        <f>IF(OR(Y41="Preventivo",Y41="Detectivo"),"Probabilidad",IF(Y41="Correctivo","Impacto",""))</f>
        <v/>
      </c>
      <c r="Y41" s="189"/>
      <c r="Z41" s="189"/>
      <c r="AA41" s="190" t="str">
        <f>IF(AND(Y41="Preventivo",Z41="Automático"),"50%",IF(AND(Y41="Preventivo",Z41="Manual"),"40%",IF(AND(Y41="Detectivo",Z41="Automático"),"40%",IF(AND(Y41="Detectivo",Z41="Manual"),"30%",IF(AND(Y41="Correctivo",Z41="Automático"),"35%",IF(AND(Y41="Correctivo",Z41="Manual"),"25%",""))))))</f>
        <v/>
      </c>
      <c r="AB41" s="189"/>
      <c r="AC41" s="189"/>
      <c r="AD41" s="189"/>
      <c r="AE41" s="191" t="str">
        <f>IFERROR(IF(X41="Probabilidad",(P41-(+P41*AA41)),IF(X41="Impacto",P41,"")),"")</f>
        <v/>
      </c>
      <c r="AF41" s="192" t="str">
        <f>IFERROR(IF(AE41="","",IF(AE41&lt;=0.2,"Muy Baja",IF(AE41&lt;=0.4,"Baja",IF(AE41&lt;=0.6,"Media",IF(AE41&lt;=0.8,"Alta","Muy Alta"))))),"")</f>
        <v/>
      </c>
      <c r="AG41" s="190" t="str">
        <f>+AE41</f>
        <v/>
      </c>
      <c r="AH41" s="192" t="str">
        <f>IFERROR(IF(AI41="","",IF(AI41&lt;=0.2,"Leve",IF(AI41&lt;=0.4,"Menor",IF(AI41&lt;=0.6,"Moderado",IF(AI41&lt;=0.8,"Mayor","Catastrófico"))))),"")</f>
        <v/>
      </c>
      <c r="AI41" s="190" t="str">
        <f t="shared" ref="AI41" si="48">IFERROR(IF(X41="Impacto",(T41-(+T41*AA41)),IF(X41="Probabilidad",T41,"")),"")</f>
        <v/>
      </c>
      <c r="AJ41" s="193" t="str">
        <f>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4"/>
      <c r="AL41" s="185"/>
      <c r="AM41" s="195"/>
      <c r="AN41" s="195"/>
      <c r="AO41" s="196"/>
      <c r="AP41" s="327"/>
      <c r="AQ41" s="327"/>
      <c r="AR41" s="327"/>
    </row>
    <row r="42" spans="1:44" x14ac:dyDescent="0.2">
      <c r="A42" s="337"/>
      <c r="B42" s="331"/>
      <c r="C42" s="331"/>
      <c r="D42" s="345"/>
      <c r="E42" s="331"/>
      <c r="F42" s="331"/>
      <c r="G42" s="320"/>
      <c r="H42" s="320"/>
      <c r="I42" s="320"/>
      <c r="J42" s="320"/>
      <c r="K42" s="320"/>
      <c r="L42" s="320"/>
      <c r="M42" s="320"/>
      <c r="N42" s="327"/>
      <c r="O42" s="323"/>
      <c r="P42" s="322"/>
      <c r="Q42" s="313"/>
      <c r="R42" s="322">
        <f>IF(NOT(ISERROR(MATCH(Q42,_xlfn.ANCHORARRAY(E53),0))),P55&amp;"Por favor no seleccionar los criterios de impacto",Q42)</f>
        <v>0</v>
      </c>
      <c r="S42" s="323"/>
      <c r="T42" s="322"/>
      <c r="U42" s="321"/>
      <c r="V42" s="213">
        <v>2</v>
      </c>
      <c r="W42" s="186"/>
      <c r="X42" s="188" t="str">
        <f>IF(OR(Y42="Preventivo",Y42="Detectivo"),"Probabilidad",IF(Y42="Correctivo","Impacto",""))</f>
        <v/>
      </c>
      <c r="Y42" s="189"/>
      <c r="Z42" s="189"/>
      <c r="AA42" s="190" t="str">
        <f t="shared" ref="AA42:AA46" si="49">IF(AND(Y42="Preventivo",Z42="Automático"),"50%",IF(AND(Y42="Preventivo",Z42="Manual"),"40%",IF(AND(Y42="Detectivo",Z42="Automático"),"40%",IF(AND(Y42="Detectivo",Z42="Manual"),"30%",IF(AND(Y42="Correctivo",Z42="Automático"),"35%",IF(AND(Y42="Correctivo",Z42="Manual"),"25%",""))))))</f>
        <v/>
      </c>
      <c r="AB42" s="189"/>
      <c r="AC42" s="189"/>
      <c r="AD42" s="189"/>
      <c r="AE42" s="191" t="str">
        <f>IFERROR(IF(AND(X41="Probabilidad",X42="Probabilidad"),(AG41-(+AG41*AA42)),IF(X42="Probabilidad",(P41-(+P41*AA42)),IF(X42="Impacto",AG41,""))),"")</f>
        <v/>
      </c>
      <c r="AF42" s="192" t="str">
        <f t="shared" si="2"/>
        <v/>
      </c>
      <c r="AG42" s="190" t="str">
        <f t="shared" ref="AG42:AG46" si="50">+AE42</f>
        <v/>
      </c>
      <c r="AH42" s="192" t="str">
        <f t="shared" si="4"/>
        <v/>
      </c>
      <c r="AI42" s="190" t="str">
        <f t="shared" ref="AI42" si="51">IFERROR(IF(AND(X41="Impacto",X42="Impacto"),(AI41-(+AI41*AA42)),IF(X42="Impacto",($T$13-(+$T$13*AA42)),IF(X42="Probabilidad",AI41,""))),"")</f>
        <v/>
      </c>
      <c r="AJ42" s="193" t="str">
        <f t="shared" ref="AJ42:AJ43" si="52">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4"/>
      <c r="AL42" s="185"/>
      <c r="AM42" s="195"/>
      <c r="AN42" s="195"/>
      <c r="AO42" s="196"/>
      <c r="AP42" s="327"/>
      <c r="AQ42" s="327"/>
      <c r="AR42" s="327"/>
    </row>
    <row r="43" spans="1:44" x14ac:dyDescent="0.2">
      <c r="A43" s="337"/>
      <c r="B43" s="331"/>
      <c r="C43" s="331"/>
      <c r="D43" s="345"/>
      <c r="E43" s="331"/>
      <c r="F43" s="331"/>
      <c r="G43" s="320"/>
      <c r="H43" s="320"/>
      <c r="I43" s="320"/>
      <c r="J43" s="320"/>
      <c r="K43" s="320"/>
      <c r="L43" s="320"/>
      <c r="M43" s="320"/>
      <c r="N43" s="327"/>
      <c r="O43" s="323"/>
      <c r="P43" s="322"/>
      <c r="Q43" s="313"/>
      <c r="R43" s="322">
        <f>IF(NOT(ISERROR(MATCH(Q43,_xlfn.ANCHORARRAY(E54),0))),P56&amp;"Por favor no seleccionar los criterios de impacto",Q43)</f>
        <v>0</v>
      </c>
      <c r="S43" s="323"/>
      <c r="T43" s="322"/>
      <c r="U43" s="321"/>
      <c r="V43" s="213">
        <v>3</v>
      </c>
      <c r="W43" s="187"/>
      <c r="X43" s="188" t="str">
        <f>IF(OR(Y43="Preventivo",Y43="Detectivo"),"Probabilidad",IF(Y43="Correctivo","Impacto",""))</f>
        <v/>
      </c>
      <c r="Y43" s="189"/>
      <c r="Z43" s="189"/>
      <c r="AA43" s="190" t="str">
        <f t="shared" si="49"/>
        <v/>
      </c>
      <c r="AB43" s="189"/>
      <c r="AC43" s="189"/>
      <c r="AD43" s="189"/>
      <c r="AE43" s="191" t="str">
        <f>IFERROR(IF(AND(X42="Probabilidad",X43="Probabilidad"),(AG42-(+AG42*AA43)),IF(AND(X42="Impacto",X43="Probabilidad"),(AG41-(+AG41*AA43)),IF(X43="Impacto",AG42,""))),"")</f>
        <v/>
      </c>
      <c r="AF43" s="192" t="str">
        <f t="shared" si="2"/>
        <v/>
      </c>
      <c r="AG43" s="190" t="str">
        <f t="shared" si="50"/>
        <v/>
      </c>
      <c r="AH43" s="192" t="str">
        <f t="shared" si="4"/>
        <v/>
      </c>
      <c r="AI43" s="190" t="str">
        <f t="shared" ref="AI43" si="53">IFERROR(IF(AND(X42="Impacto",X43="Impacto"),(AI42-(+AI42*AA43)),IF(AND(X42="Probabilidad",X43="Impacto"),(AI41-(+AI41*AA43)),IF(X43="Probabilidad",AI42,""))),"")</f>
        <v/>
      </c>
      <c r="AJ43" s="193" t="str">
        <f t="shared" si="52"/>
        <v/>
      </c>
      <c r="AK43" s="194"/>
      <c r="AL43" s="185"/>
      <c r="AM43" s="195"/>
      <c r="AN43" s="195"/>
      <c r="AO43" s="196"/>
      <c r="AP43" s="327"/>
      <c r="AQ43" s="327"/>
      <c r="AR43" s="327"/>
    </row>
    <row r="44" spans="1:44" x14ac:dyDescent="0.2">
      <c r="A44" s="337"/>
      <c r="B44" s="331"/>
      <c r="C44" s="331"/>
      <c r="D44" s="345"/>
      <c r="E44" s="331"/>
      <c r="F44" s="331"/>
      <c r="G44" s="320"/>
      <c r="H44" s="320"/>
      <c r="I44" s="320"/>
      <c r="J44" s="320"/>
      <c r="K44" s="320"/>
      <c r="L44" s="320"/>
      <c r="M44" s="320"/>
      <c r="N44" s="327"/>
      <c r="O44" s="323"/>
      <c r="P44" s="322"/>
      <c r="Q44" s="313"/>
      <c r="R44" s="322">
        <f>IF(NOT(ISERROR(MATCH(Q44,_xlfn.ANCHORARRAY(E55),0))),P57&amp;"Por favor no seleccionar los criterios de impacto",Q44)</f>
        <v>0</v>
      </c>
      <c r="S44" s="323"/>
      <c r="T44" s="322"/>
      <c r="U44" s="321"/>
      <c r="V44" s="213">
        <v>4</v>
      </c>
      <c r="W44" s="186"/>
      <c r="X44" s="188" t="str">
        <f t="shared" ref="X44:X46" si="54">IF(OR(Y44="Preventivo",Y44="Detectivo"),"Probabilidad",IF(Y44="Correctivo","Impacto",""))</f>
        <v/>
      </c>
      <c r="Y44" s="189"/>
      <c r="Z44" s="189"/>
      <c r="AA44" s="190" t="str">
        <f t="shared" si="49"/>
        <v/>
      </c>
      <c r="AB44" s="189"/>
      <c r="AC44" s="189"/>
      <c r="AD44" s="189"/>
      <c r="AE44" s="191" t="str">
        <f t="shared" ref="AE44:AE46" si="55">IFERROR(IF(AND(X43="Probabilidad",X44="Probabilidad"),(AG43-(+AG43*AA44)),IF(AND(X43="Impacto",X44="Probabilidad"),(AG42-(+AG42*AA44)),IF(X44="Impacto",AG43,""))),"")</f>
        <v/>
      </c>
      <c r="AF44" s="192" t="str">
        <f t="shared" si="2"/>
        <v/>
      </c>
      <c r="AG44" s="190" t="str">
        <f t="shared" si="50"/>
        <v/>
      </c>
      <c r="AH44" s="192" t="str">
        <f t="shared" si="4"/>
        <v/>
      </c>
      <c r="AI44" s="190" t="str">
        <f t="shared" si="19"/>
        <v/>
      </c>
      <c r="AJ44" s="193" t="str">
        <f>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4"/>
      <c r="AL44" s="185"/>
      <c r="AM44" s="195"/>
      <c r="AN44" s="195"/>
      <c r="AO44" s="196"/>
      <c r="AP44" s="327"/>
      <c r="AQ44" s="327"/>
      <c r="AR44" s="327"/>
    </row>
    <row r="45" spans="1:44" x14ac:dyDescent="0.2">
      <c r="A45" s="337"/>
      <c r="B45" s="331"/>
      <c r="C45" s="331"/>
      <c r="D45" s="345"/>
      <c r="E45" s="331"/>
      <c r="F45" s="331"/>
      <c r="G45" s="320"/>
      <c r="H45" s="320"/>
      <c r="I45" s="320"/>
      <c r="J45" s="320"/>
      <c r="K45" s="320"/>
      <c r="L45" s="320"/>
      <c r="M45" s="320"/>
      <c r="N45" s="327"/>
      <c r="O45" s="323"/>
      <c r="P45" s="322"/>
      <c r="Q45" s="313"/>
      <c r="R45" s="322">
        <f>IF(NOT(ISERROR(MATCH(Q45,_xlfn.ANCHORARRAY(E56),0))),P58&amp;"Por favor no seleccionar los criterios de impacto",Q45)</f>
        <v>0</v>
      </c>
      <c r="S45" s="323"/>
      <c r="T45" s="322"/>
      <c r="U45" s="321"/>
      <c r="V45" s="213">
        <v>5</v>
      </c>
      <c r="W45" s="186"/>
      <c r="X45" s="188" t="str">
        <f t="shared" si="54"/>
        <v/>
      </c>
      <c r="Y45" s="189"/>
      <c r="Z45" s="189"/>
      <c r="AA45" s="190" t="str">
        <f t="shared" si="49"/>
        <v/>
      </c>
      <c r="AB45" s="189"/>
      <c r="AC45" s="189"/>
      <c r="AD45" s="189"/>
      <c r="AE45" s="191" t="str">
        <f t="shared" si="55"/>
        <v/>
      </c>
      <c r="AF45" s="192" t="str">
        <f t="shared" si="2"/>
        <v/>
      </c>
      <c r="AG45" s="190" t="str">
        <f t="shared" si="50"/>
        <v/>
      </c>
      <c r="AH45" s="192" t="str">
        <f t="shared" si="4"/>
        <v/>
      </c>
      <c r="AI45" s="190" t="str">
        <f t="shared" si="19"/>
        <v/>
      </c>
      <c r="AJ45" s="193" t="str">
        <f t="shared" ref="AJ45:AJ46" si="56">IFERROR(IF(OR(AND(AF45="Muy Baja",AH45="Leve"),AND(AF45="Muy Baja",AH45="Menor"),AND(AF45="Baja",AH45="Leve")),"Bajo",IF(OR(AND(AF45="Muy baja",AH45="Moderado"),AND(AF45="Baja",AH45="Menor"),AND(AF45="Baja",AH45="Moderado"),AND(AF45="Media",AH45="Leve"),AND(AF45="Media",AH45="Menor"),AND(AF45="Media",AH45="Moderado"),AND(AF45="Alta",AH45="Leve"),AND(AF45="Alta",AH45="Menor")),"Moderado",IF(OR(AND(AF45="Muy Baja",AH45="Mayor"),AND(AF45="Baja",AH45="Mayor"),AND(AF45="Media",AH45="Mayor"),AND(AF45="Alta",AH45="Moderado"),AND(AF45="Alta",AH45="Mayor"),AND(AF45="Muy Alta",AH45="Leve"),AND(AF45="Muy Alta",AH45="Menor"),AND(AF45="Muy Alta",AH45="Moderado"),AND(AF45="Muy Alta",AH45="Mayor")),"Alto",IF(OR(AND(AF45="Muy Baja",AH45="Catastrófico"),AND(AF45="Baja",AH45="Catastrófico"),AND(AF45="Media",AH45="Catastrófico"),AND(AF45="Alta",AH45="Catastrófico"),AND(AF45="Muy Alta",AH45="Catastrófico")),"Extremo","")))),"")</f>
        <v/>
      </c>
      <c r="AK45" s="194"/>
      <c r="AL45" s="185"/>
      <c r="AM45" s="195"/>
      <c r="AN45" s="195"/>
      <c r="AO45" s="196"/>
      <c r="AP45" s="327"/>
      <c r="AQ45" s="327"/>
      <c r="AR45" s="327"/>
    </row>
    <row r="46" spans="1:44" x14ac:dyDescent="0.2">
      <c r="A46" s="337"/>
      <c r="B46" s="331"/>
      <c r="C46" s="331"/>
      <c r="D46" s="345"/>
      <c r="E46" s="331"/>
      <c r="F46" s="331"/>
      <c r="G46" s="325"/>
      <c r="H46" s="325"/>
      <c r="I46" s="325"/>
      <c r="J46" s="325"/>
      <c r="K46" s="325"/>
      <c r="L46" s="325"/>
      <c r="M46" s="325"/>
      <c r="N46" s="327"/>
      <c r="O46" s="323"/>
      <c r="P46" s="322"/>
      <c r="Q46" s="313"/>
      <c r="R46" s="322">
        <f>IF(NOT(ISERROR(MATCH(Q46,_xlfn.ANCHORARRAY(E57),0))),P59&amp;"Por favor no seleccionar los criterios de impacto",Q46)</f>
        <v>0</v>
      </c>
      <c r="S46" s="323"/>
      <c r="T46" s="322"/>
      <c r="U46" s="321"/>
      <c r="V46" s="213">
        <v>6</v>
      </c>
      <c r="W46" s="186"/>
      <c r="X46" s="188" t="str">
        <f t="shared" si="54"/>
        <v/>
      </c>
      <c r="Y46" s="189"/>
      <c r="Z46" s="189"/>
      <c r="AA46" s="190" t="str">
        <f t="shared" si="49"/>
        <v/>
      </c>
      <c r="AB46" s="189"/>
      <c r="AC46" s="189"/>
      <c r="AD46" s="189"/>
      <c r="AE46" s="191" t="str">
        <f t="shared" si="55"/>
        <v/>
      </c>
      <c r="AF46" s="192" t="str">
        <f t="shared" si="2"/>
        <v/>
      </c>
      <c r="AG46" s="190" t="str">
        <f t="shared" si="50"/>
        <v/>
      </c>
      <c r="AH46" s="192" t="str">
        <f t="shared" si="4"/>
        <v/>
      </c>
      <c r="AI46" s="190" t="str">
        <f t="shared" si="19"/>
        <v/>
      </c>
      <c r="AJ46" s="193" t="str">
        <f t="shared" si="56"/>
        <v/>
      </c>
      <c r="AK46" s="194"/>
      <c r="AL46" s="185"/>
      <c r="AM46" s="195"/>
      <c r="AN46" s="195"/>
      <c r="AO46" s="196"/>
      <c r="AP46" s="327"/>
      <c r="AQ46" s="327"/>
      <c r="AR46" s="327"/>
    </row>
    <row r="47" spans="1:44" x14ac:dyDescent="0.2">
      <c r="A47" s="337">
        <v>8</v>
      </c>
      <c r="B47" s="331"/>
      <c r="C47" s="331"/>
      <c r="D47" s="331"/>
      <c r="E47" s="331"/>
      <c r="F47" s="331"/>
      <c r="G47" s="319"/>
      <c r="H47" s="319"/>
      <c r="I47" s="319"/>
      <c r="J47" s="319"/>
      <c r="K47" s="319"/>
      <c r="L47" s="319"/>
      <c r="M47" s="319"/>
      <c r="N47" s="327"/>
      <c r="O47" s="323" t="str">
        <f>IF(N47&lt;=0,"",IF(N47&lt;=2,"Muy Baja",IF(N47&lt;=24,"Baja",IF(N47&lt;=500,"Media",IF(N47&lt;=5000,"Alta","Muy Alta")))))</f>
        <v/>
      </c>
      <c r="P47" s="322" t="str">
        <f>IF(O47="","",IF(O47="Muy Baja",0.2,IF(O47="Baja",0.4,IF(O47="Media",0.6,IF(O47="Alta",0.8,IF(O47="Muy Alta",1,))))))</f>
        <v/>
      </c>
      <c r="Q47" s="313"/>
      <c r="R47" s="322">
        <f>IF(NOT(ISERROR(MATCH(Q47,'Tabla Impacto'!$B$222:$B$224,0))),'Tabla Impacto'!$F$224&amp;"Por favor no seleccionar los criterios de impacto(Afectación Económica o presupuestal y Pérdida Reputacional)",Q47)</f>
        <v>0</v>
      </c>
      <c r="S47" s="323" t="str">
        <f>IF(OR(R47='Tabla Impacto'!$C$12,R47='Tabla Impacto'!$D$12),"Leve",IF(OR(R47='Tabla Impacto'!$C$13,R47='Tabla Impacto'!$D$13),"Menor",IF(OR(R47='Tabla Impacto'!$C$14,R47='Tabla Impacto'!$D$14),"Moderado",IF(OR(R47='Tabla Impacto'!$C$15,R47='Tabla Impacto'!$D$15),"Mayor",IF(OR(R47='Tabla Impacto'!$C$16,R47='Tabla Impacto'!$D$16),"Catastrófico","")))))</f>
        <v/>
      </c>
      <c r="T47" s="322" t="str">
        <f>IF(S47="","",IF(S47="Leve",0.2,IF(S47="Menor",0.4,IF(S47="Moderado",0.6,IF(S47="Mayor",0.8,IF(S47="Catastrófico",1,))))))</f>
        <v/>
      </c>
      <c r="U47" s="321" t="str">
        <f>IF(OR(AND(O47="Muy Baja",S47="Leve"),AND(O47="Muy Baja",S47="Menor"),AND(O47="Baja",S47="Leve")),"Bajo",IF(OR(AND(O47="Muy baja",S47="Moderado"),AND(O47="Baja",S47="Menor"),AND(O47="Baja",S47="Moderado"),AND(O47="Media",S47="Leve"),AND(O47="Media",S47="Menor"),AND(O47="Media",S47="Moderado"),AND(O47="Alta",S47="Leve"),AND(O47="Alta",S47="Menor")),"Moderado",IF(OR(AND(O47="Muy Baja",S47="Mayor"),AND(O47="Baja",S47="Mayor"),AND(O47="Media",S47="Mayor"),AND(O47="Alta",S47="Moderado"),AND(O47="Alta",S47="Mayor"),AND(O47="Muy Alta",S47="Leve"),AND(O47="Muy Alta",S47="Menor"),AND(O47="Muy Alta",S47="Moderado"),AND(O47="Muy Alta",S47="Mayor")),"Alto",IF(OR(AND(O47="Muy Baja",S47="Catastrófico"),AND(O47="Baja",S47="Catastrófico"),AND(O47="Media",S47="Catastrófico"),AND(O47="Alta",S47="Catastrófico"),AND(O47="Muy Alta",S47="Catastrófico")),"Extremo",""))))</f>
        <v/>
      </c>
      <c r="V47" s="213">
        <v>1</v>
      </c>
      <c r="W47" s="186"/>
      <c r="X47" s="188" t="str">
        <f>IF(OR(Y47="Preventivo",Y47="Detectivo"),"Probabilidad",IF(Y47="Correctivo","Impacto",""))</f>
        <v/>
      </c>
      <c r="Y47" s="189"/>
      <c r="Z47" s="189"/>
      <c r="AA47" s="190" t="str">
        <f>IF(AND(Y47="Preventivo",Z47="Automático"),"50%",IF(AND(Y47="Preventivo",Z47="Manual"),"40%",IF(AND(Y47="Detectivo",Z47="Automático"),"40%",IF(AND(Y47="Detectivo",Z47="Manual"),"30%",IF(AND(Y47="Correctivo",Z47="Automático"),"35%",IF(AND(Y47="Correctivo",Z47="Manual"),"25%",""))))))</f>
        <v/>
      </c>
      <c r="AB47" s="189"/>
      <c r="AC47" s="189"/>
      <c r="AD47" s="189"/>
      <c r="AE47" s="191" t="str">
        <f>IFERROR(IF(X47="Probabilidad",(P47-(+P47*AA47)),IF(X47="Impacto",P47,"")),"")</f>
        <v/>
      </c>
      <c r="AF47" s="192" t="str">
        <f>IFERROR(IF(AE47="","",IF(AE47&lt;=0.2,"Muy Baja",IF(AE47&lt;=0.4,"Baja",IF(AE47&lt;=0.6,"Media",IF(AE47&lt;=0.8,"Alta","Muy Alta"))))),"")</f>
        <v/>
      </c>
      <c r="AG47" s="190" t="str">
        <f>+AE47</f>
        <v/>
      </c>
      <c r="AH47" s="192" t="str">
        <f>IFERROR(IF(AI47="","",IF(AI47&lt;=0.2,"Leve",IF(AI47&lt;=0.4,"Menor",IF(AI47&lt;=0.6,"Moderado",IF(AI47&lt;=0.8,"Mayor","Catastrófico"))))),"")</f>
        <v/>
      </c>
      <c r="AI47" s="190" t="str">
        <f t="shared" ref="AI47" si="57">IFERROR(IF(X47="Impacto",(T47-(+T47*AA47)),IF(X47="Probabilidad",T47,"")),"")</f>
        <v/>
      </c>
      <c r="AJ47" s="193" t="str">
        <f>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4"/>
      <c r="AL47" s="185"/>
      <c r="AM47" s="195"/>
      <c r="AN47" s="195"/>
      <c r="AO47" s="196"/>
      <c r="AP47" s="327"/>
      <c r="AQ47" s="327"/>
      <c r="AR47" s="327"/>
    </row>
    <row r="48" spans="1:44" x14ac:dyDescent="0.2">
      <c r="A48" s="337"/>
      <c r="B48" s="331"/>
      <c r="C48" s="331"/>
      <c r="D48" s="331"/>
      <c r="E48" s="331"/>
      <c r="F48" s="331"/>
      <c r="G48" s="320"/>
      <c r="H48" s="320"/>
      <c r="I48" s="320"/>
      <c r="J48" s="320"/>
      <c r="K48" s="320"/>
      <c r="L48" s="320"/>
      <c r="M48" s="320"/>
      <c r="N48" s="327"/>
      <c r="O48" s="323"/>
      <c r="P48" s="322"/>
      <c r="Q48" s="313"/>
      <c r="R48" s="322">
        <f>IF(NOT(ISERROR(MATCH(Q48,_xlfn.ANCHORARRAY(E59),0))),P61&amp;"Por favor no seleccionar los criterios de impacto",Q48)</f>
        <v>0</v>
      </c>
      <c r="S48" s="323"/>
      <c r="T48" s="322"/>
      <c r="U48" s="321"/>
      <c r="V48" s="213">
        <v>2</v>
      </c>
      <c r="W48" s="186"/>
      <c r="X48" s="188" t="str">
        <f>IF(OR(Y48="Preventivo",Y48="Detectivo"),"Probabilidad",IF(Y48="Correctivo","Impacto",""))</f>
        <v/>
      </c>
      <c r="Y48" s="189"/>
      <c r="Z48" s="189"/>
      <c r="AA48" s="190" t="str">
        <f t="shared" ref="AA48:AA52" si="58">IF(AND(Y48="Preventivo",Z48="Automático"),"50%",IF(AND(Y48="Preventivo",Z48="Manual"),"40%",IF(AND(Y48="Detectivo",Z48="Automático"),"40%",IF(AND(Y48="Detectivo",Z48="Manual"),"30%",IF(AND(Y48="Correctivo",Z48="Automático"),"35%",IF(AND(Y48="Correctivo",Z48="Manual"),"25%",""))))))</f>
        <v/>
      </c>
      <c r="AB48" s="189"/>
      <c r="AC48" s="189"/>
      <c r="AD48" s="189"/>
      <c r="AE48" s="191" t="str">
        <f>IFERROR(IF(AND(X47="Probabilidad",X48="Probabilidad"),(AG47-(+AG47*AA48)),IF(X48="Probabilidad",(P47-(+P47*AA48)),IF(X48="Impacto",AG47,""))),"")</f>
        <v/>
      </c>
      <c r="AF48" s="192" t="str">
        <f t="shared" si="2"/>
        <v/>
      </c>
      <c r="AG48" s="190" t="str">
        <f t="shared" ref="AG48:AG52" si="59">+AE48</f>
        <v/>
      </c>
      <c r="AH48" s="192" t="str">
        <f t="shared" si="4"/>
        <v/>
      </c>
      <c r="AI48" s="190" t="str">
        <f t="shared" ref="AI48" si="60">IFERROR(IF(AND(X47="Impacto",X48="Impacto"),(AI47-(+AI47*AA48)),IF(X48="Impacto",($T$13-(+$T$13*AA48)),IF(X48="Probabilidad",AI47,""))),"")</f>
        <v/>
      </c>
      <c r="AJ48" s="193" t="str">
        <f t="shared" ref="AJ48:AJ49" si="61">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4"/>
      <c r="AL48" s="185"/>
      <c r="AM48" s="195"/>
      <c r="AN48" s="195"/>
      <c r="AO48" s="196"/>
      <c r="AP48" s="327"/>
      <c r="AQ48" s="327"/>
      <c r="AR48" s="327"/>
    </row>
    <row r="49" spans="1:44" x14ac:dyDescent="0.2">
      <c r="A49" s="337"/>
      <c r="B49" s="331"/>
      <c r="C49" s="331"/>
      <c r="D49" s="331"/>
      <c r="E49" s="331"/>
      <c r="F49" s="331"/>
      <c r="G49" s="320"/>
      <c r="H49" s="320"/>
      <c r="I49" s="320"/>
      <c r="J49" s="320"/>
      <c r="K49" s="320"/>
      <c r="L49" s="320"/>
      <c r="M49" s="320"/>
      <c r="N49" s="327"/>
      <c r="O49" s="323"/>
      <c r="P49" s="322"/>
      <c r="Q49" s="313"/>
      <c r="R49" s="322">
        <f>IF(NOT(ISERROR(MATCH(Q49,_xlfn.ANCHORARRAY(E60),0))),P62&amp;"Por favor no seleccionar los criterios de impacto",Q49)</f>
        <v>0</v>
      </c>
      <c r="S49" s="323"/>
      <c r="T49" s="322"/>
      <c r="U49" s="321"/>
      <c r="V49" s="213">
        <v>3</v>
      </c>
      <c r="W49" s="187"/>
      <c r="X49" s="188" t="str">
        <f>IF(OR(Y49="Preventivo",Y49="Detectivo"),"Probabilidad",IF(Y49="Correctivo","Impacto",""))</f>
        <v/>
      </c>
      <c r="Y49" s="189"/>
      <c r="Z49" s="189"/>
      <c r="AA49" s="190" t="str">
        <f t="shared" si="58"/>
        <v/>
      </c>
      <c r="AB49" s="189"/>
      <c r="AC49" s="189"/>
      <c r="AD49" s="189"/>
      <c r="AE49" s="191" t="str">
        <f>IFERROR(IF(AND(X48="Probabilidad",X49="Probabilidad"),(AG48-(+AG48*AA49)),IF(AND(X48="Impacto",X49="Probabilidad"),(AG47-(+AG47*AA49)),IF(X49="Impacto",AG48,""))),"")</f>
        <v/>
      </c>
      <c r="AF49" s="192" t="str">
        <f t="shared" si="2"/>
        <v/>
      </c>
      <c r="AG49" s="190" t="str">
        <f t="shared" si="59"/>
        <v/>
      </c>
      <c r="AH49" s="192" t="str">
        <f t="shared" si="4"/>
        <v/>
      </c>
      <c r="AI49" s="190" t="str">
        <f t="shared" ref="AI49" si="62">IFERROR(IF(AND(X48="Impacto",X49="Impacto"),(AI48-(+AI48*AA49)),IF(AND(X48="Probabilidad",X49="Impacto"),(AI47-(+AI47*AA49)),IF(X49="Probabilidad",AI48,""))),"")</f>
        <v/>
      </c>
      <c r="AJ49" s="193" t="str">
        <f t="shared" si="61"/>
        <v/>
      </c>
      <c r="AK49" s="194"/>
      <c r="AL49" s="185"/>
      <c r="AM49" s="195"/>
      <c r="AN49" s="195"/>
      <c r="AO49" s="196"/>
      <c r="AP49" s="327"/>
      <c r="AQ49" s="327"/>
      <c r="AR49" s="327"/>
    </row>
    <row r="50" spans="1:44" x14ac:dyDescent="0.2">
      <c r="A50" s="337"/>
      <c r="B50" s="331"/>
      <c r="C50" s="331"/>
      <c r="D50" s="331"/>
      <c r="E50" s="331"/>
      <c r="F50" s="331"/>
      <c r="G50" s="320"/>
      <c r="H50" s="320"/>
      <c r="I50" s="320"/>
      <c r="J50" s="320"/>
      <c r="K50" s="320"/>
      <c r="L50" s="320"/>
      <c r="M50" s="320"/>
      <c r="N50" s="327"/>
      <c r="O50" s="323"/>
      <c r="P50" s="322"/>
      <c r="Q50" s="313"/>
      <c r="R50" s="322">
        <f>IF(NOT(ISERROR(MATCH(Q50,_xlfn.ANCHORARRAY(E61),0))),P63&amp;"Por favor no seleccionar los criterios de impacto",Q50)</f>
        <v>0</v>
      </c>
      <c r="S50" s="323"/>
      <c r="T50" s="322"/>
      <c r="U50" s="321"/>
      <c r="V50" s="213">
        <v>4</v>
      </c>
      <c r="W50" s="186"/>
      <c r="X50" s="188" t="str">
        <f t="shared" ref="X50:X52" si="63">IF(OR(Y50="Preventivo",Y50="Detectivo"),"Probabilidad",IF(Y50="Correctivo","Impacto",""))</f>
        <v/>
      </c>
      <c r="Y50" s="189"/>
      <c r="Z50" s="189"/>
      <c r="AA50" s="190" t="str">
        <f t="shared" si="58"/>
        <v/>
      </c>
      <c r="AB50" s="189"/>
      <c r="AC50" s="189"/>
      <c r="AD50" s="189"/>
      <c r="AE50" s="191" t="str">
        <f t="shared" ref="AE50:AE52" si="64">IFERROR(IF(AND(X49="Probabilidad",X50="Probabilidad"),(AG49-(+AG49*AA50)),IF(AND(X49="Impacto",X50="Probabilidad"),(AG48-(+AG48*AA50)),IF(X50="Impacto",AG49,""))),"")</f>
        <v/>
      </c>
      <c r="AF50" s="192" t="str">
        <f t="shared" si="2"/>
        <v/>
      </c>
      <c r="AG50" s="190" t="str">
        <f t="shared" si="59"/>
        <v/>
      </c>
      <c r="AH50" s="192" t="str">
        <f t="shared" si="4"/>
        <v/>
      </c>
      <c r="AI50" s="190" t="str">
        <f t="shared" si="19"/>
        <v/>
      </c>
      <c r="AJ50" s="193" t="str">
        <f>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4"/>
      <c r="AL50" s="185"/>
      <c r="AM50" s="195"/>
      <c r="AN50" s="195"/>
      <c r="AO50" s="196"/>
      <c r="AP50" s="327"/>
      <c r="AQ50" s="327"/>
      <c r="AR50" s="327"/>
    </row>
    <row r="51" spans="1:44" x14ac:dyDescent="0.2">
      <c r="A51" s="337"/>
      <c r="B51" s="331"/>
      <c r="C51" s="331"/>
      <c r="D51" s="331"/>
      <c r="E51" s="331"/>
      <c r="F51" s="331"/>
      <c r="G51" s="320"/>
      <c r="H51" s="320"/>
      <c r="I51" s="320"/>
      <c r="J51" s="320"/>
      <c r="K51" s="320"/>
      <c r="L51" s="320"/>
      <c r="M51" s="320"/>
      <c r="N51" s="327"/>
      <c r="O51" s="323"/>
      <c r="P51" s="322"/>
      <c r="Q51" s="313"/>
      <c r="R51" s="322">
        <f>IF(NOT(ISERROR(MATCH(Q51,_xlfn.ANCHORARRAY(E62),0))),P64&amp;"Por favor no seleccionar los criterios de impacto",Q51)</f>
        <v>0</v>
      </c>
      <c r="S51" s="323"/>
      <c r="T51" s="322"/>
      <c r="U51" s="321"/>
      <c r="V51" s="213">
        <v>5</v>
      </c>
      <c r="W51" s="186"/>
      <c r="X51" s="188" t="str">
        <f t="shared" si="63"/>
        <v/>
      </c>
      <c r="Y51" s="189"/>
      <c r="Z51" s="189"/>
      <c r="AA51" s="190" t="str">
        <f t="shared" si="58"/>
        <v/>
      </c>
      <c r="AB51" s="189"/>
      <c r="AC51" s="189"/>
      <c r="AD51" s="189"/>
      <c r="AE51" s="191" t="str">
        <f t="shared" si="64"/>
        <v/>
      </c>
      <c r="AF51" s="192" t="str">
        <f t="shared" si="2"/>
        <v/>
      </c>
      <c r="AG51" s="190" t="str">
        <f t="shared" si="59"/>
        <v/>
      </c>
      <c r="AH51" s="192" t="str">
        <f t="shared" si="4"/>
        <v/>
      </c>
      <c r="AI51" s="190" t="str">
        <f t="shared" si="19"/>
        <v/>
      </c>
      <c r="AJ51" s="193" t="str">
        <f t="shared" ref="AJ51:AJ52" si="65">IFERROR(IF(OR(AND(AF51="Muy Baja",AH51="Leve"),AND(AF51="Muy Baja",AH51="Menor"),AND(AF51="Baja",AH51="Leve")),"Bajo",IF(OR(AND(AF51="Muy baja",AH51="Moderado"),AND(AF51="Baja",AH51="Menor"),AND(AF51="Baja",AH51="Moderado"),AND(AF51="Media",AH51="Leve"),AND(AF51="Media",AH51="Menor"),AND(AF51="Media",AH51="Moderado"),AND(AF51="Alta",AH51="Leve"),AND(AF51="Alta",AH51="Menor")),"Moderado",IF(OR(AND(AF51="Muy Baja",AH51="Mayor"),AND(AF51="Baja",AH51="Mayor"),AND(AF51="Media",AH51="Mayor"),AND(AF51="Alta",AH51="Moderado"),AND(AF51="Alta",AH51="Mayor"),AND(AF51="Muy Alta",AH51="Leve"),AND(AF51="Muy Alta",AH51="Menor"),AND(AF51="Muy Alta",AH51="Moderado"),AND(AF51="Muy Alta",AH51="Mayor")),"Alto",IF(OR(AND(AF51="Muy Baja",AH51="Catastrófico"),AND(AF51="Baja",AH51="Catastrófico"),AND(AF51="Media",AH51="Catastrófico"),AND(AF51="Alta",AH51="Catastrófico"),AND(AF51="Muy Alta",AH51="Catastrófico")),"Extremo","")))),"")</f>
        <v/>
      </c>
      <c r="AK51" s="194"/>
      <c r="AL51" s="185"/>
      <c r="AM51" s="195"/>
      <c r="AN51" s="195"/>
      <c r="AO51" s="196"/>
      <c r="AP51" s="327"/>
      <c r="AQ51" s="327"/>
      <c r="AR51" s="327"/>
    </row>
    <row r="52" spans="1:44" x14ac:dyDescent="0.2">
      <c r="A52" s="337"/>
      <c r="B52" s="331"/>
      <c r="C52" s="331"/>
      <c r="D52" s="331"/>
      <c r="E52" s="331"/>
      <c r="F52" s="331"/>
      <c r="G52" s="325"/>
      <c r="H52" s="325"/>
      <c r="I52" s="325"/>
      <c r="J52" s="325"/>
      <c r="K52" s="325"/>
      <c r="L52" s="325"/>
      <c r="M52" s="325"/>
      <c r="N52" s="327"/>
      <c r="O52" s="323"/>
      <c r="P52" s="322"/>
      <c r="Q52" s="313"/>
      <c r="R52" s="322">
        <f>IF(NOT(ISERROR(MATCH(Q52,_xlfn.ANCHORARRAY(E63),0))),Q65&amp;"Por favor no seleccionar los criterios de impacto",Q52)</f>
        <v>0</v>
      </c>
      <c r="S52" s="323"/>
      <c r="T52" s="322"/>
      <c r="U52" s="321"/>
      <c r="V52" s="213">
        <v>6</v>
      </c>
      <c r="W52" s="186"/>
      <c r="X52" s="188" t="str">
        <f t="shared" si="63"/>
        <v/>
      </c>
      <c r="Y52" s="189"/>
      <c r="Z52" s="189"/>
      <c r="AA52" s="190" t="str">
        <f t="shared" si="58"/>
        <v/>
      </c>
      <c r="AB52" s="189"/>
      <c r="AC52" s="189"/>
      <c r="AD52" s="189"/>
      <c r="AE52" s="191" t="str">
        <f t="shared" si="64"/>
        <v/>
      </c>
      <c r="AF52" s="192" t="str">
        <f t="shared" si="2"/>
        <v/>
      </c>
      <c r="AG52" s="190" t="str">
        <f t="shared" si="59"/>
        <v/>
      </c>
      <c r="AH52" s="192" t="str">
        <f t="shared" si="4"/>
        <v/>
      </c>
      <c r="AI52" s="190" t="str">
        <f t="shared" si="19"/>
        <v/>
      </c>
      <c r="AJ52" s="193" t="str">
        <f t="shared" si="65"/>
        <v/>
      </c>
      <c r="AK52" s="194"/>
      <c r="AL52" s="185"/>
      <c r="AM52" s="195"/>
      <c r="AN52" s="195"/>
      <c r="AO52" s="196"/>
      <c r="AP52" s="327"/>
      <c r="AQ52" s="327"/>
      <c r="AR52" s="327"/>
    </row>
    <row r="53" spans="1:44" x14ac:dyDescent="0.2">
      <c r="A53" s="337">
        <v>9</v>
      </c>
      <c r="B53" s="331"/>
      <c r="C53" s="331"/>
      <c r="D53" s="331"/>
      <c r="E53" s="331"/>
      <c r="F53" s="331"/>
      <c r="G53" s="319"/>
      <c r="H53" s="319"/>
      <c r="I53" s="220"/>
      <c r="J53" s="220"/>
      <c r="K53" s="220"/>
      <c r="L53" s="319"/>
      <c r="M53" s="319"/>
      <c r="N53" s="327"/>
      <c r="O53" s="323" t="str">
        <f>IF(N53&lt;=0,"",IF(N53&lt;=2,"Muy Baja",IF(N53&lt;=24,"Baja",IF(N53&lt;=500,"Media",IF(N53&lt;=5000,"Alta","Muy Alta")))))</f>
        <v/>
      </c>
      <c r="P53" s="322" t="str">
        <f>IF(O53="","",IF(O53="Muy Baja",0.2,IF(O53="Baja",0.4,IF(O53="Media",0.6,IF(O53="Alta",0.8,IF(O53="Muy Alta",1,))))))</f>
        <v/>
      </c>
      <c r="Q53" s="313"/>
      <c r="R53" s="322">
        <f>IF(NOT(ISERROR(MATCH(Q53,'Tabla Impacto'!$B$222:$B$224,0))),'Tabla Impacto'!$F$224&amp;"Por favor no seleccionar los criterios de impacto(Afectación Económica o presupuestal y Pérdida Reputacional)",Q53)</f>
        <v>0</v>
      </c>
      <c r="S53" s="323" t="str">
        <f>IF(OR(R53='Tabla Impacto'!$C$12,R53='Tabla Impacto'!$D$12),"Leve",IF(OR(R53='Tabla Impacto'!$C$13,R53='Tabla Impacto'!$D$13),"Menor",IF(OR(R53='Tabla Impacto'!$C$14,R53='Tabla Impacto'!$D$14),"Moderado",IF(OR(R53='Tabla Impacto'!$C$15,R53='Tabla Impacto'!$D$15),"Mayor",IF(OR(R53='Tabla Impacto'!$C$16,R53='Tabla Impacto'!$D$16),"Catastrófico","")))))</f>
        <v/>
      </c>
      <c r="T53" s="322" t="str">
        <f>IF(S53="","",IF(S53="Leve",0.2,IF(S53="Menor",0.4,IF(S53="Moderado",0.6,IF(S53="Mayor",0.8,IF(S53="Catastrófico",1,))))))</f>
        <v/>
      </c>
      <c r="U53" s="321" t="str">
        <f>IF(OR(AND(O53="Muy Baja",S53="Leve"),AND(O53="Muy Baja",S53="Menor"),AND(O53="Baja",S53="Leve")),"Bajo",IF(OR(AND(O53="Muy baja",S53="Moderado"),AND(O53="Baja",S53="Menor"),AND(O53="Baja",S53="Moderado"),AND(O53="Media",S53="Leve"),AND(O53="Media",S53="Menor"),AND(O53="Media",S53="Moderado"),AND(O53="Alta",S53="Leve"),AND(O53="Alta",S53="Menor")),"Moderado",IF(OR(AND(O53="Muy Baja",S53="Mayor"),AND(O53="Baja",S53="Mayor"),AND(O53="Media",S53="Mayor"),AND(O53="Alta",S53="Moderado"),AND(O53="Alta",S53="Mayor"),AND(O53="Muy Alta",S53="Leve"),AND(O53="Muy Alta",S53="Menor"),AND(O53="Muy Alta",S53="Moderado"),AND(O53="Muy Alta",S53="Mayor")),"Alto",IF(OR(AND(O53="Muy Baja",S53="Catastrófico"),AND(O53="Baja",S53="Catastrófico"),AND(O53="Media",S53="Catastrófico"),AND(O53="Alta",S53="Catastrófico"),AND(O53="Muy Alta",S53="Catastrófico")),"Extremo",""))))</f>
        <v/>
      </c>
      <c r="V53" s="213">
        <v>1</v>
      </c>
      <c r="W53" s="186"/>
      <c r="X53" s="188" t="str">
        <f>IF(OR(Y53="Preventivo",Y53="Detectivo"),"Probabilidad",IF(Y53="Correctivo","Impacto",""))</f>
        <v/>
      </c>
      <c r="Y53" s="189"/>
      <c r="Z53" s="189"/>
      <c r="AA53" s="190" t="str">
        <f>IF(AND(Y53="Preventivo",Z53="Automático"),"50%",IF(AND(Y53="Preventivo",Z53="Manual"),"40%",IF(AND(Y53="Detectivo",Z53="Automático"),"40%",IF(AND(Y53="Detectivo",Z53="Manual"),"30%",IF(AND(Y53="Correctivo",Z53="Automático"),"35%",IF(AND(Y53="Correctivo",Z53="Manual"),"25%",""))))))</f>
        <v/>
      </c>
      <c r="AB53" s="189"/>
      <c r="AC53" s="189"/>
      <c r="AD53" s="189"/>
      <c r="AE53" s="191" t="str">
        <f>IFERROR(IF(X53="Probabilidad",(P53-(+P53*AA53)),IF(X53="Impacto",P53,"")),"")</f>
        <v/>
      </c>
      <c r="AF53" s="192" t="str">
        <f>IFERROR(IF(AE53="","",IF(AE53&lt;=0.2,"Muy Baja",IF(AE53&lt;=0.4,"Baja",IF(AE53&lt;=0.6,"Media",IF(AE53&lt;=0.8,"Alta","Muy Alta"))))),"")</f>
        <v/>
      </c>
      <c r="AG53" s="190" t="str">
        <f>+AE53</f>
        <v/>
      </c>
      <c r="AH53" s="192" t="str">
        <f>IFERROR(IF(AI53="","",IF(AI53&lt;=0.2,"Leve",IF(AI53&lt;=0.4,"Menor",IF(AI53&lt;=0.6,"Moderado",IF(AI53&lt;=0.8,"Mayor","Catastrófico"))))),"")</f>
        <v/>
      </c>
      <c r="AI53" s="190" t="str">
        <f t="shared" ref="AI53" si="66">IFERROR(IF(X53="Impacto",(T53-(+T53*AA53)),IF(X53="Probabilidad",T53,"")),"")</f>
        <v/>
      </c>
      <c r="AJ53" s="193" t="str">
        <f>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4"/>
      <c r="AL53" s="185"/>
      <c r="AM53" s="195"/>
      <c r="AN53" s="195"/>
      <c r="AO53" s="196"/>
      <c r="AP53" s="327"/>
      <c r="AQ53" s="327"/>
      <c r="AR53" s="327"/>
    </row>
    <row r="54" spans="1:44" x14ac:dyDescent="0.2">
      <c r="A54" s="337"/>
      <c r="B54" s="331"/>
      <c r="C54" s="331"/>
      <c r="D54" s="331"/>
      <c r="E54" s="331"/>
      <c r="F54" s="331"/>
      <c r="G54" s="320"/>
      <c r="H54" s="320"/>
      <c r="I54" s="221"/>
      <c r="J54" s="221"/>
      <c r="K54" s="221"/>
      <c r="L54" s="320"/>
      <c r="M54" s="320"/>
      <c r="N54" s="327"/>
      <c r="O54" s="323"/>
      <c r="P54" s="322"/>
      <c r="Q54" s="313"/>
      <c r="R54" s="322">
        <f>IF(NOT(ISERROR(MATCH(Q54,_xlfn.ANCHORARRAY(F65),0))),Q67&amp;"Por favor no seleccionar los criterios de impacto",Q54)</f>
        <v>0</v>
      </c>
      <c r="S54" s="323"/>
      <c r="T54" s="322"/>
      <c r="U54" s="321"/>
      <c r="V54" s="213">
        <v>2</v>
      </c>
      <c r="W54" s="186"/>
      <c r="X54" s="188" t="str">
        <f>IF(OR(Y54="Preventivo",Y54="Detectivo"),"Probabilidad",IF(Y54="Correctivo","Impacto",""))</f>
        <v/>
      </c>
      <c r="Y54" s="189"/>
      <c r="Z54" s="189"/>
      <c r="AA54" s="190" t="str">
        <f t="shared" ref="AA54:AA58" si="67">IF(AND(Y54="Preventivo",Z54="Automático"),"50%",IF(AND(Y54="Preventivo",Z54="Manual"),"40%",IF(AND(Y54="Detectivo",Z54="Automático"),"40%",IF(AND(Y54="Detectivo",Z54="Manual"),"30%",IF(AND(Y54="Correctivo",Z54="Automático"),"35%",IF(AND(Y54="Correctivo",Z54="Manual"),"25%",""))))))</f>
        <v/>
      </c>
      <c r="AB54" s="189"/>
      <c r="AC54" s="189"/>
      <c r="AD54" s="189"/>
      <c r="AE54" s="191" t="str">
        <f>IFERROR(IF(AND(X53="Probabilidad",X54="Probabilidad"),(AG53-(+AG53*AA54)),IF(X54="Probabilidad",(P53-(+P53*AA54)),IF(X54="Impacto",AG53,""))),"")</f>
        <v/>
      </c>
      <c r="AF54" s="192" t="str">
        <f t="shared" si="2"/>
        <v/>
      </c>
      <c r="AG54" s="190" t="str">
        <f t="shared" ref="AG54:AG58" si="68">+AE54</f>
        <v/>
      </c>
      <c r="AH54" s="192" t="str">
        <f t="shared" si="4"/>
        <v/>
      </c>
      <c r="AI54" s="190" t="str">
        <f t="shared" ref="AI54" si="69">IFERROR(IF(AND(X53="Impacto",X54="Impacto"),(AI53-(+AI53*AA54)),IF(X54="Impacto",($T$13-(+$T$13*AA54)),IF(X54="Probabilidad",AI53,""))),"")</f>
        <v/>
      </c>
      <c r="AJ54" s="193" t="str">
        <f t="shared" ref="AJ54:AJ55" si="70">IFERROR(IF(OR(AND(AF54="Muy Baja",AH54="Leve"),AND(AF54="Muy Baja",AH54="Menor"),AND(AF54="Baja",AH54="Leve")),"Bajo",IF(OR(AND(AF54="Muy baja",AH54="Moderado"),AND(AF54="Baja",AH54="Menor"),AND(AF54="Baja",AH54="Moderado"),AND(AF54="Media",AH54="Leve"),AND(AF54="Media",AH54="Menor"),AND(AF54="Media",AH54="Moderado"),AND(AF54="Alta",AH54="Leve"),AND(AF54="Alta",AH54="Menor")),"Moderado",IF(OR(AND(AF54="Muy Baja",AH54="Mayor"),AND(AF54="Baja",AH54="Mayor"),AND(AF54="Media",AH54="Mayor"),AND(AF54="Alta",AH54="Moderado"),AND(AF54="Alta",AH54="Mayor"),AND(AF54="Muy Alta",AH54="Leve"),AND(AF54="Muy Alta",AH54="Menor"),AND(AF54="Muy Alta",AH54="Moderado"),AND(AF54="Muy Alta",AH54="Mayor")),"Alto",IF(OR(AND(AF54="Muy Baja",AH54="Catastrófico"),AND(AF54="Baja",AH54="Catastrófico"),AND(AF54="Media",AH54="Catastrófico"),AND(AF54="Alta",AH54="Catastrófico"),AND(AF54="Muy Alta",AH54="Catastrófico")),"Extremo","")))),"")</f>
        <v/>
      </c>
      <c r="AK54" s="194"/>
      <c r="AL54" s="185"/>
      <c r="AM54" s="195"/>
      <c r="AN54" s="195"/>
      <c r="AO54" s="196"/>
      <c r="AP54" s="327"/>
      <c r="AQ54" s="327"/>
      <c r="AR54" s="327"/>
    </row>
    <row r="55" spans="1:44" x14ac:dyDescent="0.2">
      <c r="A55" s="337"/>
      <c r="B55" s="331"/>
      <c r="C55" s="331"/>
      <c r="D55" s="331"/>
      <c r="E55" s="331"/>
      <c r="F55" s="331"/>
      <c r="G55" s="320"/>
      <c r="H55" s="320"/>
      <c r="I55" s="221"/>
      <c r="J55" s="221"/>
      <c r="K55" s="221"/>
      <c r="L55" s="320"/>
      <c r="M55" s="320"/>
      <c r="N55" s="327"/>
      <c r="O55" s="323"/>
      <c r="P55" s="322"/>
      <c r="Q55" s="313"/>
      <c r="R55" s="322">
        <f>IF(NOT(ISERROR(MATCH(Q55,_xlfn.ANCHORARRAY(F66),0))),Q68&amp;"Por favor no seleccionar los criterios de impacto",Q55)</f>
        <v>0</v>
      </c>
      <c r="S55" s="323"/>
      <c r="T55" s="322"/>
      <c r="U55" s="321"/>
      <c r="V55" s="213">
        <v>3</v>
      </c>
      <c r="W55" s="186"/>
      <c r="X55" s="188" t="str">
        <f>IF(OR(Y55="Preventivo",Y55="Detectivo"),"Probabilidad",IF(Y55="Correctivo","Impacto",""))</f>
        <v/>
      </c>
      <c r="Y55" s="189"/>
      <c r="Z55" s="189"/>
      <c r="AA55" s="190" t="str">
        <f t="shared" si="67"/>
        <v/>
      </c>
      <c r="AB55" s="189"/>
      <c r="AC55" s="189"/>
      <c r="AD55" s="189"/>
      <c r="AE55" s="191" t="str">
        <f>IFERROR(IF(AND(X54="Probabilidad",X55="Probabilidad"),(AG54-(+AG54*AA55)),IF(AND(X54="Impacto",X55="Probabilidad"),(AG53-(+AG53*AA55)),IF(X55="Impacto",AG54,""))),"")</f>
        <v/>
      </c>
      <c r="AF55" s="192" t="str">
        <f t="shared" si="2"/>
        <v/>
      </c>
      <c r="AG55" s="190" t="str">
        <f t="shared" si="68"/>
        <v/>
      </c>
      <c r="AH55" s="192" t="str">
        <f t="shared" si="4"/>
        <v/>
      </c>
      <c r="AI55" s="190" t="str">
        <f t="shared" ref="AI55" si="71">IFERROR(IF(AND(X54="Impacto",X55="Impacto"),(AI54-(+AI54*AA55)),IF(AND(X54="Probabilidad",X55="Impacto"),(AI53-(+AI53*AA55)),IF(X55="Probabilidad",AI54,""))),"")</f>
        <v/>
      </c>
      <c r="AJ55" s="193" t="str">
        <f t="shared" si="70"/>
        <v/>
      </c>
      <c r="AK55" s="194"/>
      <c r="AL55" s="185"/>
      <c r="AM55" s="195"/>
      <c r="AN55" s="195"/>
      <c r="AO55" s="196"/>
      <c r="AP55" s="327"/>
      <c r="AQ55" s="327"/>
      <c r="AR55" s="327"/>
    </row>
    <row r="56" spans="1:44" x14ac:dyDescent="0.2">
      <c r="A56" s="337"/>
      <c r="B56" s="331"/>
      <c r="C56" s="331"/>
      <c r="D56" s="331"/>
      <c r="E56" s="331"/>
      <c r="F56" s="331"/>
      <c r="G56" s="320"/>
      <c r="H56" s="320"/>
      <c r="I56" s="221"/>
      <c r="J56" s="221"/>
      <c r="K56" s="221"/>
      <c r="L56" s="320"/>
      <c r="M56" s="320"/>
      <c r="N56" s="327"/>
      <c r="O56" s="323"/>
      <c r="P56" s="322"/>
      <c r="Q56" s="313"/>
      <c r="R56" s="322">
        <f>IF(NOT(ISERROR(MATCH(Q56,_xlfn.ANCHORARRAY(F67),0))),Q69&amp;"Por favor no seleccionar los criterios de impacto",Q56)</f>
        <v>0</v>
      </c>
      <c r="S56" s="323"/>
      <c r="T56" s="322"/>
      <c r="U56" s="321"/>
      <c r="V56" s="213">
        <v>4</v>
      </c>
      <c r="W56" s="186"/>
      <c r="X56" s="188" t="str">
        <f t="shared" ref="X56:X58" si="72">IF(OR(Y56="Preventivo",Y56="Detectivo"),"Probabilidad",IF(Y56="Correctivo","Impacto",""))</f>
        <v/>
      </c>
      <c r="Y56" s="189"/>
      <c r="Z56" s="189"/>
      <c r="AA56" s="190" t="str">
        <f t="shared" si="67"/>
        <v/>
      </c>
      <c r="AB56" s="189"/>
      <c r="AC56" s="189"/>
      <c r="AD56" s="189"/>
      <c r="AE56" s="191" t="str">
        <f t="shared" ref="AE56:AE58" si="73">IFERROR(IF(AND(X55="Probabilidad",X56="Probabilidad"),(AG55-(+AG55*AA56)),IF(AND(X55="Impacto",X56="Probabilidad"),(AG54-(+AG54*AA56)),IF(X56="Impacto",AG55,""))),"")</f>
        <v/>
      </c>
      <c r="AF56" s="192" t="str">
        <f t="shared" si="2"/>
        <v/>
      </c>
      <c r="AG56" s="190" t="str">
        <f t="shared" si="68"/>
        <v/>
      </c>
      <c r="AH56" s="192" t="str">
        <f t="shared" si="4"/>
        <v/>
      </c>
      <c r="AI56" s="190" t="str">
        <f t="shared" si="19"/>
        <v/>
      </c>
      <c r="AJ56" s="193" t="str">
        <f>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4"/>
      <c r="AL56" s="185"/>
      <c r="AM56" s="195"/>
      <c r="AN56" s="195"/>
      <c r="AO56" s="196"/>
      <c r="AP56" s="327"/>
      <c r="AQ56" s="327"/>
      <c r="AR56" s="327"/>
    </row>
    <row r="57" spans="1:44" x14ac:dyDescent="0.2">
      <c r="A57" s="337"/>
      <c r="B57" s="331"/>
      <c r="C57" s="331"/>
      <c r="D57" s="331"/>
      <c r="E57" s="331"/>
      <c r="F57" s="331"/>
      <c r="G57" s="320"/>
      <c r="H57" s="320"/>
      <c r="I57" s="221"/>
      <c r="J57" s="221"/>
      <c r="K57" s="221"/>
      <c r="L57" s="320"/>
      <c r="M57" s="320"/>
      <c r="N57" s="327"/>
      <c r="O57" s="323"/>
      <c r="P57" s="322"/>
      <c r="Q57" s="313"/>
      <c r="R57" s="322">
        <f>IF(NOT(ISERROR(MATCH(Q57,_xlfn.ANCHORARRAY(F68),0))),Q70&amp;"Por favor no seleccionar los criterios de impacto",Q57)</f>
        <v>0</v>
      </c>
      <c r="S57" s="323"/>
      <c r="T57" s="322"/>
      <c r="U57" s="321"/>
      <c r="V57" s="213">
        <v>5</v>
      </c>
      <c r="W57" s="186"/>
      <c r="X57" s="188" t="str">
        <f t="shared" si="72"/>
        <v/>
      </c>
      <c r="Y57" s="189"/>
      <c r="Z57" s="189"/>
      <c r="AA57" s="190" t="str">
        <f t="shared" si="67"/>
        <v/>
      </c>
      <c r="AB57" s="189"/>
      <c r="AC57" s="189"/>
      <c r="AD57" s="189"/>
      <c r="AE57" s="191" t="str">
        <f t="shared" si="73"/>
        <v/>
      </c>
      <c r="AF57" s="192" t="str">
        <f t="shared" si="2"/>
        <v/>
      </c>
      <c r="AG57" s="190" t="str">
        <f t="shared" si="68"/>
        <v/>
      </c>
      <c r="AH57" s="192" t="str">
        <f t="shared" si="4"/>
        <v/>
      </c>
      <c r="AI57" s="190" t="str">
        <f t="shared" si="19"/>
        <v/>
      </c>
      <c r="AJ57" s="193" t="str">
        <f t="shared" ref="AJ57:AJ58" si="74">IFERROR(IF(OR(AND(AF57="Muy Baja",AH57="Leve"),AND(AF57="Muy Baja",AH57="Menor"),AND(AF57="Baja",AH57="Leve")),"Bajo",IF(OR(AND(AF57="Muy baja",AH57="Moderado"),AND(AF57="Baja",AH57="Menor"),AND(AF57="Baja",AH57="Moderado"),AND(AF57="Media",AH57="Leve"),AND(AF57="Media",AH57="Menor"),AND(AF57="Media",AH57="Moderado"),AND(AF57="Alta",AH57="Leve"),AND(AF57="Alta",AH57="Menor")),"Moderado",IF(OR(AND(AF57="Muy Baja",AH57="Mayor"),AND(AF57="Baja",AH57="Mayor"),AND(AF57="Media",AH57="Mayor"),AND(AF57="Alta",AH57="Moderado"),AND(AF57="Alta",AH57="Mayor"),AND(AF57="Muy Alta",AH57="Leve"),AND(AF57="Muy Alta",AH57="Menor"),AND(AF57="Muy Alta",AH57="Moderado"),AND(AF57="Muy Alta",AH57="Mayor")),"Alto",IF(OR(AND(AF57="Muy Baja",AH57="Catastrófico"),AND(AF57="Baja",AH57="Catastrófico"),AND(AF57="Media",AH57="Catastrófico"),AND(AF57="Alta",AH57="Catastrófico"),AND(AF57="Muy Alta",AH57="Catastrófico")),"Extremo","")))),"")</f>
        <v/>
      </c>
      <c r="AK57" s="194"/>
      <c r="AL57" s="185"/>
      <c r="AM57" s="195"/>
      <c r="AN57" s="195"/>
      <c r="AO57" s="196"/>
      <c r="AP57" s="327"/>
      <c r="AQ57" s="327"/>
      <c r="AR57" s="327"/>
    </row>
    <row r="58" spans="1:44" x14ac:dyDescent="0.2">
      <c r="A58" s="337"/>
      <c r="B58" s="331"/>
      <c r="C58" s="331"/>
      <c r="D58" s="331"/>
      <c r="E58" s="331"/>
      <c r="F58" s="331"/>
      <c r="G58" s="325"/>
      <c r="H58" s="325"/>
      <c r="I58" s="222"/>
      <c r="J58" s="222"/>
      <c r="K58" s="222"/>
      <c r="L58" s="325"/>
      <c r="M58" s="325"/>
      <c r="N58" s="327"/>
      <c r="O58" s="323"/>
      <c r="P58" s="322"/>
      <c r="Q58" s="313"/>
      <c r="R58" s="322">
        <f>IF(NOT(ISERROR(MATCH(Q58,_xlfn.ANCHORARRAY(F69),0))),Q71&amp;"Por favor no seleccionar los criterios de impacto",Q58)</f>
        <v>0</v>
      </c>
      <c r="S58" s="323"/>
      <c r="T58" s="322"/>
      <c r="U58" s="321"/>
      <c r="V58" s="213">
        <v>6</v>
      </c>
      <c r="W58" s="186"/>
      <c r="X58" s="188" t="str">
        <f t="shared" si="72"/>
        <v/>
      </c>
      <c r="Y58" s="189"/>
      <c r="Z58" s="189"/>
      <c r="AA58" s="190" t="str">
        <f t="shared" si="67"/>
        <v/>
      </c>
      <c r="AB58" s="189"/>
      <c r="AC58" s="189"/>
      <c r="AD58" s="189"/>
      <c r="AE58" s="191" t="str">
        <f t="shared" si="73"/>
        <v/>
      </c>
      <c r="AF58" s="192" t="str">
        <f t="shared" si="2"/>
        <v/>
      </c>
      <c r="AG58" s="190" t="str">
        <f t="shared" si="68"/>
        <v/>
      </c>
      <c r="AH58" s="192" t="str">
        <f t="shared" si="4"/>
        <v/>
      </c>
      <c r="AI58" s="190" t="str">
        <f t="shared" si="19"/>
        <v/>
      </c>
      <c r="AJ58" s="193" t="str">
        <f t="shared" si="74"/>
        <v/>
      </c>
      <c r="AK58" s="194"/>
      <c r="AL58" s="185"/>
      <c r="AM58" s="195"/>
      <c r="AN58" s="195"/>
      <c r="AO58" s="196"/>
      <c r="AP58" s="327"/>
      <c r="AQ58" s="327"/>
      <c r="AR58" s="327"/>
    </row>
    <row r="59" spans="1:44" x14ac:dyDescent="0.2">
      <c r="A59" s="337">
        <v>10</v>
      </c>
      <c r="B59" s="331"/>
      <c r="C59" s="331"/>
      <c r="D59" s="331"/>
      <c r="E59" s="331"/>
      <c r="F59" s="331"/>
      <c r="G59" s="319"/>
      <c r="H59" s="319"/>
      <c r="I59" s="220"/>
      <c r="J59" s="220"/>
      <c r="K59" s="220"/>
      <c r="L59" s="319"/>
      <c r="M59" s="319"/>
      <c r="N59" s="327"/>
      <c r="O59" s="323" t="str">
        <f>IF(N59&lt;=0,"",IF(N59&lt;=2,"Muy Baja",IF(N59&lt;=24,"Baja",IF(N59&lt;=500,"Media",IF(N59&lt;=5000,"Alta","Muy Alta")))))</f>
        <v/>
      </c>
      <c r="P59" s="322" t="str">
        <f>IF(O59="","",IF(O59="Muy Baja",0.2,IF(O59="Baja",0.4,IF(O59="Media",0.6,IF(O59="Alta",0.8,IF(O59="Muy Alta",1,))))))</f>
        <v/>
      </c>
      <c r="Q59" s="313"/>
      <c r="R59" s="322">
        <f>IF(NOT(ISERROR(MATCH(Q59,'Tabla Impacto'!$B$222:$B$224,0))),'Tabla Impacto'!$F$224&amp;"Por favor no seleccionar los criterios de impacto(Afectación Económica o presupuestal y Pérdida Reputacional)",Q59)</f>
        <v>0</v>
      </c>
      <c r="S59" s="323" t="str">
        <f>IF(OR(R59='Tabla Impacto'!$C$12,R59='Tabla Impacto'!$D$12),"Leve",IF(OR(R59='Tabla Impacto'!$C$13,R59='Tabla Impacto'!$D$13),"Menor",IF(OR(R59='Tabla Impacto'!$C$14,R59='Tabla Impacto'!$D$14),"Moderado",IF(OR(R59='Tabla Impacto'!$C$15,R59='Tabla Impacto'!$D$15),"Mayor",IF(OR(R59='Tabla Impacto'!$C$16,R59='Tabla Impacto'!$D$16),"Catastrófico","")))))</f>
        <v/>
      </c>
      <c r="T59" s="322" t="str">
        <f>IF(S59="","",IF(S59="Leve",0.2,IF(S59="Menor",0.4,IF(S59="Moderado",0.6,IF(S59="Mayor",0.8,IF(S59="Catastrófico",1,))))))</f>
        <v/>
      </c>
      <c r="U59" s="321" t="str">
        <f>IF(OR(AND(O59="Muy Baja",S59="Leve"),AND(O59="Muy Baja",S59="Menor"),AND(O59="Baja",S59="Leve")),"Bajo",IF(OR(AND(O59="Muy baja",S59="Moderado"),AND(O59="Baja",S59="Menor"),AND(O59="Baja",S59="Moderado"),AND(O59="Media",S59="Leve"),AND(O59="Media",S59="Menor"),AND(O59="Media",S59="Moderado"),AND(O59="Alta",S59="Leve"),AND(O59="Alta",S59="Menor")),"Moderado",IF(OR(AND(O59="Muy Baja",S59="Mayor"),AND(O59="Baja",S59="Mayor"),AND(O59="Media",S59="Mayor"),AND(O59="Alta",S59="Moderado"),AND(O59="Alta",S59="Mayor"),AND(O59="Muy Alta",S59="Leve"),AND(O59="Muy Alta",S59="Menor"),AND(O59="Muy Alta",S59="Moderado"),AND(O59="Muy Alta",S59="Mayor")),"Alto",IF(OR(AND(O59="Muy Baja",S59="Catastrófico"),AND(O59="Baja",S59="Catastrófico"),AND(O59="Media",S59="Catastrófico"),AND(O59="Alta",S59="Catastrófico"),AND(O59="Muy Alta",S59="Catastrófico")),"Extremo",""))))</f>
        <v/>
      </c>
      <c r="V59" s="213">
        <v>1</v>
      </c>
      <c r="W59" s="186"/>
      <c r="X59" s="188" t="str">
        <f>IF(OR(Y59="Preventivo",Y59="Detectivo"),"Probabilidad",IF(Y59="Correctivo","Impacto",""))</f>
        <v/>
      </c>
      <c r="Y59" s="189"/>
      <c r="Z59" s="189"/>
      <c r="AA59" s="190" t="str">
        <f>IF(AND(Y59="Preventivo",Z59="Automático"),"50%",IF(AND(Y59="Preventivo",Z59="Manual"),"40%",IF(AND(Y59="Detectivo",Z59="Automático"),"40%",IF(AND(Y59="Detectivo",Z59="Manual"),"30%",IF(AND(Y59="Correctivo",Z59="Automático"),"35%",IF(AND(Y59="Correctivo",Z59="Manual"),"25%",""))))))</f>
        <v/>
      </c>
      <c r="AB59" s="189"/>
      <c r="AC59" s="189"/>
      <c r="AD59" s="189"/>
      <c r="AE59" s="191" t="str">
        <f>IFERROR(IF(X59="Probabilidad",(P59-(+P59*AA59)),IF(X59="Impacto",P59,"")),"")</f>
        <v/>
      </c>
      <c r="AF59" s="192" t="str">
        <f>IFERROR(IF(AE59="","",IF(AE59&lt;=0.2,"Muy Baja",IF(AE59&lt;=0.4,"Baja",IF(AE59&lt;=0.6,"Media",IF(AE59&lt;=0.8,"Alta","Muy Alta"))))),"")</f>
        <v/>
      </c>
      <c r="AG59" s="190" t="str">
        <f>+AE59</f>
        <v/>
      </c>
      <c r="AH59" s="192" t="str">
        <f>IFERROR(IF(AI59="","",IF(AI59&lt;=0.2,"Leve",IF(AI59&lt;=0.4,"Menor",IF(AI59&lt;=0.6,"Moderado",IF(AI59&lt;=0.8,"Mayor","Catastrófico"))))),"")</f>
        <v/>
      </c>
      <c r="AI59" s="190" t="str">
        <f t="shared" ref="AI59" si="75">IFERROR(IF(X59="Impacto",(T59-(+T59*AA59)),IF(X59="Probabilidad",T59,"")),"")</f>
        <v/>
      </c>
      <c r="AJ59" s="193" t="str">
        <f>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4"/>
      <c r="AL59" s="185"/>
      <c r="AM59" s="195"/>
      <c r="AN59" s="195"/>
      <c r="AO59" s="196"/>
      <c r="AP59" s="327"/>
      <c r="AQ59" s="327"/>
      <c r="AR59" s="327"/>
    </row>
    <row r="60" spans="1:44" x14ac:dyDescent="0.2">
      <c r="A60" s="337"/>
      <c r="B60" s="331"/>
      <c r="C60" s="331"/>
      <c r="D60" s="331"/>
      <c r="E60" s="331"/>
      <c r="F60" s="331"/>
      <c r="G60" s="320"/>
      <c r="H60" s="320"/>
      <c r="I60" s="221"/>
      <c r="J60" s="221"/>
      <c r="K60" s="221"/>
      <c r="L60" s="320"/>
      <c r="M60" s="320"/>
      <c r="N60" s="327"/>
      <c r="O60" s="323"/>
      <c r="P60" s="322"/>
      <c r="Q60" s="313"/>
      <c r="R60" s="322">
        <f>IF(NOT(ISERROR(MATCH(Q60,_xlfn.ANCHORARRAY(F71),0))),Q73&amp;"Por favor no seleccionar los criterios de impacto",Q60)</f>
        <v>0</v>
      </c>
      <c r="S60" s="323"/>
      <c r="T60" s="322"/>
      <c r="U60" s="321"/>
      <c r="V60" s="213">
        <v>2</v>
      </c>
      <c r="W60" s="186"/>
      <c r="X60" s="188" t="str">
        <f>IF(OR(Y60="Preventivo",Y60="Detectivo"),"Probabilidad",IF(Y60="Correctivo","Impacto",""))</f>
        <v/>
      </c>
      <c r="Y60" s="189"/>
      <c r="Z60" s="189"/>
      <c r="AA60" s="190" t="str">
        <f t="shared" ref="AA60:AA64" si="76">IF(AND(Y60="Preventivo",Z60="Automático"),"50%",IF(AND(Y60="Preventivo",Z60="Manual"),"40%",IF(AND(Y60="Detectivo",Z60="Automático"),"40%",IF(AND(Y60="Detectivo",Z60="Manual"),"30%",IF(AND(Y60="Correctivo",Z60="Automático"),"35%",IF(AND(Y60="Correctivo",Z60="Manual"),"25%",""))))))</f>
        <v/>
      </c>
      <c r="AB60" s="189"/>
      <c r="AC60" s="189"/>
      <c r="AD60" s="189"/>
      <c r="AE60" s="191" t="str">
        <f>IFERROR(IF(AND(X59="Probabilidad",X60="Probabilidad"),(AG59-(+AG59*AA60)),IF(X60="Probabilidad",(P59-(+P59*AA60)),IF(X60="Impacto",AG59,""))),"")</f>
        <v/>
      </c>
      <c r="AF60" s="192" t="str">
        <f t="shared" si="2"/>
        <v/>
      </c>
      <c r="AG60" s="190" t="str">
        <f t="shared" ref="AG60:AG64" si="77">+AE60</f>
        <v/>
      </c>
      <c r="AH60" s="192" t="str">
        <f t="shared" si="4"/>
        <v/>
      </c>
      <c r="AI60" s="190" t="str">
        <f t="shared" ref="AI60" si="78">IFERROR(IF(AND(X59="Impacto",X60="Impacto"),(AI59-(+AI59*AA60)),IF(X60="Impacto",($T$13-(+$T$13*AA60)),IF(X60="Probabilidad",AI59,""))),"")</f>
        <v/>
      </c>
      <c r="AJ60" s="193" t="str">
        <f t="shared" ref="AJ60:AJ61" si="79">IFERROR(IF(OR(AND(AF60="Muy Baja",AH60="Leve"),AND(AF60="Muy Baja",AH60="Menor"),AND(AF60="Baja",AH60="Leve")),"Bajo",IF(OR(AND(AF60="Muy baja",AH60="Moderado"),AND(AF60="Baja",AH60="Menor"),AND(AF60="Baja",AH60="Moderado"),AND(AF60="Media",AH60="Leve"),AND(AF60="Media",AH60="Menor"),AND(AF60="Media",AH60="Moderado"),AND(AF60="Alta",AH60="Leve"),AND(AF60="Alta",AH60="Menor")),"Moderado",IF(OR(AND(AF60="Muy Baja",AH60="Mayor"),AND(AF60="Baja",AH60="Mayor"),AND(AF60="Media",AH60="Mayor"),AND(AF60="Alta",AH60="Moderado"),AND(AF60="Alta",AH60="Mayor"),AND(AF60="Muy Alta",AH60="Leve"),AND(AF60="Muy Alta",AH60="Menor"),AND(AF60="Muy Alta",AH60="Moderado"),AND(AF60="Muy Alta",AH60="Mayor")),"Alto",IF(OR(AND(AF60="Muy Baja",AH60="Catastrófico"),AND(AF60="Baja",AH60="Catastrófico"),AND(AF60="Media",AH60="Catastrófico"),AND(AF60="Alta",AH60="Catastrófico"),AND(AF60="Muy Alta",AH60="Catastrófico")),"Extremo","")))),"")</f>
        <v/>
      </c>
      <c r="AK60" s="194"/>
      <c r="AL60" s="185"/>
      <c r="AM60" s="195"/>
      <c r="AN60" s="195"/>
      <c r="AO60" s="196"/>
      <c r="AP60" s="327"/>
      <c r="AQ60" s="327"/>
      <c r="AR60" s="327"/>
    </row>
    <row r="61" spans="1:44" x14ac:dyDescent="0.2">
      <c r="A61" s="337"/>
      <c r="B61" s="331"/>
      <c r="C61" s="331"/>
      <c r="D61" s="331"/>
      <c r="E61" s="331"/>
      <c r="F61" s="331"/>
      <c r="G61" s="320"/>
      <c r="H61" s="320"/>
      <c r="I61" s="221"/>
      <c r="J61" s="221"/>
      <c r="K61" s="221"/>
      <c r="L61" s="320"/>
      <c r="M61" s="320"/>
      <c r="N61" s="327"/>
      <c r="O61" s="323"/>
      <c r="P61" s="322"/>
      <c r="Q61" s="313"/>
      <c r="R61" s="322">
        <f>IF(NOT(ISERROR(MATCH(Q61,_xlfn.ANCHORARRAY(F72),0))),Q74&amp;"Por favor no seleccionar los criterios de impacto",Q61)</f>
        <v>0</v>
      </c>
      <c r="S61" s="323"/>
      <c r="T61" s="322"/>
      <c r="U61" s="321"/>
      <c r="V61" s="213">
        <v>3</v>
      </c>
      <c r="W61" s="186"/>
      <c r="X61" s="188" t="str">
        <f>IF(OR(Y61="Preventivo",Y61="Detectivo"),"Probabilidad",IF(Y61="Correctivo","Impacto",""))</f>
        <v/>
      </c>
      <c r="Y61" s="189"/>
      <c r="Z61" s="189"/>
      <c r="AA61" s="190" t="str">
        <f t="shared" si="76"/>
        <v/>
      </c>
      <c r="AB61" s="189"/>
      <c r="AC61" s="189"/>
      <c r="AD61" s="189"/>
      <c r="AE61" s="191" t="str">
        <f>IFERROR(IF(AND(X60="Probabilidad",X61="Probabilidad"),(AG60-(+AG60*AA61)),IF(AND(X60="Impacto",X61="Probabilidad"),(AG59-(+AG59*AA61)),IF(X61="Impacto",AG60,""))),"")</f>
        <v/>
      </c>
      <c r="AF61" s="192" t="str">
        <f t="shared" si="2"/>
        <v/>
      </c>
      <c r="AG61" s="190" t="str">
        <f t="shared" si="77"/>
        <v/>
      </c>
      <c r="AH61" s="192" t="str">
        <f t="shared" si="4"/>
        <v/>
      </c>
      <c r="AI61" s="190" t="str">
        <f t="shared" ref="AI61" si="80">IFERROR(IF(AND(X60="Impacto",X61="Impacto"),(AI60-(+AI60*AA61)),IF(AND(X60="Probabilidad",X61="Impacto"),(AI59-(+AI59*AA61)),IF(X61="Probabilidad",AI60,""))),"")</f>
        <v/>
      </c>
      <c r="AJ61" s="193" t="str">
        <f t="shared" si="79"/>
        <v/>
      </c>
      <c r="AK61" s="194"/>
      <c r="AL61" s="185"/>
      <c r="AM61" s="195"/>
      <c r="AN61" s="195"/>
      <c r="AO61" s="196"/>
      <c r="AP61" s="327"/>
      <c r="AQ61" s="327"/>
      <c r="AR61" s="327"/>
    </row>
    <row r="62" spans="1:44" x14ac:dyDescent="0.2">
      <c r="A62" s="337"/>
      <c r="B62" s="331"/>
      <c r="C62" s="331"/>
      <c r="D62" s="331"/>
      <c r="E62" s="331"/>
      <c r="F62" s="331"/>
      <c r="G62" s="320"/>
      <c r="H62" s="320"/>
      <c r="I62" s="221"/>
      <c r="J62" s="221"/>
      <c r="K62" s="221"/>
      <c r="L62" s="320"/>
      <c r="M62" s="320"/>
      <c r="N62" s="327"/>
      <c r="O62" s="323"/>
      <c r="P62" s="322"/>
      <c r="Q62" s="313"/>
      <c r="R62" s="322">
        <f>IF(NOT(ISERROR(MATCH(Q62,_xlfn.ANCHORARRAY(F73),0))),Q75&amp;"Por favor no seleccionar los criterios de impacto",Q62)</f>
        <v>0</v>
      </c>
      <c r="S62" s="323"/>
      <c r="T62" s="322"/>
      <c r="U62" s="321"/>
      <c r="V62" s="213">
        <v>4</v>
      </c>
      <c r="W62" s="186"/>
      <c r="X62" s="188" t="str">
        <f t="shared" ref="X62:X64" si="81">IF(OR(Y62="Preventivo",Y62="Detectivo"),"Probabilidad",IF(Y62="Correctivo","Impacto",""))</f>
        <v/>
      </c>
      <c r="Y62" s="189"/>
      <c r="Z62" s="189"/>
      <c r="AA62" s="190" t="str">
        <f t="shared" si="76"/>
        <v/>
      </c>
      <c r="AB62" s="189"/>
      <c r="AC62" s="189"/>
      <c r="AD62" s="189"/>
      <c r="AE62" s="191" t="str">
        <f t="shared" ref="AE62:AE64" si="82">IFERROR(IF(AND(X61="Probabilidad",X62="Probabilidad"),(AG61-(+AG61*AA62)),IF(AND(X61="Impacto",X62="Probabilidad"),(AG60-(+AG60*AA62)),IF(X62="Impacto",AG61,""))),"")</f>
        <v/>
      </c>
      <c r="AF62" s="192" t="str">
        <f t="shared" si="2"/>
        <v/>
      </c>
      <c r="AG62" s="190" t="str">
        <f t="shared" si="77"/>
        <v/>
      </c>
      <c r="AH62" s="192" t="str">
        <f t="shared" si="4"/>
        <v/>
      </c>
      <c r="AI62" s="190" t="str">
        <f t="shared" si="19"/>
        <v/>
      </c>
      <c r="AJ62" s="193" t="str">
        <f>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4"/>
      <c r="AL62" s="185"/>
      <c r="AM62" s="195"/>
      <c r="AN62" s="195"/>
      <c r="AO62" s="196"/>
      <c r="AP62" s="327"/>
      <c r="AQ62" s="327"/>
      <c r="AR62" s="327"/>
    </row>
    <row r="63" spans="1:44" x14ac:dyDescent="0.2">
      <c r="A63" s="337"/>
      <c r="B63" s="331"/>
      <c r="C63" s="331"/>
      <c r="D63" s="331"/>
      <c r="E63" s="331"/>
      <c r="F63" s="331"/>
      <c r="G63" s="320"/>
      <c r="H63" s="320"/>
      <c r="I63" s="221"/>
      <c r="J63" s="221"/>
      <c r="K63" s="221"/>
      <c r="L63" s="320"/>
      <c r="M63" s="320"/>
      <c r="N63" s="327"/>
      <c r="O63" s="323"/>
      <c r="P63" s="322"/>
      <c r="Q63" s="313"/>
      <c r="R63" s="322">
        <f>IF(NOT(ISERROR(MATCH(Q63,_xlfn.ANCHORARRAY(F74),0))),Q76&amp;"Por favor no seleccionar los criterios de impacto",Q63)</f>
        <v>0</v>
      </c>
      <c r="S63" s="323"/>
      <c r="T63" s="322"/>
      <c r="U63" s="321"/>
      <c r="V63" s="213">
        <v>5</v>
      </c>
      <c r="W63" s="186"/>
      <c r="X63" s="188" t="str">
        <f t="shared" si="81"/>
        <v/>
      </c>
      <c r="Y63" s="189"/>
      <c r="Z63" s="189"/>
      <c r="AA63" s="190" t="str">
        <f t="shared" si="76"/>
        <v/>
      </c>
      <c r="AB63" s="189"/>
      <c r="AC63" s="189"/>
      <c r="AD63" s="189"/>
      <c r="AE63" s="191" t="str">
        <f t="shared" si="82"/>
        <v/>
      </c>
      <c r="AF63" s="192" t="str">
        <f t="shared" si="2"/>
        <v/>
      </c>
      <c r="AG63" s="190" t="str">
        <f t="shared" si="77"/>
        <v/>
      </c>
      <c r="AH63" s="192" t="str">
        <f t="shared" si="4"/>
        <v/>
      </c>
      <c r="AI63" s="190" t="str">
        <f t="shared" si="19"/>
        <v/>
      </c>
      <c r="AJ63" s="193" t="str">
        <f t="shared" ref="AJ63:AJ64" si="83">IFERROR(IF(OR(AND(AF63="Muy Baja",AH63="Leve"),AND(AF63="Muy Baja",AH63="Menor"),AND(AF63="Baja",AH63="Leve")),"Bajo",IF(OR(AND(AF63="Muy baja",AH63="Moderado"),AND(AF63="Baja",AH63="Menor"),AND(AF63="Baja",AH63="Moderado"),AND(AF63="Media",AH63="Leve"),AND(AF63="Media",AH63="Menor"),AND(AF63="Media",AH63="Moderado"),AND(AF63="Alta",AH63="Leve"),AND(AF63="Alta",AH63="Menor")),"Moderado",IF(OR(AND(AF63="Muy Baja",AH63="Mayor"),AND(AF63="Baja",AH63="Mayor"),AND(AF63="Media",AH63="Mayor"),AND(AF63="Alta",AH63="Moderado"),AND(AF63="Alta",AH63="Mayor"),AND(AF63="Muy Alta",AH63="Leve"),AND(AF63="Muy Alta",AH63="Menor"),AND(AF63="Muy Alta",AH63="Moderado"),AND(AF63="Muy Alta",AH63="Mayor")),"Alto",IF(OR(AND(AF63="Muy Baja",AH63="Catastrófico"),AND(AF63="Baja",AH63="Catastrófico"),AND(AF63="Media",AH63="Catastrófico"),AND(AF63="Alta",AH63="Catastrófico"),AND(AF63="Muy Alta",AH63="Catastrófico")),"Extremo","")))),"")</f>
        <v/>
      </c>
      <c r="AK63" s="194"/>
      <c r="AL63" s="185"/>
      <c r="AM63" s="195"/>
      <c r="AN63" s="195"/>
      <c r="AO63" s="196"/>
      <c r="AP63" s="327"/>
      <c r="AQ63" s="327"/>
      <c r="AR63" s="327"/>
    </row>
    <row r="64" spans="1:44" x14ac:dyDescent="0.2">
      <c r="A64" s="337"/>
      <c r="B64" s="331"/>
      <c r="C64" s="331"/>
      <c r="D64" s="331"/>
      <c r="E64" s="331"/>
      <c r="F64" s="331"/>
      <c r="G64" s="325"/>
      <c r="H64" s="325"/>
      <c r="I64" s="222"/>
      <c r="J64" s="222"/>
      <c r="K64" s="222"/>
      <c r="L64" s="325"/>
      <c r="M64" s="325"/>
      <c r="N64" s="327"/>
      <c r="O64" s="323"/>
      <c r="P64" s="322"/>
      <c r="Q64" s="313"/>
      <c r="R64" s="322">
        <f>IF(NOT(ISERROR(MATCH(Q64,_xlfn.ANCHORARRAY(F75),0))),Q77&amp;"Por favor no seleccionar los criterios de impacto",Q64)</f>
        <v>0</v>
      </c>
      <c r="S64" s="323"/>
      <c r="T64" s="322"/>
      <c r="U64" s="321"/>
      <c r="V64" s="213">
        <v>6</v>
      </c>
      <c r="W64" s="186"/>
      <c r="X64" s="188" t="str">
        <f t="shared" si="81"/>
        <v/>
      </c>
      <c r="Y64" s="189"/>
      <c r="Z64" s="189"/>
      <c r="AA64" s="190" t="str">
        <f t="shared" si="76"/>
        <v/>
      </c>
      <c r="AB64" s="189"/>
      <c r="AC64" s="189"/>
      <c r="AD64" s="189"/>
      <c r="AE64" s="191" t="str">
        <f t="shared" si="82"/>
        <v/>
      </c>
      <c r="AF64" s="192" t="str">
        <f t="shared" si="2"/>
        <v/>
      </c>
      <c r="AG64" s="190" t="str">
        <f t="shared" si="77"/>
        <v/>
      </c>
      <c r="AH64" s="192" t="str">
        <f t="shared" si="4"/>
        <v/>
      </c>
      <c r="AI64" s="190" t="str">
        <f t="shared" si="19"/>
        <v/>
      </c>
      <c r="AJ64" s="193" t="str">
        <f t="shared" si="83"/>
        <v/>
      </c>
      <c r="AK64" s="194"/>
      <c r="AL64" s="185"/>
      <c r="AM64" s="195"/>
      <c r="AN64" s="195"/>
      <c r="AO64" s="196"/>
      <c r="AP64" s="327"/>
      <c r="AQ64" s="327"/>
      <c r="AR64" s="327"/>
    </row>
    <row r="65" spans="1:42" x14ac:dyDescent="0.2">
      <c r="A65" s="215"/>
      <c r="B65" s="346" t="s">
        <v>261</v>
      </c>
      <c r="C65" s="347"/>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row>
    <row r="67" spans="1:42" ht="15.75" x14ac:dyDescent="0.2">
      <c r="A67" s="197"/>
      <c r="B67" s="205" t="s">
        <v>262</v>
      </c>
      <c r="C67" s="197"/>
      <c r="D67" s="197"/>
      <c r="E67" s="197"/>
      <c r="N67" s="197"/>
    </row>
  </sheetData>
  <dataConsolidate/>
  <mergeCells count="299">
    <mergeCell ref="C8:T8"/>
    <mergeCell ref="D1:T2"/>
    <mergeCell ref="D4:T4"/>
    <mergeCell ref="J3:T3"/>
    <mergeCell ref="D3:I3"/>
    <mergeCell ref="A17:A22"/>
    <mergeCell ref="B17:B22"/>
    <mergeCell ref="C17:C22"/>
    <mergeCell ref="D17:D22"/>
    <mergeCell ref="A1:C4"/>
    <mergeCell ref="N17:N22"/>
    <mergeCell ref="O17:O22"/>
    <mergeCell ref="P17:P22"/>
    <mergeCell ref="F17:F22"/>
    <mergeCell ref="N15:N16"/>
    <mergeCell ref="O15:O16"/>
    <mergeCell ref="P15:P16"/>
    <mergeCell ref="G15:G16"/>
    <mergeCell ref="G17:G22"/>
    <mergeCell ref="L15:L16"/>
    <mergeCell ref="M15:M16"/>
    <mergeCell ref="A15:A16"/>
    <mergeCell ref="B15:B16"/>
    <mergeCell ref="C15:C16"/>
    <mergeCell ref="D15:D16"/>
    <mergeCell ref="Z6:AR6"/>
    <mergeCell ref="Z7:AR7"/>
    <mergeCell ref="Z8:AR8"/>
    <mergeCell ref="X1:AR2"/>
    <mergeCell ref="X3:AL3"/>
    <mergeCell ref="X4:AR4"/>
    <mergeCell ref="AM3:AR3"/>
    <mergeCell ref="A6:B6"/>
    <mergeCell ref="A7:B7"/>
    <mergeCell ref="A8:B8"/>
    <mergeCell ref="W6:Y6"/>
    <mergeCell ref="C6:T6"/>
    <mergeCell ref="C7:T7"/>
    <mergeCell ref="U13:U14"/>
    <mergeCell ref="P13:P14"/>
    <mergeCell ref="Q13:Q14"/>
    <mergeCell ref="R13:R14"/>
    <mergeCell ref="S13:S14"/>
    <mergeCell ref="G13:G14"/>
    <mergeCell ref="A10:F10"/>
    <mergeCell ref="I13:I14"/>
    <mergeCell ref="T11:T12"/>
    <mergeCell ref="F11:F12"/>
    <mergeCell ref="U29:U34"/>
    <mergeCell ref="T35:T40"/>
    <mergeCell ref="U35:U40"/>
    <mergeCell ref="Q41:Q46"/>
    <mergeCell ref="R41:R46"/>
    <mergeCell ref="S41:S46"/>
    <mergeCell ref="F29:F34"/>
    <mergeCell ref="F35:F40"/>
    <mergeCell ref="G29:G34"/>
    <mergeCell ref="Q35:Q40"/>
    <mergeCell ref="R35:R40"/>
    <mergeCell ref="S35:S40"/>
    <mergeCell ref="N29:N34"/>
    <mergeCell ref="O29:O34"/>
    <mergeCell ref="G41:G46"/>
    <mergeCell ref="I41:I46"/>
    <mergeCell ref="J41:J46"/>
    <mergeCell ref="K41:K46"/>
    <mergeCell ref="L29:L34"/>
    <mergeCell ref="G35:G40"/>
    <mergeCell ref="I29:I34"/>
    <mergeCell ref="J29:J34"/>
    <mergeCell ref="K29:K34"/>
    <mergeCell ref="I35:I40"/>
    <mergeCell ref="E53:E58"/>
    <mergeCell ref="N53:N58"/>
    <mergeCell ref="O53:O58"/>
    <mergeCell ref="P53:P58"/>
    <mergeCell ref="P29:P34"/>
    <mergeCell ref="Q29:Q34"/>
    <mergeCell ref="N35:N40"/>
    <mergeCell ref="O35:O40"/>
    <mergeCell ref="P35:P40"/>
    <mergeCell ref="F41:F46"/>
    <mergeCell ref="F47:F52"/>
    <mergeCell ref="G47:G52"/>
    <mergeCell ref="I47:I52"/>
    <mergeCell ref="J47:J52"/>
    <mergeCell ref="K47:K52"/>
    <mergeCell ref="J35:J40"/>
    <mergeCell ref="K35:K40"/>
    <mergeCell ref="H29:H34"/>
    <mergeCell ref="H35:H40"/>
    <mergeCell ref="B65:AP65"/>
    <mergeCell ref="T53:T58"/>
    <mergeCell ref="U53:U58"/>
    <mergeCell ref="A59:A64"/>
    <mergeCell ref="B59:B64"/>
    <mergeCell ref="C59:C64"/>
    <mergeCell ref="D59:D64"/>
    <mergeCell ref="E59:E64"/>
    <mergeCell ref="N59:N64"/>
    <mergeCell ref="O59:O64"/>
    <mergeCell ref="P59:P64"/>
    <mergeCell ref="Q59:Q64"/>
    <mergeCell ref="R59:R64"/>
    <mergeCell ref="S59:S64"/>
    <mergeCell ref="T59:T64"/>
    <mergeCell ref="U59:U64"/>
    <mergeCell ref="Q53:Q58"/>
    <mergeCell ref="R53:R58"/>
    <mergeCell ref="S53:S58"/>
    <mergeCell ref="A53:A58"/>
    <mergeCell ref="B53:B58"/>
    <mergeCell ref="C53:C58"/>
    <mergeCell ref="D53:D58"/>
    <mergeCell ref="F53:F58"/>
    <mergeCell ref="F59:F64"/>
    <mergeCell ref="T41:T46"/>
    <mergeCell ref="U41:U46"/>
    <mergeCell ref="N47:N52"/>
    <mergeCell ref="O47:O52"/>
    <mergeCell ref="P47:P52"/>
    <mergeCell ref="Q47:Q52"/>
    <mergeCell ref="N41:N46"/>
    <mergeCell ref="O41:O46"/>
    <mergeCell ref="P41:P46"/>
    <mergeCell ref="R47:R52"/>
    <mergeCell ref="S47:S52"/>
    <mergeCell ref="T47:T52"/>
    <mergeCell ref="U47:U52"/>
    <mergeCell ref="G53:G58"/>
    <mergeCell ref="G59:G64"/>
    <mergeCell ref="H59:H64"/>
    <mergeCell ref="H41:H46"/>
    <mergeCell ref="H47:H52"/>
    <mergeCell ref="H53:H58"/>
    <mergeCell ref="B47:B52"/>
    <mergeCell ref="C47:C52"/>
    <mergeCell ref="D47:D52"/>
    <mergeCell ref="E47:E52"/>
    <mergeCell ref="A41:A46"/>
    <mergeCell ref="B41:B46"/>
    <mergeCell ref="C41:C46"/>
    <mergeCell ref="D41:D46"/>
    <mergeCell ref="E41:E46"/>
    <mergeCell ref="A47:A52"/>
    <mergeCell ref="A29:A34"/>
    <mergeCell ref="B29:B34"/>
    <mergeCell ref="C29:C34"/>
    <mergeCell ref="A35:A40"/>
    <mergeCell ref="B35:B40"/>
    <mergeCell ref="C35:C40"/>
    <mergeCell ref="D35:D40"/>
    <mergeCell ref="E35:E40"/>
    <mergeCell ref="D29:D34"/>
    <mergeCell ref="E29:E34"/>
    <mergeCell ref="C23:C28"/>
    <mergeCell ref="D23:D28"/>
    <mergeCell ref="E23:E28"/>
    <mergeCell ref="N23:N28"/>
    <mergeCell ref="O23:O28"/>
    <mergeCell ref="P23:P28"/>
    <mergeCell ref="F23:F28"/>
    <mergeCell ref="G23:G28"/>
    <mergeCell ref="I23:I28"/>
    <mergeCell ref="J23:J28"/>
    <mergeCell ref="K23:K28"/>
    <mergeCell ref="L23:L28"/>
    <mergeCell ref="M23:M28"/>
    <mergeCell ref="H23:H28"/>
    <mergeCell ref="A13:A14"/>
    <mergeCell ref="B13:B14"/>
    <mergeCell ref="A11:A12"/>
    <mergeCell ref="E11:E12"/>
    <mergeCell ref="D11:D12"/>
    <mergeCell ref="C11:C12"/>
    <mergeCell ref="AP29:AP34"/>
    <mergeCell ref="T23:T28"/>
    <mergeCell ref="R29:R34"/>
    <mergeCell ref="S29:S34"/>
    <mergeCell ref="T29:T34"/>
    <mergeCell ref="E15:E16"/>
    <mergeCell ref="E17:E22"/>
    <mergeCell ref="B11:B12"/>
    <mergeCell ref="F13:F14"/>
    <mergeCell ref="G11:G12"/>
    <mergeCell ref="H11:H12"/>
    <mergeCell ref="I11:I12"/>
    <mergeCell ref="J11:J12"/>
    <mergeCell ref="K11:K12"/>
    <mergeCell ref="H13:H14"/>
    <mergeCell ref="H15:H16"/>
    <mergeCell ref="A23:A28"/>
    <mergeCell ref="B23:B28"/>
    <mergeCell ref="AQ29:AQ34"/>
    <mergeCell ref="AR29:AR34"/>
    <mergeCell ref="T13:T14"/>
    <mergeCell ref="N11:N12"/>
    <mergeCell ref="O11:O12"/>
    <mergeCell ref="U11:U12"/>
    <mergeCell ref="Q11:Q12"/>
    <mergeCell ref="R11:R12"/>
    <mergeCell ref="AP11:AP12"/>
    <mergeCell ref="AQ11:AQ12"/>
    <mergeCell ref="AR11:AR12"/>
    <mergeCell ref="AP13:AP14"/>
    <mergeCell ref="AQ13:AQ14"/>
    <mergeCell ref="AR13:AR14"/>
    <mergeCell ref="AK11:AK12"/>
    <mergeCell ref="AN11:AN12"/>
    <mergeCell ref="V11:V12"/>
    <mergeCell ref="AJ11:AJ12"/>
    <mergeCell ref="AI11:AI12"/>
    <mergeCell ref="AE11:AE12"/>
    <mergeCell ref="W11:W12"/>
    <mergeCell ref="AH11:AH12"/>
    <mergeCell ref="AF11:AF12"/>
    <mergeCell ref="S23:S28"/>
    <mergeCell ref="AR53:AR58"/>
    <mergeCell ref="T17:T22"/>
    <mergeCell ref="U17:U22"/>
    <mergeCell ref="AP59:AP64"/>
    <mergeCell ref="AQ59:AQ64"/>
    <mergeCell ref="AR59:AR64"/>
    <mergeCell ref="AP35:AP40"/>
    <mergeCell ref="AQ35:AQ40"/>
    <mergeCell ref="AP15:AP16"/>
    <mergeCell ref="AQ15:AQ16"/>
    <mergeCell ref="AR15:AR16"/>
    <mergeCell ref="AR35:AR40"/>
    <mergeCell ref="AP41:AP46"/>
    <mergeCell ref="AQ41:AQ46"/>
    <mergeCell ref="AR41:AR46"/>
    <mergeCell ref="AP47:AP52"/>
    <mergeCell ref="AQ47:AQ52"/>
    <mergeCell ref="AR47:AR52"/>
    <mergeCell ref="AP17:AP22"/>
    <mergeCell ref="AQ17:AQ22"/>
    <mergeCell ref="AR17:AR22"/>
    <mergeCell ref="AP23:AP28"/>
    <mergeCell ref="AQ23:AQ28"/>
    <mergeCell ref="AR23:AR28"/>
    <mergeCell ref="H17:H22"/>
    <mergeCell ref="J13:J14"/>
    <mergeCell ref="K13:K14"/>
    <mergeCell ref="I15:I16"/>
    <mergeCell ref="J15:J16"/>
    <mergeCell ref="K15:K16"/>
    <mergeCell ref="I17:I22"/>
    <mergeCell ref="F15:F16"/>
    <mergeCell ref="J17:J22"/>
    <mergeCell ref="K17:K22"/>
    <mergeCell ref="G10:K10"/>
    <mergeCell ref="C13:C14"/>
    <mergeCell ref="D13:D14"/>
    <mergeCell ref="E13:E14"/>
    <mergeCell ref="L59:L64"/>
    <mergeCell ref="M59:M64"/>
    <mergeCell ref="AP10:AR10"/>
    <mergeCell ref="AF10:AJ10"/>
    <mergeCell ref="AK10:AO10"/>
    <mergeCell ref="M29:M34"/>
    <mergeCell ref="L35:L40"/>
    <mergeCell ref="M35:M40"/>
    <mergeCell ref="L41:L46"/>
    <mergeCell ref="M41:M46"/>
    <mergeCell ref="L47:L52"/>
    <mergeCell ref="M47:M52"/>
    <mergeCell ref="L53:L58"/>
    <mergeCell ref="M53:M58"/>
    <mergeCell ref="AP53:AP58"/>
    <mergeCell ref="AQ53:AQ58"/>
    <mergeCell ref="P11:P12"/>
    <mergeCell ref="S11:S12"/>
    <mergeCell ref="AL11:AL12"/>
    <mergeCell ref="AO11:AO12"/>
    <mergeCell ref="AM11:AM12"/>
    <mergeCell ref="Q23:Q28"/>
    <mergeCell ref="L10:M11"/>
    <mergeCell ref="N10:V10"/>
    <mergeCell ref="L13:L14"/>
    <mergeCell ref="M13:M14"/>
    <mergeCell ref="U23:U28"/>
    <mergeCell ref="R15:R16"/>
    <mergeCell ref="S15:S16"/>
    <mergeCell ref="T15:T16"/>
    <mergeCell ref="U15:U16"/>
    <mergeCell ref="AG11:AG12"/>
    <mergeCell ref="X11:X12"/>
    <mergeCell ref="Y11:AD11"/>
    <mergeCell ref="L17:L22"/>
    <mergeCell ref="M17:M22"/>
    <mergeCell ref="Q15:Q16"/>
    <mergeCell ref="W10:AE10"/>
    <mergeCell ref="Q17:Q22"/>
    <mergeCell ref="R17:R22"/>
    <mergeCell ref="S17:S22"/>
    <mergeCell ref="R23:R28"/>
    <mergeCell ref="N13:N14"/>
    <mergeCell ref="O13:O14"/>
  </mergeCells>
  <conditionalFormatting sqref="O13 O15">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5 S17 S23 S29 S35 S41 S47 S53 S59">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4">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4">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4">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53">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5">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5:AF16">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5:AH16">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5:AJ16">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17">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17">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17:AF22">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17:AH22">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17:AJ22">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23">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23">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23:AF28">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23:AH28">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23:AJ28">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29">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29">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29:AF34">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29:AH34">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29:AJ34">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35">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35">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35:AF40">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35:AH40">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35:AJ40">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1">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1">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1:AF46">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1:AH46">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1:AJ46">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47">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47:AF52">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47:AH52">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47:AJ52">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53">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53:AF58">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53:AH58">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53:AJ58">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59">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59">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59:AF64">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59:AH64">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59:AJ64">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64">
    <cfRule type="containsText" dxfId="475" priority="6" operator="containsText" text="❌">
      <formula>NOT(ISERROR(SEARCH("❌",R13)))</formula>
    </cfRule>
  </conditionalFormatting>
  <conditionalFormatting sqref="O47">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7">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AP17:AR17 AP59:AR59 AP53:AR53 AP47:AR47 AP41:AR41 AP35:AR35 AP29:AR29 AP23:AR23</xm:sqref>
        </x14:dataValidation>
        <x14:dataValidation type="list" allowBlank="1" showInputMessage="1" showErrorMessage="1" xr:uid="{00000000-0002-0000-0300-000010000000}">
          <x14:formula1>
            <xm:f>Intructivo!$C$300:$C$316</xm:f>
          </x14:formula1>
          <xm:sqref>C6 U6:V6</xm:sqref>
        </x14:dataValidation>
        <x14:dataValidation type="list" allowBlank="1" showInputMessage="1" showErrorMessage="1" xr:uid="{00000000-0002-0000-0300-000001000000}">
          <x14:formula1>
            <xm:f>'Tabla Valoración controles'!$D$4:$D$6</xm:f>
          </x14:formula1>
          <xm:sqref>Y13:Y64</xm:sqref>
        </x14:dataValidation>
        <x14:dataValidation type="list" allowBlank="1" showInputMessage="1" showErrorMessage="1" xr:uid="{00000000-0002-0000-0300-000002000000}">
          <x14:formula1>
            <xm:f>'Tabla Valoración controles'!$D$7:$D$8</xm:f>
          </x14:formula1>
          <xm:sqref>Z13:Z64</xm:sqref>
        </x14:dataValidation>
        <x14:dataValidation type="list" allowBlank="1" showInputMessage="1" showErrorMessage="1" xr:uid="{00000000-0002-0000-0300-000003000000}">
          <x14:formula1>
            <xm:f>'Tabla Valoración controles'!$D$9:$D$10</xm:f>
          </x14:formula1>
          <xm:sqref>AB13:AB64</xm:sqref>
        </x14:dataValidation>
        <x14:dataValidation type="list" allowBlank="1" showInputMessage="1" showErrorMessage="1" xr:uid="{00000000-0002-0000-0300-000004000000}">
          <x14:formula1>
            <xm:f>'Tabla Valoración controles'!$D$11:$D$12</xm:f>
          </x14:formula1>
          <xm:sqref>AC13:AC64</xm:sqref>
        </x14:dataValidation>
        <x14:dataValidation type="list" allowBlank="1" showInputMessage="1" showErrorMessage="1" xr:uid="{00000000-0002-0000-0300-000005000000}">
          <x14:formula1>
            <xm:f>'Tabla Valoración controles'!$D$13:$D$14</xm:f>
          </x14:formula1>
          <xm:sqref>AD13:AD64</xm:sqref>
        </x14:dataValidation>
        <x14:dataValidation type="list" allowBlank="1" showInputMessage="1" showErrorMessage="1" xr:uid="{00000000-0002-0000-0300-000006000000}">
          <x14:formula1>
            <xm:f>Listas!$E$2:$E$4</xm:f>
          </x14:formula1>
          <xm:sqref>B13:B64</xm:sqref>
        </x14:dataValidation>
        <x14:dataValidation type="list" allowBlank="1" showInputMessage="1" showErrorMessage="1" xr:uid="{00000000-0002-0000-0300-000007000000}">
          <x14:formula1>
            <xm:f>Listas!$B$2:$B$5</xm:f>
          </x14:formula1>
          <xm:sqref>AK13:AK64</xm:sqref>
        </x14:dataValidation>
        <x14:dataValidation type="list" allowBlank="1" showInputMessage="1" showErrorMessage="1" xr:uid="{00000000-0002-0000-0300-000008000000}">
          <x14:formula1>
            <xm:f>'Tabla Impacto'!$F$211:$F$222</xm:f>
          </x14:formula1>
          <xm:sqref>Q13:Q64</xm:sqref>
        </x14:dataValidation>
        <x14:dataValidation type="custom" allowBlank="1" showInputMessage="1" showErrorMessage="1" error="Recuerde que las acciones se generan bajo la medida de mitigar el riesgo" xr:uid="{00000000-0002-0000-0300-000009000000}">
          <x14:formula1>
            <xm:f>IF(OR(AK13=Listas!$B$2,AK13=Listas!$B$3,AK13=Listas!$B$4),ISBLANK(AK13),ISTEXT(AK13))</xm:f>
          </x14:formula1>
          <xm:sqref>AL13:AL64</xm:sqref>
        </x14:dataValidation>
        <x14:dataValidation type="custom" allowBlank="1" showInputMessage="1" showErrorMessage="1" error="Recuerde que las acciones se generan bajo la medida de mitigar el riesgo" xr:uid="{00000000-0002-0000-0300-00000A000000}">
          <x14:formula1>
            <xm:f>IF(OR(AK13=Listas!$B$2,AK13=Listas!$B$3,AK13=Listas!$B$4),ISBLANK(AK13),ISTEXT(AK13))</xm:f>
          </x14:formula1>
          <xm:sqref>AM13:AN64</xm:sqref>
        </x14:dataValidation>
        <x14:dataValidation type="custom" allowBlank="1" showInputMessage="1" showErrorMessage="1" error="Recuerde que las acciones se generan bajo la medida de mitigar el riesgo" xr:uid="{00000000-0002-0000-0300-00000B000000}">
          <x14:formula1>
            <xm:f>IF(OR(AK13=Listas!$B$2,AK13=Listas!$B$3,AK13=Listas!$B$4),ISBLANK(AK13),ISTEXT(AK13))</xm:f>
          </x14:formula1>
          <xm:sqref>AO13:AO64</xm:sqref>
        </x14:dataValidation>
        <x14:dataValidation type="list" allowBlank="1" showInputMessage="1" showErrorMessage="1" xr:uid="{00000000-0002-0000-0300-00000C000000}">
          <x14:formula1>
            <xm:f>Listas!$B$12:$B$16</xm:f>
          </x14:formula1>
          <xm:sqref>F13:F64</xm:sqref>
        </x14:dataValidation>
        <x14:dataValidation type="list" allowBlank="1" showInputMessage="1" showErrorMessage="1" xr:uid="{56974EBC-92AA-46D7-A563-12DC1F3E81D0}">
          <x14:formula1>
            <xm:f>Listas!$F$8:$F$9</xm:f>
          </x14:formula1>
          <xm:sqref>G13:G64</xm:sqref>
        </x14:dataValidation>
        <x14:dataValidation type="list" allowBlank="1" showInputMessage="1" showErrorMessage="1" xr:uid="{03058C6C-7F42-42BB-9770-ED87FDA682A3}">
          <x14:formula1>
            <xm:f>Listas!$H$8:$H$12</xm:f>
          </x14:formula1>
          <xm:sqref>L13:L64</xm:sqref>
        </x14:dataValidation>
        <x14:dataValidation type="list" allowBlank="1" showInputMessage="1" showErrorMessage="1" xr:uid="{ED0225A5-353B-484A-9502-C16753E9C895}">
          <x14:formula1>
            <xm:f>Listas!$H$14:$H$18</xm:f>
          </x14:formula1>
          <xm:sqref>M13:M64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385" t="s">
        <v>263</v>
      </c>
      <c r="C2" s="385"/>
      <c r="D2" s="385"/>
      <c r="E2" s="385"/>
      <c r="F2" s="385"/>
      <c r="G2" s="385"/>
      <c r="H2" s="385"/>
      <c r="I2" s="385"/>
      <c r="J2" s="422" t="s">
        <v>15</v>
      </c>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385"/>
      <c r="C3" s="385"/>
      <c r="D3" s="385"/>
      <c r="E3" s="385"/>
      <c r="F3" s="385"/>
      <c r="G3" s="385"/>
      <c r="H3" s="385"/>
      <c r="I3" s="385"/>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385"/>
      <c r="C4" s="385"/>
      <c r="D4" s="385"/>
      <c r="E4" s="385"/>
      <c r="F4" s="385"/>
      <c r="G4" s="385"/>
      <c r="H4" s="385"/>
      <c r="I4" s="385"/>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33" t="s">
        <v>264</v>
      </c>
      <c r="C6" s="433"/>
      <c r="D6" s="434"/>
      <c r="E6" s="423" t="s">
        <v>265</v>
      </c>
      <c r="F6" s="424"/>
      <c r="G6" s="424"/>
      <c r="H6" s="424"/>
      <c r="I6" s="425"/>
      <c r="J6" s="419" t="str">
        <f>IF(AND('Riesgos de Gestión'!$O$13="Muy Alta",'Riesgos de Gestión'!$S$13="Leve"),CONCATENATE("R",'Riesgos de Gestión'!$A$13),"")</f>
        <v/>
      </c>
      <c r="K6" s="420"/>
      <c r="L6" s="420" t="str">
        <f>IF(AND('Riesgos de Gestión'!$O$15="Muy Alta",'Riesgos de Gestión'!$S$15="Leve"),CONCATENATE("R",'Riesgos de Gestión'!$A$15),"")</f>
        <v/>
      </c>
      <c r="M6" s="420"/>
      <c r="N6" s="420" t="str">
        <f>IF(AND('Riesgos de Gestión'!$O$17="Muy Alta",'Riesgos de Gestión'!$S$17="Leve"),CONCATENATE("R",'Riesgos de Gestión'!$A$17),"")</f>
        <v/>
      </c>
      <c r="O6" s="421"/>
      <c r="P6" s="419" t="str">
        <f>IF(AND('Riesgos de Gestión'!$O$13="Muy Alta",'Riesgos de Gestión'!$S$13="Menor"),CONCATENATE("R",'Riesgos de Gestión'!$A$13),"")</f>
        <v/>
      </c>
      <c r="Q6" s="420"/>
      <c r="R6" s="420" t="str">
        <f>IF(AND('Riesgos de Gestión'!$O$15="Muy Alta",'Riesgos de Gestión'!$S$15="Menor"),CONCATENATE("R",'Riesgos de Gestión'!$A$15),"")</f>
        <v/>
      </c>
      <c r="S6" s="420"/>
      <c r="T6" s="420" t="str">
        <f>IF(AND('Riesgos de Gestión'!$O$17="Muy Alta",'Riesgos de Gestión'!$S$17="Menor"),CONCATENATE("R",'Riesgos de Gestión'!$A$17),"")</f>
        <v/>
      </c>
      <c r="U6" s="421"/>
      <c r="V6" s="419" t="str">
        <f>IF(AND('Riesgos de Gestión'!$O$13="Muy Alta",'Riesgos de Gestión'!$S$13="Moderado"),CONCATENATE("R",'Riesgos de Gestión'!$A$13),"")</f>
        <v/>
      </c>
      <c r="W6" s="420"/>
      <c r="X6" s="420" t="str">
        <f>IF(AND('Riesgos de Gestión'!$O$15="Muy Alta",'Riesgos de Gestión'!$S$15="Moderado"),CONCATENATE("R",'Riesgos de Gestión'!$A$15),"")</f>
        <v/>
      </c>
      <c r="Y6" s="420"/>
      <c r="Z6" s="420" t="str">
        <f>IF(AND('Riesgos de Gestión'!$O$17="Muy Alta",'Riesgos de Gestión'!$S$17="Moderado"),CONCATENATE("R",'Riesgos de Gestión'!$A$17),"")</f>
        <v/>
      </c>
      <c r="AA6" s="421"/>
      <c r="AB6" s="419" t="str">
        <f>IF(AND('Riesgos de Gestión'!$O$13="Muy Alta",'Riesgos de Gestión'!$S$13="Mayor"),CONCATENATE("R",'Riesgos de Gestión'!$A$13),"")</f>
        <v/>
      </c>
      <c r="AC6" s="420"/>
      <c r="AD6" s="420" t="str">
        <f>IF(AND('Riesgos de Gestión'!$O$15="Muy Alta",'Riesgos de Gestión'!$S$15="Mayor"),CONCATENATE("R",'Riesgos de Gestión'!$A$15),"")</f>
        <v/>
      </c>
      <c r="AE6" s="420"/>
      <c r="AF6" s="420" t="str">
        <f>IF(AND('Riesgos de Gestión'!$O$17="Muy Alta",'Riesgos de Gestión'!$S$17="Mayor"),CONCATENATE("R",'Riesgos de Gestión'!$A$17),"")</f>
        <v/>
      </c>
      <c r="AG6" s="421"/>
      <c r="AH6" s="410" t="str">
        <f>IF(AND('Riesgos de Gestión'!$O$13="Muy Alta",'Riesgos de Gestión'!$S$13="Catastrófico"),CONCATENATE("R",'Riesgos de Gestión'!$A$13),"")</f>
        <v/>
      </c>
      <c r="AI6" s="411"/>
      <c r="AJ6" s="411" t="str">
        <f>IF(AND('Riesgos de Gestión'!$O$15="Muy Alta",'Riesgos de Gestión'!$S$15="Catastrófico"),CONCATENATE("R",'Riesgos de Gestión'!$A$15),"")</f>
        <v/>
      </c>
      <c r="AK6" s="411"/>
      <c r="AL6" s="411" t="str">
        <f>IF(AND('Riesgos de Gestión'!$O$17="Muy Alta",'Riesgos de Gestión'!$S$17="Catastrófico"),CONCATENATE("R",'Riesgos de Gestión'!$A$17),"")</f>
        <v/>
      </c>
      <c r="AM6" s="412"/>
      <c r="AO6" s="435" t="s">
        <v>266</v>
      </c>
      <c r="AP6" s="436"/>
      <c r="AQ6" s="436"/>
      <c r="AR6" s="436"/>
      <c r="AS6" s="436"/>
      <c r="AT6" s="43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33"/>
      <c r="C7" s="433"/>
      <c r="D7" s="434"/>
      <c r="E7" s="426"/>
      <c r="F7" s="427"/>
      <c r="G7" s="427"/>
      <c r="H7" s="427"/>
      <c r="I7" s="428"/>
      <c r="J7" s="413"/>
      <c r="K7" s="414"/>
      <c r="L7" s="414"/>
      <c r="M7" s="414"/>
      <c r="N7" s="414"/>
      <c r="O7" s="415"/>
      <c r="P7" s="413"/>
      <c r="Q7" s="414"/>
      <c r="R7" s="414"/>
      <c r="S7" s="414"/>
      <c r="T7" s="414"/>
      <c r="U7" s="415"/>
      <c r="V7" s="413"/>
      <c r="W7" s="414"/>
      <c r="X7" s="414"/>
      <c r="Y7" s="414"/>
      <c r="Z7" s="414"/>
      <c r="AA7" s="415"/>
      <c r="AB7" s="413"/>
      <c r="AC7" s="414"/>
      <c r="AD7" s="414"/>
      <c r="AE7" s="414"/>
      <c r="AF7" s="414"/>
      <c r="AG7" s="415"/>
      <c r="AH7" s="404"/>
      <c r="AI7" s="405"/>
      <c r="AJ7" s="405"/>
      <c r="AK7" s="405"/>
      <c r="AL7" s="405"/>
      <c r="AM7" s="406"/>
      <c r="AN7" s="66"/>
      <c r="AO7" s="438"/>
      <c r="AP7" s="439"/>
      <c r="AQ7" s="439"/>
      <c r="AR7" s="439"/>
      <c r="AS7" s="439"/>
      <c r="AT7" s="44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33"/>
      <c r="C8" s="433"/>
      <c r="D8" s="434"/>
      <c r="E8" s="426"/>
      <c r="F8" s="427"/>
      <c r="G8" s="427"/>
      <c r="H8" s="427"/>
      <c r="I8" s="428"/>
      <c r="J8" s="413" t="str">
        <f>IF(AND('Riesgos de Gestión'!$O$23="Muy Alta",'Riesgos de Gestión'!$S$23="Leve"),CONCATENATE("R",'Riesgos de Gestión'!$A$23),"")</f>
        <v/>
      </c>
      <c r="K8" s="414"/>
      <c r="L8" s="414" t="str">
        <f>IF(AND('Riesgos de Gestión'!$O$29="Muy Alta",'Riesgos de Gestión'!$S$29="Leve"),CONCATENATE("R",'Riesgos de Gestión'!$A$29),"")</f>
        <v/>
      </c>
      <c r="M8" s="414"/>
      <c r="N8" s="414" t="str">
        <f>IF(AND('Riesgos de Gestión'!$O$35="Muy Alta",'Riesgos de Gestión'!$S$35="Leve"),CONCATENATE("R",'Riesgos de Gestión'!$A$35),"")</f>
        <v/>
      </c>
      <c r="O8" s="415"/>
      <c r="P8" s="413" t="str">
        <f>IF(AND('Riesgos de Gestión'!$O$23="Muy Alta",'Riesgos de Gestión'!$S$23="Menor"),CONCATENATE("R",'Riesgos de Gestión'!$A$23),"")</f>
        <v/>
      </c>
      <c r="Q8" s="414"/>
      <c r="R8" s="414" t="str">
        <f>IF(AND('Riesgos de Gestión'!$O$29="Muy Alta",'Riesgos de Gestión'!$S$29="Menor"),CONCATENATE("R",'Riesgos de Gestión'!$A$29),"")</f>
        <v/>
      </c>
      <c r="S8" s="414"/>
      <c r="T8" s="414" t="str">
        <f>IF(AND('Riesgos de Gestión'!$O$35="Muy Alta",'Riesgos de Gestión'!$S$35="Menor"),CONCATENATE("R",'Riesgos de Gestión'!$A$35),"")</f>
        <v/>
      </c>
      <c r="U8" s="415"/>
      <c r="V8" s="413" t="str">
        <f>IF(AND('Riesgos de Gestión'!$O$23="Muy Alta",'Riesgos de Gestión'!$S$23="Moderado"),CONCATENATE("R",'Riesgos de Gestión'!$A$23),"")</f>
        <v/>
      </c>
      <c r="W8" s="414"/>
      <c r="X8" s="414" t="str">
        <f>IF(AND('Riesgos de Gestión'!$O$29="Muy Alta",'Riesgos de Gestión'!$S$29="Moderado"),CONCATENATE("R",'Riesgos de Gestión'!$A$29),"")</f>
        <v/>
      </c>
      <c r="Y8" s="414"/>
      <c r="Z8" s="414" t="str">
        <f>IF(AND('Riesgos de Gestión'!$O$35="Muy Alta",'Riesgos de Gestión'!$S$35="Moderado"),CONCATENATE("R",'Riesgos de Gestión'!$A$35),"")</f>
        <v/>
      </c>
      <c r="AA8" s="415"/>
      <c r="AB8" s="413" t="str">
        <f>IF(AND('Riesgos de Gestión'!$O$23="Muy Alta",'Riesgos de Gestión'!$S$23="Mayor"),CONCATENATE("R",'Riesgos de Gestión'!$A$23),"")</f>
        <v/>
      </c>
      <c r="AC8" s="414"/>
      <c r="AD8" s="414" t="str">
        <f>IF(AND('Riesgos de Gestión'!$O$29="Muy Alta",'Riesgos de Gestión'!$S$29="Mayor"),CONCATENATE("R",'Riesgos de Gestión'!$A$29),"")</f>
        <v/>
      </c>
      <c r="AE8" s="414"/>
      <c r="AF8" s="414" t="str">
        <f>IF(AND('Riesgos de Gestión'!$O$35="Muy Alta",'Riesgos de Gestión'!$S$35="Mayor"),CONCATENATE("R",'Riesgos de Gestión'!$A$35),"")</f>
        <v/>
      </c>
      <c r="AG8" s="415"/>
      <c r="AH8" s="404" t="str">
        <f>IF(AND('Riesgos de Gestión'!$O$23="Muy Alta",'Riesgos de Gestión'!$S$23="Catastrófico"),CONCATENATE("R",'Riesgos de Gestión'!$A$23),"")</f>
        <v/>
      </c>
      <c r="AI8" s="405"/>
      <c r="AJ8" s="405" t="str">
        <f>IF(AND('Riesgos de Gestión'!$O$29="Muy Alta",'Riesgos de Gestión'!$S$29="Catastrófico"),CONCATENATE("R",'Riesgos de Gestión'!$A$29),"")</f>
        <v/>
      </c>
      <c r="AK8" s="405"/>
      <c r="AL8" s="405" t="str">
        <f>IF(AND('Riesgos de Gestión'!$O$35="Muy Alta",'Riesgos de Gestión'!$S$35="Catastrófico"),CONCATENATE("R",'Riesgos de Gestión'!$A$35),"")</f>
        <v/>
      </c>
      <c r="AM8" s="406"/>
      <c r="AN8" s="66"/>
      <c r="AO8" s="438"/>
      <c r="AP8" s="439"/>
      <c r="AQ8" s="439"/>
      <c r="AR8" s="439"/>
      <c r="AS8" s="439"/>
      <c r="AT8" s="44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33"/>
      <c r="C9" s="433"/>
      <c r="D9" s="434"/>
      <c r="E9" s="426"/>
      <c r="F9" s="427"/>
      <c r="G9" s="427"/>
      <c r="H9" s="427"/>
      <c r="I9" s="428"/>
      <c r="J9" s="413"/>
      <c r="K9" s="414"/>
      <c r="L9" s="414"/>
      <c r="M9" s="414"/>
      <c r="N9" s="414"/>
      <c r="O9" s="415"/>
      <c r="P9" s="413"/>
      <c r="Q9" s="414"/>
      <c r="R9" s="414"/>
      <c r="S9" s="414"/>
      <c r="T9" s="414"/>
      <c r="U9" s="415"/>
      <c r="V9" s="413"/>
      <c r="W9" s="414"/>
      <c r="X9" s="414"/>
      <c r="Y9" s="414"/>
      <c r="Z9" s="414"/>
      <c r="AA9" s="415"/>
      <c r="AB9" s="413"/>
      <c r="AC9" s="414"/>
      <c r="AD9" s="414"/>
      <c r="AE9" s="414"/>
      <c r="AF9" s="414"/>
      <c r="AG9" s="415"/>
      <c r="AH9" s="404"/>
      <c r="AI9" s="405"/>
      <c r="AJ9" s="405"/>
      <c r="AK9" s="405"/>
      <c r="AL9" s="405"/>
      <c r="AM9" s="406"/>
      <c r="AN9" s="66"/>
      <c r="AO9" s="438"/>
      <c r="AP9" s="439"/>
      <c r="AQ9" s="439"/>
      <c r="AR9" s="439"/>
      <c r="AS9" s="439"/>
      <c r="AT9" s="44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33"/>
      <c r="C10" s="433"/>
      <c r="D10" s="434"/>
      <c r="E10" s="426"/>
      <c r="F10" s="427"/>
      <c r="G10" s="427"/>
      <c r="H10" s="427"/>
      <c r="I10" s="428"/>
      <c r="J10" s="413" t="str">
        <f>IF(AND('Riesgos de Gestión'!$O$41="Muy Alta",'Riesgos de Gestión'!$S$41="Leve"),CONCATENATE("R",'Riesgos de Gestión'!$A$41),"")</f>
        <v/>
      </c>
      <c r="K10" s="414"/>
      <c r="L10" s="414" t="str">
        <f>IF(AND('Riesgos de Gestión'!$O$47="Muy Alta",'Riesgos de Gestión'!$S$47="Leve"),CONCATENATE("R",'Riesgos de Gestión'!$A$47),"")</f>
        <v/>
      </c>
      <c r="M10" s="414"/>
      <c r="N10" s="414" t="str">
        <f>IF(AND('Riesgos de Gestión'!$O$53="Muy Alta",'Riesgos de Gestión'!$S$53="Leve"),CONCATENATE("R",'Riesgos de Gestión'!$A$53),"")</f>
        <v/>
      </c>
      <c r="O10" s="415"/>
      <c r="P10" s="413" t="str">
        <f>IF(AND('Riesgos de Gestión'!$O$41="Muy Alta",'Riesgos de Gestión'!$S$41="Menor"),CONCATENATE("R",'Riesgos de Gestión'!$A$41),"")</f>
        <v/>
      </c>
      <c r="Q10" s="414"/>
      <c r="R10" s="414" t="str">
        <f>IF(AND('Riesgos de Gestión'!$O$47="Muy Alta",'Riesgos de Gestión'!$S$47="Menor"),CONCATENATE("R",'Riesgos de Gestión'!$A$47),"")</f>
        <v/>
      </c>
      <c r="S10" s="414"/>
      <c r="T10" s="414" t="str">
        <f>IF(AND('Riesgos de Gestión'!$O$53="Muy Alta",'Riesgos de Gestión'!$S$53="Menor"),CONCATENATE("R",'Riesgos de Gestión'!$A$53),"")</f>
        <v/>
      </c>
      <c r="U10" s="415"/>
      <c r="V10" s="413" t="str">
        <f>IF(AND('Riesgos de Gestión'!$O$41="Muy Alta",'Riesgos de Gestión'!$S$41="Moderado"),CONCATENATE("R",'Riesgos de Gestión'!$A$41),"")</f>
        <v/>
      </c>
      <c r="W10" s="414"/>
      <c r="X10" s="414" t="str">
        <f>IF(AND('Riesgos de Gestión'!$O$47="Muy Alta",'Riesgos de Gestión'!$S$47="Moderado"),CONCATENATE("R",'Riesgos de Gestión'!$A$47),"")</f>
        <v/>
      </c>
      <c r="Y10" s="414"/>
      <c r="Z10" s="414" t="str">
        <f>IF(AND('Riesgos de Gestión'!$O$53="Muy Alta",'Riesgos de Gestión'!$S$53="Moderado"),CONCATENATE("R",'Riesgos de Gestión'!$A$53),"")</f>
        <v/>
      </c>
      <c r="AA10" s="415"/>
      <c r="AB10" s="413" t="str">
        <f>IF(AND('Riesgos de Gestión'!$O$41="Muy Alta",'Riesgos de Gestión'!$S$41="Mayor"),CONCATENATE("R",'Riesgos de Gestión'!$A$41),"")</f>
        <v/>
      </c>
      <c r="AC10" s="414"/>
      <c r="AD10" s="414" t="str">
        <f>IF(AND('Riesgos de Gestión'!$O$47="Muy Alta",'Riesgos de Gestión'!$S$47="Mayor"),CONCATENATE("R",'Riesgos de Gestión'!$A$47),"")</f>
        <v/>
      </c>
      <c r="AE10" s="414"/>
      <c r="AF10" s="414" t="str">
        <f>IF(AND('Riesgos de Gestión'!$O$53="Muy Alta",'Riesgos de Gestión'!$S$53="Mayor"),CONCATENATE("R",'Riesgos de Gestión'!$A$53),"")</f>
        <v/>
      </c>
      <c r="AG10" s="415"/>
      <c r="AH10" s="404" t="str">
        <f>IF(AND('Riesgos de Gestión'!$O$41="Muy Alta",'Riesgos de Gestión'!$S$41="Catastrófico"),CONCATENATE("R",'Riesgos de Gestión'!$A$41),"")</f>
        <v/>
      </c>
      <c r="AI10" s="405"/>
      <c r="AJ10" s="405" t="str">
        <f>IF(AND('Riesgos de Gestión'!$O$47="Muy Alta",'Riesgos de Gestión'!$S$47="Catastrófico"),CONCATENATE("R",'Riesgos de Gestión'!$A$47),"")</f>
        <v/>
      </c>
      <c r="AK10" s="405"/>
      <c r="AL10" s="405" t="str">
        <f>IF(AND('Riesgos de Gestión'!$O$53="Muy Alta",'Riesgos de Gestión'!$S$53="Catastrófico"),CONCATENATE("R",'Riesgos de Gestión'!$A$53),"")</f>
        <v/>
      </c>
      <c r="AM10" s="406"/>
      <c r="AN10" s="66"/>
      <c r="AO10" s="438"/>
      <c r="AP10" s="439"/>
      <c r="AQ10" s="439"/>
      <c r="AR10" s="439"/>
      <c r="AS10" s="439"/>
      <c r="AT10" s="44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33"/>
      <c r="C11" s="433"/>
      <c r="D11" s="434"/>
      <c r="E11" s="426"/>
      <c r="F11" s="427"/>
      <c r="G11" s="427"/>
      <c r="H11" s="427"/>
      <c r="I11" s="428"/>
      <c r="J11" s="413"/>
      <c r="K11" s="414"/>
      <c r="L11" s="414"/>
      <c r="M11" s="414"/>
      <c r="N11" s="414"/>
      <c r="O11" s="415"/>
      <c r="P11" s="413"/>
      <c r="Q11" s="414"/>
      <c r="R11" s="414"/>
      <c r="S11" s="414"/>
      <c r="T11" s="414"/>
      <c r="U11" s="415"/>
      <c r="V11" s="413"/>
      <c r="W11" s="414"/>
      <c r="X11" s="414"/>
      <c r="Y11" s="414"/>
      <c r="Z11" s="414"/>
      <c r="AA11" s="415"/>
      <c r="AB11" s="413"/>
      <c r="AC11" s="414"/>
      <c r="AD11" s="414"/>
      <c r="AE11" s="414"/>
      <c r="AF11" s="414"/>
      <c r="AG11" s="415"/>
      <c r="AH11" s="404"/>
      <c r="AI11" s="405"/>
      <c r="AJ11" s="405"/>
      <c r="AK11" s="405"/>
      <c r="AL11" s="405"/>
      <c r="AM11" s="406"/>
      <c r="AN11" s="66"/>
      <c r="AO11" s="438"/>
      <c r="AP11" s="439"/>
      <c r="AQ11" s="439"/>
      <c r="AR11" s="439"/>
      <c r="AS11" s="439"/>
      <c r="AT11" s="44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33"/>
      <c r="C12" s="433"/>
      <c r="D12" s="434"/>
      <c r="E12" s="426"/>
      <c r="F12" s="427"/>
      <c r="G12" s="427"/>
      <c r="H12" s="427"/>
      <c r="I12" s="428"/>
      <c r="J12" s="413" t="str">
        <f>IF(AND('Riesgos de Gestión'!$O$59="Muy Alta",'Riesgos de Gestión'!$S$59="Leve"),CONCATENATE("R",'Riesgos de Gestión'!$A$59),"")</f>
        <v/>
      </c>
      <c r="K12" s="414"/>
      <c r="L12" s="414" t="str">
        <f>IF(AND('Riesgos de Gestión'!$P$65="Muy Alta",'Riesgos de Gestión'!$T$65="Leve"),CONCATENATE("R",'Riesgos de Gestión'!$A$65),"")</f>
        <v/>
      </c>
      <c r="M12" s="414"/>
      <c r="N12" s="414" t="str">
        <f>IF(AND('Riesgos de Gestión'!$P$71="Muy Alta",'Riesgos de Gestión'!$T$71="Leve"),CONCATENATE("R",'Riesgos de Gestión'!$A$71),"")</f>
        <v/>
      </c>
      <c r="O12" s="415"/>
      <c r="P12" s="413" t="str">
        <f>IF(AND('Riesgos de Gestión'!$O$59="Muy Alta",'Riesgos de Gestión'!$S$59="Menor"),CONCATENATE("R",'Riesgos de Gestión'!$A$59),"")</f>
        <v/>
      </c>
      <c r="Q12" s="414"/>
      <c r="R12" s="414" t="str">
        <f>IF(AND('Riesgos de Gestión'!$P$65="Muy Alta",'Riesgos de Gestión'!$T$65="Menor"),CONCATENATE("R",'Riesgos de Gestión'!$A$65),"")</f>
        <v/>
      </c>
      <c r="S12" s="414"/>
      <c r="T12" s="414" t="str">
        <f>IF(AND('Riesgos de Gestión'!$P$71="Muy Alta",'Riesgos de Gestión'!$T$71="Menor"),CONCATENATE("R",'Riesgos de Gestión'!$A$71),"")</f>
        <v/>
      </c>
      <c r="U12" s="415"/>
      <c r="V12" s="413" t="str">
        <f>IF(AND('Riesgos de Gestión'!$O$59="Muy Alta",'Riesgos de Gestión'!$S$59="Moderado"),CONCATENATE("R",'Riesgos de Gestión'!$A$59),"")</f>
        <v/>
      </c>
      <c r="W12" s="414"/>
      <c r="X12" s="414" t="str">
        <f>IF(AND('Riesgos de Gestión'!$P$65="Muy Alta",'Riesgos de Gestión'!$T$65="Moderado"),CONCATENATE("R",'Riesgos de Gestión'!$A$65),"")</f>
        <v/>
      </c>
      <c r="Y12" s="414"/>
      <c r="Z12" s="414" t="str">
        <f>IF(AND('Riesgos de Gestión'!$P$71="Muy Alta",'Riesgos de Gestión'!$T$71="Moderado"),CONCATENATE("R",'Riesgos de Gestión'!$A$71),"")</f>
        <v/>
      </c>
      <c r="AA12" s="415"/>
      <c r="AB12" s="413" t="str">
        <f>IF(AND('Riesgos de Gestión'!$O$59="Muy Alta",'Riesgos de Gestión'!$S$59="Mayor"),CONCATENATE("R",'Riesgos de Gestión'!$A$59),"")</f>
        <v/>
      </c>
      <c r="AC12" s="414"/>
      <c r="AD12" s="414" t="str">
        <f>IF(AND('Riesgos de Gestión'!$P$65="Muy Alta",'Riesgos de Gestión'!$T$65="Mayor"),CONCATENATE("R",'Riesgos de Gestión'!$A$65),"")</f>
        <v/>
      </c>
      <c r="AE12" s="414"/>
      <c r="AF12" s="414" t="str">
        <f>IF(AND('Riesgos de Gestión'!$P$71="Muy Alta",'Riesgos de Gestión'!$T$71="Mayor"),CONCATENATE("R",'Riesgos de Gestión'!$A$71),"")</f>
        <v/>
      </c>
      <c r="AG12" s="415"/>
      <c r="AH12" s="404" t="str">
        <f>IF(AND('Riesgos de Gestión'!$O$59="Muy Alta",'Riesgos de Gestión'!$S$59="Catastrófico"),CONCATENATE("R",'Riesgos de Gestión'!$A$59),"")</f>
        <v/>
      </c>
      <c r="AI12" s="405"/>
      <c r="AJ12" s="405" t="str">
        <f>IF(AND('Riesgos de Gestión'!$P$65="Muy Alta",'Riesgos de Gestión'!$T$65="Catastrófico"),CONCATENATE("R",'Riesgos de Gestión'!$A$65),"")</f>
        <v/>
      </c>
      <c r="AK12" s="405"/>
      <c r="AL12" s="405" t="str">
        <f>IF(AND('Riesgos de Gestión'!$P$71="Muy Alta",'Riesgos de Gestión'!$T$71="Catastrófico"),CONCATENATE("R",'Riesgos de Gestión'!$A$71),"")</f>
        <v/>
      </c>
      <c r="AM12" s="406"/>
      <c r="AN12" s="66"/>
      <c r="AO12" s="438"/>
      <c r="AP12" s="439"/>
      <c r="AQ12" s="439"/>
      <c r="AR12" s="439"/>
      <c r="AS12" s="439"/>
      <c r="AT12" s="44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33"/>
      <c r="C13" s="433"/>
      <c r="D13" s="434"/>
      <c r="E13" s="429"/>
      <c r="F13" s="430"/>
      <c r="G13" s="430"/>
      <c r="H13" s="430"/>
      <c r="I13" s="431"/>
      <c r="J13" s="413"/>
      <c r="K13" s="414"/>
      <c r="L13" s="414"/>
      <c r="M13" s="414"/>
      <c r="N13" s="414"/>
      <c r="O13" s="415"/>
      <c r="P13" s="413"/>
      <c r="Q13" s="414"/>
      <c r="R13" s="414"/>
      <c r="S13" s="414"/>
      <c r="T13" s="414"/>
      <c r="U13" s="415"/>
      <c r="V13" s="413"/>
      <c r="W13" s="414"/>
      <c r="X13" s="414"/>
      <c r="Y13" s="414"/>
      <c r="Z13" s="414"/>
      <c r="AA13" s="415"/>
      <c r="AB13" s="413"/>
      <c r="AC13" s="414"/>
      <c r="AD13" s="414"/>
      <c r="AE13" s="414"/>
      <c r="AF13" s="414"/>
      <c r="AG13" s="415"/>
      <c r="AH13" s="407"/>
      <c r="AI13" s="408"/>
      <c r="AJ13" s="408"/>
      <c r="AK13" s="408"/>
      <c r="AL13" s="408"/>
      <c r="AM13" s="409"/>
      <c r="AN13" s="66"/>
      <c r="AO13" s="441"/>
      <c r="AP13" s="442"/>
      <c r="AQ13" s="442"/>
      <c r="AR13" s="442"/>
      <c r="AS13" s="442"/>
      <c r="AT13" s="44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33"/>
      <c r="C14" s="433"/>
      <c r="D14" s="434"/>
      <c r="E14" s="423" t="s">
        <v>267</v>
      </c>
      <c r="F14" s="424"/>
      <c r="G14" s="424"/>
      <c r="H14" s="424"/>
      <c r="I14" s="424"/>
      <c r="J14" s="401" t="str">
        <f>IF(AND('Riesgos de Gestión'!$O$13="Alta",'Riesgos de Gestión'!$S$13="Leve"),CONCATENATE("R",'Riesgos de Gestión'!$A$13),"")</f>
        <v/>
      </c>
      <c r="K14" s="402"/>
      <c r="L14" s="402" t="str">
        <f>IF(AND('Riesgos de Gestión'!$O$15="Alta",'Riesgos de Gestión'!$S$15="Leve"),CONCATENATE("R",'Riesgos de Gestión'!$A$15),"")</f>
        <v/>
      </c>
      <c r="M14" s="402"/>
      <c r="N14" s="402" t="str">
        <f>IF(AND('Riesgos de Gestión'!$O$17="Alta",'Riesgos de Gestión'!$S$17="Leve"),CONCATENATE("R",'Riesgos de Gestión'!$A$17),"")</f>
        <v/>
      </c>
      <c r="O14" s="403"/>
      <c r="P14" s="401" t="str">
        <f>IF(AND('Riesgos de Gestión'!$O$13="Alta",'Riesgos de Gestión'!$S$13="Menor"),CONCATENATE("R",'Riesgos de Gestión'!$A$13),"")</f>
        <v/>
      </c>
      <c r="Q14" s="402"/>
      <c r="R14" s="402" t="str">
        <f>IF(AND('Riesgos de Gestión'!$O$15="Alta",'Riesgos de Gestión'!$S$15="Menor"),CONCATENATE("R",'Riesgos de Gestión'!$A$15),"")</f>
        <v/>
      </c>
      <c r="S14" s="402"/>
      <c r="T14" s="402" t="str">
        <f>IF(AND('Riesgos de Gestión'!$O$17="Alta",'Riesgos de Gestión'!$S$17="Menor"),CONCATENATE("R",'Riesgos de Gestión'!$A$17),"")</f>
        <v/>
      </c>
      <c r="U14" s="403"/>
      <c r="V14" s="419" t="str">
        <f>IF(AND('Riesgos de Gestión'!$O$13="Alta",'Riesgos de Gestión'!$S$13="Moderado"),CONCATENATE("R",'Riesgos de Gestión'!$A$13),"")</f>
        <v/>
      </c>
      <c r="W14" s="420"/>
      <c r="X14" s="420" t="str">
        <f>IF(AND('Riesgos de Gestión'!$O$15="Alta",'Riesgos de Gestión'!$S$15="Moderado"),CONCATENATE("R",'Riesgos de Gestión'!$A$15),"")</f>
        <v/>
      </c>
      <c r="Y14" s="420"/>
      <c r="Z14" s="420" t="str">
        <f>IF(AND('Riesgos de Gestión'!$O$17="Alta",'Riesgos de Gestión'!$S$17="Moderado"),CONCATENATE("R",'Riesgos de Gestión'!$A$17),"")</f>
        <v/>
      </c>
      <c r="AA14" s="421"/>
      <c r="AB14" s="419" t="str">
        <f>IF(AND('Riesgos de Gestión'!$O$13="Alta",'Riesgos de Gestión'!$S$13="Mayor"),CONCATENATE("R",'Riesgos de Gestión'!$A$13),"")</f>
        <v/>
      </c>
      <c r="AC14" s="420"/>
      <c r="AD14" s="420" t="str">
        <f>IF(AND('Riesgos de Gestión'!$O$15="Alta",'Riesgos de Gestión'!$S$15="Mayor"),CONCATENATE("R",'Riesgos de Gestión'!$A$15),"")</f>
        <v/>
      </c>
      <c r="AE14" s="420"/>
      <c r="AF14" s="420" t="str">
        <f>IF(AND('Riesgos de Gestión'!$O$17="Alta",'Riesgos de Gestión'!$S$17="Mayor"),CONCATENATE("R",'Riesgos de Gestión'!$A$17),"")</f>
        <v/>
      </c>
      <c r="AG14" s="421"/>
      <c r="AH14" s="410" t="str">
        <f>IF(AND('Riesgos de Gestión'!$O$13="Alta",'Riesgos de Gestión'!$S$13="Catastrófico"),CONCATENATE("R",'Riesgos de Gestión'!$A$13),"")</f>
        <v/>
      </c>
      <c r="AI14" s="411"/>
      <c r="AJ14" s="411" t="str">
        <f>IF(AND('Riesgos de Gestión'!$O$15="Alta",'Riesgos de Gestión'!$S$15="Catastrófico"),CONCATENATE("R",'Riesgos de Gestión'!$A$15),"")</f>
        <v/>
      </c>
      <c r="AK14" s="411"/>
      <c r="AL14" s="411" t="str">
        <f>IF(AND('Riesgos de Gestión'!$O$17="Alta",'Riesgos de Gestión'!$S$17="Catastrófico"),CONCATENATE("R",'Riesgos de Gestión'!$A$17),"")</f>
        <v/>
      </c>
      <c r="AM14" s="412"/>
      <c r="AN14" s="66"/>
      <c r="AO14" s="444" t="s">
        <v>268</v>
      </c>
      <c r="AP14" s="445"/>
      <c r="AQ14" s="445"/>
      <c r="AR14" s="445"/>
      <c r="AS14" s="445"/>
      <c r="AT14" s="44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33"/>
      <c r="C15" s="433"/>
      <c r="D15" s="434"/>
      <c r="E15" s="426"/>
      <c r="F15" s="427"/>
      <c r="G15" s="427"/>
      <c r="H15" s="427"/>
      <c r="I15" s="427"/>
      <c r="J15" s="395"/>
      <c r="K15" s="396"/>
      <c r="L15" s="396"/>
      <c r="M15" s="396"/>
      <c r="N15" s="396"/>
      <c r="O15" s="397"/>
      <c r="P15" s="395"/>
      <c r="Q15" s="396"/>
      <c r="R15" s="396"/>
      <c r="S15" s="396"/>
      <c r="T15" s="396"/>
      <c r="U15" s="397"/>
      <c r="V15" s="413"/>
      <c r="W15" s="414"/>
      <c r="X15" s="414"/>
      <c r="Y15" s="414"/>
      <c r="Z15" s="414"/>
      <c r="AA15" s="415"/>
      <c r="AB15" s="413"/>
      <c r="AC15" s="414"/>
      <c r="AD15" s="414"/>
      <c r="AE15" s="414"/>
      <c r="AF15" s="414"/>
      <c r="AG15" s="415"/>
      <c r="AH15" s="404"/>
      <c r="AI15" s="405"/>
      <c r="AJ15" s="405"/>
      <c r="AK15" s="405"/>
      <c r="AL15" s="405"/>
      <c r="AM15" s="406"/>
      <c r="AN15" s="66"/>
      <c r="AO15" s="447"/>
      <c r="AP15" s="448"/>
      <c r="AQ15" s="448"/>
      <c r="AR15" s="448"/>
      <c r="AS15" s="448"/>
      <c r="AT15" s="44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33"/>
      <c r="C16" s="433"/>
      <c r="D16" s="434"/>
      <c r="E16" s="426"/>
      <c r="F16" s="427"/>
      <c r="G16" s="427"/>
      <c r="H16" s="427"/>
      <c r="I16" s="427"/>
      <c r="J16" s="395" t="str">
        <f>IF(AND('Riesgos de Gestión'!$O$23="Alta",'Riesgos de Gestión'!$S$23="Leve"),CONCATENATE("R",'Riesgos de Gestión'!$A$23),"")</f>
        <v/>
      </c>
      <c r="K16" s="396"/>
      <c r="L16" s="396" t="str">
        <f>IF(AND('Riesgos de Gestión'!$O$29="Alta",'Riesgos de Gestión'!$S$29="Leve"),CONCATENATE("R",'Riesgos de Gestión'!$A$29),"")</f>
        <v/>
      </c>
      <c r="M16" s="396"/>
      <c r="N16" s="396" t="str">
        <f>IF(AND('Riesgos de Gestión'!$O$35="Alta",'Riesgos de Gestión'!$S$35="Leve"),CONCATENATE("R",'Riesgos de Gestión'!$A$35),"")</f>
        <v/>
      </c>
      <c r="O16" s="397"/>
      <c r="P16" s="395" t="str">
        <f>IF(AND('Riesgos de Gestión'!$O$23="Alta",'Riesgos de Gestión'!$S$23="Menor"),CONCATENATE("R",'Riesgos de Gestión'!$A$23),"")</f>
        <v/>
      </c>
      <c r="Q16" s="396"/>
      <c r="R16" s="396" t="str">
        <f>IF(AND('Riesgos de Gestión'!$O$29="Alta",'Riesgos de Gestión'!$S$29="Menor"),CONCATENATE("R",'Riesgos de Gestión'!$A$29),"")</f>
        <v/>
      </c>
      <c r="S16" s="396"/>
      <c r="T16" s="396" t="str">
        <f>IF(AND('Riesgos de Gestión'!$O$35="Alta",'Riesgos de Gestión'!$S$35="Menor"),CONCATENATE("R",'Riesgos de Gestión'!$A$35),"")</f>
        <v/>
      </c>
      <c r="U16" s="397"/>
      <c r="V16" s="413" t="str">
        <f>IF(AND('Riesgos de Gestión'!$O$23="Alta",'Riesgos de Gestión'!$S$23="Moderado"),CONCATENATE("R",'Riesgos de Gestión'!$A$23),"")</f>
        <v/>
      </c>
      <c r="W16" s="414"/>
      <c r="X16" s="414" t="str">
        <f>IF(AND('Riesgos de Gestión'!$O$29="Alta",'Riesgos de Gestión'!$S$29="Moderado"),CONCATENATE("R",'Riesgos de Gestión'!$A$29),"")</f>
        <v/>
      </c>
      <c r="Y16" s="414"/>
      <c r="Z16" s="414" t="str">
        <f>IF(AND('Riesgos de Gestión'!$O$35="Alta",'Riesgos de Gestión'!$S$35="Moderado"),CONCATENATE("R",'Riesgos de Gestión'!$A$35),"")</f>
        <v/>
      </c>
      <c r="AA16" s="415"/>
      <c r="AB16" s="413" t="str">
        <f>IF(AND('Riesgos de Gestión'!$O$23="Alta",'Riesgos de Gestión'!$S$23="Mayor"),CONCATENATE("R",'Riesgos de Gestión'!$A$23),"")</f>
        <v/>
      </c>
      <c r="AC16" s="414"/>
      <c r="AD16" s="414" t="str">
        <f>IF(AND('Riesgos de Gestión'!$O$29="Alta",'Riesgos de Gestión'!$S$29="Mayor"),CONCATENATE("R",'Riesgos de Gestión'!$A$29),"")</f>
        <v/>
      </c>
      <c r="AE16" s="414"/>
      <c r="AF16" s="414" t="str">
        <f>IF(AND('Riesgos de Gestión'!$O$35="Alta",'Riesgos de Gestión'!$S$35="Mayor"),CONCATENATE("R",'Riesgos de Gestión'!$A$35),"")</f>
        <v/>
      </c>
      <c r="AG16" s="415"/>
      <c r="AH16" s="404" t="str">
        <f>IF(AND('Riesgos de Gestión'!$O$23="Alta",'Riesgos de Gestión'!$S$23="Catastrófico"),CONCATENATE("R",'Riesgos de Gestión'!$A$23),"")</f>
        <v/>
      </c>
      <c r="AI16" s="405"/>
      <c r="AJ16" s="405" t="str">
        <f>IF(AND('Riesgos de Gestión'!$O$29="Alta",'Riesgos de Gestión'!$S$29="Catastrófico"),CONCATENATE("R",'Riesgos de Gestión'!$A$29),"")</f>
        <v/>
      </c>
      <c r="AK16" s="405"/>
      <c r="AL16" s="405" t="str">
        <f>IF(AND('Riesgos de Gestión'!$O$35="Alta",'Riesgos de Gestión'!$S$35="Catastrófico"),CONCATENATE("R",'Riesgos de Gestión'!$A$35),"")</f>
        <v/>
      </c>
      <c r="AM16" s="406"/>
      <c r="AN16" s="66"/>
      <c r="AO16" s="447"/>
      <c r="AP16" s="448"/>
      <c r="AQ16" s="448"/>
      <c r="AR16" s="448"/>
      <c r="AS16" s="448"/>
      <c r="AT16" s="449"/>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33"/>
      <c r="C17" s="433"/>
      <c r="D17" s="434"/>
      <c r="E17" s="426"/>
      <c r="F17" s="427"/>
      <c r="G17" s="427"/>
      <c r="H17" s="427"/>
      <c r="I17" s="427"/>
      <c r="J17" s="395"/>
      <c r="K17" s="396"/>
      <c r="L17" s="396"/>
      <c r="M17" s="396"/>
      <c r="N17" s="396"/>
      <c r="O17" s="397"/>
      <c r="P17" s="395"/>
      <c r="Q17" s="396"/>
      <c r="R17" s="396"/>
      <c r="S17" s="396"/>
      <c r="T17" s="396"/>
      <c r="U17" s="397"/>
      <c r="V17" s="413"/>
      <c r="W17" s="414"/>
      <c r="X17" s="414"/>
      <c r="Y17" s="414"/>
      <c r="Z17" s="414"/>
      <c r="AA17" s="415"/>
      <c r="AB17" s="413"/>
      <c r="AC17" s="414"/>
      <c r="AD17" s="414"/>
      <c r="AE17" s="414"/>
      <c r="AF17" s="414"/>
      <c r="AG17" s="415"/>
      <c r="AH17" s="404"/>
      <c r="AI17" s="405"/>
      <c r="AJ17" s="405"/>
      <c r="AK17" s="405"/>
      <c r="AL17" s="405"/>
      <c r="AM17" s="406"/>
      <c r="AN17" s="66"/>
      <c r="AO17" s="447"/>
      <c r="AP17" s="448"/>
      <c r="AQ17" s="448"/>
      <c r="AR17" s="448"/>
      <c r="AS17" s="448"/>
      <c r="AT17" s="44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33"/>
      <c r="C18" s="433"/>
      <c r="D18" s="434"/>
      <c r="E18" s="426"/>
      <c r="F18" s="427"/>
      <c r="G18" s="427"/>
      <c r="H18" s="427"/>
      <c r="I18" s="427"/>
      <c r="J18" s="395" t="str">
        <f>IF(AND('Riesgos de Gestión'!$O$41="Alta",'Riesgos de Gestión'!$S$41="Leve"),CONCATENATE("R",'Riesgos de Gestión'!$A$41),"")</f>
        <v/>
      </c>
      <c r="K18" s="396"/>
      <c r="L18" s="396" t="str">
        <f>IF(AND('Riesgos de Gestión'!$O$47="Alta",'Riesgos de Gestión'!$S$47="Leve"),CONCATENATE("R",'Riesgos de Gestión'!$A$47),"")</f>
        <v/>
      </c>
      <c r="M18" s="396"/>
      <c r="N18" s="396" t="str">
        <f>IF(AND('Riesgos de Gestión'!$O$53="Alta",'Riesgos de Gestión'!$S$53="Leve"),CONCATENATE("R",'Riesgos de Gestión'!$A$53),"")</f>
        <v/>
      </c>
      <c r="O18" s="397"/>
      <c r="P18" s="395" t="str">
        <f>IF(AND('Riesgos de Gestión'!$O$41="Alta",'Riesgos de Gestión'!$S$41="Menor"),CONCATENATE("R",'Riesgos de Gestión'!$A$41),"")</f>
        <v/>
      </c>
      <c r="Q18" s="396"/>
      <c r="R18" s="396" t="str">
        <f>IF(AND('Riesgos de Gestión'!$O$47="Alta",'Riesgos de Gestión'!$S$47="Menor"),CONCATENATE("R",'Riesgos de Gestión'!$A$47),"")</f>
        <v/>
      </c>
      <c r="S18" s="396"/>
      <c r="T18" s="396" t="str">
        <f>IF(AND('Riesgos de Gestión'!$O$53="Alta",'Riesgos de Gestión'!$S$53="Menor"),CONCATENATE("R",'Riesgos de Gestión'!$A$53),"")</f>
        <v/>
      </c>
      <c r="U18" s="397"/>
      <c r="V18" s="413" t="str">
        <f>IF(AND('Riesgos de Gestión'!$O$41="Alta",'Riesgos de Gestión'!$S$41="Moderado"),CONCATENATE("R",'Riesgos de Gestión'!$A$41),"")</f>
        <v/>
      </c>
      <c r="W18" s="414"/>
      <c r="X18" s="414" t="str">
        <f>IF(AND('Riesgos de Gestión'!$O$47="Alta",'Riesgos de Gestión'!$S$47="Moderado"),CONCATENATE("R",'Riesgos de Gestión'!$A$47),"")</f>
        <v/>
      </c>
      <c r="Y18" s="414"/>
      <c r="Z18" s="414" t="str">
        <f>IF(AND('Riesgos de Gestión'!$O$53="Alta",'Riesgos de Gestión'!$S$53="Moderado"),CONCATENATE("R",'Riesgos de Gestión'!$A$53),"")</f>
        <v/>
      </c>
      <c r="AA18" s="415"/>
      <c r="AB18" s="413" t="str">
        <f>IF(AND('Riesgos de Gestión'!$O$41="Alta",'Riesgos de Gestión'!$S$41="Mayor"),CONCATENATE("R",'Riesgos de Gestión'!$A$41),"")</f>
        <v/>
      </c>
      <c r="AC18" s="414"/>
      <c r="AD18" s="414" t="str">
        <f>IF(AND('Riesgos de Gestión'!$O$47="Alta",'Riesgos de Gestión'!$S$47="Mayor"),CONCATENATE("R",'Riesgos de Gestión'!$A$47),"")</f>
        <v/>
      </c>
      <c r="AE18" s="414"/>
      <c r="AF18" s="414" t="str">
        <f>IF(AND('Riesgos de Gestión'!$O$53="Alta",'Riesgos de Gestión'!$S$53="Mayor"),CONCATENATE("R",'Riesgos de Gestión'!$A$53),"")</f>
        <v/>
      </c>
      <c r="AG18" s="415"/>
      <c r="AH18" s="404" t="str">
        <f>IF(AND('Riesgos de Gestión'!$O$41="Alta",'Riesgos de Gestión'!$S$41="Catastrófico"),CONCATENATE("R",'Riesgos de Gestión'!$A$41),"")</f>
        <v/>
      </c>
      <c r="AI18" s="405"/>
      <c r="AJ18" s="405" t="str">
        <f>IF(AND('Riesgos de Gestión'!$O$47="Alta",'Riesgos de Gestión'!$S$47="Catastrófico"),CONCATENATE("R",'Riesgos de Gestión'!$A$47),"")</f>
        <v/>
      </c>
      <c r="AK18" s="405"/>
      <c r="AL18" s="405" t="str">
        <f>IF(AND('Riesgos de Gestión'!$O$53="Alta",'Riesgos de Gestión'!$S$53="Catastrófico"),CONCATENATE("R",'Riesgos de Gestión'!$A$53),"")</f>
        <v/>
      </c>
      <c r="AM18" s="406"/>
      <c r="AN18" s="66"/>
      <c r="AO18" s="447"/>
      <c r="AP18" s="448"/>
      <c r="AQ18" s="448"/>
      <c r="AR18" s="448"/>
      <c r="AS18" s="448"/>
      <c r="AT18" s="44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33"/>
      <c r="C19" s="433"/>
      <c r="D19" s="434"/>
      <c r="E19" s="426"/>
      <c r="F19" s="427"/>
      <c r="G19" s="427"/>
      <c r="H19" s="427"/>
      <c r="I19" s="427"/>
      <c r="J19" s="395"/>
      <c r="K19" s="396"/>
      <c r="L19" s="396"/>
      <c r="M19" s="396"/>
      <c r="N19" s="396"/>
      <c r="O19" s="397"/>
      <c r="P19" s="395"/>
      <c r="Q19" s="396"/>
      <c r="R19" s="396"/>
      <c r="S19" s="396"/>
      <c r="T19" s="396"/>
      <c r="U19" s="397"/>
      <c r="V19" s="413"/>
      <c r="W19" s="414"/>
      <c r="X19" s="414"/>
      <c r="Y19" s="414"/>
      <c r="Z19" s="414"/>
      <c r="AA19" s="415"/>
      <c r="AB19" s="413"/>
      <c r="AC19" s="414"/>
      <c r="AD19" s="414"/>
      <c r="AE19" s="414"/>
      <c r="AF19" s="414"/>
      <c r="AG19" s="415"/>
      <c r="AH19" s="404"/>
      <c r="AI19" s="405"/>
      <c r="AJ19" s="405"/>
      <c r="AK19" s="405"/>
      <c r="AL19" s="405"/>
      <c r="AM19" s="406"/>
      <c r="AN19" s="66"/>
      <c r="AO19" s="447"/>
      <c r="AP19" s="448"/>
      <c r="AQ19" s="448"/>
      <c r="AR19" s="448"/>
      <c r="AS19" s="448"/>
      <c r="AT19" s="44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33"/>
      <c r="C20" s="433"/>
      <c r="D20" s="434"/>
      <c r="E20" s="426"/>
      <c r="F20" s="427"/>
      <c r="G20" s="427"/>
      <c r="H20" s="427"/>
      <c r="I20" s="427"/>
      <c r="J20" s="395" t="str">
        <f>IF(AND('Riesgos de Gestión'!$O$59="Alta",'Riesgos de Gestión'!$S$59="Leve"),CONCATENATE("R",'Riesgos de Gestión'!$A$59),"")</f>
        <v/>
      </c>
      <c r="K20" s="396"/>
      <c r="L20" s="396" t="str">
        <f>IF(AND('Riesgos de Gestión'!$P$65="Alta",'Riesgos de Gestión'!$T$65="Leve"),CONCATENATE("R",'Riesgos de Gestión'!$A$65),"")</f>
        <v/>
      </c>
      <c r="M20" s="396"/>
      <c r="N20" s="396" t="str">
        <f>IF(AND('Riesgos de Gestión'!$P$71="Alta",'Riesgos de Gestión'!$T$71="Leve"),CONCATENATE("R",'Riesgos de Gestión'!$A$71),"")</f>
        <v/>
      </c>
      <c r="O20" s="397"/>
      <c r="P20" s="395" t="str">
        <f>IF(AND('Riesgos de Gestión'!$O$59="Alta",'Riesgos de Gestión'!$S$59="Menor"),CONCATENATE("R",'Riesgos de Gestión'!$A$59),"")</f>
        <v/>
      </c>
      <c r="Q20" s="396"/>
      <c r="R20" s="396" t="str">
        <f>IF(AND('Riesgos de Gestión'!$P$65="Alta",'Riesgos de Gestión'!$T$65="Menor"),CONCATENATE("R",'Riesgos de Gestión'!$A$65),"")</f>
        <v/>
      </c>
      <c r="S20" s="396"/>
      <c r="T20" s="396" t="str">
        <f>IF(AND('Riesgos de Gestión'!$P$71="Alta",'Riesgos de Gestión'!$T$71="Menor"),CONCATENATE("R",'Riesgos de Gestión'!$A$71),"")</f>
        <v/>
      </c>
      <c r="U20" s="397"/>
      <c r="V20" s="413" t="str">
        <f>IF(AND('Riesgos de Gestión'!$O$59="Alta",'Riesgos de Gestión'!$S$59="Moderado"),CONCATENATE("R",'Riesgos de Gestión'!$A$59),"")</f>
        <v/>
      </c>
      <c r="W20" s="414"/>
      <c r="X20" s="414" t="str">
        <f>IF(AND('Riesgos de Gestión'!$P$65="Alta",'Riesgos de Gestión'!$T$65="Moderado"),CONCATENATE("R",'Riesgos de Gestión'!$A$65),"")</f>
        <v/>
      </c>
      <c r="Y20" s="414"/>
      <c r="Z20" s="414" t="str">
        <f>IF(AND('Riesgos de Gestión'!$P$71="Alta",'Riesgos de Gestión'!$T$71="Moderado"),CONCATENATE("R",'Riesgos de Gestión'!$A$71),"")</f>
        <v/>
      </c>
      <c r="AA20" s="415"/>
      <c r="AB20" s="413" t="str">
        <f>IF(AND('Riesgos de Gestión'!$O$59="Alta",'Riesgos de Gestión'!$S$59="Mayor"),CONCATENATE("R",'Riesgos de Gestión'!$A$59),"")</f>
        <v/>
      </c>
      <c r="AC20" s="414"/>
      <c r="AD20" s="414" t="str">
        <f>IF(AND('Riesgos de Gestión'!$P$65="Alta",'Riesgos de Gestión'!$T$65="Mayor"),CONCATENATE("R",'Riesgos de Gestión'!$A$65),"")</f>
        <v/>
      </c>
      <c r="AE20" s="414"/>
      <c r="AF20" s="414" t="str">
        <f>IF(AND('Riesgos de Gestión'!$P$71="Alta",'Riesgos de Gestión'!$T$71="Mayor"),CONCATENATE("R",'Riesgos de Gestión'!$A$71),"")</f>
        <v/>
      </c>
      <c r="AG20" s="415"/>
      <c r="AH20" s="404" t="str">
        <f>IF(AND('Riesgos de Gestión'!$O$59="Alta",'Riesgos de Gestión'!$S$59="Catastrófico"),CONCATENATE("R",'Riesgos de Gestión'!$A$59),"")</f>
        <v/>
      </c>
      <c r="AI20" s="405"/>
      <c r="AJ20" s="405" t="str">
        <f>IF(AND('Riesgos de Gestión'!$P$65="Alta",'Riesgos de Gestión'!$T$65="Catastrófico"),CONCATENATE("R",'Riesgos de Gestión'!$A$65),"")</f>
        <v/>
      </c>
      <c r="AK20" s="405"/>
      <c r="AL20" s="405" t="str">
        <f>IF(AND('Riesgos de Gestión'!$P$71="Alta",'Riesgos de Gestión'!$T$71="Catastrófico"),CONCATENATE("R",'Riesgos de Gestión'!$A$71),"")</f>
        <v/>
      </c>
      <c r="AM20" s="406"/>
      <c r="AN20" s="66"/>
      <c r="AO20" s="447"/>
      <c r="AP20" s="448"/>
      <c r="AQ20" s="448"/>
      <c r="AR20" s="448"/>
      <c r="AS20" s="448"/>
      <c r="AT20" s="44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33"/>
      <c r="C21" s="433"/>
      <c r="D21" s="434"/>
      <c r="E21" s="429"/>
      <c r="F21" s="430"/>
      <c r="G21" s="430"/>
      <c r="H21" s="430"/>
      <c r="I21" s="430"/>
      <c r="J21" s="398"/>
      <c r="K21" s="399"/>
      <c r="L21" s="399"/>
      <c r="M21" s="399"/>
      <c r="N21" s="399"/>
      <c r="O21" s="400"/>
      <c r="P21" s="398"/>
      <c r="Q21" s="399"/>
      <c r="R21" s="399"/>
      <c r="S21" s="399"/>
      <c r="T21" s="399"/>
      <c r="U21" s="400"/>
      <c r="V21" s="416"/>
      <c r="W21" s="417"/>
      <c r="X21" s="417"/>
      <c r="Y21" s="417"/>
      <c r="Z21" s="417"/>
      <c r="AA21" s="418"/>
      <c r="AB21" s="416"/>
      <c r="AC21" s="417"/>
      <c r="AD21" s="417"/>
      <c r="AE21" s="417"/>
      <c r="AF21" s="417"/>
      <c r="AG21" s="418"/>
      <c r="AH21" s="407"/>
      <c r="AI21" s="408"/>
      <c r="AJ21" s="408"/>
      <c r="AK21" s="408"/>
      <c r="AL21" s="408"/>
      <c r="AM21" s="409"/>
      <c r="AN21" s="66"/>
      <c r="AO21" s="450"/>
      <c r="AP21" s="451"/>
      <c r="AQ21" s="451"/>
      <c r="AR21" s="451"/>
      <c r="AS21" s="451"/>
      <c r="AT21" s="452"/>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33"/>
      <c r="C22" s="433"/>
      <c r="D22" s="434"/>
      <c r="E22" s="423" t="s">
        <v>269</v>
      </c>
      <c r="F22" s="424"/>
      <c r="G22" s="424"/>
      <c r="H22" s="424"/>
      <c r="I22" s="425"/>
      <c r="J22" s="401" t="str">
        <f>IF(AND('Riesgos de Gestión'!$O$13="Media",'Riesgos de Gestión'!$S$13="Leve"),CONCATENATE("R",'Riesgos de Gestión'!$A$13),"")</f>
        <v/>
      </c>
      <c r="K22" s="402"/>
      <c r="L22" s="402" t="str">
        <f>IF(AND('Riesgos de Gestión'!$O$15="Media",'Riesgos de Gestión'!$S$15="Leve"),CONCATENATE("R",'Riesgos de Gestión'!$A$15),"")</f>
        <v/>
      </c>
      <c r="M22" s="402"/>
      <c r="N22" s="402" t="str">
        <f>IF(AND('Riesgos de Gestión'!$O$17="Media",'Riesgos de Gestión'!$S$17="Leve"),CONCATENATE("R",'Riesgos de Gestión'!$A$17),"")</f>
        <v/>
      </c>
      <c r="O22" s="403"/>
      <c r="P22" s="401" t="str">
        <f>IF(AND('Riesgos de Gestión'!$O$13="Media",'Riesgos de Gestión'!$S$13="Menor"),CONCATENATE("R",'Riesgos de Gestión'!$A$13),"")</f>
        <v/>
      </c>
      <c r="Q22" s="402"/>
      <c r="R22" s="402" t="str">
        <f>IF(AND('Riesgos de Gestión'!$O$15="Media",'Riesgos de Gestión'!$S$15="Menor"),CONCATENATE("R",'Riesgos de Gestión'!$A$15),"")</f>
        <v/>
      </c>
      <c r="S22" s="402"/>
      <c r="T22" s="402" t="str">
        <f>IF(AND('Riesgos de Gestión'!$O$17="Media",'Riesgos de Gestión'!$S$17="Menor"),CONCATENATE("R",'Riesgos de Gestión'!$A$17),"")</f>
        <v/>
      </c>
      <c r="U22" s="403"/>
      <c r="V22" s="401" t="str">
        <f>IF(AND('Riesgos de Gestión'!$O$13="Media",'Riesgos de Gestión'!$S$13="Moderado"),CONCATENATE("R",'Riesgos de Gestión'!$A$13),"")</f>
        <v>R1</v>
      </c>
      <c r="W22" s="402"/>
      <c r="X22" s="402" t="str">
        <f>IF(AND('Riesgos de Gestión'!$O$15="Media",'Riesgos de Gestión'!$S$15="Moderado"),CONCATENATE("R",'Riesgos de Gestión'!$A$15),"")</f>
        <v/>
      </c>
      <c r="Y22" s="402"/>
      <c r="Z22" s="402" t="str">
        <f>IF(AND('Riesgos de Gestión'!$O$17="Media",'Riesgos de Gestión'!$S$17="Moderado"),CONCATENATE("R",'Riesgos de Gestión'!$A$17),"")</f>
        <v/>
      </c>
      <c r="AA22" s="403"/>
      <c r="AB22" s="419" t="str">
        <f>IF(AND('Riesgos de Gestión'!$O$13="Media",'Riesgos de Gestión'!$S$13="Mayor"),CONCATENATE("R",'Riesgos de Gestión'!$A$13),"")</f>
        <v/>
      </c>
      <c r="AC22" s="420"/>
      <c r="AD22" s="420" t="str">
        <f>IF(AND('Riesgos de Gestión'!$O$15="Media",'Riesgos de Gestión'!$S$15="Mayor"),CONCATENATE("R",'Riesgos de Gestión'!$A$15),"")</f>
        <v/>
      </c>
      <c r="AE22" s="420"/>
      <c r="AF22" s="420" t="str">
        <f>IF(AND('Riesgos de Gestión'!$O$17="Media",'Riesgos de Gestión'!$S$17="Mayor"),CONCATENATE("R",'Riesgos de Gestión'!$A$17),"")</f>
        <v/>
      </c>
      <c r="AG22" s="421"/>
      <c r="AH22" s="410" t="str">
        <f>IF(AND('Riesgos de Gestión'!$O$13="Media",'Riesgos de Gestión'!$S$13="Catastrófico"),CONCATENATE("R",'Riesgos de Gestión'!$A$13),"")</f>
        <v/>
      </c>
      <c r="AI22" s="411"/>
      <c r="AJ22" s="411" t="str">
        <f>IF(AND('Riesgos de Gestión'!$O$15="Media",'Riesgos de Gestión'!$S$15="Catastrófico"),CONCATENATE("R",'Riesgos de Gestión'!$A$15),"")</f>
        <v/>
      </c>
      <c r="AK22" s="411"/>
      <c r="AL22" s="411" t="str">
        <f>IF(AND('Riesgos de Gestión'!$O$17="Media",'Riesgos de Gestión'!$S$17="Catastrófico"),CONCATENATE("R",'Riesgos de Gestión'!$A$17),"")</f>
        <v/>
      </c>
      <c r="AM22" s="412"/>
      <c r="AN22" s="66"/>
      <c r="AO22" s="453" t="s">
        <v>270</v>
      </c>
      <c r="AP22" s="454"/>
      <c r="AQ22" s="454"/>
      <c r="AR22" s="454"/>
      <c r="AS22" s="454"/>
      <c r="AT22" s="45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33"/>
      <c r="C23" s="433"/>
      <c r="D23" s="434"/>
      <c r="E23" s="426"/>
      <c r="F23" s="427"/>
      <c r="G23" s="427"/>
      <c r="H23" s="427"/>
      <c r="I23" s="428"/>
      <c r="J23" s="395"/>
      <c r="K23" s="396"/>
      <c r="L23" s="396"/>
      <c r="M23" s="396"/>
      <c r="N23" s="396"/>
      <c r="O23" s="397"/>
      <c r="P23" s="395"/>
      <c r="Q23" s="396"/>
      <c r="R23" s="396"/>
      <c r="S23" s="396"/>
      <c r="T23" s="396"/>
      <c r="U23" s="397"/>
      <c r="V23" s="395"/>
      <c r="W23" s="396"/>
      <c r="X23" s="396"/>
      <c r="Y23" s="396"/>
      <c r="Z23" s="396"/>
      <c r="AA23" s="397"/>
      <c r="AB23" s="413"/>
      <c r="AC23" s="414"/>
      <c r="AD23" s="414"/>
      <c r="AE23" s="414"/>
      <c r="AF23" s="414"/>
      <c r="AG23" s="415"/>
      <c r="AH23" s="404"/>
      <c r="AI23" s="405"/>
      <c r="AJ23" s="405"/>
      <c r="AK23" s="405"/>
      <c r="AL23" s="405"/>
      <c r="AM23" s="406"/>
      <c r="AN23" s="66"/>
      <c r="AO23" s="456"/>
      <c r="AP23" s="457"/>
      <c r="AQ23" s="457"/>
      <c r="AR23" s="457"/>
      <c r="AS23" s="457"/>
      <c r="AT23" s="458"/>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33"/>
      <c r="C24" s="433"/>
      <c r="D24" s="434"/>
      <c r="E24" s="426"/>
      <c r="F24" s="427"/>
      <c r="G24" s="427"/>
      <c r="H24" s="427"/>
      <c r="I24" s="428"/>
      <c r="J24" s="395" t="str">
        <f>IF(AND('Riesgos de Gestión'!$O$23="Media",'Riesgos de Gestión'!$S$23="Leve"),CONCATENATE("R",'Riesgos de Gestión'!$A$23),"")</f>
        <v/>
      </c>
      <c r="K24" s="396"/>
      <c r="L24" s="396" t="str">
        <f>IF(AND('Riesgos de Gestión'!$O$29="Media",'Riesgos de Gestión'!$S$29="Leve"),CONCATENATE("R",'Riesgos de Gestión'!$A$29),"")</f>
        <v/>
      </c>
      <c r="M24" s="396"/>
      <c r="N24" s="396" t="str">
        <f>IF(AND('Riesgos de Gestión'!$O$35="Media",'Riesgos de Gestión'!$S$35="Leve"),CONCATENATE("R",'Riesgos de Gestión'!$A$35),"")</f>
        <v/>
      </c>
      <c r="O24" s="397"/>
      <c r="P24" s="395" t="str">
        <f>IF(AND('Riesgos de Gestión'!$O$23="Media",'Riesgos de Gestión'!$S$23="Menor"),CONCATENATE("R",'Riesgos de Gestión'!$A$23),"")</f>
        <v/>
      </c>
      <c r="Q24" s="396"/>
      <c r="R24" s="396" t="str">
        <f>IF(AND('Riesgos de Gestión'!$O$29="Media",'Riesgos de Gestión'!$S$29="Menor"),CONCATENATE("R",'Riesgos de Gestión'!$A$29),"")</f>
        <v/>
      </c>
      <c r="S24" s="396"/>
      <c r="T24" s="396" t="str">
        <f>IF(AND('Riesgos de Gestión'!$O$35="Media",'Riesgos de Gestión'!$S$35="Menor"),CONCATENATE("R",'Riesgos de Gestión'!$A$35),"")</f>
        <v/>
      </c>
      <c r="U24" s="397"/>
      <c r="V24" s="395" t="str">
        <f>IF(AND('Riesgos de Gestión'!$O$23="Media",'Riesgos de Gestión'!$S$23="Moderado"),CONCATENATE("R",'Riesgos de Gestión'!$A$23),"")</f>
        <v/>
      </c>
      <c r="W24" s="396"/>
      <c r="X24" s="396" t="str">
        <f>IF(AND('Riesgos de Gestión'!$O$29="Media",'Riesgos de Gestión'!$S$29="Moderado"),CONCATENATE("R",'Riesgos de Gestión'!$A$29),"")</f>
        <v/>
      </c>
      <c r="Y24" s="396"/>
      <c r="Z24" s="396" t="str">
        <f>IF(AND('Riesgos de Gestión'!$O$35="Media",'Riesgos de Gestión'!$S$35="Moderado"),CONCATENATE("R",'Riesgos de Gestión'!$A$35),"")</f>
        <v/>
      </c>
      <c r="AA24" s="397"/>
      <c r="AB24" s="413" t="str">
        <f>IF(AND('Riesgos de Gestión'!$O$23="Media",'Riesgos de Gestión'!$S$23="Mayor"),CONCATENATE("R",'Riesgos de Gestión'!$A$23),"")</f>
        <v/>
      </c>
      <c r="AC24" s="414"/>
      <c r="AD24" s="414" t="str">
        <f>IF(AND('Riesgos de Gestión'!$O$29="Media",'Riesgos de Gestión'!$S$29="Mayor"),CONCATENATE("R",'Riesgos de Gestión'!$A$29),"")</f>
        <v/>
      </c>
      <c r="AE24" s="414"/>
      <c r="AF24" s="414" t="str">
        <f>IF(AND('Riesgos de Gestión'!$O$35="Media",'Riesgos de Gestión'!$S$35="Mayor"),CONCATENATE("R",'Riesgos de Gestión'!$A$35),"")</f>
        <v/>
      </c>
      <c r="AG24" s="415"/>
      <c r="AH24" s="404" t="str">
        <f>IF(AND('Riesgos de Gestión'!$O$23="Media",'Riesgos de Gestión'!$S$23="Catastrófico"),CONCATENATE("R",'Riesgos de Gestión'!$A$23),"")</f>
        <v/>
      </c>
      <c r="AI24" s="405"/>
      <c r="AJ24" s="405" t="str">
        <f>IF(AND('Riesgos de Gestión'!$O$29="Media",'Riesgos de Gestión'!$S$29="Catastrófico"),CONCATENATE("R",'Riesgos de Gestión'!$A$29),"")</f>
        <v/>
      </c>
      <c r="AK24" s="405"/>
      <c r="AL24" s="405" t="str">
        <f>IF(AND('Riesgos de Gestión'!$O$35="Media",'Riesgos de Gestión'!$S$35="Catastrófico"),CONCATENATE("R",'Riesgos de Gestión'!$A$35),"")</f>
        <v/>
      </c>
      <c r="AM24" s="406"/>
      <c r="AN24" s="66"/>
      <c r="AO24" s="456"/>
      <c r="AP24" s="457"/>
      <c r="AQ24" s="457"/>
      <c r="AR24" s="457"/>
      <c r="AS24" s="457"/>
      <c r="AT24" s="458"/>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33"/>
      <c r="C25" s="433"/>
      <c r="D25" s="434"/>
      <c r="E25" s="426"/>
      <c r="F25" s="427"/>
      <c r="G25" s="427"/>
      <c r="H25" s="427"/>
      <c r="I25" s="428"/>
      <c r="J25" s="395"/>
      <c r="K25" s="396"/>
      <c r="L25" s="396"/>
      <c r="M25" s="396"/>
      <c r="N25" s="396"/>
      <c r="O25" s="397"/>
      <c r="P25" s="395"/>
      <c r="Q25" s="396"/>
      <c r="R25" s="396"/>
      <c r="S25" s="396"/>
      <c r="T25" s="396"/>
      <c r="U25" s="397"/>
      <c r="V25" s="395"/>
      <c r="W25" s="396"/>
      <c r="X25" s="396"/>
      <c r="Y25" s="396"/>
      <c r="Z25" s="396"/>
      <c r="AA25" s="397"/>
      <c r="AB25" s="413"/>
      <c r="AC25" s="414"/>
      <c r="AD25" s="414"/>
      <c r="AE25" s="414"/>
      <c r="AF25" s="414"/>
      <c r="AG25" s="415"/>
      <c r="AH25" s="404"/>
      <c r="AI25" s="405"/>
      <c r="AJ25" s="405"/>
      <c r="AK25" s="405"/>
      <c r="AL25" s="405"/>
      <c r="AM25" s="406"/>
      <c r="AN25" s="66"/>
      <c r="AO25" s="456"/>
      <c r="AP25" s="457"/>
      <c r="AQ25" s="457"/>
      <c r="AR25" s="457"/>
      <c r="AS25" s="457"/>
      <c r="AT25" s="458"/>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33"/>
      <c r="C26" s="433"/>
      <c r="D26" s="434"/>
      <c r="E26" s="426"/>
      <c r="F26" s="427"/>
      <c r="G26" s="427"/>
      <c r="H26" s="427"/>
      <c r="I26" s="428"/>
      <c r="J26" s="395" t="str">
        <f>IF(AND('Riesgos de Gestión'!$O$41="Media",'Riesgos de Gestión'!$S$41="Leve"),CONCATENATE("R",'Riesgos de Gestión'!$A$41),"")</f>
        <v/>
      </c>
      <c r="K26" s="396"/>
      <c r="L26" s="396" t="str">
        <f>IF(AND('Riesgos de Gestión'!$O$47="Media",'Riesgos de Gestión'!$S$47="Leve"),CONCATENATE("R",'Riesgos de Gestión'!$A$47),"")</f>
        <v/>
      </c>
      <c r="M26" s="396"/>
      <c r="N26" s="396" t="str">
        <f>IF(AND('Riesgos de Gestión'!$O$53="Media",'Riesgos de Gestión'!$S$53="Leve"),CONCATENATE("R",'Riesgos de Gestión'!$A$53),"")</f>
        <v/>
      </c>
      <c r="O26" s="397"/>
      <c r="P26" s="395" t="str">
        <f>IF(AND('Riesgos de Gestión'!$O$41="Media",'Riesgos de Gestión'!$S$41="Menor"),CONCATENATE("R",'Riesgos de Gestión'!$A$41),"")</f>
        <v/>
      </c>
      <c r="Q26" s="396"/>
      <c r="R26" s="396" t="str">
        <f>IF(AND('Riesgos de Gestión'!$O$47="Media",'Riesgos de Gestión'!$S$47="Menor"),CONCATENATE("R",'Riesgos de Gestión'!$A$47),"")</f>
        <v/>
      </c>
      <c r="S26" s="396"/>
      <c r="T26" s="396" t="str">
        <f>IF(AND('Riesgos de Gestión'!$O$53="Media",'Riesgos de Gestión'!$S$53="Menor"),CONCATENATE("R",'Riesgos de Gestión'!$A$53),"")</f>
        <v/>
      </c>
      <c r="U26" s="397"/>
      <c r="V26" s="395" t="str">
        <f>IF(AND('Riesgos de Gestión'!$O$41="Media",'Riesgos de Gestión'!$S$41="Moderado"),CONCATENATE("R",'Riesgos de Gestión'!$A$41),"")</f>
        <v/>
      </c>
      <c r="W26" s="396"/>
      <c r="X26" s="396" t="str">
        <f>IF(AND('Riesgos de Gestión'!$O$47="Media",'Riesgos de Gestión'!$S$47="Moderado"),CONCATENATE("R",'Riesgos de Gestión'!$A$47),"")</f>
        <v/>
      </c>
      <c r="Y26" s="396"/>
      <c r="Z26" s="396" t="str">
        <f>IF(AND('Riesgos de Gestión'!$O$53="Media",'Riesgos de Gestión'!$S$53="Moderado"),CONCATENATE("R",'Riesgos de Gestión'!$A$53),"")</f>
        <v/>
      </c>
      <c r="AA26" s="397"/>
      <c r="AB26" s="413" t="str">
        <f>IF(AND('Riesgos de Gestión'!$O$41="Media",'Riesgos de Gestión'!$S$41="Mayor"),CONCATENATE("R",'Riesgos de Gestión'!$A$41),"")</f>
        <v/>
      </c>
      <c r="AC26" s="414"/>
      <c r="AD26" s="414" t="str">
        <f>IF(AND('Riesgos de Gestión'!$O$47="Media",'Riesgos de Gestión'!$S$47="Mayor"),CONCATENATE("R",'Riesgos de Gestión'!$A$47),"")</f>
        <v/>
      </c>
      <c r="AE26" s="414"/>
      <c r="AF26" s="414" t="str">
        <f>IF(AND('Riesgos de Gestión'!$O$53="Media",'Riesgos de Gestión'!$S$53="Mayor"),CONCATENATE("R",'Riesgos de Gestión'!$A$53),"")</f>
        <v/>
      </c>
      <c r="AG26" s="415"/>
      <c r="AH26" s="404" t="str">
        <f>IF(AND('Riesgos de Gestión'!$O$41="Media",'Riesgos de Gestión'!$S$41="Catastrófico"),CONCATENATE("R",'Riesgos de Gestión'!$A$41),"")</f>
        <v/>
      </c>
      <c r="AI26" s="405"/>
      <c r="AJ26" s="405" t="str">
        <f>IF(AND('Riesgos de Gestión'!$O$47="Media",'Riesgos de Gestión'!$S$47="Catastrófico"),CONCATENATE("R",'Riesgos de Gestión'!$A$47),"")</f>
        <v/>
      </c>
      <c r="AK26" s="405"/>
      <c r="AL26" s="405" t="str">
        <f>IF(AND('Riesgos de Gestión'!$O$53="Media",'Riesgos de Gestión'!$S$53="Catastrófico"),CONCATENATE("R",'Riesgos de Gestión'!$A$53),"")</f>
        <v/>
      </c>
      <c r="AM26" s="406"/>
      <c r="AN26" s="66"/>
      <c r="AO26" s="456"/>
      <c r="AP26" s="457"/>
      <c r="AQ26" s="457"/>
      <c r="AR26" s="457"/>
      <c r="AS26" s="457"/>
      <c r="AT26" s="45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33"/>
      <c r="C27" s="433"/>
      <c r="D27" s="434"/>
      <c r="E27" s="426"/>
      <c r="F27" s="427"/>
      <c r="G27" s="427"/>
      <c r="H27" s="427"/>
      <c r="I27" s="428"/>
      <c r="J27" s="395"/>
      <c r="K27" s="396"/>
      <c r="L27" s="396"/>
      <c r="M27" s="396"/>
      <c r="N27" s="396"/>
      <c r="O27" s="397"/>
      <c r="P27" s="395"/>
      <c r="Q27" s="396"/>
      <c r="R27" s="396"/>
      <c r="S27" s="396"/>
      <c r="T27" s="396"/>
      <c r="U27" s="397"/>
      <c r="V27" s="395"/>
      <c r="W27" s="396"/>
      <c r="X27" s="396"/>
      <c r="Y27" s="396"/>
      <c r="Z27" s="396"/>
      <c r="AA27" s="397"/>
      <c r="AB27" s="413"/>
      <c r="AC27" s="414"/>
      <c r="AD27" s="414"/>
      <c r="AE27" s="414"/>
      <c r="AF27" s="414"/>
      <c r="AG27" s="415"/>
      <c r="AH27" s="404"/>
      <c r="AI27" s="405"/>
      <c r="AJ27" s="405"/>
      <c r="AK27" s="405"/>
      <c r="AL27" s="405"/>
      <c r="AM27" s="406"/>
      <c r="AN27" s="66"/>
      <c r="AO27" s="456"/>
      <c r="AP27" s="457"/>
      <c r="AQ27" s="457"/>
      <c r="AR27" s="457"/>
      <c r="AS27" s="457"/>
      <c r="AT27" s="458"/>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33"/>
      <c r="C28" s="433"/>
      <c r="D28" s="434"/>
      <c r="E28" s="426"/>
      <c r="F28" s="427"/>
      <c r="G28" s="427"/>
      <c r="H28" s="427"/>
      <c r="I28" s="428"/>
      <c r="J28" s="395" t="str">
        <f>IF(AND('Riesgos de Gestión'!$O$59="Media",'Riesgos de Gestión'!$S$59="Leve"),CONCATENATE("R",'Riesgos de Gestión'!$A$59),"")</f>
        <v/>
      </c>
      <c r="K28" s="396"/>
      <c r="L28" s="396" t="str">
        <f>IF(AND('Riesgos de Gestión'!$P$65="Media",'Riesgos de Gestión'!$T$65="Leve"),CONCATENATE("R",'Riesgos de Gestión'!$A$65),"")</f>
        <v/>
      </c>
      <c r="M28" s="396"/>
      <c r="N28" s="396" t="str">
        <f>IF(AND('Riesgos de Gestión'!$P$71="Media",'Riesgos de Gestión'!$T$71="Leve"),CONCATENATE("R",'Riesgos de Gestión'!$A$71),"")</f>
        <v/>
      </c>
      <c r="O28" s="397"/>
      <c r="P28" s="395" t="str">
        <f>IF(AND('Riesgos de Gestión'!$O$59="Media",'Riesgos de Gestión'!$S$59="Menor"),CONCATENATE("R",'Riesgos de Gestión'!$A$59),"")</f>
        <v/>
      </c>
      <c r="Q28" s="396"/>
      <c r="R28" s="396" t="str">
        <f>IF(AND('Riesgos de Gestión'!$P$65="Media",'Riesgos de Gestión'!$T$65="Menor"),CONCATENATE("R",'Riesgos de Gestión'!$A$65),"")</f>
        <v/>
      </c>
      <c r="S28" s="396"/>
      <c r="T28" s="396" t="str">
        <f>IF(AND('Riesgos de Gestión'!$P$71="Media",'Riesgos de Gestión'!$T$71="Menor"),CONCATENATE("R",'Riesgos de Gestión'!$A$71),"")</f>
        <v/>
      </c>
      <c r="U28" s="397"/>
      <c r="V28" s="395" t="str">
        <f>IF(AND('Riesgos de Gestión'!$O$59="Media",'Riesgos de Gestión'!$S$59="Moderado"),CONCATENATE("R",'Riesgos de Gestión'!$A$59),"")</f>
        <v/>
      </c>
      <c r="W28" s="396"/>
      <c r="X28" s="396" t="str">
        <f>IF(AND('Riesgos de Gestión'!$P$65="Media",'Riesgos de Gestión'!$T$65="Moderado"),CONCATENATE("R",'Riesgos de Gestión'!$A$65),"")</f>
        <v/>
      </c>
      <c r="Y28" s="396"/>
      <c r="Z28" s="396" t="str">
        <f>IF(AND('Riesgos de Gestión'!$P$71="Media",'Riesgos de Gestión'!$T$71="Moderado"),CONCATENATE("R",'Riesgos de Gestión'!$A$71),"")</f>
        <v/>
      </c>
      <c r="AA28" s="397"/>
      <c r="AB28" s="413" t="str">
        <f>IF(AND('Riesgos de Gestión'!$O$59="Media",'Riesgos de Gestión'!$S$59="Mayor"),CONCATENATE("R",'Riesgos de Gestión'!$A$59),"")</f>
        <v/>
      </c>
      <c r="AC28" s="414"/>
      <c r="AD28" s="414" t="str">
        <f>IF(AND('Riesgos de Gestión'!$P$65="Media",'Riesgos de Gestión'!$T$65="Mayor"),CONCATENATE("R",'Riesgos de Gestión'!$A$65),"")</f>
        <v/>
      </c>
      <c r="AE28" s="414"/>
      <c r="AF28" s="414" t="str">
        <f>IF(AND('Riesgos de Gestión'!$P$71="Media",'Riesgos de Gestión'!$T$71="Mayor"),CONCATENATE("R",'Riesgos de Gestión'!$A$71),"")</f>
        <v/>
      </c>
      <c r="AG28" s="415"/>
      <c r="AH28" s="404" t="str">
        <f>IF(AND('Riesgos de Gestión'!$O$59="Media",'Riesgos de Gestión'!$S$59="Catastrófico"),CONCATENATE("R",'Riesgos de Gestión'!$A$59),"")</f>
        <v/>
      </c>
      <c r="AI28" s="405"/>
      <c r="AJ28" s="405" t="str">
        <f>IF(AND('Riesgos de Gestión'!$P$65="Media",'Riesgos de Gestión'!$T$65="Catastrófico"),CONCATENATE("R",'Riesgos de Gestión'!$A$65),"")</f>
        <v/>
      </c>
      <c r="AK28" s="405"/>
      <c r="AL28" s="405" t="str">
        <f>IF(AND('Riesgos de Gestión'!$P$71="Media",'Riesgos de Gestión'!$T$71="Catastrófico"),CONCATENATE("R",'Riesgos de Gestión'!$A$71),"")</f>
        <v/>
      </c>
      <c r="AM28" s="406"/>
      <c r="AN28" s="66"/>
      <c r="AO28" s="456"/>
      <c r="AP28" s="457"/>
      <c r="AQ28" s="457"/>
      <c r="AR28" s="457"/>
      <c r="AS28" s="457"/>
      <c r="AT28" s="458"/>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33"/>
      <c r="C29" s="433"/>
      <c r="D29" s="434"/>
      <c r="E29" s="429"/>
      <c r="F29" s="430"/>
      <c r="G29" s="430"/>
      <c r="H29" s="430"/>
      <c r="I29" s="431"/>
      <c r="J29" s="395"/>
      <c r="K29" s="396"/>
      <c r="L29" s="396"/>
      <c r="M29" s="396"/>
      <c r="N29" s="396"/>
      <c r="O29" s="397"/>
      <c r="P29" s="398"/>
      <c r="Q29" s="399"/>
      <c r="R29" s="399"/>
      <c r="S29" s="399"/>
      <c r="T29" s="399"/>
      <c r="U29" s="400"/>
      <c r="V29" s="398"/>
      <c r="W29" s="399"/>
      <c r="X29" s="399"/>
      <c r="Y29" s="399"/>
      <c r="Z29" s="399"/>
      <c r="AA29" s="400"/>
      <c r="AB29" s="416"/>
      <c r="AC29" s="417"/>
      <c r="AD29" s="417"/>
      <c r="AE29" s="417"/>
      <c r="AF29" s="417"/>
      <c r="AG29" s="418"/>
      <c r="AH29" s="407"/>
      <c r="AI29" s="408"/>
      <c r="AJ29" s="408"/>
      <c r="AK29" s="408"/>
      <c r="AL29" s="408"/>
      <c r="AM29" s="409"/>
      <c r="AN29" s="66"/>
      <c r="AO29" s="459"/>
      <c r="AP29" s="460"/>
      <c r="AQ29" s="460"/>
      <c r="AR29" s="460"/>
      <c r="AS29" s="460"/>
      <c r="AT29" s="46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33"/>
      <c r="C30" s="433"/>
      <c r="D30" s="434"/>
      <c r="E30" s="423" t="s">
        <v>271</v>
      </c>
      <c r="F30" s="424"/>
      <c r="G30" s="424"/>
      <c r="H30" s="424"/>
      <c r="I30" s="424"/>
      <c r="J30" s="392" t="str">
        <f>IF(AND('Riesgos de Gestión'!$O$13="Baja",'Riesgos de Gestión'!$S$13="Leve"),CONCATENATE("R",'Riesgos de Gestión'!$A$13),"")</f>
        <v/>
      </c>
      <c r="K30" s="393"/>
      <c r="L30" s="393" t="str">
        <f>IF(AND('Riesgos de Gestión'!$O$15="Baja",'Riesgos de Gestión'!$S$15="Leve"),CONCATENATE("R",'Riesgos de Gestión'!$A$15),"")</f>
        <v>R2</v>
      </c>
      <c r="M30" s="393"/>
      <c r="N30" s="393" t="str">
        <f>IF(AND('Riesgos de Gestión'!$O$17="Baja",'Riesgos de Gestión'!$S$17="Leve"),CONCATENATE("R",'Riesgos de Gestión'!$A$17),"")</f>
        <v/>
      </c>
      <c r="O30" s="394"/>
      <c r="P30" s="402" t="str">
        <f>IF(AND('Riesgos de Gestión'!$O$13="Baja",'Riesgos de Gestión'!$S$13="Menor"),CONCATENATE("R",'Riesgos de Gestión'!$A$13),"")</f>
        <v/>
      </c>
      <c r="Q30" s="402"/>
      <c r="R30" s="402" t="str">
        <f>IF(AND('Riesgos de Gestión'!$O$15="Baja",'Riesgos de Gestión'!$S$15="Menor"),CONCATENATE("R",'Riesgos de Gestión'!$A$15),"")</f>
        <v/>
      </c>
      <c r="S30" s="402"/>
      <c r="T30" s="402" t="str">
        <f>IF(AND('Riesgos de Gestión'!$O$17="Baja",'Riesgos de Gestión'!$S$17="Menor"),CONCATENATE("R",'Riesgos de Gestión'!$A$17),"")</f>
        <v/>
      </c>
      <c r="U30" s="403"/>
      <c r="V30" s="401" t="str">
        <f>IF(AND('Riesgos de Gestión'!$O$13="Baja",'Riesgos de Gestión'!$S$13="Moderado"),CONCATENATE("R",'Riesgos de Gestión'!$A$13),"")</f>
        <v/>
      </c>
      <c r="W30" s="402"/>
      <c r="X30" s="402" t="str">
        <f>IF(AND('Riesgos de Gestión'!$O$15="Baja",'Riesgos de Gestión'!$S$15="Moderado"),CONCATENATE("R",'Riesgos de Gestión'!$A$15),"")</f>
        <v/>
      </c>
      <c r="Y30" s="402"/>
      <c r="Z30" s="402" t="str">
        <f>IF(AND('Riesgos de Gestión'!$O$17="Baja",'Riesgos de Gestión'!$S$17="Moderado"),CONCATENATE("R",'Riesgos de Gestión'!$A$17),"")</f>
        <v/>
      </c>
      <c r="AA30" s="403"/>
      <c r="AB30" s="419" t="str">
        <f>IF(AND('Riesgos de Gestión'!$O$13="Baja",'Riesgos de Gestión'!$S$13="Mayor"),CONCATENATE("R",'Riesgos de Gestión'!$A$13),"")</f>
        <v/>
      </c>
      <c r="AC30" s="420"/>
      <c r="AD30" s="420" t="str">
        <f>IF(AND('Riesgos de Gestión'!$O$15="Baja",'Riesgos de Gestión'!$S$15="Mayor"),CONCATENATE("R",'Riesgos de Gestión'!$A$15),"")</f>
        <v/>
      </c>
      <c r="AE30" s="420"/>
      <c r="AF30" s="420" t="str">
        <f>IF(AND('Riesgos de Gestión'!$O$17="Baja",'Riesgos de Gestión'!$S$17="Mayor"),CONCATENATE("R",'Riesgos de Gestión'!$A$17),"")</f>
        <v/>
      </c>
      <c r="AG30" s="421"/>
      <c r="AH30" s="410" t="str">
        <f>IF(AND('Riesgos de Gestión'!$O$13="Baja",'Riesgos de Gestión'!$S$13="Catastrófico"),CONCATENATE("R",'Riesgos de Gestión'!$A$13),"")</f>
        <v/>
      </c>
      <c r="AI30" s="411"/>
      <c r="AJ30" s="411" t="str">
        <f>IF(AND('Riesgos de Gestión'!$O$15="Baja",'Riesgos de Gestión'!$S$15="Catastrófico"),CONCATENATE("R",'Riesgos de Gestión'!$A$15),"")</f>
        <v/>
      </c>
      <c r="AK30" s="411"/>
      <c r="AL30" s="411" t="str">
        <f>IF(AND('Riesgos de Gestión'!$O$17="Baja",'Riesgos de Gestión'!$S$17="Catastrófico"),CONCATENATE("R",'Riesgos de Gestión'!$A$17),"")</f>
        <v/>
      </c>
      <c r="AM30" s="412"/>
      <c r="AN30" s="66"/>
      <c r="AO30" s="462" t="s">
        <v>272</v>
      </c>
      <c r="AP30" s="463"/>
      <c r="AQ30" s="463"/>
      <c r="AR30" s="463"/>
      <c r="AS30" s="463"/>
      <c r="AT30" s="464"/>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33"/>
      <c r="C31" s="433"/>
      <c r="D31" s="434"/>
      <c r="E31" s="426"/>
      <c r="F31" s="427"/>
      <c r="G31" s="427"/>
      <c r="H31" s="427"/>
      <c r="I31" s="427"/>
      <c r="J31" s="386"/>
      <c r="K31" s="387"/>
      <c r="L31" s="387"/>
      <c r="M31" s="387"/>
      <c r="N31" s="387"/>
      <c r="O31" s="388"/>
      <c r="P31" s="396"/>
      <c r="Q31" s="396"/>
      <c r="R31" s="396"/>
      <c r="S31" s="396"/>
      <c r="T31" s="396"/>
      <c r="U31" s="397"/>
      <c r="V31" s="395"/>
      <c r="W31" s="396"/>
      <c r="X31" s="396"/>
      <c r="Y31" s="396"/>
      <c r="Z31" s="396"/>
      <c r="AA31" s="397"/>
      <c r="AB31" s="413"/>
      <c r="AC31" s="414"/>
      <c r="AD31" s="414"/>
      <c r="AE31" s="414"/>
      <c r="AF31" s="414"/>
      <c r="AG31" s="415"/>
      <c r="AH31" s="404"/>
      <c r="AI31" s="405"/>
      <c r="AJ31" s="405"/>
      <c r="AK31" s="405"/>
      <c r="AL31" s="405"/>
      <c r="AM31" s="406"/>
      <c r="AN31" s="66"/>
      <c r="AO31" s="465"/>
      <c r="AP31" s="466"/>
      <c r="AQ31" s="466"/>
      <c r="AR31" s="466"/>
      <c r="AS31" s="466"/>
      <c r="AT31" s="46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33"/>
      <c r="C32" s="433"/>
      <c r="D32" s="434"/>
      <c r="E32" s="426"/>
      <c r="F32" s="427"/>
      <c r="G32" s="427"/>
      <c r="H32" s="427"/>
      <c r="I32" s="427"/>
      <c r="J32" s="386" t="str">
        <f>IF(AND('Riesgos de Gestión'!$O$23="Baja",'Riesgos de Gestión'!$S$23="Leve"),CONCATENATE("R",'Riesgos de Gestión'!$A$23),"")</f>
        <v/>
      </c>
      <c r="K32" s="387"/>
      <c r="L32" s="387" t="str">
        <f>IF(AND('Riesgos de Gestión'!$O$29="Baja",'Riesgos de Gestión'!$S$29="Leve"),CONCATENATE("R",'Riesgos de Gestión'!$A$29),"")</f>
        <v/>
      </c>
      <c r="M32" s="387"/>
      <c r="N32" s="387" t="str">
        <f>IF(AND('Riesgos de Gestión'!$O$35="Baja",'Riesgos de Gestión'!$S$35="Leve"),CONCATENATE("R",'Riesgos de Gestión'!$A$35),"")</f>
        <v/>
      </c>
      <c r="O32" s="388"/>
      <c r="P32" s="396" t="str">
        <f>IF(AND('Riesgos de Gestión'!$O$23="Baja",'Riesgos de Gestión'!$S$23="Menor"),CONCATENATE("R",'Riesgos de Gestión'!$A$23),"")</f>
        <v/>
      </c>
      <c r="Q32" s="396"/>
      <c r="R32" s="396" t="str">
        <f>IF(AND('Riesgos de Gestión'!$O$29="Baja",'Riesgos de Gestión'!$S$29="Menor"),CONCATENATE("R",'Riesgos de Gestión'!$A$29),"")</f>
        <v/>
      </c>
      <c r="S32" s="396"/>
      <c r="T32" s="396" t="str">
        <f>IF(AND('Riesgos de Gestión'!$O$35="Baja",'Riesgos de Gestión'!$S$35="Menor"),CONCATENATE("R",'Riesgos de Gestión'!$A$35),"")</f>
        <v/>
      </c>
      <c r="U32" s="397"/>
      <c r="V32" s="395" t="str">
        <f>IF(AND('Riesgos de Gestión'!$O$23="Baja",'Riesgos de Gestión'!$S$23="Moderado"),CONCATENATE("R",'Riesgos de Gestión'!$A$23),"")</f>
        <v/>
      </c>
      <c r="W32" s="396"/>
      <c r="X32" s="396" t="str">
        <f>IF(AND('Riesgos de Gestión'!$O$29="Baja",'Riesgos de Gestión'!$S$29="Moderado"),CONCATENATE("R",'Riesgos de Gestión'!$A$29),"")</f>
        <v/>
      </c>
      <c r="Y32" s="396"/>
      <c r="Z32" s="396" t="str">
        <f>IF(AND('Riesgos de Gestión'!$O$35="Baja",'Riesgos de Gestión'!$S$35="Moderado"),CONCATENATE("R",'Riesgos de Gestión'!$A$35),"")</f>
        <v/>
      </c>
      <c r="AA32" s="397"/>
      <c r="AB32" s="413" t="str">
        <f>IF(AND('Riesgos de Gestión'!$O$23="Baja",'Riesgos de Gestión'!$S$23="Mayor"),CONCATENATE("R",'Riesgos de Gestión'!$A$23),"")</f>
        <v/>
      </c>
      <c r="AC32" s="414"/>
      <c r="AD32" s="414" t="str">
        <f>IF(AND('Riesgos de Gestión'!$O$29="Baja",'Riesgos de Gestión'!$S$29="Mayor"),CONCATENATE("R",'Riesgos de Gestión'!$A$29),"")</f>
        <v/>
      </c>
      <c r="AE32" s="414"/>
      <c r="AF32" s="414" t="str">
        <f>IF(AND('Riesgos de Gestión'!$O$35="Baja",'Riesgos de Gestión'!$S$35="Mayor"),CONCATENATE("R",'Riesgos de Gestión'!$A$35),"")</f>
        <v/>
      </c>
      <c r="AG32" s="415"/>
      <c r="AH32" s="404" t="str">
        <f>IF(AND('Riesgos de Gestión'!$O$23="Baja",'Riesgos de Gestión'!$S$23="Catastrófico"),CONCATENATE("R",'Riesgos de Gestión'!$A$23),"")</f>
        <v/>
      </c>
      <c r="AI32" s="405"/>
      <c r="AJ32" s="405" t="str">
        <f>IF(AND('Riesgos de Gestión'!$O$29="Baja",'Riesgos de Gestión'!$S$29="Catastrófico"),CONCATENATE("R",'Riesgos de Gestión'!$A$29),"")</f>
        <v/>
      </c>
      <c r="AK32" s="405"/>
      <c r="AL32" s="405" t="str">
        <f>IF(AND('Riesgos de Gestión'!$O$35="Baja",'Riesgos de Gestión'!$S$35="Catastrófico"),CONCATENATE("R",'Riesgos de Gestión'!$A$35),"")</f>
        <v/>
      </c>
      <c r="AM32" s="406"/>
      <c r="AN32" s="66"/>
      <c r="AO32" s="465"/>
      <c r="AP32" s="466"/>
      <c r="AQ32" s="466"/>
      <c r="AR32" s="466"/>
      <c r="AS32" s="466"/>
      <c r="AT32" s="46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33"/>
      <c r="C33" s="433"/>
      <c r="D33" s="434"/>
      <c r="E33" s="426"/>
      <c r="F33" s="427"/>
      <c r="G33" s="427"/>
      <c r="H33" s="427"/>
      <c r="I33" s="427"/>
      <c r="J33" s="386"/>
      <c r="K33" s="387"/>
      <c r="L33" s="387"/>
      <c r="M33" s="387"/>
      <c r="N33" s="387"/>
      <c r="O33" s="388"/>
      <c r="P33" s="396"/>
      <c r="Q33" s="396"/>
      <c r="R33" s="396"/>
      <c r="S33" s="396"/>
      <c r="T33" s="396"/>
      <c r="U33" s="397"/>
      <c r="V33" s="395"/>
      <c r="W33" s="396"/>
      <c r="X33" s="396"/>
      <c r="Y33" s="396"/>
      <c r="Z33" s="396"/>
      <c r="AA33" s="397"/>
      <c r="AB33" s="413"/>
      <c r="AC33" s="414"/>
      <c r="AD33" s="414"/>
      <c r="AE33" s="414"/>
      <c r="AF33" s="414"/>
      <c r="AG33" s="415"/>
      <c r="AH33" s="404"/>
      <c r="AI33" s="405"/>
      <c r="AJ33" s="405"/>
      <c r="AK33" s="405"/>
      <c r="AL33" s="405"/>
      <c r="AM33" s="406"/>
      <c r="AN33" s="66"/>
      <c r="AO33" s="465"/>
      <c r="AP33" s="466"/>
      <c r="AQ33" s="466"/>
      <c r="AR33" s="466"/>
      <c r="AS33" s="466"/>
      <c r="AT33" s="46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33"/>
      <c r="C34" s="433"/>
      <c r="D34" s="434"/>
      <c r="E34" s="426"/>
      <c r="F34" s="427"/>
      <c r="G34" s="427"/>
      <c r="H34" s="427"/>
      <c r="I34" s="427"/>
      <c r="J34" s="386" t="str">
        <f>IF(AND('Riesgos de Gestión'!$O$41="Baja",'Riesgos de Gestión'!$S$41="Leve"),CONCATENATE("R",'Riesgos de Gestión'!$A$41),"")</f>
        <v/>
      </c>
      <c r="K34" s="387"/>
      <c r="L34" s="387" t="str">
        <f>IF(AND('Riesgos de Gestión'!$O$47="Baja",'Riesgos de Gestión'!$S$47="Leve"),CONCATENATE("R",'Riesgos de Gestión'!$A$47),"")</f>
        <v/>
      </c>
      <c r="M34" s="387"/>
      <c r="N34" s="387" t="str">
        <f>IF(AND('Riesgos de Gestión'!$O$53="Baja",'Riesgos de Gestión'!$S$53="Leve"),CONCATENATE("R",'Riesgos de Gestión'!$A$53),"")</f>
        <v/>
      </c>
      <c r="O34" s="388"/>
      <c r="P34" s="396" t="str">
        <f>IF(AND('Riesgos de Gestión'!$O$41="Baja",'Riesgos de Gestión'!$S$41="Menor"),CONCATENATE("R",'Riesgos de Gestión'!$A$41),"")</f>
        <v/>
      </c>
      <c r="Q34" s="396"/>
      <c r="R34" s="396" t="str">
        <f>IF(AND('Riesgos de Gestión'!$O$47="Baja",'Riesgos de Gestión'!$S$47="Menor"),CONCATENATE("R",'Riesgos de Gestión'!$A$47),"")</f>
        <v/>
      </c>
      <c r="S34" s="396"/>
      <c r="T34" s="396" t="str">
        <f>IF(AND('Riesgos de Gestión'!$O$53="Baja",'Riesgos de Gestión'!$S$53="Menor"),CONCATENATE("R",'Riesgos de Gestión'!$A$53),"")</f>
        <v/>
      </c>
      <c r="U34" s="397"/>
      <c r="V34" s="395" t="str">
        <f>IF(AND('Riesgos de Gestión'!$O$41="Baja",'Riesgos de Gestión'!$S$41="Moderado"),CONCATENATE("R",'Riesgos de Gestión'!$A$41),"")</f>
        <v/>
      </c>
      <c r="W34" s="396"/>
      <c r="X34" s="396" t="str">
        <f>IF(AND('Riesgos de Gestión'!$O$47="Baja",'Riesgos de Gestión'!$S$47="Moderado"),CONCATENATE("R",'Riesgos de Gestión'!$A$47),"")</f>
        <v/>
      </c>
      <c r="Y34" s="396"/>
      <c r="Z34" s="396" t="str">
        <f>IF(AND('Riesgos de Gestión'!$O$53="Baja",'Riesgos de Gestión'!$S$53="Moderado"),CONCATENATE("R",'Riesgos de Gestión'!$A$53),"")</f>
        <v/>
      </c>
      <c r="AA34" s="397"/>
      <c r="AB34" s="413" t="str">
        <f>IF(AND('Riesgos de Gestión'!$O$41="Baja",'Riesgos de Gestión'!$S$41="Mayor"),CONCATENATE("R",'Riesgos de Gestión'!$A$41),"")</f>
        <v/>
      </c>
      <c r="AC34" s="414"/>
      <c r="AD34" s="414" t="str">
        <f>IF(AND('Riesgos de Gestión'!$O$47="Baja",'Riesgos de Gestión'!$S$47="Mayor"),CONCATENATE("R",'Riesgos de Gestión'!$A$47),"")</f>
        <v/>
      </c>
      <c r="AE34" s="414"/>
      <c r="AF34" s="414" t="str">
        <f>IF(AND('Riesgos de Gestión'!$O$53="Baja",'Riesgos de Gestión'!$S$53="Mayor"),CONCATENATE("R",'Riesgos de Gestión'!$A$53),"")</f>
        <v/>
      </c>
      <c r="AG34" s="415"/>
      <c r="AH34" s="404" t="str">
        <f>IF(AND('Riesgos de Gestión'!$O$41="Baja",'Riesgos de Gestión'!$S$41="Catastrófico"),CONCATENATE("R",'Riesgos de Gestión'!$A$41),"")</f>
        <v/>
      </c>
      <c r="AI34" s="405"/>
      <c r="AJ34" s="405" t="str">
        <f>IF(AND('Riesgos de Gestión'!$O$47="Baja",'Riesgos de Gestión'!$S$47="Catastrófico"),CONCATENATE("R",'Riesgos de Gestión'!$A$47),"")</f>
        <v/>
      </c>
      <c r="AK34" s="405"/>
      <c r="AL34" s="405" t="str">
        <f>IF(AND('Riesgos de Gestión'!$O$53="Baja",'Riesgos de Gestión'!$S$53="Catastrófico"),CONCATENATE("R",'Riesgos de Gestión'!$A$53),"")</f>
        <v/>
      </c>
      <c r="AM34" s="406"/>
      <c r="AN34" s="66"/>
      <c r="AO34" s="465"/>
      <c r="AP34" s="466"/>
      <c r="AQ34" s="466"/>
      <c r="AR34" s="466"/>
      <c r="AS34" s="466"/>
      <c r="AT34" s="46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33"/>
      <c r="C35" s="433"/>
      <c r="D35" s="434"/>
      <c r="E35" s="426"/>
      <c r="F35" s="427"/>
      <c r="G35" s="427"/>
      <c r="H35" s="427"/>
      <c r="I35" s="427"/>
      <c r="J35" s="386"/>
      <c r="K35" s="387"/>
      <c r="L35" s="387"/>
      <c r="M35" s="387"/>
      <c r="N35" s="387"/>
      <c r="O35" s="388"/>
      <c r="P35" s="396"/>
      <c r="Q35" s="396"/>
      <c r="R35" s="396"/>
      <c r="S35" s="396"/>
      <c r="T35" s="396"/>
      <c r="U35" s="397"/>
      <c r="V35" s="395"/>
      <c r="W35" s="396"/>
      <c r="X35" s="396"/>
      <c r="Y35" s="396"/>
      <c r="Z35" s="396"/>
      <c r="AA35" s="397"/>
      <c r="AB35" s="413"/>
      <c r="AC35" s="414"/>
      <c r="AD35" s="414"/>
      <c r="AE35" s="414"/>
      <c r="AF35" s="414"/>
      <c r="AG35" s="415"/>
      <c r="AH35" s="404"/>
      <c r="AI35" s="405"/>
      <c r="AJ35" s="405"/>
      <c r="AK35" s="405"/>
      <c r="AL35" s="405"/>
      <c r="AM35" s="406"/>
      <c r="AN35" s="66"/>
      <c r="AO35" s="465"/>
      <c r="AP35" s="466"/>
      <c r="AQ35" s="466"/>
      <c r="AR35" s="466"/>
      <c r="AS35" s="466"/>
      <c r="AT35" s="467"/>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33"/>
      <c r="C36" s="433"/>
      <c r="D36" s="434"/>
      <c r="E36" s="426"/>
      <c r="F36" s="427"/>
      <c r="G36" s="427"/>
      <c r="H36" s="427"/>
      <c r="I36" s="427"/>
      <c r="J36" s="386" t="str">
        <f>IF(AND('Riesgos de Gestión'!$O$59="Baja",'Riesgos de Gestión'!$S$59="Leve"),CONCATENATE("R",'Riesgos de Gestión'!$A$59),"")</f>
        <v/>
      </c>
      <c r="K36" s="387"/>
      <c r="L36" s="387" t="str">
        <f>IF(AND('Riesgos de Gestión'!$P$65="Baja",'Riesgos de Gestión'!$T$65="Leve"),CONCATENATE("R",'Riesgos de Gestión'!$A$65),"")</f>
        <v/>
      </c>
      <c r="M36" s="387"/>
      <c r="N36" s="387" t="str">
        <f>IF(AND('Riesgos de Gestión'!$P$71="Baja",'Riesgos de Gestión'!$T$71="Leve"),CONCATENATE("R",'Riesgos de Gestión'!$A$71),"")</f>
        <v/>
      </c>
      <c r="O36" s="388"/>
      <c r="P36" s="396" t="str">
        <f>IF(AND('Riesgos de Gestión'!$O$59="Baja",'Riesgos de Gestión'!$S$59="Menor"),CONCATENATE("R",'Riesgos de Gestión'!$A$59),"")</f>
        <v/>
      </c>
      <c r="Q36" s="396"/>
      <c r="R36" s="396" t="str">
        <f>IF(AND('Riesgos de Gestión'!$P$65="Baja",'Riesgos de Gestión'!$T$65="Menor"),CONCATENATE("R",'Riesgos de Gestión'!$A$65),"")</f>
        <v/>
      </c>
      <c r="S36" s="396"/>
      <c r="T36" s="396" t="str">
        <f>IF(AND('Riesgos de Gestión'!$P$71="Baja",'Riesgos de Gestión'!$T$71="Menor"),CONCATENATE("R",'Riesgos de Gestión'!$A$71),"")</f>
        <v/>
      </c>
      <c r="U36" s="397"/>
      <c r="V36" s="395" t="str">
        <f>IF(AND('Riesgos de Gestión'!$O$59="Baja",'Riesgos de Gestión'!$S$59="Moderado"),CONCATENATE("R",'Riesgos de Gestión'!$A$59),"")</f>
        <v/>
      </c>
      <c r="W36" s="396"/>
      <c r="X36" s="396" t="str">
        <f>IF(AND('Riesgos de Gestión'!$P$65="Baja",'Riesgos de Gestión'!$T$65="Moderado"),CONCATENATE("R",'Riesgos de Gestión'!$A$65),"")</f>
        <v/>
      </c>
      <c r="Y36" s="396"/>
      <c r="Z36" s="396" t="str">
        <f>IF(AND('Riesgos de Gestión'!$P$71="Baja",'Riesgos de Gestión'!$T$71="Moderado"),CONCATENATE("R",'Riesgos de Gestión'!$A$71),"")</f>
        <v/>
      </c>
      <c r="AA36" s="397"/>
      <c r="AB36" s="413" t="str">
        <f>IF(AND('Riesgos de Gestión'!$O$59="Baja",'Riesgos de Gestión'!$S$59="Mayor"),CONCATENATE("R",'Riesgos de Gestión'!$A$59),"")</f>
        <v/>
      </c>
      <c r="AC36" s="414"/>
      <c r="AD36" s="414" t="str">
        <f>IF(AND('Riesgos de Gestión'!$P$65="Baja",'Riesgos de Gestión'!$T$65="Mayor"),CONCATENATE("R",'Riesgos de Gestión'!$A$65),"")</f>
        <v/>
      </c>
      <c r="AE36" s="414"/>
      <c r="AF36" s="414" t="str">
        <f>IF(AND('Riesgos de Gestión'!$P$71="Baja",'Riesgos de Gestión'!$T$71="Mayor"),CONCATENATE("R",'Riesgos de Gestión'!$A$71),"")</f>
        <v/>
      </c>
      <c r="AG36" s="415"/>
      <c r="AH36" s="404" t="str">
        <f>IF(AND('Riesgos de Gestión'!$O$59="Baja",'Riesgos de Gestión'!$S$59="Catastrófico"),CONCATENATE("R",'Riesgos de Gestión'!$A$59),"")</f>
        <v/>
      </c>
      <c r="AI36" s="405"/>
      <c r="AJ36" s="405" t="str">
        <f>IF(AND('Riesgos de Gestión'!$P$65="Baja",'Riesgos de Gestión'!$T$65="Catastrófico"),CONCATENATE("R",'Riesgos de Gestión'!$A$65),"")</f>
        <v/>
      </c>
      <c r="AK36" s="405"/>
      <c r="AL36" s="405" t="str">
        <f>IF(AND('Riesgos de Gestión'!$P$71="Baja",'Riesgos de Gestión'!$T$71="Catastrófico"),CONCATENATE("R",'Riesgos de Gestión'!$A$71),"")</f>
        <v/>
      </c>
      <c r="AM36" s="406"/>
      <c r="AN36" s="66"/>
      <c r="AO36" s="465"/>
      <c r="AP36" s="466"/>
      <c r="AQ36" s="466"/>
      <c r="AR36" s="466"/>
      <c r="AS36" s="466"/>
      <c r="AT36" s="46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33"/>
      <c r="C37" s="433"/>
      <c r="D37" s="434"/>
      <c r="E37" s="429"/>
      <c r="F37" s="430"/>
      <c r="G37" s="430"/>
      <c r="H37" s="430"/>
      <c r="I37" s="430"/>
      <c r="J37" s="389"/>
      <c r="K37" s="390"/>
      <c r="L37" s="390"/>
      <c r="M37" s="390"/>
      <c r="N37" s="390"/>
      <c r="O37" s="391"/>
      <c r="P37" s="399"/>
      <c r="Q37" s="399"/>
      <c r="R37" s="399"/>
      <c r="S37" s="399"/>
      <c r="T37" s="399"/>
      <c r="U37" s="400"/>
      <c r="V37" s="398"/>
      <c r="W37" s="399"/>
      <c r="X37" s="399"/>
      <c r="Y37" s="399"/>
      <c r="Z37" s="399"/>
      <c r="AA37" s="400"/>
      <c r="AB37" s="416"/>
      <c r="AC37" s="417"/>
      <c r="AD37" s="417"/>
      <c r="AE37" s="417"/>
      <c r="AF37" s="417"/>
      <c r="AG37" s="418"/>
      <c r="AH37" s="407"/>
      <c r="AI37" s="408"/>
      <c r="AJ37" s="408"/>
      <c r="AK37" s="408"/>
      <c r="AL37" s="408"/>
      <c r="AM37" s="409"/>
      <c r="AN37" s="66"/>
      <c r="AO37" s="468"/>
      <c r="AP37" s="469"/>
      <c r="AQ37" s="469"/>
      <c r="AR37" s="469"/>
      <c r="AS37" s="469"/>
      <c r="AT37" s="47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33"/>
      <c r="C38" s="433"/>
      <c r="D38" s="434"/>
      <c r="E38" s="423" t="s">
        <v>273</v>
      </c>
      <c r="F38" s="424"/>
      <c r="G38" s="424"/>
      <c r="H38" s="424"/>
      <c r="I38" s="425"/>
      <c r="J38" s="392" t="str">
        <f>IF(AND('Riesgos de Gestión'!$O$13="Muy Baja",'Riesgos de Gestión'!$S$13="Leve"),CONCATENATE("R",'Riesgos de Gestión'!$A$13),"")</f>
        <v/>
      </c>
      <c r="K38" s="393"/>
      <c r="L38" s="393" t="str">
        <f>IF(AND('Riesgos de Gestión'!$O$15="Muy Baja",'Riesgos de Gestión'!$S$15="Leve"),CONCATENATE("R",'Riesgos de Gestión'!$A$15),"")</f>
        <v/>
      </c>
      <c r="M38" s="393"/>
      <c r="N38" s="393" t="str">
        <f>IF(AND('Riesgos de Gestión'!$O$17="Muy Baja",'Riesgos de Gestión'!$S$17="Leve"),CONCATENATE("R",'Riesgos de Gestión'!$A$17),"")</f>
        <v/>
      </c>
      <c r="O38" s="394"/>
      <c r="P38" s="392" t="str">
        <f>IF(AND('Riesgos de Gestión'!$O$13="Muy Baja",'Riesgos de Gestión'!$S$13="Menor"),CONCATENATE("R",'Riesgos de Gestión'!$A$13),"")</f>
        <v/>
      </c>
      <c r="Q38" s="393"/>
      <c r="R38" s="393" t="str">
        <f>IF(AND('Riesgos de Gestión'!$O$15="Muy Baja",'Riesgos de Gestión'!$S$15="Menor"),CONCATENATE("R",'Riesgos de Gestión'!$A$15),"")</f>
        <v/>
      </c>
      <c r="S38" s="393"/>
      <c r="T38" s="393" t="str">
        <f>IF(AND('Riesgos de Gestión'!$O$17="Muy Baja",'Riesgos de Gestión'!$S$17="Menor"),CONCATENATE("R",'Riesgos de Gestión'!$A$17),"")</f>
        <v/>
      </c>
      <c r="U38" s="394"/>
      <c r="V38" s="401" t="str">
        <f>IF(AND('Riesgos de Gestión'!$O$13="Muy Baja",'Riesgos de Gestión'!$S$13="Moderado"),CONCATENATE("R",'Riesgos de Gestión'!$A$13),"")</f>
        <v/>
      </c>
      <c r="W38" s="402"/>
      <c r="X38" s="402" t="str">
        <f>IF(AND('Riesgos de Gestión'!$O$15="Muy Baja",'Riesgos de Gestión'!$S$15="Moderado"),CONCATENATE("R",'Riesgos de Gestión'!$A$15),"")</f>
        <v/>
      </c>
      <c r="Y38" s="402"/>
      <c r="Z38" s="402" t="str">
        <f>IF(AND('Riesgos de Gestión'!$O$17="Muy Baja",'Riesgos de Gestión'!$S$17="Moderado"),CONCATENATE("R",'Riesgos de Gestión'!$A$17),"")</f>
        <v/>
      </c>
      <c r="AA38" s="403"/>
      <c r="AB38" s="419" t="str">
        <f>IF(AND('Riesgos de Gestión'!$O$13="Muy Baja",'Riesgos de Gestión'!$S$13="Mayor"),CONCATENATE("R",'Riesgos de Gestión'!$A$13),"")</f>
        <v/>
      </c>
      <c r="AC38" s="420"/>
      <c r="AD38" s="420" t="str">
        <f>IF(AND('Riesgos de Gestión'!$O$15="Muy Baja",'Riesgos de Gestión'!$S$15="Mayor"),CONCATENATE("R",'Riesgos de Gestión'!$A$15),"")</f>
        <v/>
      </c>
      <c r="AE38" s="420"/>
      <c r="AF38" s="420" t="str">
        <f>IF(AND('Riesgos de Gestión'!$O$17="Muy Baja",'Riesgos de Gestión'!$S$17="Mayor"),CONCATENATE("R",'Riesgos de Gestión'!$A$17),"")</f>
        <v/>
      </c>
      <c r="AG38" s="421"/>
      <c r="AH38" s="410" t="str">
        <f>IF(AND('Riesgos de Gestión'!$O$13="Muy Baja",'Riesgos de Gestión'!$S$13="Catastrófico"),CONCATENATE("R",'Riesgos de Gestión'!$A$13),"")</f>
        <v/>
      </c>
      <c r="AI38" s="411"/>
      <c r="AJ38" s="411" t="str">
        <f>IF(AND('Riesgos de Gestión'!$O$15="Muy Baja",'Riesgos de Gestión'!$S$15="Catastrófico"),CONCATENATE("R",'Riesgos de Gestión'!$A$15),"")</f>
        <v/>
      </c>
      <c r="AK38" s="411"/>
      <c r="AL38" s="411" t="str">
        <f>IF(AND('Riesgos de Gestión'!$O$17="Muy Baja",'Riesgos de Gestión'!$S$17="Catastrófico"),CONCATENATE("R",'Riesgos de Gestión'!$A$17),"")</f>
        <v/>
      </c>
      <c r="AM38" s="41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33"/>
      <c r="C39" s="433"/>
      <c r="D39" s="434"/>
      <c r="E39" s="426"/>
      <c r="F39" s="427"/>
      <c r="G39" s="427"/>
      <c r="H39" s="427"/>
      <c r="I39" s="428"/>
      <c r="J39" s="386"/>
      <c r="K39" s="387"/>
      <c r="L39" s="387"/>
      <c r="M39" s="387"/>
      <c r="N39" s="387"/>
      <c r="O39" s="388"/>
      <c r="P39" s="386"/>
      <c r="Q39" s="387"/>
      <c r="R39" s="387"/>
      <c r="S39" s="387"/>
      <c r="T39" s="387"/>
      <c r="U39" s="388"/>
      <c r="V39" s="395"/>
      <c r="W39" s="396"/>
      <c r="X39" s="396"/>
      <c r="Y39" s="396"/>
      <c r="Z39" s="396"/>
      <c r="AA39" s="397"/>
      <c r="AB39" s="413"/>
      <c r="AC39" s="414"/>
      <c r="AD39" s="414"/>
      <c r="AE39" s="414"/>
      <c r="AF39" s="414"/>
      <c r="AG39" s="415"/>
      <c r="AH39" s="404"/>
      <c r="AI39" s="405"/>
      <c r="AJ39" s="405"/>
      <c r="AK39" s="405"/>
      <c r="AL39" s="405"/>
      <c r="AM39" s="40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33"/>
      <c r="C40" s="433"/>
      <c r="D40" s="434"/>
      <c r="E40" s="426"/>
      <c r="F40" s="427"/>
      <c r="G40" s="427"/>
      <c r="H40" s="427"/>
      <c r="I40" s="428"/>
      <c r="J40" s="386" t="str">
        <f>IF(AND('Riesgos de Gestión'!$O$23="Muy Baja",'Riesgos de Gestión'!$S$23="Leve"),CONCATENATE("R",'Riesgos de Gestión'!$A$23),"")</f>
        <v/>
      </c>
      <c r="K40" s="387"/>
      <c r="L40" s="387" t="str">
        <f>IF(AND('Riesgos de Gestión'!$O$29="Muy Baja",'Riesgos de Gestión'!$S$29="Leve"),CONCATENATE("R",'Riesgos de Gestión'!$A$29),"")</f>
        <v/>
      </c>
      <c r="M40" s="387"/>
      <c r="N40" s="387" t="str">
        <f>IF(AND('Riesgos de Gestión'!$O$35="Muy Baja",'Riesgos de Gestión'!$S$35="Leve"),CONCATENATE("R",'Riesgos de Gestión'!$A$35),"")</f>
        <v/>
      </c>
      <c r="O40" s="388"/>
      <c r="P40" s="386" t="str">
        <f>IF(AND('Riesgos de Gestión'!$O$23="Muy Baja",'Riesgos de Gestión'!$S$23="Menor"),CONCATENATE("R",'Riesgos de Gestión'!$A$23),"")</f>
        <v/>
      </c>
      <c r="Q40" s="387"/>
      <c r="R40" s="387" t="str">
        <f>IF(AND('Riesgos de Gestión'!$O$29="Muy Baja",'Riesgos de Gestión'!$S$29="Menor"),CONCATENATE("R",'Riesgos de Gestión'!$A$29),"")</f>
        <v/>
      </c>
      <c r="S40" s="387"/>
      <c r="T40" s="387" t="str">
        <f>IF(AND('Riesgos de Gestión'!$O$35="Muy Baja",'Riesgos de Gestión'!$S$35="Menor"),CONCATENATE("R",'Riesgos de Gestión'!$A$35),"")</f>
        <v/>
      </c>
      <c r="U40" s="388"/>
      <c r="V40" s="395" t="str">
        <f>IF(AND('Riesgos de Gestión'!$O$23="Muy Baja",'Riesgos de Gestión'!$S$23="Moderado"),CONCATENATE("R",'Riesgos de Gestión'!$A$23),"")</f>
        <v/>
      </c>
      <c r="W40" s="396"/>
      <c r="X40" s="396" t="str">
        <f>IF(AND('Riesgos de Gestión'!$O$29="Muy Baja",'Riesgos de Gestión'!$S$29="Moderado"),CONCATENATE("R",'Riesgos de Gestión'!$A$29),"")</f>
        <v/>
      </c>
      <c r="Y40" s="396"/>
      <c r="Z40" s="396" t="str">
        <f>IF(AND('Riesgos de Gestión'!$O$35="Muy Baja",'Riesgos de Gestión'!$S$35="Moderado"),CONCATENATE("R",'Riesgos de Gestión'!$A$35),"")</f>
        <v/>
      </c>
      <c r="AA40" s="397"/>
      <c r="AB40" s="413" t="str">
        <f>IF(AND('Riesgos de Gestión'!$O$23="Muy Baja",'Riesgos de Gestión'!$S$23="Mayor"),CONCATENATE("R",'Riesgos de Gestión'!$A$23),"")</f>
        <v/>
      </c>
      <c r="AC40" s="414"/>
      <c r="AD40" s="414" t="str">
        <f>IF(AND('Riesgos de Gestión'!$O$29="Muy Baja",'Riesgos de Gestión'!$S$29="Mayor"),CONCATENATE("R",'Riesgos de Gestión'!$A$29),"")</f>
        <v/>
      </c>
      <c r="AE40" s="414"/>
      <c r="AF40" s="414" t="str">
        <f>IF(AND('Riesgos de Gestión'!$O$35="Muy Baja",'Riesgos de Gestión'!$S$35="Mayor"),CONCATENATE("R",'Riesgos de Gestión'!$A$35),"")</f>
        <v/>
      </c>
      <c r="AG40" s="415"/>
      <c r="AH40" s="404" t="str">
        <f>IF(AND('Riesgos de Gestión'!$O$23="Muy Baja",'Riesgos de Gestión'!$S$23="Catastrófico"),CONCATENATE("R",'Riesgos de Gestión'!$A$23),"")</f>
        <v/>
      </c>
      <c r="AI40" s="405"/>
      <c r="AJ40" s="405" t="str">
        <f>IF(AND('Riesgos de Gestión'!$O$29="Muy Baja",'Riesgos de Gestión'!$S$29="Catastrófico"),CONCATENATE("R",'Riesgos de Gestión'!$A$29),"")</f>
        <v/>
      </c>
      <c r="AK40" s="405"/>
      <c r="AL40" s="405" t="str">
        <f>IF(AND('Riesgos de Gestión'!$O$35="Muy Baja",'Riesgos de Gestión'!$S$35="Catastrófico"),CONCATENATE("R",'Riesgos de Gestión'!$A$35),"")</f>
        <v/>
      </c>
      <c r="AM40" s="40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33"/>
      <c r="C41" s="433"/>
      <c r="D41" s="434"/>
      <c r="E41" s="426"/>
      <c r="F41" s="427"/>
      <c r="G41" s="427"/>
      <c r="H41" s="427"/>
      <c r="I41" s="428"/>
      <c r="J41" s="386"/>
      <c r="K41" s="387"/>
      <c r="L41" s="387"/>
      <c r="M41" s="387"/>
      <c r="N41" s="387"/>
      <c r="O41" s="388"/>
      <c r="P41" s="386"/>
      <c r="Q41" s="387"/>
      <c r="R41" s="387"/>
      <c r="S41" s="387"/>
      <c r="T41" s="387"/>
      <c r="U41" s="388"/>
      <c r="V41" s="395"/>
      <c r="W41" s="396"/>
      <c r="X41" s="396"/>
      <c r="Y41" s="396"/>
      <c r="Z41" s="396"/>
      <c r="AA41" s="397"/>
      <c r="AB41" s="413"/>
      <c r="AC41" s="414"/>
      <c r="AD41" s="414"/>
      <c r="AE41" s="414"/>
      <c r="AF41" s="414"/>
      <c r="AG41" s="415"/>
      <c r="AH41" s="404"/>
      <c r="AI41" s="405"/>
      <c r="AJ41" s="405"/>
      <c r="AK41" s="405"/>
      <c r="AL41" s="405"/>
      <c r="AM41" s="40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33"/>
      <c r="C42" s="433"/>
      <c r="D42" s="434"/>
      <c r="E42" s="426"/>
      <c r="F42" s="427"/>
      <c r="G42" s="427"/>
      <c r="H42" s="427"/>
      <c r="I42" s="428"/>
      <c r="J42" s="386" t="str">
        <f>IF(AND('Riesgos de Gestión'!$O$41="Muy Baja",'Riesgos de Gestión'!$S$41="Leve"),CONCATENATE("R",'Riesgos de Gestión'!$A$41),"")</f>
        <v/>
      </c>
      <c r="K42" s="387"/>
      <c r="L42" s="387" t="str">
        <f>IF(AND('Riesgos de Gestión'!$O$47="Muy Baja",'Riesgos de Gestión'!$S$47="Leve"),CONCATENATE("R",'Riesgos de Gestión'!$A$47),"")</f>
        <v/>
      </c>
      <c r="M42" s="387"/>
      <c r="N42" s="387" t="str">
        <f>IF(AND('Riesgos de Gestión'!$O$53="Muy Baja",'Riesgos de Gestión'!$S$53="Leve"),CONCATENATE("R",'Riesgos de Gestión'!$A$53),"")</f>
        <v/>
      </c>
      <c r="O42" s="388"/>
      <c r="P42" s="386" t="str">
        <f>IF(AND('Riesgos de Gestión'!$O$41="Muy Baja",'Riesgos de Gestión'!$S$41="Menor"),CONCATENATE("R",'Riesgos de Gestión'!$A$41),"")</f>
        <v/>
      </c>
      <c r="Q42" s="387"/>
      <c r="R42" s="387" t="str">
        <f>IF(AND('Riesgos de Gestión'!$O$47="Muy Baja",'Riesgos de Gestión'!$S$47="Menor"),CONCATENATE("R",'Riesgos de Gestión'!$A$47),"")</f>
        <v/>
      </c>
      <c r="S42" s="387"/>
      <c r="T42" s="387" t="str">
        <f>IF(AND('Riesgos de Gestión'!$O$53="Muy Baja",'Riesgos de Gestión'!$S$53="Menor"),CONCATENATE("R",'Riesgos de Gestión'!$A$53),"")</f>
        <v/>
      </c>
      <c r="U42" s="388"/>
      <c r="V42" s="395" t="str">
        <f>IF(AND('Riesgos de Gestión'!$O$41="Muy Baja",'Riesgos de Gestión'!$S$41="Moderado"),CONCATENATE("R",'Riesgos de Gestión'!$A$41),"")</f>
        <v/>
      </c>
      <c r="W42" s="396"/>
      <c r="X42" s="396" t="str">
        <f>IF(AND('Riesgos de Gestión'!$O$47="Muy Baja",'Riesgos de Gestión'!$S$47="Moderado"),CONCATENATE("R",'Riesgos de Gestión'!$A$47),"")</f>
        <v/>
      </c>
      <c r="Y42" s="396"/>
      <c r="Z42" s="396" t="str">
        <f>IF(AND('Riesgos de Gestión'!$O$53="Muy Baja",'Riesgos de Gestión'!$S$53="Moderado"),CONCATENATE("R",'Riesgos de Gestión'!$A$53),"")</f>
        <v/>
      </c>
      <c r="AA42" s="397"/>
      <c r="AB42" s="413" t="str">
        <f>IF(AND('Riesgos de Gestión'!$O$41="Muy Baja",'Riesgos de Gestión'!$S$41="Mayor"),CONCATENATE("R",'Riesgos de Gestión'!$A$41),"")</f>
        <v/>
      </c>
      <c r="AC42" s="414"/>
      <c r="AD42" s="414" t="str">
        <f>IF(AND('Riesgos de Gestión'!$O$47="Muy Baja",'Riesgos de Gestión'!$S$47="Mayor"),CONCATENATE("R",'Riesgos de Gestión'!$A$47),"")</f>
        <v/>
      </c>
      <c r="AE42" s="414"/>
      <c r="AF42" s="414" t="str">
        <f>IF(AND('Riesgos de Gestión'!$O$53="Muy Baja",'Riesgos de Gestión'!$S$53="Mayor"),CONCATENATE("R",'Riesgos de Gestión'!$A$53),"")</f>
        <v/>
      </c>
      <c r="AG42" s="415"/>
      <c r="AH42" s="404" t="str">
        <f>IF(AND('Riesgos de Gestión'!$O$41="Muy Baja",'Riesgos de Gestión'!$S$41="Catastrófico"),CONCATENATE("R",'Riesgos de Gestión'!$A$41),"")</f>
        <v/>
      </c>
      <c r="AI42" s="405"/>
      <c r="AJ42" s="405" t="str">
        <f>IF(AND('Riesgos de Gestión'!$O$47="Muy Baja",'Riesgos de Gestión'!$S$47="Catastrófico"),CONCATENATE("R",'Riesgos de Gestión'!$A$47),"")</f>
        <v/>
      </c>
      <c r="AK42" s="405"/>
      <c r="AL42" s="405" t="str">
        <f>IF(AND('Riesgos de Gestión'!$O$53="Muy Baja",'Riesgos de Gestión'!$S$53="Catastrófico"),CONCATENATE("R",'Riesgos de Gestión'!$A$53),"")</f>
        <v/>
      </c>
      <c r="AM42" s="40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33"/>
      <c r="C43" s="433"/>
      <c r="D43" s="434"/>
      <c r="E43" s="426"/>
      <c r="F43" s="427"/>
      <c r="G43" s="427"/>
      <c r="H43" s="427"/>
      <c r="I43" s="428"/>
      <c r="J43" s="386"/>
      <c r="K43" s="387"/>
      <c r="L43" s="387"/>
      <c r="M43" s="387"/>
      <c r="N43" s="387"/>
      <c r="O43" s="388"/>
      <c r="P43" s="386"/>
      <c r="Q43" s="387"/>
      <c r="R43" s="387"/>
      <c r="S43" s="387"/>
      <c r="T43" s="387"/>
      <c r="U43" s="388"/>
      <c r="V43" s="395"/>
      <c r="W43" s="396"/>
      <c r="X43" s="396"/>
      <c r="Y43" s="396"/>
      <c r="Z43" s="396"/>
      <c r="AA43" s="397"/>
      <c r="AB43" s="413"/>
      <c r="AC43" s="414"/>
      <c r="AD43" s="414"/>
      <c r="AE43" s="414"/>
      <c r="AF43" s="414"/>
      <c r="AG43" s="415"/>
      <c r="AH43" s="404"/>
      <c r="AI43" s="405"/>
      <c r="AJ43" s="405"/>
      <c r="AK43" s="405"/>
      <c r="AL43" s="405"/>
      <c r="AM43" s="40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33"/>
      <c r="C44" s="433"/>
      <c r="D44" s="434"/>
      <c r="E44" s="426"/>
      <c r="F44" s="427"/>
      <c r="G44" s="427"/>
      <c r="H44" s="427"/>
      <c r="I44" s="428"/>
      <c r="J44" s="386" t="str">
        <f>IF(AND('Riesgos de Gestión'!$O$59="Muy Baja",'Riesgos de Gestión'!$S$59="Leve"),CONCATENATE("R",'Riesgos de Gestión'!$A$59),"")</f>
        <v/>
      </c>
      <c r="K44" s="387"/>
      <c r="L44" s="387" t="str">
        <f>IF(AND('Riesgos de Gestión'!$P$65="Muy Baja",'Riesgos de Gestión'!$T$65="Leve"),CONCATENATE("R",'Riesgos de Gestión'!$A$65),"")</f>
        <v/>
      </c>
      <c r="M44" s="387"/>
      <c r="N44" s="387" t="str">
        <f>IF(AND('Riesgos de Gestión'!$P$71="Muy Baja",'Riesgos de Gestión'!$T$71="Leve"),CONCATENATE("R",'Riesgos de Gestión'!$A$71),"")</f>
        <v/>
      </c>
      <c r="O44" s="388"/>
      <c r="P44" s="386" t="str">
        <f>IF(AND('Riesgos de Gestión'!$O$59="Muy Baja",'Riesgos de Gestión'!$S$59="Menor"),CONCATENATE("R",'Riesgos de Gestión'!$A$59),"")</f>
        <v/>
      </c>
      <c r="Q44" s="387"/>
      <c r="R44" s="387" t="str">
        <f>IF(AND('Riesgos de Gestión'!$P$65="Muy Baja",'Riesgos de Gestión'!$T$65="Menor"),CONCATENATE("R",'Riesgos de Gestión'!$A$65),"")</f>
        <v/>
      </c>
      <c r="S44" s="387"/>
      <c r="T44" s="387" t="str">
        <f>IF(AND('Riesgos de Gestión'!$P$71="Muy Baja",'Riesgos de Gestión'!$T$71="Menor"),CONCATENATE("R",'Riesgos de Gestión'!$A$71),"")</f>
        <v/>
      </c>
      <c r="U44" s="388"/>
      <c r="V44" s="395" t="str">
        <f>IF(AND('Riesgos de Gestión'!$O$59="Muy Baja",'Riesgos de Gestión'!$S$59="Moderado"),CONCATENATE("R",'Riesgos de Gestión'!$A$59),"")</f>
        <v/>
      </c>
      <c r="W44" s="396"/>
      <c r="X44" s="396" t="str">
        <f>IF(AND('Riesgos de Gestión'!$P$65="Muy Baja",'Riesgos de Gestión'!$T$65="Moderado"),CONCATENATE("R",'Riesgos de Gestión'!$A$65),"")</f>
        <v/>
      </c>
      <c r="Y44" s="396"/>
      <c r="Z44" s="396" t="str">
        <f>IF(AND('Riesgos de Gestión'!$P$71="Muy Baja",'Riesgos de Gestión'!$T$71="Moderado"),CONCATENATE("R",'Riesgos de Gestión'!$A$71),"")</f>
        <v/>
      </c>
      <c r="AA44" s="397"/>
      <c r="AB44" s="413" t="str">
        <f>IF(AND('Riesgos de Gestión'!$O$59="Muy Baja",'Riesgos de Gestión'!$S$59="Mayor"),CONCATENATE("R",'Riesgos de Gestión'!$A$59),"")</f>
        <v/>
      </c>
      <c r="AC44" s="414"/>
      <c r="AD44" s="414" t="str">
        <f>IF(AND('Riesgos de Gestión'!$P$65="Muy Baja",'Riesgos de Gestión'!$T$65="Mayor"),CONCATENATE("R",'Riesgos de Gestión'!$A$65),"")</f>
        <v/>
      </c>
      <c r="AE44" s="414"/>
      <c r="AF44" s="414" t="str">
        <f>IF(AND('Riesgos de Gestión'!$P$71="Muy Baja",'Riesgos de Gestión'!$T$71="Mayor"),CONCATENATE("R",'Riesgos de Gestión'!$A$71),"")</f>
        <v/>
      </c>
      <c r="AG44" s="415"/>
      <c r="AH44" s="404" t="str">
        <f>IF(AND('Riesgos de Gestión'!$O$59="Muy Baja",'Riesgos de Gestión'!$S$59="Catastrófico"),CONCATENATE("R",'Riesgos de Gestión'!$A$59),"")</f>
        <v/>
      </c>
      <c r="AI44" s="405"/>
      <c r="AJ44" s="405" t="str">
        <f>IF(AND('Riesgos de Gestión'!$P$65="Muy Baja",'Riesgos de Gestión'!$T$65="Catastrófico"),CONCATENATE("R",'Riesgos de Gestión'!$A$65),"")</f>
        <v/>
      </c>
      <c r="AK44" s="405"/>
      <c r="AL44" s="405" t="str">
        <f>IF(AND('Riesgos de Gestión'!$P$71="Muy Baja",'Riesgos de Gestión'!$T$71="Catastrófico"),CONCATENATE("R",'Riesgos de Gestión'!$A$71),"")</f>
        <v/>
      </c>
      <c r="AM44" s="40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33"/>
      <c r="C45" s="433"/>
      <c r="D45" s="434"/>
      <c r="E45" s="429"/>
      <c r="F45" s="430"/>
      <c r="G45" s="430"/>
      <c r="H45" s="430"/>
      <c r="I45" s="431"/>
      <c r="J45" s="389"/>
      <c r="K45" s="390"/>
      <c r="L45" s="390"/>
      <c r="M45" s="390"/>
      <c r="N45" s="390"/>
      <c r="O45" s="391"/>
      <c r="P45" s="389"/>
      <c r="Q45" s="390"/>
      <c r="R45" s="390"/>
      <c r="S45" s="390"/>
      <c r="T45" s="390"/>
      <c r="U45" s="391"/>
      <c r="V45" s="398"/>
      <c r="W45" s="399"/>
      <c r="X45" s="399"/>
      <c r="Y45" s="399"/>
      <c r="Z45" s="399"/>
      <c r="AA45" s="400"/>
      <c r="AB45" s="416"/>
      <c r="AC45" s="417"/>
      <c r="AD45" s="417"/>
      <c r="AE45" s="417"/>
      <c r="AF45" s="417"/>
      <c r="AG45" s="418"/>
      <c r="AH45" s="407"/>
      <c r="AI45" s="408"/>
      <c r="AJ45" s="408"/>
      <c r="AK45" s="408"/>
      <c r="AL45" s="408"/>
      <c r="AM45" s="40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3" t="s">
        <v>274</v>
      </c>
      <c r="K46" s="424"/>
      <c r="L46" s="424"/>
      <c r="M46" s="424"/>
      <c r="N46" s="424"/>
      <c r="O46" s="425"/>
      <c r="P46" s="423" t="s">
        <v>275</v>
      </c>
      <c r="Q46" s="424"/>
      <c r="R46" s="424"/>
      <c r="S46" s="424"/>
      <c r="T46" s="424"/>
      <c r="U46" s="425"/>
      <c r="V46" s="423" t="s">
        <v>276</v>
      </c>
      <c r="W46" s="424"/>
      <c r="X46" s="424"/>
      <c r="Y46" s="424"/>
      <c r="Z46" s="424"/>
      <c r="AA46" s="425"/>
      <c r="AB46" s="423" t="s">
        <v>277</v>
      </c>
      <c r="AC46" s="432"/>
      <c r="AD46" s="424"/>
      <c r="AE46" s="424"/>
      <c r="AF46" s="424"/>
      <c r="AG46" s="425"/>
      <c r="AH46" s="423" t="s">
        <v>278</v>
      </c>
      <c r="AI46" s="424"/>
      <c r="AJ46" s="424"/>
      <c r="AK46" s="424"/>
      <c r="AL46" s="424"/>
      <c r="AM46" s="425"/>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26"/>
      <c r="K47" s="427"/>
      <c r="L47" s="427"/>
      <c r="M47" s="427"/>
      <c r="N47" s="427"/>
      <c r="O47" s="428"/>
      <c r="P47" s="426"/>
      <c r="Q47" s="427"/>
      <c r="R47" s="427"/>
      <c r="S47" s="427"/>
      <c r="T47" s="427"/>
      <c r="U47" s="428"/>
      <c r="V47" s="426"/>
      <c r="W47" s="427"/>
      <c r="X47" s="427"/>
      <c r="Y47" s="427"/>
      <c r="Z47" s="427"/>
      <c r="AA47" s="428"/>
      <c r="AB47" s="426"/>
      <c r="AC47" s="427"/>
      <c r="AD47" s="427"/>
      <c r="AE47" s="427"/>
      <c r="AF47" s="427"/>
      <c r="AG47" s="428"/>
      <c r="AH47" s="426"/>
      <c r="AI47" s="427"/>
      <c r="AJ47" s="427"/>
      <c r="AK47" s="427"/>
      <c r="AL47" s="427"/>
      <c r="AM47" s="428"/>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26"/>
      <c r="K48" s="427"/>
      <c r="L48" s="427"/>
      <c r="M48" s="427"/>
      <c r="N48" s="427"/>
      <c r="O48" s="428"/>
      <c r="P48" s="426"/>
      <c r="Q48" s="427"/>
      <c r="R48" s="427"/>
      <c r="S48" s="427"/>
      <c r="T48" s="427"/>
      <c r="U48" s="428"/>
      <c r="V48" s="426"/>
      <c r="W48" s="427"/>
      <c r="X48" s="427"/>
      <c r="Y48" s="427"/>
      <c r="Z48" s="427"/>
      <c r="AA48" s="428"/>
      <c r="AB48" s="426"/>
      <c r="AC48" s="427"/>
      <c r="AD48" s="427"/>
      <c r="AE48" s="427"/>
      <c r="AF48" s="427"/>
      <c r="AG48" s="428"/>
      <c r="AH48" s="426"/>
      <c r="AI48" s="427"/>
      <c r="AJ48" s="427"/>
      <c r="AK48" s="427"/>
      <c r="AL48" s="427"/>
      <c r="AM48" s="428"/>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26"/>
      <c r="K49" s="427"/>
      <c r="L49" s="427"/>
      <c r="M49" s="427"/>
      <c r="N49" s="427"/>
      <c r="O49" s="428"/>
      <c r="P49" s="426"/>
      <c r="Q49" s="427"/>
      <c r="R49" s="427"/>
      <c r="S49" s="427"/>
      <c r="T49" s="427"/>
      <c r="U49" s="428"/>
      <c r="V49" s="426"/>
      <c r="W49" s="427"/>
      <c r="X49" s="427"/>
      <c r="Y49" s="427"/>
      <c r="Z49" s="427"/>
      <c r="AA49" s="428"/>
      <c r="AB49" s="426"/>
      <c r="AC49" s="427"/>
      <c r="AD49" s="427"/>
      <c r="AE49" s="427"/>
      <c r="AF49" s="427"/>
      <c r="AG49" s="428"/>
      <c r="AH49" s="426"/>
      <c r="AI49" s="427"/>
      <c r="AJ49" s="427"/>
      <c r="AK49" s="427"/>
      <c r="AL49" s="427"/>
      <c r="AM49" s="428"/>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26"/>
      <c r="K50" s="427"/>
      <c r="L50" s="427"/>
      <c r="M50" s="427"/>
      <c r="N50" s="427"/>
      <c r="O50" s="428"/>
      <c r="P50" s="426"/>
      <c r="Q50" s="427"/>
      <c r="R50" s="427"/>
      <c r="S50" s="427"/>
      <c r="T50" s="427"/>
      <c r="U50" s="428"/>
      <c r="V50" s="426"/>
      <c r="W50" s="427"/>
      <c r="X50" s="427"/>
      <c r="Y50" s="427"/>
      <c r="Z50" s="427"/>
      <c r="AA50" s="428"/>
      <c r="AB50" s="426"/>
      <c r="AC50" s="427"/>
      <c r="AD50" s="427"/>
      <c r="AE50" s="427"/>
      <c r="AF50" s="427"/>
      <c r="AG50" s="428"/>
      <c r="AH50" s="426"/>
      <c r="AI50" s="427"/>
      <c r="AJ50" s="427"/>
      <c r="AK50" s="427"/>
      <c r="AL50" s="427"/>
      <c r="AM50" s="428"/>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29"/>
      <c r="K51" s="430"/>
      <c r="L51" s="430"/>
      <c r="M51" s="430"/>
      <c r="N51" s="430"/>
      <c r="O51" s="431"/>
      <c r="P51" s="429"/>
      <c r="Q51" s="430"/>
      <c r="R51" s="430"/>
      <c r="S51" s="430"/>
      <c r="T51" s="430"/>
      <c r="U51" s="431"/>
      <c r="V51" s="429"/>
      <c r="W51" s="430"/>
      <c r="X51" s="430"/>
      <c r="Y51" s="430"/>
      <c r="Z51" s="430"/>
      <c r="AA51" s="431"/>
      <c r="AB51" s="429"/>
      <c r="AC51" s="430"/>
      <c r="AD51" s="430"/>
      <c r="AE51" s="430"/>
      <c r="AF51" s="430"/>
      <c r="AG51" s="431"/>
      <c r="AH51" s="429"/>
      <c r="AI51" s="430"/>
      <c r="AJ51" s="430"/>
      <c r="AK51" s="430"/>
      <c r="AL51" s="430"/>
      <c r="AM51" s="431"/>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16"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00" t="s">
        <v>279</v>
      </c>
      <c r="C2" s="501"/>
      <c r="D2" s="501"/>
      <c r="E2" s="501"/>
      <c r="F2" s="501"/>
      <c r="G2" s="501"/>
      <c r="H2" s="501"/>
      <c r="I2" s="501"/>
      <c r="J2" s="422" t="s">
        <v>15</v>
      </c>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01"/>
      <c r="C3" s="501"/>
      <c r="D3" s="501"/>
      <c r="E3" s="501"/>
      <c r="F3" s="501"/>
      <c r="G3" s="501"/>
      <c r="H3" s="501"/>
      <c r="I3" s="501"/>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01"/>
      <c r="C4" s="501"/>
      <c r="D4" s="501"/>
      <c r="E4" s="501"/>
      <c r="F4" s="501"/>
      <c r="G4" s="501"/>
      <c r="H4" s="501"/>
      <c r="I4" s="501"/>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33" t="s">
        <v>264</v>
      </c>
      <c r="C6" s="433"/>
      <c r="D6" s="434"/>
      <c r="E6" s="471" t="s">
        <v>265</v>
      </c>
      <c r="F6" s="472"/>
      <c r="G6" s="472"/>
      <c r="H6" s="472"/>
      <c r="I6" s="473"/>
      <c r="J6" s="29" t="str">
        <f>IF(AND('Riesgos de Gestión'!$AF$13="Muy Alta",'Riesgos de Gestión'!$AH$13="Leve"),CONCATENATE("R1C",'Riesgos de Gestión'!$V$13),"")</f>
        <v/>
      </c>
      <c r="K6" s="30" t="str">
        <f>IF(AND('Riesgos de Gestión'!$AF$14="Muy Alta",'Riesgos de Gestión'!$AH$14="Leve"),CONCATENATE("R1C",'Riesgos de Gestión'!$V$14),"")</f>
        <v/>
      </c>
      <c r="L6" s="30" t="e">
        <f>IF(AND('Riesgos de Gestión'!#REF!="Muy Alta",'Riesgos de Gestión'!#REF!="Leve"),CONCATENATE("R1C",'Riesgos de Gestión'!#REF!),"")</f>
        <v>#REF!</v>
      </c>
      <c r="M6" s="30" t="e">
        <f>IF(AND('Riesgos de Gestión'!#REF!="Muy Alta",'Riesgos de Gestión'!#REF!="Leve"),CONCATENATE("R1C",'Riesgos de Gestión'!#REF!),"")</f>
        <v>#REF!</v>
      </c>
      <c r="N6" s="30" t="e">
        <f>IF(AND('Riesgos de Gestión'!#REF!="Muy Alta",'Riesgos de Gestión'!#REF!="Leve"),CONCATENATE("R1C",'Riesgos de Gestión'!#REF!),"")</f>
        <v>#REF!</v>
      </c>
      <c r="O6" s="31" t="e">
        <f>IF(AND('Riesgos de Gestión'!#REF!="Muy Alta",'Riesgos de Gestión'!#REF!="Leve"),CONCATENATE("R1C",'Riesgos de Gestión'!#REF!),"")</f>
        <v>#REF!</v>
      </c>
      <c r="P6" s="29" t="str">
        <f>IF(AND('Riesgos de Gestión'!$AF$13="Muy Alta",'Riesgos de Gestión'!$AH$13="Menor"),CONCATENATE("R1C",'Riesgos de Gestión'!$V$13),"")</f>
        <v/>
      </c>
      <c r="Q6" s="30" t="str">
        <f>IF(AND('Riesgos de Gestión'!$AF$14="Muy Alta",'Riesgos de Gestión'!$AH$14="Menor"),CONCATENATE("R1C",'Riesgos de Gestión'!$V$14),"")</f>
        <v/>
      </c>
      <c r="R6" s="30" t="e">
        <f>IF(AND('Riesgos de Gestión'!#REF!="Muy Alta",'Riesgos de Gestión'!#REF!="Menor"),CONCATENATE("R1C",'Riesgos de Gestión'!#REF!),"")</f>
        <v>#REF!</v>
      </c>
      <c r="S6" s="30" t="e">
        <f>IF(AND('Riesgos de Gestión'!#REF!="Muy Alta",'Riesgos de Gestión'!#REF!="Menor"),CONCATENATE("R1C",'Riesgos de Gestión'!#REF!),"")</f>
        <v>#REF!</v>
      </c>
      <c r="T6" s="30" t="e">
        <f>IF(AND('Riesgos de Gestión'!#REF!="Muy Alta",'Riesgos de Gestión'!#REF!="Menor"),CONCATENATE("R1C",'Riesgos de Gestión'!#REF!),"")</f>
        <v>#REF!</v>
      </c>
      <c r="U6" s="31" t="e">
        <f>IF(AND('Riesgos de Gestión'!#REF!="Muy Alta",'Riesgos de Gestión'!#REF!="Menor"),CONCATENATE("R1C",'Riesgos de Gestión'!#REF!),"")</f>
        <v>#REF!</v>
      </c>
      <c r="V6" s="29" t="str">
        <f>IF(AND('Riesgos de Gestión'!$AF$13="Muy Alta",'Riesgos de Gestión'!$AH$13="Moderado"),CONCATENATE("R1C",'Riesgos de Gestión'!$V$13),"")</f>
        <v/>
      </c>
      <c r="W6" s="30" t="str">
        <f>IF(AND('Riesgos de Gestión'!$AF$14="Muy Alta",'Riesgos de Gestión'!$AH$14="Moderado"),CONCATENATE("R1C",'Riesgos de Gestión'!$V$14),"")</f>
        <v/>
      </c>
      <c r="X6" s="30" t="e">
        <f>IF(AND('Riesgos de Gestión'!#REF!="Muy Alta",'Riesgos de Gestión'!#REF!="Moderado"),CONCATENATE("R1C",'Riesgos de Gestión'!#REF!),"")</f>
        <v>#REF!</v>
      </c>
      <c r="Y6" s="30" t="e">
        <f>IF(AND('Riesgos de Gestión'!#REF!="Muy Alta",'Riesgos de Gestión'!#REF!="Moderado"),CONCATENATE("R1C",'Riesgos de Gestión'!#REF!),"")</f>
        <v>#REF!</v>
      </c>
      <c r="Z6" s="30" t="e">
        <f>IF(AND('Riesgos de Gestión'!#REF!="Muy Alta",'Riesgos de Gestión'!#REF!="Moderado"),CONCATENATE("R1C",'Riesgos de Gestión'!#REF!),"")</f>
        <v>#REF!</v>
      </c>
      <c r="AA6" s="31" t="e">
        <f>IF(AND('Riesgos de Gestión'!#REF!="Muy Alta",'Riesgos de Gestión'!#REF!="Moderado"),CONCATENATE("R1C",'Riesgos de Gestión'!#REF!),"")</f>
        <v>#REF!</v>
      </c>
      <c r="AB6" s="29" t="str">
        <f>IF(AND('Riesgos de Gestión'!$AF$13="Muy Alta",'Riesgos de Gestión'!$AH$13="Mayor"),CONCATENATE("R1C",'Riesgos de Gestión'!$V$13),"")</f>
        <v/>
      </c>
      <c r="AC6" s="30" t="str">
        <f>IF(AND('Riesgos de Gestión'!$AF$14="Muy Alta",'Riesgos de Gestión'!$AH$14="Mayor"),CONCATENATE("R1C",'Riesgos de Gestión'!$V$14),"")</f>
        <v/>
      </c>
      <c r="AD6" s="30" t="e">
        <f>IF(AND('Riesgos de Gestión'!#REF!="Muy Alta",'Riesgos de Gestión'!#REF!="Mayor"),CONCATENATE("R1C",'Riesgos de Gestión'!#REF!),"")</f>
        <v>#REF!</v>
      </c>
      <c r="AE6" s="30" t="e">
        <f>IF(AND('Riesgos de Gestión'!#REF!="Muy Alta",'Riesgos de Gestión'!#REF!="Mayor"),CONCATENATE("R1C",'Riesgos de Gestión'!#REF!),"")</f>
        <v>#REF!</v>
      </c>
      <c r="AF6" s="30" t="e">
        <f>IF(AND('Riesgos de Gestión'!#REF!="Muy Alta",'Riesgos de Gestión'!#REF!="Mayor"),CONCATENATE("R1C",'Riesgos de Gestión'!#REF!),"")</f>
        <v>#REF!</v>
      </c>
      <c r="AG6" s="31" t="e">
        <f>IF(AND('Riesgos de Gestión'!#REF!="Muy Alta",'Riesgos de Gestión'!#REF!="Mayor"),CONCATENATE("R1C",'Riesgos de Gestión'!#REF!),"")</f>
        <v>#REF!</v>
      </c>
      <c r="AH6" s="32" t="str">
        <f>IF(AND('Riesgos de Gestión'!$AF$13="Muy Alta",'Riesgos de Gestión'!$AH$13="Catastrófico"),CONCATENATE("R1C",'Riesgos de Gestión'!$V$13),"")</f>
        <v/>
      </c>
      <c r="AI6" s="33" t="str">
        <f>IF(AND('Riesgos de Gestión'!$AF$14="Muy Alta",'Riesgos de Gestión'!$AH$14="Catastrófico"),CONCATENATE("R1C",'Riesgos de Gestión'!$V$14),"")</f>
        <v/>
      </c>
      <c r="AJ6" s="33" t="e">
        <f>IF(AND('Riesgos de Gestión'!#REF!="Muy Alta",'Riesgos de Gestión'!#REF!="Catastrófico"),CONCATENATE("R1C",'Riesgos de Gestión'!#REF!),"")</f>
        <v>#REF!</v>
      </c>
      <c r="AK6" s="33" t="e">
        <f>IF(AND('Riesgos de Gestión'!#REF!="Muy Alta",'Riesgos de Gestión'!#REF!="Catastrófico"),CONCATENATE("R1C",'Riesgos de Gestión'!#REF!),"")</f>
        <v>#REF!</v>
      </c>
      <c r="AL6" s="33" t="e">
        <f>IF(AND('Riesgos de Gestión'!#REF!="Muy Alta",'Riesgos de Gestión'!#REF!="Catastrófico"),CONCATENATE("R1C",'Riesgos de Gestión'!#REF!),"")</f>
        <v>#REF!</v>
      </c>
      <c r="AM6" s="34" t="e">
        <f>IF(AND('Riesgos de Gestión'!#REF!="Muy Alta",'Riesgos de Gestión'!#REF!="Catastrófico"),CONCATENATE("R1C",'Riesgos de Gestión'!#REF!),"")</f>
        <v>#REF!</v>
      </c>
      <c r="AN6" s="66"/>
      <c r="AO6" s="491" t="s">
        <v>266</v>
      </c>
      <c r="AP6" s="492"/>
      <c r="AQ6" s="492"/>
      <c r="AR6" s="492"/>
      <c r="AS6" s="492"/>
      <c r="AT6" s="49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33"/>
      <c r="C7" s="433"/>
      <c r="D7" s="434"/>
      <c r="E7" s="474"/>
      <c r="F7" s="475"/>
      <c r="G7" s="475"/>
      <c r="H7" s="475"/>
      <c r="I7" s="476"/>
      <c r="J7" s="35" t="str">
        <f>IF(AND('Riesgos de Gestión'!$AF$15="Muy Alta",'Riesgos de Gestión'!$AH$15="Leve"),CONCATENATE("R2C",'Riesgos de Gestión'!$V$15),"")</f>
        <v/>
      </c>
      <c r="K7" s="36" t="str">
        <f>IF(AND('Riesgos de Gestión'!$AF$16="Muy Alta",'Riesgos de Gestión'!$AH$16="Leve"),CONCATENATE("R2C",'Riesgos de Gestión'!$V$16),"")</f>
        <v/>
      </c>
      <c r="L7" s="36" t="e">
        <f>IF(AND('Riesgos de Gestión'!#REF!="Muy Alta",'Riesgos de Gestión'!#REF!="Leve"),CONCATENATE("R2C",'Riesgos de Gestión'!#REF!),"")</f>
        <v>#REF!</v>
      </c>
      <c r="M7" s="36" t="e">
        <f>IF(AND('Riesgos de Gestión'!#REF!="Muy Alta",'Riesgos de Gestión'!#REF!="Leve"),CONCATENATE("R2C",'Riesgos de Gestión'!#REF!),"")</f>
        <v>#REF!</v>
      </c>
      <c r="N7" s="36" t="e">
        <f>IF(AND('Riesgos de Gestión'!#REF!="Muy Alta",'Riesgos de Gestión'!#REF!="Leve"),CONCATENATE("R2C",'Riesgos de Gestión'!#REF!),"")</f>
        <v>#REF!</v>
      </c>
      <c r="O7" s="37" t="e">
        <f>IF(AND('Riesgos de Gestión'!#REF!="Muy Alta",'Riesgos de Gestión'!#REF!="Leve"),CONCATENATE("R2C",'Riesgos de Gestión'!#REF!),"")</f>
        <v>#REF!</v>
      </c>
      <c r="P7" s="35" t="str">
        <f>IF(AND('Riesgos de Gestión'!$AF$15="Muy Alta",'Riesgos de Gestión'!$AH$15="Menor"),CONCATENATE("R2C",'Riesgos de Gestión'!$V$15),"")</f>
        <v/>
      </c>
      <c r="Q7" s="36" t="str">
        <f>IF(AND('Riesgos de Gestión'!$AF$16="Muy Alta",'Riesgos de Gestión'!$AH$16="Menor"),CONCATENATE("R2C",'Riesgos de Gestión'!$V$16),"")</f>
        <v/>
      </c>
      <c r="R7" s="36" t="e">
        <f>IF(AND('Riesgos de Gestión'!#REF!="Muy Alta",'Riesgos de Gestión'!#REF!="Menor"),CONCATENATE("R2C",'Riesgos de Gestión'!#REF!),"")</f>
        <v>#REF!</v>
      </c>
      <c r="S7" s="36" t="e">
        <f>IF(AND('Riesgos de Gestión'!#REF!="Muy Alta",'Riesgos de Gestión'!#REF!="Menor"),CONCATENATE("R2C",'Riesgos de Gestión'!#REF!),"")</f>
        <v>#REF!</v>
      </c>
      <c r="T7" s="36" t="e">
        <f>IF(AND('Riesgos de Gestión'!#REF!="Muy Alta",'Riesgos de Gestión'!#REF!="Menor"),CONCATENATE("R2C",'Riesgos de Gestión'!#REF!),"")</f>
        <v>#REF!</v>
      </c>
      <c r="U7" s="37" t="e">
        <f>IF(AND('Riesgos de Gestión'!#REF!="Muy Alta",'Riesgos de Gestión'!#REF!="Menor"),CONCATENATE("R2C",'Riesgos de Gestión'!#REF!),"")</f>
        <v>#REF!</v>
      </c>
      <c r="V7" s="35" t="str">
        <f>IF(AND('Riesgos de Gestión'!$AF$15="Muy Alta",'Riesgos de Gestión'!$AH$15="Moderado"),CONCATENATE("R2C",'Riesgos de Gestión'!$V$15),"")</f>
        <v/>
      </c>
      <c r="W7" s="36" t="str">
        <f>IF(AND('Riesgos de Gestión'!$AF$16="Muy Alta",'Riesgos de Gestión'!$AH$16="Moderado"),CONCATENATE("R2C",'Riesgos de Gestión'!$V$16),"")</f>
        <v/>
      </c>
      <c r="X7" s="36" t="e">
        <f>IF(AND('Riesgos de Gestión'!#REF!="Muy Alta",'Riesgos de Gestión'!#REF!="Moderado"),CONCATENATE("R2C",'Riesgos de Gestión'!#REF!),"")</f>
        <v>#REF!</v>
      </c>
      <c r="Y7" s="36" t="e">
        <f>IF(AND('Riesgos de Gestión'!#REF!="Muy Alta",'Riesgos de Gestión'!#REF!="Moderado"),CONCATENATE("R2C",'Riesgos de Gestión'!#REF!),"")</f>
        <v>#REF!</v>
      </c>
      <c r="Z7" s="36" t="e">
        <f>IF(AND('Riesgos de Gestión'!#REF!="Muy Alta",'Riesgos de Gestión'!#REF!="Moderado"),CONCATENATE("R2C",'Riesgos de Gestión'!#REF!),"")</f>
        <v>#REF!</v>
      </c>
      <c r="AA7" s="37" t="e">
        <f>IF(AND('Riesgos de Gestión'!#REF!="Muy Alta",'Riesgos de Gestión'!#REF!="Moderado"),CONCATENATE("R2C",'Riesgos de Gestión'!#REF!),"")</f>
        <v>#REF!</v>
      </c>
      <c r="AB7" s="35" t="str">
        <f>IF(AND('Riesgos de Gestión'!$AF$15="Muy Alta",'Riesgos de Gestión'!$AH$15="Mayor"),CONCATENATE("R2C",'Riesgos de Gestión'!$V$15),"")</f>
        <v/>
      </c>
      <c r="AC7" s="36" t="str">
        <f>IF(AND('Riesgos de Gestión'!$AF$16="Muy Alta",'Riesgos de Gestión'!$AH$16="Mayor"),CONCATENATE("R2C",'Riesgos de Gestión'!$V$16),"")</f>
        <v/>
      </c>
      <c r="AD7" s="36" t="e">
        <f>IF(AND('Riesgos de Gestión'!#REF!="Muy Alta",'Riesgos de Gestión'!#REF!="Mayor"),CONCATENATE("R2C",'Riesgos de Gestión'!#REF!),"")</f>
        <v>#REF!</v>
      </c>
      <c r="AE7" s="36" t="e">
        <f>IF(AND('Riesgos de Gestión'!#REF!="Muy Alta",'Riesgos de Gestión'!#REF!="Mayor"),CONCATENATE("R2C",'Riesgos de Gestión'!#REF!),"")</f>
        <v>#REF!</v>
      </c>
      <c r="AF7" s="36" t="e">
        <f>IF(AND('Riesgos de Gestión'!#REF!="Muy Alta",'Riesgos de Gestión'!#REF!="Mayor"),CONCATENATE("R2C",'Riesgos de Gestión'!#REF!),"")</f>
        <v>#REF!</v>
      </c>
      <c r="AG7" s="37" t="e">
        <f>IF(AND('Riesgos de Gestión'!#REF!="Muy Alta",'Riesgos de Gestión'!#REF!="Mayor"),CONCATENATE("R2C",'Riesgos de Gestión'!#REF!),"")</f>
        <v>#REF!</v>
      </c>
      <c r="AH7" s="38" t="str">
        <f>IF(AND('Riesgos de Gestión'!$AF$15="Muy Alta",'Riesgos de Gestión'!$AH$15="Catastrófico"),CONCATENATE("R2C",'Riesgos de Gestión'!$V$15),"")</f>
        <v/>
      </c>
      <c r="AI7" s="39" t="str">
        <f>IF(AND('Riesgos de Gestión'!$AF$16="Muy Alta",'Riesgos de Gestión'!$AH$16="Catastrófico"),CONCATENATE("R2C",'Riesgos de Gestión'!$V$16),"")</f>
        <v/>
      </c>
      <c r="AJ7" s="39" t="e">
        <f>IF(AND('Riesgos de Gestión'!#REF!="Muy Alta",'Riesgos de Gestión'!#REF!="Catastrófico"),CONCATENATE("R2C",'Riesgos de Gestión'!#REF!),"")</f>
        <v>#REF!</v>
      </c>
      <c r="AK7" s="39" t="e">
        <f>IF(AND('Riesgos de Gestión'!#REF!="Muy Alta",'Riesgos de Gestión'!#REF!="Catastrófico"),CONCATENATE("R2C",'Riesgos de Gestión'!#REF!),"")</f>
        <v>#REF!</v>
      </c>
      <c r="AL7" s="39" t="e">
        <f>IF(AND('Riesgos de Gestión'!#REF!="Muy Alta",'Riesgos de Gestión'!#REF!="Catastrófico"),CONCATENATE("R2C",'Riesgos de Gestión'!#REF!),"")</f>
        <v>#REF!</v>
      </c>
      <c r="AM7" s="40" t="e">
        <f>IF(AND('Riesgos de Gestión'!#REF!="Muy Alta",'Riesgos de Gestión'!#REF!="Catastrófico"),CONCATENATE("R2C",'Riesgos de Gestión'!#REF!),"")</f>
        <v>#REF!</v>
      </c>
      <c r="AN7" s="66"/>
      <c r="AO7" s="494"/>
      <c r="AP7" s="495"/>
      <c r="AQ7" s="495"/>
      <c r="AR7" s="495"/>
      <c r="AS7" s="495"/>
      <c r="AT7" s="49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33"/>
      <c r="C8" s="433"/>
      <c r="D8" s="434"/>
      <c r="E8" s="474"/>
      <c r="F8" s="475"/>
      <c r="G8" s="475"/>
      <c r="H8" s="475"/>
      <c r="I8" s="476"/>
      <c r="J8" s="35" t="str">
        <f>IF(AND('Riesgos de Gestión'!$AF$17="Muy Alta",'Riesgos de Gestión'!$AH$17="Leve"),CONCATENATE("R3C",'Riesgos de Gestión'!$V$17),"")</f>
        <v/>
      </c>
      <c r="K8" s="36" t="str">
        <f>IF(AND('Riesgos de Gestión'!$AF$18="Muy Alta",'Riesgos de Gestión'!$AH$18="Leve"),CONCATENATE("R3C",'Riesgos de Gestión'!$V$18),"")</f>
        <v/>
      </c>
      <c r="L8" s="36" t="str">
        <f>IF(AND('Riesgos de Gestión'!$AF$19="Muy Alta",'Riesgos de Gestión'!$AH$19="Leve"),CONCATENATE("R3C",'Riesgos de Gestión'!$V$19),"")</f>
        <v/>
      </c>
      <c r="M8" s="36" t="str">
        <f>IF(AND('Riesgos de Gestión'!$AF$20="Muy Alta",'Riesgos de Gestión'!$AH$20="Leve"),CONCATENATE("R3C",'Riesgos de Gestión'!$V$20),"")</f>
        <v/>
      </c>
      <c r="N8" s="36" t="str">
        <f>IF(AND('Riesgos de Gestión'!$AF$21="Muy Alta",'Riesgos de Gestión'!$AH$21="Leve"),CONCATENATE("R3C",'Riesgos de Gestión'!$V$21),"")</f>
        <v/>
      </c>
      <c r="O8" s="37" t="str">
        <f>IF(AND('Riesgos de Gestión'!$AF$22="Muy Alta",'Riesgos de Gestión'!$AH$22="Leve"),CONCATENATE("R3C",'Riesgos de Gestión'!$V$22),"")</f>
        <v/>
      </c>
      <c r="P8" s="35" t="str">
        <f>IF(AND('Riesgos de Gestión'!$AF$17="Muy Alta",'Riesgos de Gestión'!$AH$17="Menor"),CONCATENATE("R3C",'Riesgos de Gestión'!$V$17),"")</f>
        <v/>
      </c>
      <c r="Q8" s="36" t="str">
        <f>IF(AND('Riesgos de Gestión'!$AF$18="Muy Alta",'Riesgos de Gestión'!$AH$18="Menor"),CONCATENATE("R3C",'Riesgos de Gestión'!$V$18),"")</f>
        <v/>
      </c>
      <c r="R8" s="36" t="str">
        <f>IF(AND('Riesgos de Gestión'!$AF$19="Muy Alta",'Riesgos de Gestión'!$AH$19="Menor"),CONCATENATE("R3C",'Riesgos de Gestión'!$V$19),"")</f>
        <v/>
      </c>
      <c r="S8" s="36" t="str">
        <f>IF(AND('Riesgos de Gestión'!$AF$20="Muy Alta",'Riesgos de Gestión'!$AH$20="Menor"),CONCATENATE("R3C",'Riesgos de Gestión'!$V$20),"")</f>
        <v/>
      </c>
      <c r="T8" s="36" t="str">
        <f>IF(AND('Riesgos de Gestión'!$AF$21="Muy Alta",'Riesgos de Gestión'!$AH$21="Menor"),CONCATENATE("R3C",'Riesgos de Gestión'!$V$21),"")</f>
        <v/>
      </c>
      <c r="U8" s="37" t="str">
        <f>IF(AND('Riesgos de Gestión'!$AF$22="Muy Alta",'Riesgos de Gestión'!$AH$22="Menor"),CONCATENATE("R3C",'Riesgos de Gestión'!$V$22),"")</f>
        <v/>
      </c>
      <c r="V8" s="35" t="str">
        <f>IF(AND('Riesgos de Gestión'!$AF$17="Muy Alta",'Riesgos de Gestión'!$AH$17="Moderado"),CONCATENATE("R3C",'Riesgos de Gestión'!$V$17),"")</f>
        <v/>
      </c>
      <c r="W8" s="36" t="str">
        <f>IF(AND('Riesgos de Gestión'!$AF$18="Muy Alta",'Riesgos de Gestión'!$AH$18="Moderado"),CONCATENATE("R3C",'Riesgos de Gestión'!$V$18),"")</f>
        <v/>
      </c>
      <c r="X8" s="36" t="str">
        <f>IF(AND('Riesgos de Gestión'!$AF$19="Muy Alta",'Riesgos de Gestión'!$AH$19="Moderado"),CONCATENATE("R3C",'Riesgos de Gestión'!$V$19),"")</f>
        <v/>
      </c>
      <c r="Y8" s="36" t="str">
        <f>IF(AND('Riesgos de Gestión'!$AF$20="Muy Alta",'Riesgos de Gestión'!$AH$20="Moderado"),CONCATENATE("R3C",'Riesgos de Gestión'!$V$20),"")</f>
        <v/>
      </c>
      <c r="Z8" s="36" t="str">
        <f>IF(AND('Riesgos de Gestión'!$AF$21="Muy Alta",'Riesgos de Gestión'!$AH$21="Moderado"),CONCATENATE("R3C",'Riesgos de Gestión'!$V$21),"")</f>
        <v/>
      </c>
      <c r="AA8" s="37" t="str">
        <f>IF(AND('Riesgos de Gestión'!$AF$22="Muy Alta",'Riesgos de Gestión'!$AH$22="Moderado"),CONCATENATE("R3C",'Riesgos de Gestión'!$V$22),"")</f>
        <v/>
      </c>
      <c r="AB8" s="35" t="str">
        <f>IF(AND('Riesgos de Gestión'!$AF$17="Muy Alta",'Riesgos de Gestión'!$AH$17="Mayor"),CONCATENATE("R3C",'Riesgos de Gestión'!$V$17),"")</f>
        <v/>
      </c>
      <c r="AC8" s="36" t="str">
        <f>IF(AND('Riesgos de Gestión'!$AF$18="Muy Alta",'Riesgos de Gestión'!$AH$18="Mayor"),CONCATENATE("R3C",'Riesgos de Gestión'!$V$18),"")</f>
        <v/>
      </c>
      <c r="AD8" s="36" t="str">
        <f>IF(AND('Riesgos de Gestión'!$AF$19="Muy Alta",'Riesgos de Gestión'!$AH$19="Mayor"),CONCATENATE("R3C",'Riesgos de Gestión'!$V$19),"")</f>
        <v/>
      </c>
      <c r="AE8" s="36" t="str">
        <f>IF(AND('Riesgos de Gestión'!$AF$20="Muy Alta",'Riesgos de Gestión'!$AH$20="Mayor"),CONCATENATE("R3C",'Riesgos de Gestión'!$V$20),"")</f>
        <v/>
      </c>
      <c r="AF8" s="36" t="str">
        <f>IF(AND('Riesgos de Gestión'!$AF$21="Muy Alta",'Riesgos de Gestión'!$AH$21="Mayor"),CONCATENATE("R3C",'Riesgos de Gestión'!$V$21),"")</f>
        <v/>
      </c>
      <c r="AG8" s="37" t="str">
        <f>IF(AND('Riesgos de Gestión'!$AF$22="Muy Alta",'Riesgos de Gestión'!$AH$22="Mayor"),CONCATENATE("R3C",'Riesgos de Gestión'!$V$22),"")</f>
        <v/>
      </c>
      <c r="AH8" s="38" t="str">
        <f>IF(AND('Riesgos de Gestión'!$AF$17="Muy Alta",'Riesgos de Gestión'!$AH$17="Catastrófico"),CONCATENATE("R3C",'Riesgos de Gestión'!$V$17),"")</f>
        <v/>
      </c>
      <c r="AI8" s="39" t="str">
        <f>IF(AND('Riesgos de Gestión'!$AF$18="Muy Alta",'Riesgos de Gestión'!$AH$18="Catastrófico"),CONCATENATE("R3C",'Riesgos de Gestión'!$V$18),"")</f>
        <v/>
      </c>
      <c r="AJ8" s="39" t="str">
        <f>IF(AND('Riesgos de Gestión'!$AF$19="Muy Alta",'Riesgos de Gestión'!$AH$19="Catastrófico"),CONCATENATE("R3C",'Riesgos de Gestión'!$V$19),"")</f>
        <v/>
      </c>
      <c r="AK8" s="39" t="str">
        <f>IF(AND('Riesgos de Gestión'!$AF$20="Muy Alta",'Riesgos de Gestión'!$AH$20="Catastrófico"),CONCATENATE("R3C",'Riesgos de Gestión'!$V$20),"")</f>
        <v/>
      </c>
      <c r="AL8" s="39" t="str">
        <f>IF(AND('Riesgos de Gestión'!$AF$21="Muy Alta",'Riesgos de Gestión'!$AH$21="Catastrófico"),CONCATENATE("R3C",'Riesgos de Gestión'!$V$21),"")</f>
        <v/>
      </c>
      <c r="AM8" s="40" t="str">
        <f>IF(AND('Riesgos de Gestión'!$AF$22="Muy Alta",'Riesgos de Gestión'!$AH$22="Catastrófico"),CONCATENATE("R3C",'Riesgos de Gestión'!$V$22),"")</f>
        <v/>
      </c>
      <c r="AN8" s="66"/>
      <c r="AO8" s="494"/>
      <c r="AP8" s="495"/>
      <c r="AQ8" s="495"/>
      <c r="AR8" s="495"/>
      <c r="AS8" s="495"/>
      <c r="AT8" s="49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33"/>
      <c r="C9" s="433"/>
      <c r="D9" s="434"/>
      <c r="E9" s="474"/>
      <c r="F9" s="475"/>
      <c r="G9" s="475"/>
      <c r="H9" s="475"/>
      <c r="I9" s="476"/>
      <c r="J9" s="35" t="str">
        <f>IF(AND('Riesgos de Gestión'!$AF$23="Muy Alta",'Riesgos de Gestión'!$AH$23="Leve"),CONCATENATE("R4C",'Riesgos de Gestión'!$V$23),"")</f>
        <v/>
      </c>
      <c r="K9" s="36" t="str">
        <f>IF(AND('Riesgos de Gestión'!$AF$24="Muy Alta",'Riesgos de Gestión'!$AH$24="Leve"),CONCATENATE("R4C",'Riesgos de Gestión'!$V$24),"")</f>
        <v/>
      </c>
      <c r="L9" s="36" t="str">
        <f>IF(AND('Riesgos de Gestión'!$AF$25="Muy Alta",'Riesgos de Gestión'!$AH$25="Leve"),CONCATENATE("R4C",'Riesgos de Gestión'!$V$25),"")</f>
        <v/>
      </c>
      <c r="M9" s="36" t="str">
        <f>IF(AND('Riesgos de Gestión'!$AF$26="Muy Alta",'Riesgos de Gestión'!$AH$26="Leve"),CONCATENATE("R4C",'Riesgos de Gestión'!$V$26),"")</f>
        <v/>
      </c>
      <c r="N9" s="36" t="str">
        <f>IF(AND('Riesgos de Gestión'!$AF$27="Muy Alta",'Riesgos de Gestión'!$AH$27="Leve"),CONCATENATE("R4C",'Riesgos de Gestión'!$V$27),"")</f>
        <v/>
      </c>
      <c r="O9" s="37" t="str">
        <f>IF(AND('Riesgos de Gestión'!$AF$28="Muy Alta",'Riesgos de Gestión'!$AH$28="Leve"),CONCATENATE("R4C",'Riesgos de Gestión'!$V$28),"")</f>
        <v/>
      </c>
      <c r="P9" s="35" t="str">
        <f>IF(AND('Riesgos de Gestión'!$AF$23="Muy Alta",'Riesgos de Gestión'!$AH$23="Menor"),CONCATENATE("R4C",'Riesgos de Gestión'!$V$23),"")</f>
        <v/>
      </c>
      <c r="Q9" s="36" t="str">
        <f>IF(AND('Riesgos de Gestión'!$AF$24="Muy Alta",'Riesgos de Gestión'!$AH$24="Menor"),CONCATENATE("R4C",'Riesgos de Gestión'!$V$24),"")</f>
        <v/>
      </c>
      <c r="R9" s="36" t="str">
        <f>IF(AND('Riesgos de Gestión'!$AF$25="Muy Alta",'Riesgos de Gestión'!$AH$25="Menor"),CONCATENATE("R4C",'Riesgos de Gestión'!$V$25),"")</f>
        <v/>
      </c>
      <c r="S9" s="36" t="str">
        <f>IF(AND('Riesgos de Gestión'!$AF$26="Muy Alta",'Riesgos de Gestión'!$AH$26="Menor"),CONCATENATE("R4C",'Riesgos de Gestión'!$V$26),"")</f>
        <v/>
      </c>
      <c r="T9" s="36" t="str">
        <f>IF(AND('Riesgos de Gestión'!$AF$27="Muy Alta",'Riesgos de Gestión'!$AH$27="Menor"),CONCATENATE("R4C",'Riesgos de Gestión'!$V$27),"")</f>
        <v/>
      </c>
      <c r="U9" s="37" t="str">
        <f>IF(AND('Riesgos de Gestión'!$AF$28="Muy Alta",'Riesgos de Gestión'!$AH$28="Menor"),CONCATENATE("R4C",'Riesgos de Gestión'!$V$28),"")</f>
        <v/>
      </c>
      <c r="V9" s="35" t="str">
        <f>IF(AND('Riesgos de Gestión'!$AF$23="Muy Alta",'Riesgos de Gestión'!$AH$23="Moderado"),CONCATENATE("R4C",'Riesgos de Gestión'!$V$23),"")</f>
        <v/>
      </c>
      <c r="W9" s="36" t="str">
        <f>IF(AND('Riesgos de Gestión'!$AF$24="Muy Alta",'Riesgos de Gestión'!$AH$24="Moderado"),CONCATENATE("R4C",'Riesgos de Gestión'!$V$24),"")</f>
        <v/>
      </c>
      <c r="X9" s="36" t="str">
        <f>IF(AND('Riesgos de Gestión'!$AF$25="Muy Alta",'Riesgos de Gestión'!$AH$25="Moderado"),CONCATENATE("R4C",'Riesgos de Gestión'!$V$25),"")</f>
        <v/>
      </c>
      <c r="Y9" s="36" t="str">
        <f>IF(AND('Riesgos de Gestión'!$AF$26="Muy Alta",'Riesgos de Gestión'!$AH$26="Moderado"),CONCATENATE("R4C",'Riesgos de Gestión'!$V$26),"")</f>
        <v/>
      </c>
      <c r="Z9" s="36" t="str">
        <f>IF(AND('Riesgos de Gestión'!$AF$27="Muy Alta",'Riesgos de Gestión'!$AH$27="Moderado"),CONCATENATE("R4C",'Riesgos de Gestión'!$V$27),"")</f>
        <v/>
      </c>
      <c r="AA9" s="37" t="str">
        <f>IF(AND('Riesgos de Gestión'!$AF$28="Muy Alta",'Riesgos de Gestión'!$AH$28="Moderado"),CONCATENATE("R4C",'Riesgos de Gestión'!$V$28),"")</f>
        <v/>
      </c>
      <c r="AB9" s="35" t="str">
        <f>IF(AND('Riesgos de Gestión'!$AF$23="Muy Alta",'Riesgos de Gestión'!$AH$23="Mayor"),CONCATENATE("R4C",'Riesgos de Gestión'!$V$23),"")</f>
        <v/>
      </c>
      <c r="AC9" s="36" t="str">
        <f>IF(AND('Riesgos de Gestión'!$AF$24="Muy Alta",'Riesgos de Gestión'!$AH$24="Mayor"),CONCATENATE("R4C",'Riesgos de Gestión'!$V$24),"")</f>
        <v/>
      </c>
      <c r="AD9" s="36" t="str">
        <f>IF(AND('Riesgos de Gestión'!$AF$25="Muy Alta",'Riesgos de Gestión'!$AH$25="Mayor"),CONCATENATE("R4C",'Riesgos de Gestión'!$V$25),"")</f>
        <v/>
      </c>
      <c r="AE9" s="36" t="str">
        <f>IF(AND('Riesgos de Gestión'!$AF$26="Muy Alta",'Riesgos de Gestión'!$AH$26="Mayor"),CONCATENATE("R4C",'Riesgos de Gestión'!$V$26),"")</f>
        <v/>
      </c>
      <c r="AF9" s="36" t="str">
        <f>IF(AND('Riesgos de Gestión'!$AF$27="Muy Alta",'Riesgos de Gestión'!$AH$27="Mayor"),CONCATENATE("R4C",'Riesgos de Gestión'!$V$27),"")</f>
        <v/>
      </c>
      <c r="AG9" s="37" t="str">
        <f>IF(AND('Riesgos de Gestión'!$AF$28="Muy Alta",'Riesgos de Gestión'!$AH$28="Mayor"),CONCATENATE("R4C",'Riesgos de Gestión'!$V$28),"")</f>
        <v/>
      </c>
      <c r="AH9" s="38" t="str">
        <f>IF(AND('Riesgos de Gestión'!$AF$23="Muy Alta",'Riesgos de Gestión'!$AH$23="Catastrófico"),CONCATENATE("R4C",'Riesgos de Gestión'!$V$23),"")</f>
        <v/>
      </c>
      <c r="AI9" s="39" t="str">
        <f>IF(AND('Riesgos de Gestión'!$AF$24="Muy Alta",'Riesgos de Gestión'!$AH$24="Catastrófico"),CONCATENATE("R4C",'Riesgos de Gestión'!$V$24),"")</f>
        <v/>
      </c>
      <c r="AJ9" s="39" t="str">
        <f>IF(AND('Riesgos de Gestión'!$AF$25="Muy Alta",'Riesgos de Gestión'!$AH$25="Catastrófico"),CONCATENATE("R4C",'Riesgos de Gestión'!$V$25),"")</f>
        <v/>
      </c>
      <c r="AK9" s="39" t="str">
        <f>IF(AND('Riesgos de Gestión'!$AF$26="Muy Alta",'Riesgos de Gestión'!$AH$26="Catastrófico"),CONCATENATE("R4C",'Riesgos de Gestión'!$V$26),"")</f>
        <v/>
      </c>
      <c r="AL9" s="39" t="str">
        <f>IF(AND('Riesgos de Gestión'!$AF$27="Muy Alta",'Riesgos de Gestión'!$AH$27="Catastrófico"),CONCATENATE("R4C",'Riesgos de Gestión'!$V$27),"")</f>
        <v/>
      </c>
      <c r="AM9" s="40" t="str">
        <f>IF(AND('Riesgos de Gestión'!$AF$28="Muy Alta",'Riesgos de Gestión'!$AH$28="Catastrófico"),CONCATENATE("R4C",'Riesgos de Gestión'!$V$28),"")</f>
        <v/>
      </c>
      <c r="AN9" s="66"/>
      <c r="AO9" s="494"/>
      <c r="AP9" s="495"/>
      <c r="AQ9" s="495"/>
      <c r="AR9" s="495"/>
      <c r="AS9" s="495"/>
      <c r="AT9" s="49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33"/>
      <c r="C10" s="433"/>
      <c r="D10" s="434"/>
      <c r="E10" s="474"/>
      <c r="F10" s="475"/>
      <c r="G10" s="475"/>
      <c r="H10" s="475"/>
      <c r="I10" s="476"/>
      <c r="J10" s="35" t="str">
        <f>IF(AND('Riesgos de Gestión'!$AF$29="Muy Alta",'Riesgos de Gestión'!$AH$29="Leve"),CONCATENATE("R5C",'Riesgos de Gestión'!$V$29),"")</f>
        <v/>
      </c>
      <c r="K10" s="36" t="str">
        <f>IF(AND('Riesgos de Gestión'!$AF$30="Muy Alta",'Riesgos de Gestión'!$AH$30="Leve"),CONCATENATE("R5C",'Riesgos de Gestión'!$V$30),"")</f>
        <v/>
      </c>
      <c r="L10" s="36" t="str">
        <f>IF(AND('Riesgos de Gestión'!$AF$31="Muy Alta",'Riesgos de Gestión'!$AH$31="Leve"),CONCATENATE("R5C",'Riesgos de Gestión'!$V$31),"")</f>
        <v/>
      </c>
      <c r="M10" s="36" t="str">
        <f>IF(AND('Riesgos de Gestión'!$AF$32="Muy Alta",'Riesgos de Gestión'!$AH$32="Leve"),CONCATENATE("R5C",'Riesgos de Gestión'!$V$32),"")</f>
        <v/>
      </c>
      <c r="N10" s="36" t="str">
        <f>IF(AND('Riesgos de Gestión'!$AF$33="Muy Alta",'Riesgos de Gestión'!$AH$33="Leve"),CONCATENATE("R5C",'Riesgos de Gestión'!$V$33),"")</f>
        <v/>
      </c>
      <c r="O10" s="37" t="str">
        <f>IF(AND('Riesgos de Gestión'!$AF$34="Muy Alta",'Riesgos de Gestión'!$AH$34="Leve"),CONCATENATE("R5C",'Riesgos de Gestión'!$V$34),"")</f>
        <v/>
      </c>
      <c r="P10" s="35" t="str">
        <f>IF(AND('Riesgos de Gestión'!$AF$29="Muy Alta",'Riesgos de Gestión'!$AH$29="Menor"),CONCATENATE("R5C",'Riesgos de Gestión'!$V$29),"")</f>
        <v/>
      </c>
      <c r="Q10" s="36" t="str">
        <f>IF(AND('Riesgos de Gestión'!$AF$30="Muy Alta",'Riesgos de Gestión'!$AH$30="Menor"),CONCATENATE("R5C",'Riesgos de Gestión'!$V$30),"")</f>
        <v/>
      </c>
      <c r="R10" s="36" t="str">
        <f>IF(AND('Riesgos de Gestión'!$AF$31="Muy Alta",'Riesgos de Gestión'!$AH$31="Menor"),CONCATENATE("R5C",'Riesgos de Gestión'!$V$31),"")</f>
        <v/>
      </c>
      <c r="S10" s="36" t="str">
        <f>IF(AND('Riesgos de Gestión'!$AF$32="Muy Alta",'Riesgos de Gestión'!$AH$32="Menor"),CONCATENATE("R5C",'Riesgos de Gestión'!$V$32),"")</f>
        <v/>
      </c>
      <c r="T10" s="36" t="str">
        <f>IF(AND('Riesgos de Gestión'!$AF$33="Muy Alta",'Riesgos de Gestión'!$AH$33="Menor"),CONCATENATE("R5C",'Riesgos de Gestión'!$V$33),"")</f>
        <v/>
      </c>
      <c r="U10" s="37" t="str">
        <f>IF(AND('Riesgos de Gestión'!$AF$34="Muy Alta",'Riesgos de Gestión'!$AH$34="Menor"),CONCATENATE("R5C",'Riesgos de Gestión'!$V$34),"")</f>
        <v/>
      </c>
      <c r="V10" s="35" t="str">
        <f>IF(AND('Riesgos de Gestión'!$AF$29="Muy Alta",'Riesgos de Gestión'!$AH$29="Moderado"),CONCATENATE("R5C",'Riesgos de Gestión'!$V$29),"")</f>
        <v/>
      </c>
      <c r="W10" s="36" t="str">
        <f>IF(AND('Riesgos de Gestión'!$AF$30="Muy Alta",'Riesgos de Gestión'!$AH$30="Moderado"),CONCATENATE("R5C",'Riesgos de Gestión'!$V$30),"")</f>
        <v/>
      </c>
      <c r="X10" s="36" t="str">
        <f>IF(AND('Riesgos de Gestión'!$AF$31="Muy Alta",'Riesgos de Gestión'!$AH$31="Moderado"),CONCATENATE("R5C",'Riesgos de Gestión'!$V$31),"")</f>
        <v/>
      </c>
      <c r="Y10" s="36" t="str">
        <f>IF(AND('Riesgos de Gestión'!$AF$32="Muy Alta",'Riesgos de Gestión'!$AH$32="Moderado"),CONCATENATE("R5C",'Riesgos de Gestión'!$V$32),"")</f>
        <v/>
      </c>
      <c r="Z10" s="36" t="str">
        <f>IF(AND('Riesgos de Gestión'!$AF$33="Muy Alta",'Riesgos de Gestión'!$AH$33="Moderado"),CONCATENATE("R5C",'Riesgos de Gestión'!$V$33),"")</f>
        <v/>
      </c>
      <c r="AA10" s="37" t="str">
        <f>IF(AND('Riesgos de Gestión'!$AF$34="Muy Alta",'Riesgos de Gestión'!$AH$34="Moderado"),CONCATENATE("R5C",'Riesgos de Gestión'!$V$34),"")</f>
        <v/>
      </c>
      <c r="AB10" s="35" t="str">
        <f>IF(AND('Riesgos de Gestión'!$AF$29="Muy Alta",'Riesgos de Gestión'!$AH$29="Mayor"),CONCATENATE("R5C",'Riesgos de Gestión'!$V$29),"")</f>
        <v/>
      </c>
      <c r="AC10" s="36" t="str">
        <f>IF(AND('Riesgos de Gestión'!$AF$30="Muy Alta",'Riesgos de Gestión'!$AH$30="Mayor"),CONCATENATE("R5C",'Riesgos de Gestión'!$V$30),"")</f>
        <v/>
      </c>
      <c r="AD10" s="36" t="str">
        <f>IF(AND('Riesgos de Gestión'!$AF$31="Muy Alta",'Riesgos de Gestión'!$AH$31="Mayor"),CONCATENATE("R5C",'Riesgos de Gestión'!$V$31),"")</f>
        <v/>
      </c>
      <c r="AE10" s="36" t="str">
        <f>IF(AND('Riesgos de Gestión'!$AF$32="Muy Alta",'Riesgos de Gestión'!$AH$32="Mayor"),CONCATENATE("R5C",'Riesgos de Gestión'!$V$32),"")</f>
        <v/>
      </c>
      <c r="AF10" s="36" t="str">
        <f>IF(AND('Riesgos de Gestión'!$AF$33="Muy Alta",'Riesgos de Gestión'!$AH$33="Mayor"),CONCATENATE("R5C",'Riesgos de Gestión'!$V$33),"")</f>
        <v/>
      </c>
      <c r="AG10" s="37" t="str">
        <f>IF(AND('Riesgos de Gestión'!$AF$34="Muy Alta",'Riesgos de Gestión'!$AH$34="Mayor"),CONCATENATE("R5C",'Riesgos de Gestión'!$V$34),"")</f>
        <v/>
      </c>
      <c r="AH10" s="38" t="str">
        <f>IF(AND('Riesgos de Gestión'!$AF$29="Muy Alta",'Riesgos de Gestión'!$AH$29="Catastrófico"),CONCATENATE("R5C",'Riesgos de Gestión'!$V$29),"")</f>
        <v/>
      </c>
      <c r="AI10" s="39" t="str">
        <f>IF(AND('Riesgos de Gestión'!$AF$30="Muy Alta",'Riesgos de Gestión'!$AH$30="Catastrófico"),CONCATENATE("R5C",'Riesgos de Gestión'!$V$30),"")</f>
        <v/>
      </c>
      <c r="AJ10" s="39" t="str">
        <f>IF(AND('Riesgos de Gestión'!$AF$31="Muy Alta",'Riesgos de Gestión'!$AH$31="Catastrófico"),CONCATENATE("R5C",'Riesgos de Gestión'!$V$31),"")</f>
        <v/>
      </c>
      <c r="AK10" s="39" t="str">
        <f>IF(AND('Riesgos de Gestión'!$AF$32="Muy Alta",'Riesgos de Gestión'!$AH$32="Catastrófico"),CONCATENATE("R5C",'Riesgos de Gestión'!$V$32),"")</f>
        <v/>
      </c>
      <c r="AL10" s="39" t="str">
        <f>IF(AND('Riesgos de Gestión'!$AF$33="Muy Alta",'Riesgos de Gestión'!$AH$33="Catastrófico"),CONCATENATE("R5C",'Riesgos de Gestión'!$V$33),"")</f>
        <v/>
      </c>
      <c r="AM10" s="40" t="str">
        <f>IF(AND('Riesgos de Gestión'!$AF$34="Muy Alta",'Riesgos de Gestión'!$AH$34="Catastrófico"),CONCATENATE("R5C",'Riesgos de Gestión'!$V$34),"")</f>
        <v/>
      </c>
      <c r="AN10" s="66"/>
      <c r="AO10" s="494"/>
      <c r="AP10" s="495"/>
      <c r="AQ10" s="495"/>
      <c r="AR10" s="495"/>
      <c r="AS10" s="495"/>
      <c r="AT10" s="49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33"/>
      <c r="C11" s="433"/>
      <c r="D11" s="434"/>
      <c r="E11" s="474"/>
      <c r="F11" s="475"/>
      <c r="G11" s="475"/>
      <c r="H11" s="475"/>
      <c r="I11" s="476"/>
      <c r="J11" s="35" t="str">
        <f>IF(AND('Riesgos de Gestión'!$AF$35="Muy Alta",'Riesgos de Gestión'!$AH$35="Leve"),CONCATENATE("R6C",'Riesgos de Gestión'!$V$35),"")</f>
        <v/>
      </c>
      <c r="K11" s="36" t="str">
        <f>IF(AND('Riesgos de Gestión'!$AF$36="Muy Alta",'Riesgos de Gestión'!$AH$36="Leve"),CONCATENATE("R6C",'Riesgos de Gestión'!$V$36),"")</f>
        <v/>
      </c>
      <c r="L11" s="36" t="str">
        <f>IF(AND('Riesgos de Gestión'!$AF$37="Muy Alta",'Riesgos de Gestión'!$AH$37="Leve"),CONCATENATE("R6C",'Riesgos de Gestión'!$V$37),"")</f>
        <v/>
      </c>
      <c r="M11" s="36" t="str">
        <f>IF(AND('Riesgos de Gestión'!$AF$38="Muy Alta",'Riesgos de Gestión'!$AH$38="Leve"),CONCATENATE("R6C",'Riesgos de Gestión'!$V$38),"")</f>
        <v/>
      </c>
      <c r="N11" s="36" t="str">
        <f>IF(AND('Riesgos de Gestión'!$AF$39="Muy Alta",'Riesgos de Gestión'!$AH$39="Leve"),CONCATENATE("R6C",'Riesgos de Gestión'!$V$39),"")</f>
        <v/>
      </c>
      <c r="O11" s="37" t="str">
        <f>IF(AND('Riesgos de Gestión'!$AF$40="Muy Alta",'Riesgos de Gestión'!$AH$40="Leve"),CONCATENATE("R6C",'Riesgos de Gestión'!$V$40),"")</f>
        <v/>
      </c>
      <c r="P11" s="35" t="str">
        <f>IF(AND('Riesgos de Gestión'!$AF$35="Muy Alta",'Riesgos de Gestión'!$AH$35="Menor"),CONCATENATE("R6C",'Riesgos de Gestión'!$V$35),"")</f>
        <v/>
      </c>
      <c r="Q11" s="36" t="str">
        <f>IF(AND('Riesgos de Gestión'!$AF$36="Muy Alta",'Riesgos de Gestión'!$AH$36="Menor"),CONCATENATE("R6C",'Riesgos de Gestión'!$V$36),"")</f>
        <v/>
      </c>
      <c r="R11" s="36" t="str">
        <f>IF(AND('Riesgos de Gestión'!$AF$37="Muy Alta",'Riesgos de Gestión'!$AH$37="Menor"),CONCATENATE("R6C",'Riesgos de Gestión'!$V$37),"")</f>
        <v/>
      </c>
      <c r="S11" s="36" t="str">
        <f>IF(AND('Riesgos de Gestión'!$AF$38="Muy Alta",'Riesgos de Gestión'!$AH$38="Menor"),CONCATENATE("R6C",'Riesgos de Gestión'!$V$38),"")</f>
        <v/>
      </c>
      <c r="T11" s="36" t="str">
        <f>IF(AND('Riesgos de Gestión'!$AF$39="Muy Alta",'Riesgos de Gestión'!$AH$39="Menor"),CONCATENATE("R6C",'Riesgos de Gestión'!$V$39),"")</f>
        <v/>
      </c>
      <c r="U11" s="37" t="str">
        <f>IF(AND('Riesgos de Gestión'!$AF$40="Muy Alta",'Riesgos de Gestión'!$AH$40="Menor"),CONCATENATE("R6C",'Riesgos de Gestión'!$V$40),"")</f>
        <v/>
      </c>
      <c r="V11" s="35" t="str">
        <f>IF(AND('Riesgos de Gestión'!$AF$35="Muy Alta",'Riesgos de Gestión'!$AH$35="Moderado"),CONCATENATE("R6C",'Riesgos de Gestión'!$V$35),"")</f>
        <v/>
      </c>
      <c r="W11" s="36" t="str">
        <f>IF(AND('Riesgos de Gestión'!$AF$36="Muy Alta",'Riesgos de Gestión'!$AH$36="Moderado"),CONCATENATE("R6C",'Riesgos de Gestión'!$V$36),"")</f>
        <v/>
      </c>
      <c r="X11" s="36" t="str">
        <f>IF(AND('Riesgos de Gestión'!$AF$37="Muy Alta",'Riesgos de Gestión'!$AH$37="Moderado"),CONCATENATE("R6C",'Riesgos de Gestión'!$V$37),"")</f>
        <v/>
      </c>
      <c r="Y11" s="36" t="str">
        <f>IF(AND('Riesgos de Gestión'!$AF$38="Muy Alta",'Riesgos de Gestión'!$AH$38="Moderado"),CONCATENATE("R6C",'Riesgos de Gestión'!$V$38),"")</f>
        <v/>
      </c>
      <c r="Z11" s="36" t="str">
        <f>IF(AND('Riesgos de Gestión'!$AF$39="Muy Alta",'Riesgos de Gestión'!$AH$39="Moderado"),CONCATENATE("R6C",'Riesgos de Gestión'!$V$39),"")</f>
        <v/>
      </c>
      <c r="AA11" s="37" t="str">
        <f>IF(AND('Riesgos de Gestión'!$AF$40="Muy Alta",'Riesgos de Gestión'!$AH$40="Moderado"),CONCATENATE("R6C",'Riesgos de Gestión'!$V$40),"")</f>
        <v/>
      </c>
      <c r="AB11" s="35" t="str">
        <f>IF(AND('Riesgos de Gestión'!$AF$35="Muy Alta",'Riesgos de Gestión'!$AH$35="Mayor"),CONCATENATE("R6C",'Riesgos de Gestión'!$V$35),"")</f>
        <v/>
      </c>
      <c r="AC11" s="36" t="str">
        <f>IF(AND('Riesgos de Gestión'!$AF$36="Muy Alta",'Riesgos de Gestión'!$AH$36="Mayor"),CONCATENATE("R6C",'Riesgos de Gestión'!$V$36),"")</f>
        <v/>
      </c>
      <c r="AD11" s="36" t="str">
        <f>IF(AND('Riesgos de Gestión'!$AF$37="Muy Alta",'Riesgos de Gestión'!$AH$37="Mayor"),CONCATENATE("R6C",'Riesgos de Gestión'!$V$37),"")</f>
        <v/>
      </c>
      <c r="AE11" s="36" t="str">
        <f>IF(AND('Riesgos de Gestión'!$AF$38="Muy Alta",'Riesgos de Gestión'!$AH$38="Mayor"),CONCATENATE("R6C",'Riesgos de Gestión'!$V$38),"")</f>
        <v/>
      </c>
      <c r="AF11" s="36" t="str">
        <f>IF(AND('Riesgos de Gestión'!$AF$39="Muy Alta",'Riesgos de Gestión'!$AH$39="Mayor"),CONCATENATE("R6C",'Riesgos de Gestión'!$V$39),"")</f>
        <v/>
      </c>
      <c r="AG11" s="37" t="str">
        <f>IF(AND('Riesgos de Gestión'!$AF$40="Muy Alta",'Riesgos de Gestión'!$AH$40="Mayor"),CONCATENATE("R6C",'Riesgos de Gestión'!$V$40),"")</f>
        <v/>
      </c>
      <c r="AH11" s="38" t="str">
        <f>IF(AND('Riesgos de Gestión'!$AF$35="Muy Alta",'Riesgos de Gestión'!$AH$35="Catastrófico"),CONCATENATE("R6C",'Riesgos de Gestión'!$V$35),"")</f>
        <v/>
      </c>
      <c r="AI11" s="39" t="str">
        <f>IF(AND('Riesgos de Gestión'!$AF$36="Muy Alta",'Riesgos de Gestión'!$AH$36="Catastrófico"),CONCATENATE("R6C",'Riesgos de Gestión'!$V$36),"")</f>
        <v/>
      </c>
      <c r="AJ11" s="39" t="str">
        <f>IF(AND('Riesgos de Gestión'!$AF$37="Muy Alta",'Riesgos de Gestión'!$AH$37="Catastrófico"),CONCATENATE("R6C",'Riesgos de Gestión'!$V$37),"")</f>
        <v/>
      </c>
      <c r="AK11" s="39" t="str">
        <f>IF(AND('Riesgos de Gestión'!$AF$38="Muy Alta",'Riesgos de Gestión'!$AH$38="Catastrófico"),CONCATENATE("R6C",'Riesgos de Gestión'!$V$38),"")</f>
        <v/>
      </c>
      <c r="AL11" s="39" t="str">
        <f>IF(AND('Riesgos de Gestión'!$AF$39="Muy Alta",'Riesgos de Gestión'!$AH$39="Catastrófico"),CONCATENATE("R6C",'Riesgos de Gestión'!$V$39),"")</f>
        <v/>
      </c>
      <c r="AM11" s="40" t="str">
        <f>IF(AND('Riesgos de Gestión'!$AF$40="Muy Alta",'Riesgos de Gestión'!$AH$40="Catastrófico"),CONCATENATE("R6C",'Riesgos de Gestión'!$V$40),"")</f>
        <v/>
      </c>
      <c r="AN11" s="66"/>
      <c r="AO11" s="494"/>
      <c r="AP11" s="495"/>
      <c r="AQ11" s="495"/>
      <c r="AR11" s="495"/>
      <c r="AS11" s="495"/>
      <c r="AT11" s="49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33"/>
      <c r="C12" s="433"/>
      <c r="D12" s="434"/>
      <c r="E12" s="474"/>
      <c r="F12" s="475"/>
      <c r="G12" s="475"/>
      <c r="H12" s="475"/>
      <c r="I12" s="476"/>
      <c r="J12" s="35" t="str">
        <f>IF(AND('Riesgos de Gestión'!$AF$41="Muy Alta",'Riesgos de Gestión'!$AH$41="Leve"),CONCATENATE("R7C",'Riesgos de Gestión'!$V$41),"")</f>
        <v/>
      </c>
      <c r="K12" s="36" t="str">
        <f>IF(AND('Riesgos de Gestión'!$AF$42="Muy Alta",'Riesgos de Gestión'!$AH$42="Leve"),CONCATENATE("R7C",'Riesgos de Gestión'!$V$42),"")</f>
        <v/>
      </c>
      <c r="L12" s="36" t="str">
        <f>IF(AND('Riesgos de Gestión'!$AF$43="Muy Alta",'Riesgos de Gestión'!$AH$43="Leve"),CONCATENATE("R7C",'Riesgos de Gestión'!$V$43),"")</f>
        <v/>
      </c>
      <c r="M12" s="36" t="str">
        <f>IF(AND('Riesgos de Gestión'!$AF$44="Muy Alta",'Riesgos de Gestión'!$AH$44="Leve"),CONCATENATE("R7C",'Riesgos de Gestión'!$V$44),"")</f>
        <v/>
      </c>
      <c r="N12" s="36" t="str">
        <f>IF(AND('Riesgos de Gestión'!$AF$45="Muy Alta",'Riesgos de Gestión'!$AH$45="Leve"),CONCATENATE("R7C",'Riesgos de Gestión'!$V$45),"")</f>
        <v/>
      </c>
      <c r="O12" s="37" t="str">
        <f>IF(AND('Riesgos de Gestión'!$AF$46="Muy Alta",'Riesgos de Gestión'!$AH$46="Leve"),CONCATENATE("R7C",'Riesgos de Gestión'!$V$46),"")</f>
        <v/>
      </c>
      <c r="P12" s="35" t="str">
        <f>IF(AND('Riesgos de Gestión'!$AF$41="Muy Alta",'Riesgos de Gestión'!$AH$41="Menor"),CONCATENATE("R7C",'Riesgos de Gestión'!$V$41),"")</f>
        <v/>
      </c>
      <c r="Q12" s="36" t="str">
        <f>IF(AND('Riesgos de Gestión'!$AF$42="Muy Alta",'Riesgos de Gestión'!$AH$42="Menor"),CONCATENATE("R7C",'Riesgos de Gestión'!$V$42),"")</f>
        <v/>
      </c>
      <c r="R12" s="36" t="str">
        <f>IF(AND('Riesgos de Gestión'!$AF$43="Muy Alta",'Riesgos de Gestión'!$AH$43="Menor"),CONCATENATE("R7C",'Riesgos de Gestión'!$V$43),"")</f>
        <v/>
      </c>
      <c r="S12" s="36" t="str">
        <f>IF(AND('Riesgos de Gestión'!$AF$44="Muy Alta",'Riesgos de Gestión'!$AH$44="Menor"),CONCATENATE("R7C",'Riesgos de Gestión'!$V$44),"")</f>
        <v/>
      </c>
      <c r="T12" s="36" t="str">
        <f>IF(AND('Riesgos de Gestión'!$AF$45="Muy Alta",'Riesgos de Gestión'!$AH$45="Menor"),CONCATENATE("R7C",'Riesgos de Gestión'!$V$45),"")</f>
        <v/>
      </c>
      <c r="U12" s="37" t="str">
        <f>IF(AND('Riesgos de Gestión'!$AF$46="Muy Alta",'Riesgos de Gestión'!$AH$46="Menor"),CONCATENATE("R7C",'Riesgos de Gestión'!$V$46),"")</f>
        <v/>
      </c>
      <c r="V12" s="35" t="str">
        <f>IF(AND('Riesgos de Gestión'!$AF$41="Muy Alta",'Riesgos de Gestión'!$AH$41="Moderado"),CONCATENATE("R7C",'Riesgos de Gestión'!$V$41),"")</f>
        <v/>
      </c>
      <c r="W12" s="36" t="str">
        <f>IF(AND('Riesgos de Gestión'!$AF$42="Muy Alta",'Riesgos de Gestión'!$AH$42="Moderado"),CONCATENATE("R7C",'Riesgos de Gestión'!$V$42),"")</f>
        <v/>
      </c>
      <c r="X12" s="36" t="str">
        <f>IF(AND('Riesgos de Gestión'!$AF$43="Muy Alta",'Riesgos de Gestión'!$AH$43="Moderado"),CONCATENATE("R7C",'Riesgos de Gestión'!$V$43),"")</f>
        <v/>
      </c>
      <c r="Y12" s="36" t="str">
        <f>IF(AND('Riesgos de Gestión'!$AF$44="Muy Alta",'Riesgos de Gestión'!$AH$44="Moderado"),CONCATENATE("R7C",'Riesgos de Gestión'!$V$44),"")</f>
        <v/>
      </c>
      <c r="Z12" s="36" t="str">
        <f>IF(AND('Riesgos de Gestión'!$AF$45="Muy Alta",'Riesgos de Gestión'!$AH$45="Moderado"),CONCATENATE("R7C",'Riesgos de Gestión'!$V$45),"")</f>
        <v/>
      </c>
      <c r="AA12" s="37" t="str">
        <f>IF(AND('Riesgos de Gestión'!$AF$46="Muy Alta",'Riesgos de Gestión'!$AH$46="Moderado"),CONCATENATE("R7C",'Riesgos de Gestión'!$V$46),"")</f>
        <v/>
      </c>
      <c r="AB12" s="35" t="str">
        <f>IF(AND('Riesgos de Gestión'!$AF$41="Muy Alta",'Riesgos de Gestión'!$AH$41="Mayor"),CONCATENATE("R7C",'Riesgos de Gestión'!$V$41),"")</f>
        <v/>
      </c>
      <c r="AC12" s="36" t="str">
        <f>IF(AND('Riesgos de Gestión'!$AF$42="Muy Alta",'Riesgos de Gestión'!$AH$42="Mayor"),CONCATENATE("R7C",'Riesgos de Gestión'!$V$42),"")</f>
        <v/>
      </c>
      <c r="AD12" s="36" t="str">
        <f>IF(AND('Riesgos de Gestión'!$AF$43="Muy Alta",'Riesgos de Gestión'!$AH$43="Mayor"),CONCATENATE("R7C",'Riesgos de Gestión'!$V$43),"")</f>
        <v/>
      </c>
      <c r="AE12" s="36" t="str">
        <f>IF(AND('Riesgos de Gestión'!$AF$44="Muy Alta",'Riesgos de Gestión'!$AH$44="Mayor"),CONCATENATE("R7C",'Riesgos de Gestión'!$V$44),"")</f>
        <v/>
      </c>
      <c r="AF12" s="36" t="str">
        <f>IF(AND('Riesgos de Gestión'!$AF$45="Muy Alta",'Riesgos de Gestión'!$AH$45="Mayor"),CONCATENATE("R7C",'Riesgos de Gestión'!$V$45),"")</f>
        <v/>
      </c>
      <c r="AG12" s="37" t="str">
        <f>IF(AND('Riesgos de Gestión'!$AF$46="Muy Alta",'Riesgos de Gestión'!$AH$46="Mayor"),CONCATENATE("R7C",'Riesgos de Gestión'!$V$46),"")</f>
        <v/>
      </c>
      <c r="AH12" s="38" t="str">
        <f>IF(AND('Riesgos de Gestión'!$AF$41="Muy Alta",'Riesgos de Gestión'!$AH$41="Catastrófico"),CONCATENATE("R7C",'Riesgos de Gestión'!$V$41),"")</f>
        <v/>
      </c>
      <c r="AI12" s="39" t="str">
        <f>IF(AND('Riesgos de Gestión'!$AF$42="Muy Alta",'Riesgos de Gestión'!$AH$42="Catastrófico"),CONCATENATE("R7C",'Riesgos de Gestión'!$V$42),"")</f>
        <v/>
      </c>
      <c r="AJ12" s="39" t="str">
        <f>IF(AND('Riesgos de Gestión'!$AF$43="Muy Alta",'Riesgos de Gestión'!$AH$43="Catastrófico"),CONCATENATE("R7C",'Riesgos de Gestión'!$V$43),"")</f>
        <v/>
      </c>
      <c r="AK12" s="39" t="str">
        <f>IF(AND('Riesgos de Gestión'!$AF$44="Muy Alta",'Riesgos de Gestión'!$AH$44="Catastrófico"),CONCATENATE("R7C",'Riesgos de Gestión'!$V$44),"")</f>
        <v/>
      </c>
      <c r="AL12" s="39" t="str">
        <f>IF(AND('Riesgos de Gestión'!$AF$45="Muy Alta",'Riesgos de Gestión'!$AH$45="Catastrófico"),CONCATENATE("R7C",'Riesgos de Gestión'!$V$45),"")</f>
        <v/>
      </c>
      <c r="AM12" s="40" t="str">
        <f>IF(AND('Riesgos de Gestión'!$AF$46="Muy Alta",'Riesgos de Gestión'!$AH$46="Catastrófico"),CONCATENATE("R7C",'Riesgos de Gestión'!$V$46),"")</f>
        <v/>
      </c>
      <c r="AN12" s="66"/>
      <c r="AO12" s="494"/>
      <c r="AP12" s="495"/>
      <c r="AQ12" s="495"/>
      <c r="AR12" s="495"/>
      <c r="AS12" s="495"/>
      <c r="AT12" s="49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33"/>
      <c r="C13" s="433"/>
      <c r="D13" s="434"/>
      <c r="E13" s="474"/>
      <c r="F13" s="475"/>
      <c r="G13" s="475"/>
      <c r="H13" s="475"/>
      <c r="I13" s="476"/>
      <c r="J13" s="35" t="str">
        <f>IF(AND('Riesgos de Gestión'!$AF$47="Muy Alta",'Riesgos de Gestión'!$AH$47="Leve"),CONCATENATE("R8C",'Riesgos de Gestión'!$V$47),"")</f>
        <v/>
      </c>
      <c r="K13" s="36" t="str">
        <f>IF(AND('Riesgos de Gestión'!$AF$48="Muy Alta",'Riesgos de Gestión'!$AH$48="Leve"),CONCATENATE("R8C",'Riesgos de Gestión'!$V$48),"")</f>
        <v/>
      </c>
      <c r="L13" s="36" t="str">
        <f>IF(AND('Riesgos de Gestión'!$AF$49="Muy Alta",'Riesgos de Gestión'!$AH$49="Leve"),CONCATENATE("R8C",'Riesgos de Gestión'!$V$49),"")</f>
        <v/>
      </c>
      <c r="M13" s="36" t="str">
        <f>IF(AND('Riesgos de Gestión'!$AF$50="Muy Alta",'Riesgos de Gestión'!$AH$50="Leve"),CONCATENATE("R8C",'Riesgos de Gestión'!$V$50),"")</f>
        <v/>
      </c>
      <c r="N13" s="36" t="str">
        <f>IF(AND('Riesgos de Gestión'!$AF$51="Muy Alta",'Riesgos de Gestión'!$AH$51="Leve"),CONCATENATE("R8C",'Riesgos de Gestión'!$V$51),"")</f>
        <v/>
      </c>
      <c r="O13" s="37" t="str">
        <f>IF(AND('Riesgos de Gestión'!$AF$52="Muy Alta",'Riesgos de Gestión'!$AH$52="Leve"),CONCATENATE("R8C",'Riesgos de Gestión'!$V$52),"")</f>
        <v/>
      </c>
      <c r="P13" s="35" t="str">
        <f>IF(AND('Riesgos de Gestión'!$AF$47="Muy Alta",'Riesgos de Gestión'!$AH$47="Menor"),CONCATENATE("R8C",'Riesgos de Gestión'!$V$47),"")</f>
        <v/>
      </c>
      <c r="Q13" s="36" t="str">
        <f>IF(AND('Riesgos de Gestión'!$AF$48="Muy Alta",'Riesgos de Gestión'!$AH$48="Menor"),CONCATENATE("R8C",'Riesgos de Gestión'!$V$48),"")</f>
        <v/>
      </c>
      <c r="R13" s="36" t="str">
        <f>IF(AND('Riesgos de Gestión'!$AF$49="Muy Alta",'Riesgos de Gestión'!$AH$49="Menor"),CONCATENATE("R8C",'Riesgos de Gestión'!$V$49),"")</f>
        <v/>
      </c>
      <c r="S13" s="36" t="str">
        <f>IF(AND('Riesgos de Gestión'!$AF$50="Muy Alta",'Riesgos de Gestión'!$AH$50="Menor"),CONCATENATE("R8C",'Riesgos de Gestión'!$V$50),"")</f>
        <v/>
      </c>
      <c r="T13" s="36" t="str">
        <f>IF(AND('Riesgos de Gestión'!$AF$51="Muy Alta",'Riesgos de Gestión'!$AH$51="Menor"),CONCATENATE("R8C",'Riesgos de Gestión'!$V$51),"")</f>
        <v/>
      </c>
      <c r="U13" s="37" t="str">
        <f>IF(AND('Riesgos de Gestión'!$AF$52="Muy Alta",'Riesgos de Gestión'!$AH$52="Menor"),CONCATENATE("R8C",'Riesgos de Gestión'!$V$52),"")</f>
        <v/>
      </c>
      <c r="V13" s="35" t="str">
        <f>IF(AND('Riesgos de Gestión'!$AF$47="Muy Alta",'Riesgos de Gestión'!$AH$47="Moderado"),CONCATENATE("R8C",'Riesgos de Gestión'!$V$47),"")</f>
        <v/>
      </c>
      <c r="W13" s="36" t="str">
        <f>IF(AND('Riesgos de Gestión'!$AF$48="Muy Alta",'Riesgos de Gestión'!$AH$48="Moderado"),CONCATENATE("R8C",'Riesgos de Gestión'!$V$48),"")</f>
        <v/>
      </c>
      <c r="X13" s="36" t="str">
        <f>IF(AND('Riesgos de Gestión'!$AF$49="Muy Alta",'Riesgos de Gestión'!$AH$49="Moderado"),CONCATENATE("R8C",'Riesgos de Gestión'!$V$49),"")</f>
        <v/>
      </c>
      <c r="Y13" s="36" t="str">
        <f>IF(AND('Riesgos de Gestión'!$AF$50="Muy Alta",'Riesgos de Gestión'!$AH$50="Moderado"),CONCATENATE("R8C",'Riesgos de Gestión'!$V$50),"")</f>
        <v/>
      </c>
      <c r="Z13" s="36" t="str">
        <f>IF(AND('Riesgos de Gestión'!$AF$51="Muy Alta",'Riesgos de Gestión'!$AH$51="Moderado"),CONCATENATE("R8C",'Riesgos de Gestión'!$V$51),"")</f>
        <v/>
      </c>
      <c r="AA13" s="37" t="str">
        <f>IF(AND('Riesgos de Gestión'!$AF$52="Muy Alta",'Riesgos de Gestión'!$AH$52="Moderado"),CONCATENATE("R8C",'Riesgos de Gestión'!$V$52),"")</f>
        <v/>
      </c>
      <c r="AB13" s="35" t="str">
        <f>IF(AND('Riesgos de Gestión'!$AF$47="Muy Alta",'Riesgos de Gestión'!$AH$47="Mayor"),CONCATENATE("R8C",'Riesgos de Gestión'!$V$47),"")</f>
        <v/>
      </c>
      <c r="AC13" s="36" t="str">
        <f>IF(AND('Riesgos de Gestión'!$AF$48="Muy Alta",'Riesgos de Gestión'!$AH$48="Mayor"),CONCATENATE("R8C",'Riesgos de Gestión'!$V$48),"")</f>
        <v/>
      </c>
      <c r="AD13" s="36" t="str">
        <f>IF(AND('Riesgos de Gestión'!$AF$49="Muy Alta",'Riesgos de Gestión'!$AH$49="Mayor"),CONCATENATE("R8C",'Riesgos de Gestión'!$V$49),"")</f>
        <v/>
      </c>
      <c r="AE13" s="36" t="str">
        <f>IF(AND('Riesgos de Gestión'!$AF$50="Muy Alta",'Riesgos de Gestión'!$AH$50="Mayor"),CONCATENATE("R8C",'Riesgos de Gestión'!$V$50),"")</f>
        <v/>
      </c>
      <c r="AF13" s="36" t="str">
        <f>IF(AND('Riesgos de Gestión'!$AF$51="Muy Alta",'Riesgos de Gestión'!$AH$51="Mayor"),CONCATENATE("R8C",'Riesgos de Gestión'!$V$51),"")</f>
        <v/>
      </c>
      <c r="AG13" s="37" t="str">
        <f>IF(AND('Riesgos de Gestión'!$AF$52="Muy Alta",'Riesgos de Gestión'!$AH$52="Mayor"),CONCATENATE("R8C",'Riesgos de Gestión'!$V$52),"")</f>
        <v/>
      </c>
      <c r="AH13" s="38" t="str">
        <f>IF(AND('Riesgos de Gestión'!$AF$47="Muy Alta",'Riesgos de Gestión'!$AH$47="Catastrófico"),CONCATENATE("R8C",'Riesgos de Gestión'!$V$47),"")</f>
        <v/>
      </c>
      <c r="AI13" s="39" t="str">
        <f>IF(AND('Riesgos de Gestión'!$AF$48="Muy Alta",'Riesgos de Gestión'!$AH$48="Catastrófico"),CONCATENATE("R8C",'Riesgos de Gestión'!$V$48),"")</f>
        <v/>
      </c>
      <c r="AJ13" s="39" t="str">
        <f>IF(AND('Riesgos de Gestión'!$AF$49="Muy Alta",'Riesgos de Gestión'!$AH$49="Catastrófico"),CONCATENATE("R8C",'Riesgos de Gestión'!$V$49),"")</f>
        <v/>
      </c>
      <c r="AK13" s="39" t="str">
        <f>IF(AND('Riesgos de Gestión'!$AF$50="Muy Alta",'Riesgos de Gestión'!$AH$50="Catastrófico"),CONCATENATE("R8C",'Riesgos de Gestión'!$V$50),"")</f>
        <v/>
      </c>
      <c r="AL13" s="39" t="str">
        <f>IF(AND('Riesgos de Gestión'!$AF$51="Muy Alta",'Riesgos de Gestión'!$AH$51="Catastrófico"),CONCATENATE("R8C",'Riesgos de Gestión'!$V$51),"")</f>
        <v/>
      </c>
      <c r="AM13" s="40" t="str">
        <f>IF(AND('Riesgos de Gestión'!$AF$52="Muy Alta",'Riesgos de Gestión'!$AH$52="Catastrófico"),CONCATENATE("R8C",'Riesgos de Gestión'!$V$52),"")</f>
        <v/>
      </c>
      <c r="AN13" s="66"/>
      <c r="AO13" s="494"/>
      <c r="AP13" s="495"/>
      <c r="AQ13" s="495"/>
      <c r="AR13" s="495"/>
      <c r="AS13" s="495"/>
      <c r="AT13" s="49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33"/>
      <c r="C14" s="433"/>
      <c r="D14" s="434"/>
      <c r="E14" s="474"/>
      <c r="F14" s="475"/>
      <c r="G14" s="475"/>
      <c r="H14" s="475"/>
      <c r="I14" s="476"/>
      <c r="J14" s="35" t="str">
        <f>IF(AND('Riesgos de Gestión'!$AF$53="Muy Alta",'Riesgos de Gestión'!$AH$53="Leve"),CONCATENATE("R9C",'Riesgos de Gestión'!$V$53),"")</f>
        <v/>
      </c>
      <c r="K14" s="36" t="str">
        <f>IF(AND('Riesgos de Gestión'!$AF$54="Muy Alta",'Riesgos de Gestión'!$AH$54="Leve"),CONCATENATE("R9C",'Riesgos de Gestión'!$V$54),"")</f>
        <v/>
      </c>
      <c r="L14" s="36" t="str">
        <f>IF(AND('Riesgos de Gestión'!$AF$55="Muy Alta",'Riesgos de Gestión'!$AH$55="Leve"),CONCATENATE("R9C",'Riesgos de Gestión'!$V$55),"")</f>
        <v/>
      </c>
      <c r="M14" s="36" t="str">
        <f>IF(AND('Riesgos de Gestión'!$AF$56="Muy Alta",'Riesgos de Gestión'!$AH$56="Leve"),CONCATENATE("R9C",'Riesgos de Gestión'!$V$56),"")</f>
        <v/>
      </c>
      <c r="N14" s="36" t="str">
        <f>IF(AND('Riesgos de Gestión'!$AF$57="Muy Alta",'Riesgos de Gestión'!$AH$57="Leve"),CONCATENATE("R9C",'Riesgos de Gestión'!$V$57),"")</f>
        <v/>
      </c>
      <c r="O14" s="37" t="str">
        <f>IF(AND('Riesgos de Gestión'!$AF$58="Muy Alta",'Riesgos de Gestión'!$AH$58="Leve"),CONCATENATE("R9C",'Riesgos de Gestión'!$V$58),"")</f>
        <v/>
      </c>
      <c r="P14" s="35" t="str">
        <f>IF(AND('Riesgos de Gestión'!$AF$53="Muy Alta",'Riesgos de Gestión'!$AH$53="Menor"),CONCATENATE("R9C",'Riesgos de Gestión'!$V$53),"")</f>
        <v/>
      </c>
      <c r="Q14" s="36" t="str">
        <f>IF(AND('Riesgos de Gestión'!$AF$54="Muy Alta",'Riesgos de Gestión'!$AH$54="Menor"),CONCATENATE("R9C",'Riesgos de Gestión'!$V$54),"")</f>
        <v/>
      </c>
      <c r="R14" s="36" t="str">
        <f>IF(AND('Riesgos de Gestión'!$AF$55="Muy Alta",'Riesgos de Gestión'!$AH$55="Menor"),CONCATENATE("R9C",'Riesgos de Gestión'!$V$55),"")</f>
        <v/>
      </c>
      <c r="S14" s="36" t="str">
        <f>IF(AND('Riesgos de Gestión'!$AF$56="Muy Alta",'Riesgos de Gestión'!$AH$56="Menor"),CONCATENATE("R9C",'Riesgos de Gestión'!$V$56),"")</f>
        <v/>
      </c>
      <c r="T14" s="36" t="str">
        <f>IF(AND('Riesgos de Gestión'!$AF$57="Muy Alta",'Riesgos de Gestión'!$AH$57="Menor"),CONCATENATE("R9C",'Riesgos de Gestión'!$V$57),"")</f>
        <v/>
      </c>
      <c r="U14" s="37" t="str">
        <f>IF(AND('Riesgos de Gestión'!$AF$58="Muy Alta",'Riesgos de Gestión'!$AH$58="Menor"),CONCATENATE("R9C",'Riesgos de Gestión'!$V$58),"")</f>
        <v/>
      </c>
      <c r="V14" s="35" t="str">
        <f>IF(AND('Riesgos de Gestión'!$AF$53="Muy Alta",'Riesgos de Gestión'!$AH$53="Moderado"),CONCATENATE("R9C",'Riesgos de Gestión'!$V$53),"")</f>
        <v/>
      </c>
      <c r="W14" s="36" t="str">
        <f>IF(AND('Riesgos de Gestión'!$AF$54="Muy Alta",'Riesgos de Gestión'!$AH$54="Moderado"),CONCATENATE("R9C",'Riesgos de Gestión'!$V$54),"")</f>
        <v/>
      </c>
      <c r="X14" s="36" t="str">
        <f>IF(AND('Riesgos de Gestión'!$AF$55="Muy Alta",'Riesgos de Gestión'!$AH$55="Moderado"),CONCATENATE("R9C",'Riesgos de Gestión'!$V$55),"")</f>
        <v/>
      </c>
      <c r="Y14" s="36" t="str">
        <f>IF(AND('Riesgos de Gestión'!$AF$56="Muy Alta",'Riesgos de Gestión'!$AH$56="Moderado"),CONCATENATE("R9C",'Riesgos de Gestión'!$V$56),"")</f>
        <v/>
      </c>
      <c r="Z14" s="36" t="str">
        <f>IF(AND('Riesgos de Gestión'!$AF$57="Muy Alta",'Riesgos de Gestión'!$AH$57="Moderado"),CONCATENATE("R9C",'Riesgos de Gestión'!$V$57),"")</f>
        <v/>
      </c>
      <c r="AA14" s="37" t="str">
        <f>IF(AND('Riesgos de Gestión'!$AF$58="Muy Alta",'Riesgos de Gestión'!$AH$58="Moderado"),CONCATENATE("R9C",'Riesgos de Gestión'!$V$58),"")</f>
        <v/>
      </c>
      <c r="AB14" s="35" t="str">
        <f>IF(AND('Riesgos de Gestión'!$AF$53="Muy Alta",'Riesgos de Gestión'!$AH$53="Mayor"),CONCATENATE("R9C",'Riesgos de Gestión'!$V$53),"")</f>
        <v/>
      </c>
      <c r="AC14" s="36" t="str">
        <f>IF(AND('Riesgos de Gestión'!$AF$54="Muy Alta",'Riesgos de Gestión'!$AH$54="Mayor"),CONCATENATE("R9C",'Riesgos de Gestión'!$V$54),"")</f>
        <v/>
      </c>
      <c r="AD14" s="36" t="str">
        <f>IF(AND('Riesgos de Gestión'!$AF$55="Muy Alta",'Riesgos de Gestión'!$AH$55="Mayor"),CONCATENATE("R9C",'Riesgos de Gestión'!$V$55),"")</f>
        <v/>
      </c>
      <c r="AE14" s="36" t="str">
        <f>IF(AND('Riesgos de Gestión'!$AF$56="Muy Alta",'Riesgos de Gestión'!$AH$56="Mayor"),CONCATENATE("R9C",'Riesgos de Gestión'!$V$56),"")</f>
        <v/>
      </c>
      <c r="AF14" s="36" t="str">
        <f>IF(AND('Riesgos de Gestión'!$AF$57="Muy Alta",'Riesgos de Gestión'!$AH$57="Mayor"),CONCATENATE("R9C",'Riesgos de Gestión'!$V$57),"")</f>
        <v/>
      </c>
      <c r="AG14" s="37" t="str">
        <f>IF(AND('Riesgos de Gestión'!$AF$58="Muy Alta",'Riesgos de Gestión'!$AH$58="Mayor"),CONCATENATE("R9C",'Riesgos de Gestión'!$V$58),"")</f>
        <v/>
      </c>
      <c r="AH14" s="38" t="str">
        <f>IF(AND('Riesgos de Gestión'!$AF$53="Muy Alta",'Riesgos de Gestión'!$AH$53="Catastrófico"),CONCATENATE("R9C",'Riesgos de Gestión'!$V$53),"")</f>
        <v/>
      </c>
      <c r="AI14" s="39" t="str">
        <f>IF(AND('Riesgos de Gestión'!$AF$54="Muy Alta",'Riesgos de Gestión'!$AH$54="Catastrófico"),CONCATENATE("R9C",'Riesgos de Gestión'!$V$54),"")</f>
        <v/>
      </c>
      <c r="AJ14" s="39" t="str">
        <f>IF(AND('Riesgos de Gestión'!$AF$55="Muy Alta",'Riesgos de Gestión'!$AH$55="Catastrófico"),CONCATENATE("R9C",'Riesgos de Gestión'!$V$55),"")</f>
        <v/>
      </c>
      <c r="AK14" s="39" t="str">
        <f>IF(AND('Riesgos de Gestión'!$AF$56="Muy Alta",'Riesgos de Gestión'!$AH$56="Catastrófico"),CONCATENATE("R9C",'Riesgos de Gestión'!$V$56),"")</f>
        <v/>
      </c>
      <c r="AL14" s="39" t="str">
        <f>IF(AND('Riesgos de Gestión'!$AF$57="Muy Alta",'Riesgos de Gestión'!$AH$57="Catastrófico"),CONCATENATE("R9C",'Riesgos de Gestión'!$V$57),"")</f>
        <v/>
      </c>
      <c r="AM14" s="40" t="str">
        <f>IF(AND('Riesgos de Gestión'!$AF$58="Muy Alta",'Riesgos de Gestión'!$AH$58="Catastrófico"),CONCATENATE("R9C",'Riesgos de Gestión'!$V$58),"")</f>
        <v/>
      </c>
      <c r="AN14" s="66"/>
      <c r="AO14" s="494"/>
      <c r="AP14" s="495"/>
      <c r="AQ14" s="495"/>
      <c r="AR14" s="495"/>
      <c r="AS14" s="495"/>
      <c r="AT14" s="49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33"/>
      <c r="C15" s="433"/>
      <c r="D15" s="434"/>
      <c r="E15" s="477"/>
      <c r="F15" s="478"/>
      <c r="G15" s="478"/>
      <c r="H15" s="478"/>
      <c r="I15" s="479"/>
      <c r="J15" s="41" t="str">
        <f>IF(AND('Riesgos de Gestión'!$AF$59="Muy Alta",'Riesgos de Gestión'!$AH$59="Leve"),CONCATENATE("R10C",'Riesgos de Gestión'!$V$59),"")</f>
        <v/>
      </c>
      <c r="K15" s="42" t="str">
        <f>IF(AND('Riesgos de Gestión'!$AF$60="Muy Alta",'Riesgos de Gestión'!$AH$60="Leve"),CONCATENATE("R10C",'Riesgos de Gestión'!$V$60),"")</f>
        <v/>
      </c>
      <c r="L15" s="42" t="str">
        <f>IF(AND('Riesgos de Gestión'!$AF$61="Muy Alta",'Riesgos de Gestión'!$AH$61="Leve"),CONCATENATE("R10C",'Riesgos de Gestión'!$V$61),"")</f>
        <v/>
      </c>
      <c r="M15" s="42" t="str">
        <f>IF(AND('Riesgos de Gestión'!$AF$62="Muy Alta",'Riesgos de Gestión'!$AH$62="Leve"),CONCATENATE("R10C",'Riesgos de Gestión'!$V$62),"")</f>
        <v/>
      </c>
      <c r="N15" s="42" t="str">
        <f>IF(AND('Riesgos de Gestión'!$AF$63="Muy Alta",'Riesgos de Gestión'!$AH$63="Leve"),CONCATENATE("R10C",'Riesgos de Gestión'!$V$63),"")</f>
        <v/>
      </c>
      <c r="O15" s="43" t="str">
        <f>IF(AND('Riesgos de Gestión'!$AF$64="Muy Alta",'Riesgos de Gestión'!$AH$64="Leve"),CONCATENATE("R10C",'Riesgos de Gestión'!$V$64),"")</f>
        <v/>
      </c>
      <c r="P15" s="35" t="str">
        <f>IF(AND('Riesgos de Gestión'!$AF$59="Muy Alta",'Riesgos de Gestión'!$AH$59="Menor"),CONCATENATE("R10C",'Riesgos de Gestión'!$V$59),"")</f>
        <v/>
      </c>
      <c r="Q15" s="36" t="str">
        <f>IF(AND('Riesgos de Gestión'!$AF$60="Muy Alta",'Riesgos de Gestión'!$AH$60="Menor"),CONCATENATE("R10C",'Riesgos de Gestión'!$V$60),"")</f>
        <v/>
      </c>
      <c r="R15" s="36" t="str">
        <f>IF(AND('Riesgos de Gestión'!$AF$61="Muy Alta",'Riesgos de Gestión'!$AH$61="Menor"),CONCATENATE("R10C",'Riesgos de Gestión'!$V$61),"")</f>
        <v/>
      </c>
      <c r="S15" s="36" t="str">
        <f>IF(AND('Riesgos de Gestión'!$AF$62="Muy Alta",'Riesgos de Gestión'!$AH$62="Menor"),CONCATENATE("R10C",'Riesgos de Gestión'!$V$62),"")</f>
        <v/>
      </c>
      <c r="T15" s="36" t="str">
        <f>IF(AND('Riesgos de Gestión'!$AF$63="Muy Alta",'Riesgos de Gestión'!$AH$63="Menor"),CONCATENATE("R10C",'Riesgos de Gestión'!$V$63),"")</f>
        <v/>
      </c>
      <c r="U15" s="37" t="str">
        <f>IF(AND('Riesgos de Gestión'!$AF$64="Muy Alta",'Riesgos de Gestión'!$AH$64="Menor"),CONCATENATE("R10C",'Riesgos de Gestión'!$V$64),"")</f>
        <v/>
      </c>
      <c r="V15" s="41" t="str">
        <f>IF(AND('Riesgos de Gestión'!$AF$59="Muy Alta",'Riesgos de Gestión'!$AH$59="Moderado"),CONCATENATE("R10C",'Riesgos de Gestión'!$V$59),"")</f>
        <v/>
      </c>
      <c r="W15" s="42" t="str">
        <f>IF(AND('Riesgos de Gestión'!$AF$60="Muy Alta",'Riesgos de Gestión'!$AH$60="Moderado"),CONCATENATE("R10C",'Riesgos de Gestión'!$V$60),"")</f>
        <v/>
      </c>
      <c r="X15" s="42" t="str">
        <f>IF(AND('Riesgos de Gestión'!$AF$61="Muy Alta",'Riesgos de Gestión'!$AH$61="Moderado"),CONCATENATE("R10C",'Riesgos de Gestión'!$V$61),"")</f>
        <v/>
      </c>
      <c r="Y15" s="42" t="str">
        <f>IF(AND('Riesgos de Gestión'!$AF$62="Muy Alta",'Riesgos de Gestión'!$AH$62="Moderado"),CONCATENATE("R10C",'Riesgos de Gestión'!$V$62),"")</f>
        <v/>
      </c>
      <c r="Z15" s="42" t="str">
        <f>IF(AND('Riesgos de Gestión'!$AF$63="Muy Alta",'Riesgos de Gestión'!$AH$63="Moderado"),CONCATENATE("R10C",'Riesgos de Gestión'!$V$63),"")</f>
        <v/>
      </c>
      <c r="AA15" s="43" t="str">
        <f>IF(AND('Riesgos de Gestión'!$AF$64="Muy Alta",'Riesgos de Gestión'!$AH$64="Moderado"),CONCATENATE("R10C",'Riesgos de Gestión'!$V$64),"")</f>
        <v/>
      </c>
      <c r="AB15" s="35" t="str">
        <f>IF(AND('Riesgos de Gestión'!$AF$59="Muy Alta",'Riesgos de Gestión'!$AH$59="Mayor"),CONCATENATE("R10C",'Riesgos de Gestión'!$V$59),"")</f>
        <v/>
      </c>
      <c r="AC15" s="36" t="str">
        <f>IF(AND('Riesgos de Gestión'!$AF$60="Muy Alta",'Riesgos de Gestión'!$AH$60="Mayor"),CONCATENATE("R10C",'Riesgos de Gestión'!$V$60),"")</f>
        <v/>
      </c>
      <c r="AD15" s="36" t="str">
        <f>IF(AND('Riesgos de Gestión'!$AF$61="Muy Alta",'Riesgos de Gestión'!$AH$61="Mayor"),CONCATENATE("R10C",'Riesgos de Gestión'!$V$61),"")</f>
        <v/>
      </c>
      <c r="AE15" s="36" t="str">
        <f>IF(AND('Riesgos de Gestión'!$AF$62="Muy Alta",'Riesgos de Gestión'!$AH$62="Mayor"),CONCATENATE("R10C",'Riesgos de Gestión'!$V$62),"")</f>
        <v/>
      </c>
      <c r="AF15" s="36" t="str">
        <f>IF(AND('Riesgos de Gestión'!$AF$63="Muy Alta",'Riesgos de Gestión'!$AH$63="Mayor"),CONCATENATE("R10C",'Riesgos de Gestión'!$V$63),"")</f>
        <v/>
      </c>
      <c r="AG15" s="37" t="str">
        <f>IF(AND('Riesgos de Gestión'!$AF$64="Muy Alta",'Riesgos de Gestión'!$AH$64="Mayor"),CONCATENATE("R10C",'Riesgos de Gestión'!$V$64),"")</f>
        <v/>
      </c>
      <c r="AH15" s="44" t="str">
        <f>IF(AND('Riesgos de Gestión'!$AF$59="Muy Alta",'Riesgos de Gestión'!$AH$59="Catastrófico"),CONCATENATE("R10C",'Riesgos de Gestión'!$V$59),"")</f>
        <v/>
      </c>
      <c r="AI15" s="45" t="str">
        <f>IF(AND('Riesgos de Gestión'!$AF$60="Muy Alta",'Riesgos de Gestión'!$AH$60="Catastrófico"),CONCATENATE("R10C",'Riesgos de Gestión'!$V$60),"")</f>
        <v/>
      </c>
      <c r="AJ15" s="45" t="str">
        <f>IF(AND('Riesgos de Gestión'!$AF$61="Muy Alta",'Riesgos de Gestión'!$AH$61="Catastrófico"),CONCATENATE("R10C",'Riesgos de Gestión'!$V$61),"")</f>
        <v/>
      </c>
      <c r="AK15" s="45" t="str">
        <f>IF(AND('Riesgos de Gestión'!$AF$62="Muy Alta",'Riesgos de Gestión'!$AH$62="Catastrófico"),CONCATENATE("R10C",'Riesgos de Gestión'!$V$62),"")</f>
        <v/>
      </c>
      <c r="AL15" s="45" t="str">
        <f>IF(AND('Riesgos de Gestión'!$AF$63="Muy Alta",'Riesgos de Gestión'!$AH$63="Catastrófico"),CONCATENATE("R10C",'Riesgos de Gestión'!$V$63),"")</f>
        <v/>
      </c>
      <c r="AM15" s="46" t="str">
        <f>IF(AND('Riesgos de Gestión'!$AF$64="Muy Alta",'Riesgos de Gestión'!$AH$64="Catastrófico"),CONCATENATE("R10C",'Riesgos de Gestión'!$V$64),"")</f>
        <v/>
      </c>
      <c r="AN15" s="66"/>
      <c r="AO15" s="497"/>
      <c r="AP15" s="498"/>
      <c r="AQ15" s="498"/>
      <c r="AR15" s="498"/>
      <c r="AS15" s="498"/>
      <c r="AT15" s="49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33"/>
      <c r="C16" s="433"/>
      <c r="D16" s="434"/>
      <c r="E16" s="471" t="s">
        <v>267</v>
      </c>
      <c r="F16" s="472"/>
      <c r="G16" s="472"/>
      <c r="H16" s="472"/>
      <c r="I16" s="472"/>
      <c r="J16" s="47" t="str">
        <f>IF(AND('Riesgos de Gestión'!$AF$13="Alta",'Riesgos de Gestión'!$AH$13="Leve"),CONCATENATE("R1C",'Riesgos de Gestión'!$V$13),"")</f>
        <v/>
      </c>
      <c r="K16" s="48" t="str">
        <f>IF(AND('Riesgos de Gestión'!$AF$14="Alta",'Riesgos de Gestión'!$AH$14="Leve"),CONCATENATE("R1C",'Riesgos de Gestión'!$V$14),"")</f>
        <v/>
      </c>
      <c r="L16" s="48" t="e">
        <f>IF(AND('Riesgos de Gestión'!#REF!="Alta",'Riesgos de Gestión'!#REF!="Leve"),CONCATENATE("R1C",'Riesgos de Gestión'!#REF!),"")</f>
        <v>#REF!</v>
      </c>
      <c r="M16" s="48" t="e">
        <f>IF(AND('Riesgos de Gestión'!#REF!="Alta",'Riesgos de Gestión'!#REF!="Leve"),CONCATENATE("R1C",'Riesgos de Gestión'!#REF!),"")</f>
        <v>#REF!</v>
      </c>
      <c r="N16" s="48" t="e">
        <f>IF(AND('Riesgos de Gestión'!#REF!="Alta",'Riesgos de Gestión'!#REF!="Leve"),CONCATENATE("R1C",'Riesgos de Gestión'!#REF!),"")</f>
        <v>#REF!</v>
      </c>
      <c r="O16" s="49" t="e">
        <f>IF(AND('Riesgos de Gestión'!#REF!="Alta",'Riesgos de Gestión'!#REF!="Leve"),CONCATENATE("R1C",'Riesgos de Gestión'!#REF!),"")</f>
        <v>#REF!</v>
      </c>
      <c r="P16" s="47" t="str">
        <f>IF(AND('Riesgos de Gestión'!$AF$13="Alta",'Riesgos de Gestión'!$AH$13="Menor"),CONCATENATE("R1C",'Riesgos de Gestión'!$V$13),"")</f>
        <v/>
      </c>
      <c r="Q16" s="48" t="str">
        <f>IF(AND('Riesgos de Gestión'!$AF$14="Alta",'Riesgos de Gestión'!$AH$14="Menor"),CONCATENATE("R1C",'Riesgos de Gestión'!$V$14),"")</f>
        <v/>
      </c>
      <c r="R16" s="48" t="e">
        <f>IF(AND('Riesgos de Gestión'!#REF!="Alta",'Riesgos de Gestión'!#REF!="Menor"),CONCATENATE("R1C",'Riesgos de Gestión'!#REF!),"")</f>
        <v>#REF!</v>
      </c>
      <c r="S16" s="48" t="e">
        <f>IF(AND('Riesgos de Gestión'!#REF!="Alta",'Riesgos de Gestión'!#REF!="Menor"),CONCATENATE("R1C",'Riesgos de Gestión'!#REF!),"")</f>
        <v>#REF!</v>
      </c>
      <c r="T16" s="48" t="e">
        <f>IF(AND('Riesgos de Gestión'!#REF!="Alta",'Riesgos de Gestión'!#REF!="Menor"),CONCATENATE("R1C",'Riesgos de Gestión'!#REF!),"")</f>
        <v>#REF!</v>
      </c>
      <c r="U16" s="49" t="e">
        <f>IF(AND('Riesgos de Gestión'!#REF!="Alta",'Riesgos de Gestión'!#REF!="Menor"),CONCATENATE("R1C",'Riesgos de Gestión'!#REF!),"")</f>
        <v>#REF!</v>
      </c>
      <c r="V16" s="29" t="str">
        <f>IF(AND('Riesgos de Gestión'!$AF$13="Alta",'Riesgos de Gestión'!$AH$13="Moderado"),CONCATENATE("R1C",'Riesgos de Gestión'!$V$13),"")</f>
        <v/>
      </c>
      <c r="W16" s="30" t="str">
        <f>IF(AND('Riesgos de Gestión'!$AF$14="Alta",'Riesgos de Gestión'!$AH$14="Moderado"),CONCATENATE("R1C",'Riesgos de Gestión'!$V$14),"")</f>
        <v/>
      </c>
      <c r="X16" s="30" t="e">
        <f>IF(AND('Riesgos de Gestión'!#REF!="Alta",'Riesgos de Gestión'!#REF!="Moderado"),CONCATENATE("R1C",'Riesgos de Gestión'!#REF!),"")</f>
        <v>#REF!</v>
      </c>
      <c r="Y16" s="30" t="e">
        <f>IF(AND('Riesgos de Gestión'!#REF!="Alta",'Riesgos de Gestión'!#REF!="Moderado"),CONCATENATE("R1C",'Riesgos de Gestión'!#REF!),"")</f>
        <v>#REF!</v>
      </c>
      <c r="Z16" s="30" t="e">
        <f>IF(AND('Riesgos de Gestión'!#REF!="Alta",'Riesgos de Gestión'!#REF!="Moderado"),CONCATENATE("R1C",'Riesgos de Gestión'!#REF!),"")</f>
        <v>#REF!</v>
      </c>
      <c r="AA16" s="31" t="e">
        <f>IF(AND('Riesgos de Gestión'!#REF!="Alta",'Riesgos de Gestión'!#REF!="Moderado"),CONCATENATE("R1C",'Riesgos de Gestión'!#REF!),"")</f>
        <v>#REF!</v>
      </c>
      <c r="AB16" s="29" t="str">
        <f>IF(AND('Riesgos de Gestión'!$AF$13="Alta",'Riesgos de Gestión'!$AH$13="Mayor"),CONCATENATE("R1C",'Riesgos de Gestión'!$V$13),"")</f>
        <v/>
      </c>
      <c r="AC16" s="30" t="str">
        <f>IF(AND('Riesgos de Gestión'!$AF$14="Alta",'Riesgos de Gestión'!$AH$14="Mayor"),CONCATENATE("R1C",'Riesgos de Gestión'!$V$14),"")</f>
        <v/>
      </c>
      <c r="AD16" s="30" t="e">
        <f>IF(AND('Riesgos de Gestión'!#REF!="Alta",'Riesgos de Gestión'!#REF!="Mayor"),CONCATENATE("R1C",'Riesgos de Gestión'!#REF!),"")</f>
        <v>#REF!</v>
      </c>
      <c r="AE16" s="30" t="e">
        <f>IF(AND('Riesgos de Gestión'!#REF!="Alta",'Riesgos de Gestión'!#REF!="Mayor"),CONCATENATE("R1C",'Riesgos de Gestión'!#REF!),"")</f>
        <v>#REF!</v>
      </c>
      <c r="AF16" s="30" t="e">
        <f>IF(AND('Riesgos de Gestión'!#REF!="Alta",'Riesgos de Gestión'!#REF!="Mayor"),CONCATENATE("R1C",'Riesgos de Gestión'!#REF!),"")</f>
        <v>#REF!</v>
      </c>
      <c r="AG16" s="31" t="e">
        <f>IF(AND('Riesgos de Gestión'!#REF!="Alta",'Riesgos de Gestión'!#REF!="Mayor"),CONCATENATE("R1C",'Riesgos de Gestión'!#REF!),"")</f>
        <v>#REF!</v>
      </c>
      <c r="AH16" s="32" t="str">
        <f>IF(AND('Riesgos de Gestión'!$AF$13="Alta",'Riesgos de Gestión'!$AH$13="Catastrófico"),CONCATENATE("R1C",'Riesgos de Gestión'!$V$13),"")</f>
        <v/>
      </c>
      <c r="AI16" s="33" t="str">
        <f>IF(AND('Riesgos de Gestión'!$AF$14="Alta",'Riesgos de Gestión'!$AH$14="Catastrófico"),CONCATENATE("R1C",'Riesgos de Gestión'!$V$14),"")</f>
        <v/>
      </c>
      <c r="AJ16" s="33" t="e">
        <f>IF(AND('Riesgos de Gestión'!#REF!="Alta",'Riesgos de Gestión'!#REF!="Catastrófico"),CONCATENATE("R1C",'Riesgos de Gestión'!#REF!),"")</f>
        <v>#REF!</v>
      </c>
      <c r="AK16" s="33" t="e">
        <f>IF(AND('Riesgos de Gestión'!#REF!="Alta",'Riesgos de Gestión'!#REF!="Catastrófico"),CONCATENATE("R1C",'Riesgos de Gestión'!#REF!),"")</f>
        <v>#REF!</v>
      </c>
      <c r="AL16" s="33" t="e">
        <f>IF(AND('Riesgos de Gestión'!#REF!="Alta",'Riesgos de Gestión'!#REF!="Catastrófico"),CONCATENATE("R1C",'Riesgos de Gestión'!#REF!),"")</f>
        <v>#REF!</v>
      </c>
      <c r="AM16" s="34" t="e">
        <f>IF(AND('Riesgos de Gestión'!#REF!="Alta",'Riesgos de Gestión'!#REF!="Catastrófico"),CONCATENATE("R1C",'Riesgos de Gestión'!#REF!),"")</f>
        <v>#REF!</v>
      </c>
      <c r="AN16" s="66"/>
      <c r="AO16" s="481" t="s">
        <v>268</v>
      </c>
      <c r="AP16" s="482"/>
      <c r="AQ16" s="482"/>
      <c r="AR16" s="482"/>
      <c r="AS16" s="482"/>
      <c r="AT16" s="483"/>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33"/>
      <c r="C17" s="433"/>
      <c r="D17" s="434"/>
      <c r="E17" s="490"/>
      <c r="F17" s="475"/>
      <c r="G17" s="475"/>
      <c r="H17" s="475"/>
      <c r="I17" s="475"/>
      <c r="J17" s="50" t="str">
        <f>IF(AND('Riesgos de Gestión'!$AF$15="Alta",'Riesgos de Gestión'!$AH$15="Leve"),CONCATENATE("R2C",'Riesgos de Gestión'!$V$15),"")</f>
        <v/>
      </c>
      <c r="K17" s="51" t="str">
        <f>IF(AND('Riesgos de Gestión'!$AF$16="Alta",'Riesgos de Gestión'!$AH$16="Leve"),CONCATENATE("R2C",'Riesgos de Gestión'!$V$16),"")</f>
        <v/>
      </c>
      <c r="L17" s="51" t="e">
        <f>IF(AND('Riesgos de Gestión'!#REF!="Alta",'Riesgos de Gestión'!#REF!="Leve"),CONCATENATE("R2C",'Riesgos de Gestión'!#REF!),"")</f>
        <v>#REF!</v>
      </c>
      <c r="M17" s="51" t="e">
        <f>IF(AND('Riesgos de Gestión'!#REF!="Alta",'Riesgos de Gestión'!#REF!="Leve"),CONCATENATE("R2C",'Riesgos de Gestión'!#REF!),"")</f>
        <v>#REF!</v>
      </c>
      <c r="N17" s="51" t="e">
        <f>IF(AND('Riesgos de Gestión'!#REF!="Alta",'Riesgos de Gestión'!#REF!="Leve"),CONCATENATE("R2C",'Riesgos de Gestión'!#REF!),"")</f>
        <v>#REF!</v>
      </c>
      <c r="O17" s="52" t="e">
        <f>IF(AND('Riesgos de Gestión'!#REF!="Alta",'Riesgos de Gestión'!#REF!="Leve"),CONCATENATE("R2C",'Riesgos de Gestión'!#REF!),"")</f>
        <v>#REF!</v>
      </c>
      <c r="P17" s="50" t="str">
        <f>IF(AND('Riesgos de Gestión'!$AF$15="Alta",'Riesgos de Gestión'!$AH$15="Menor"),CONCATENATE("R2C",'Riesgos de Gestión'!$V$15),"")</f>
        <v/>
      </c>
      <c r="Q17" s="51" t="str">
        <f>IF(AND('Riesgos de Gestión'!$AF$16="Alta",'Riesgos de Gestión'!$AH$16="Menor"),CONCATENATE("R2C",'Riesgos de Gestión'!$V$16),"")</f>
        <v/>
      </c>
      <c r="R17" s="51" t="e">
        <f>IF(AND('Riesgos de Gestión'!#REF!="Alta",'Riesgos de Gestión'!#REF!="Menor"),CONCATENATE("R2C",'Riesgos de Gestión'!#REF!),"")</f>
        <v>#REF!</v>
      </c>
      <c r="S17" s="51" t="e">
        <f>IF(AND('Riesgos de Gestión'!#REF!="Alta",'Riesgos de Gestión'!#REF!="Menor"),CONCATENATE("R2C",'Riesgos de Gestión'!#REF!),"")</f>
        <v>#REF!</v>
      </c>
      <c r="T17" s="51" t="e">
        <f>IF(AND('Riesgos de Gestión'!#REF!="Alta",'Riesgos de Gestión'!#REF!="Menor"),CONCATENATE("R2C",'Riesgos de Gestión'!#REF!),"")</f>
        <v>#REF!</v>
      </c>
      <c r="U17" s="52" t="e">
        <f>IF(AND('Riesgos de Gestión'!#REF!="Alta",'Riesgos de Gestión'!#REF!="Menor"),CONCATENATE("R2C",'Riesgos de Gestión'!#REF!),"")</f>
        <v>#REF!</v>
      </c>
      <c r="V17" s="35" t="str">
        <f>IF(AND('Riesgos de Gestión'!$AF$15="Alta",'Riesgos de Gestión'!$AH$15="Moderado"),CONCATENATE("R2C",'Riesgos de Gestión'!$V$15),"")</f>
        <v/>
      </c>
      <c r="W17" s="36" t="str">
        <f>IF(AND('Riesgos de Gestión'!$AF$16="Alta",'Riesgos de Gestión'!$AH$16="Moderado"),CONCATENATE("R2C",'Riesgos de Gestión'!$V$16),"")</f>
        <v/>
      </c>
      <c r="X17" s="36" t="e">
        <f>IF(AND('Riesgos de Gestión'!#REF!="Alta",'Riesgos de Gestión'!#REF!="Moderado"),CONCATENATE("R2C",'Riesgos de Gestión'!#REF!),"")</f>
        <v>#REF!</v>
      </c>
      <c r="Y17" s="36" t="e">
        <f>IF(AND('Riesgos de Gestión'!#REF!="Alta",'Riesgos de Gestión'!#REF!="Moderado"),CONCATENATE("R2C",'Riesgos de Gestión'!#REF!),"")</f>
        <v>#REF!</v>
      </c>
      <c r="Z17" s="36" t="e">
        <f>IF(AND('Riesgos de Gestión'!#REF!="Alta",'Riesgos de Gestión'!#REF!="Moderado"),CONCATENATE("R2C",'Riesgos de Gestión'!#REF!),"")</f>
        <v>#REF!</v>
      </c>
      <c r="AA17" s="37" t="e">
        <f>IF(AND('Riesgos de Gestión'!#REF!="Alta",'Riesgos de Gestión'!#REF!="Moderado"),CONCATENATE("R2C",'Riesgos de Gestión'!#REF!),"")</f>
        <v>#REF!</v>
      </c>
      <c r="AB17" s="35" t="str">
        <f>IF(AND('Riesgos de Gestión'!$AF$15="Alta",'Riesgos de Gestión'!$AH$15="Mayor"),CONCATENATE("R2C",'Riesgos de Gestión'!$V$15),"")</f>
        <v/>
      </c>
      <c r="AC17" s="36" t="str">
        <f>IF(AND('Riesgos de Gestión'!$AF$16="Alta",'Riesgos de Gestión'!$AH$16="Mayor"),CONCATENATE("R2C",'Riesgos de Gestión'!$V$16),"")</f>
        <v/>
      </c>
      <c r="AD17" s="36" t="e">
        <f>IF(AND('Riesgos de Gestión'!#REF!="Alta",'Riesgos de Gestión'!#REF!="Mayor"),CONCATENATE("R2C",'Riesgos de Gestión'!#REF!),"")</f>
        <v>#REF!</v>
      </c>
      <c r="AE17" s="36" t="e">
        <f>IF(AND('Riesgos de Gestión'!#REF!="Alta",'Riesgos de Gestión'!#REF!="Mayor"),CONCATENATE("R2C",'Riesgos de Gestión'!#REF!),"")</f>
        <v>#REF!</v>
      </c>
      <c r="AF17" s="36" t="e">
        <f>IF(AND('Riesgos de Gestión'!#REF!="Alta",'Riesgos de Gestión'!#REF!="Mayor"),CONCATENATE("R2C",'Riesgos de Gestión'!#REF!),"")</f>
        <v>#REF!</v>
      </c>
      <c r="AG17" s="37" t="e">
        <f>IF(AND('Riesgos de Gestión'!#REF!="Alta",'Riesgos de Gestión'!#REF!="Mayor"),CONCATENATE("R2C",'Riesgos de Gestión'!#REF!),"")</f>
        <v>#REF!</v>
      </c>
      <c r="AH17" s="38" t="str">
        <f>IF(AND('Riesgos de Gestión'!$AF$15="Alta",'Riesgos de Gestión'!$AH$15="Catastrófico"),CONCATENATE("R2C",'Riesgos de Gestión'!$V$15),"")</f>
        <v/>
      </c>
      <c r="AI17" s="39" t="str">
        <f>IF(AND('Riesgos de Gestión'!$AF$16="Alta",'Riesgos de Gestión'!$AH$16="Catastrófico"),CONCATENATE("R2C",'Riesgos de Gestión'!$V$16),"")</f>
        <v/>
      </c>
      <c r="AJ17" s="39" t="e">
        <f>IF(AND('Riesgos de Gestión'!#REF!="Alta",'Riesgos de Gestión'!#REF!="Catastrófico"),CONCATENATE("R2C",'Riesgos de Gestión'!#REF!),"")</f>
        <v>#REF!</v>
      </c>
      <c r="AK17" s="39" t="e">
        <f>IF(AND('Riesgos de Gestión'!#REF!="Alta",'Riesgos de Gestión'!#REF!="Catastrófico"),CONCATENATE("R2C",'Riesgos de Gestión'!#REF!),"")</f>
        <v>#REF!</v>
      </c>
      <c r="AL17" s="39" t="e">
        <f>IF(AND('Riesgos de Gestión'!#REF!="Alta",'Riesgos de Gestión'!#REF!="Catastrófico"),CONCATENATE("R2C",'Riesgos de Gestión'!#REF!),"")</f>
        <v>#REF!</v>
      </c>
      <c r="AM17" s="40" t="e">
        <f>IF(AND('Riesgos de Gestión'!#REF!="Alta",'Riesgos de Gestión'!#REF!="Catastrófico"),CONCATENATE("R2C",'Riesgos de Gestión'!#REF!),"")</f>
        <v>#REF!</v>
      </c>
      <c r="AN17" s="66"/>
      <c r="AO17" s="484"/>
      <c r="AP17" s="485"/>
      <c r="AQ17" s="485"/>
      <c r="AR17" s="485"/>
      <c r="AS17" s="485"/>
      <c r="AT17" s="48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33"/>
      <c r="C18" s="433"/>
      <c r="D18" s="434"/>
      <c r="E18" s="474"/>
      <c r="F18" s="475"/>
      <c r="G18" s="475"/>
      <c r="H18" s="475"/>
      <c r="I18" s="475"/>
      <c r="J18" s="50" t="str">
        <f>IF(AND('Riesgos de Gestión'!$AF$17="Alta",'Riesgos de Gestión'!$AH$17="Leve"),CONCATENATE("R3C",'Riesgos de Gestión'!$V$17),"")</f>
        <v/>
      </c>
      <c r="K18" s="51" t="str">
        <f>IF(AND('Riesgos de Gestión'!$AF$18="Alta",'Riesgos de Gestión'!$AH$18="Leve"),CONCATENATE("R3C",'Riesgos de Gestión'!$V$18),"")</f>
        <v/>
      </c>
      <c r="L18" s="51" t="str">
        <f>IF(AND('Riesgos de Gestión'!$AF$19="Alta",'Riesgos de Gestión'!$AH$19="Leve"),CONCATENATE("R3C",'Riesgos de Gestión'!$V$19),"")</f>
        <v/>
      </c>
      <c r="M18" s="51" t="str">
        <f>IF(AND('Riesgos de Gestión'!$AF$20="Alta",'Riesgos de Gestión'!$AH$20="Leve"),CONCATENATE("R3C",'Riesgos de Gestión'!$V$20),"")</f>
        <v/>
      </c>
      <c r="N18" s="51" t="str">
        <f>IF(AND('Riesgos de Gestión'!$AF$21="Alta",'Riesgos de Gestión'!$AH$21="Leve"),CONCATENATE("R3C",'Riesgos de Gestión'!$V$21),"")</f>
        <v/>
      </c>
      <c r="O18" s="52" t="str">
        <f>IF(AND('Riesgos de Gestión'!$AF$22="Alta",'Riesgos de Gestión'!$AH$22="Leve"),CONCATENATE("R3C",'Riesgos de Gestión'!$V$22),"")</f>
        <v/>
      </c>
      <c r="P18" s="50" t="str">
        <f>IF(AND('Riesgos de Gestión'!$AF$17="Alta",'Riesgos de Gestión'!$AH$17="Menor"),CONCATENATE("R3C",'Riesgos de Gestión'!$V$17),"")</f>
        <v/>
      </c>
      <c r="Q18" s="51" t="str">
        <f>IF(AND('Riesgos de Gestión'!$AF$18="Alta",'Riesgos de Gestión'!$AH$18="Menor"),CONCATENATE("R3C",'Riesgos de Gestión'!$V$18),"")</f>
        <v/>
      </c>
      <c r="R18" s="51" t="str">
        <f>IF(AND('Riesgos de Gestión'!$AF$19="Alta",'Riesgos de Gestión'!$AH$19="Menor"),CONCATENATE("R3C",'Riesgos de Gestión'!$V$19),"")</f>
        <v/>
      </c>
      <c r="S18" s="51" t="str">
        <f>IF(AND('Riesgos de Gestión'!$AF$20="Alta",'Riesgos de Gestión'!$AH$20="Menor"),CONCATENATE("R3C",'Riesgos de Gestión'!$V$20),"")</f>
        <v/>
      </c>
      <c r="T18" s="51" t="str">
        <f>IF(AND('Riesgos de Gestión'!$AF$21="Alta",'Riesgos de Gestión'!$AH$21="Menor"),CONCATENATE("R3C",'Riesgos de Gestión'!$V$21),"")</f>
        <v/>
      </c>
      <c r="U18" s="52" t="str">
        <f>IF(AND('Riesgos de Gestión'!$AF$22="Alta",'Riesgos de Gestión'!$AH$22="Menor"),CONCATENATE("R3C",'Riesgos de Gestión'!$V$22),"")</f>
        <v/>
      </c>
      <c r="V18" s="35" t="str">
        <f>IF(AND('Riesgos de Gestión'!$AF$17="Alta",'Riesgos de Gestión'!$AH$17="Moderado"),CONCATENATE("R3C",'Riesgos de Gestión'!$V$17),"")</f>
        <v/>
      </c>
      <c r="W18" s="36" t="str">
        <f>IF(AND('Riesgos de Gestión'!$AF$18="Alta",'Riesgos de Gestión'!$AH$18="Moderado"),CONCATENATE("R3C",'Riesgos de Gestión'!$V$18),"")</f>
        <v/>
      </c>
      <c r="X18" s="36" t="str">
        <f>IF(AND('Riesgos de Gestión'!$AF$19="Alta",'Riesgos de Gestión'!$AH$19="Moderado"),CONCATENATE("R3C",'Riesgos de Gestión'!$V$19),"")</f>
        <v/>
      </c>
      <c r="Y18" s="36" t="str">
        <f>IF(AND('Riesgos de Gestión'!$AF$20="Alta",'Riesgos de Gestión'!$AH$20="Moderado"),CONCATENATE("R3C",'Riesgos de Gestión'!$V$20),"")</f>
        <v/>
      </c>
      <c r="Z18" s="36" t="str">
        <f>IF(AND('Riesgos de Gestión'!$AF$21="Alta",'Riesgos de Gestión'!$AH$21="Moderado"),CONCATENATE("R3C",'Riesgos de Gestión'!$V$21),"")</f>
        <v/>
      </c>
      <c r="AA18" s="37" t="str">
        <f>IF(AND('Riesgos de Gestión'!$AF$22="Alta",'Riesgos de Gestión'!$AH$22="Moderado"),CONCATENATE("R3C",'Riesgos de Gestión'!$V$22),"")</f>
        <v/>
      </c>
      <c r="AB18" s="35" t="str">
        <f>IF(AND('Riesgos de Gestión'!$AF$17="Alta",'Riesgos de Gestión'!$AH$17="Mayor"),CONCATENATE("R3C",'Riesgos de Gestión'!$V$17),"")</f>
        <v/>
      </c>
      <c r="AC18" s="36" t="str">
        <f>IF(AND('Riesgos de Gestión'!$AF$18="Alta",'Riesgos de Gestión'!$AH$18="Mayor"),CONCATENATE("R3C",'Riesgos de Gestión'!$V$18),"")</f>
        <v/>
      </c>
      <c r="AD18" s="36" t="str">
        <f>IF(AND('Riesgos de Gestión'!$AF$19="Alta",'Riesgos de Gestión'!$AH$19="Mayor"),CONCATENATE("R3C",'Riesgos de Gestión'!$V$19),"")</f>
        <v/>
      </c>
      <c r="AE18" s="36" t="str">
        <f>IF(AND('Riesgos de Gestión'!$AF$20="Alta",'Riesgos de Gestión'!$AH$20="Mayor"),CONCATENATE("R3C",'Riesgos de Gestión'!$V$20),"")</f>
        <v/>
      </c>
      <c r="AF18" s="36" t="str">
        <f>IF(AND('Riesgos de Gestión'!$AF$21="Alta",'Riesgos de Gestión'!$AH$21="Mayor"),CONCATENATE("R3C",'Riesgos de Gestión'!$V$21),"")</f>
        <v/>
      </c>
      <c r="AG18" s="37" t="str">
        <f>IF(AND('Riesgos de Gestión'!$AF$22="Alta",'Riesgos de Gestión'!$AH$22="Mayor"),CONCATENATE("R3C",'Riesgos de Gestión'!$V$22),"")</f>
        <v/>
      </c>
      <c r="AH18" s="38" t="str">
        <f>IF(AND('Riesgos de Gestión'!$AF$17="Alta",'Riesgos de Gestión'!$AH$17="Catastrófico"),CONCATENATE("R3C",'Riesgos de Gestión'!$V$17),"")</f>
        <v/>
      </c>
      <c r="AI18" s="39" t="str">
        <f>IF(AND('Riesgos de Gestión'!$AF$18="Alta",'Riesgos de Gestión'!$AH$18="Catastrófico"),CONCATENATE("R3C",'Riesgos de Gestión'!$V$18),"")</f>
        <v/>
      </c>
      <c r="AJ18" s="39" t="str">
        <f>IF(AND('Riesgos de Gestión'!$AF$19="Alta",'Riesgos de Gestión'!$AH$19="Catastrófico"),CONCATENATE("R3C",'Riesgos de Gestión'!$V$19),"")</f>
        <v/>
      </c>
      <c r="AK18" s="39" t="str">
        <f>IF(AND('Riesgos de Gestión'!$AF$20="Alta",'Riesgos de Gestión'!$AH$20="Catastrófico"),CONCATENATE("R3C",'Riesgos de Gestión'!$V$20),"")</f>
        <v/>
      </c>
      <c r="AL18" s="39" t="str">
        <f>IF(AND('Riesgos de Gestión'!$AF$21="Alta",'Riesgos de Gestión'!$AH$21="Catastrófico"),CONCATENATE("R3C",'Riesgos de Gestión'!$V$21),"")</f>
        <v/>
      </c>
      <c r="AM18" s="40" t="str">
        <f>IF(AND('Riesgos de Gestión'!$AF$22="Alta",'Riesgos de Gestión'!$AH$22="Catastrófico"),CONCATENATE("R3C",'Riesgos de Gestión'!$V$22),"")</f>
        <v/>
      </c>
      <c r="AN18" s="66"/>
      <c r="AO18" s="484"/>
      <c r="AP18" s="485"/>
      <c r="AQ18" s="485"/>
      <c r="AR18" s="485"/>
      <c r="AS18" s="485"/>
      <c r="AT18" s="48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33"/>
      <c r="C19" s="433"/>
      <c r="D19" s="434"/>
      <c r="E19" s="474"/>
      <c r="F19" s="475"/>
      <c r="G19" s="475"/>
      <c r="H19" s="475"/>
      <c r="I19" s="475"/>
      <c r="J19" s="50" t="str">
        <f>IF(AND('Riesgos de Gestión'!$AF$23="Alta",'Riesgos de Gestión'!$AH$23="Leve"),CONCATENATE("R4C",'Riesgos de Gestión'!$V$23),"")</f>
        <v/>
      </c>
      <c r="K19" s="51" t="str">
        <f>IF(AND('Riesgos de Gestión'!$AF$24="Alta",'Riesgos de Gestión'!$AH$24="Leve"),CONCATENATE("R4C",'Riesgos de Gestión'!$V$24),"")</f>
        <v/>
      </c>
      <c r="L19" s="51" t="str">
        <f>IF(AND('Riesgos de Gestión'!$AF$25="Alta",'Riesgos de Gestión'!$AH$25="Leve"),CONCATENATE("R4C",'Riesgos de Gestión'!$V$25),"")</f>
        <v/>
      </c>
      <c r="M19" s="51" t="str">
        <f>IF(AND('Riesgos de Gestión'!$AF$26="Alta",'Riesgos de Gestión'!$AH$26="Leve"),CONCATENATE("R4C",'Riesgos de Gestión'!$V$26),"")</f>
        <v/>
      </c>
      <c r="N19" s="51" t="str">
        <f>IF(AND('Riesgos de Gestión'!$AF$27="Alta",'Riesgos de Gestión'!$AH$27="Leve"),CONCATENATE("R4C",'Riesgos de Gestión'!$V$27),"")</f>
        <v/>
      </c>
      <c r="O19" s="52" t="str">
        <f>IF(AND('Riesgos de Gestión'!$AF$28="Alta",'Riesgos de Gestión'!$AH$28="Leve"),CONCATENATE("R4C",'Riesgos de Gestión'!$V$28),"")</f>
        <v/>
      </c>
      <c r="P19" s="50" t="str">
        <f>IF(AND('Riesgos de Gestión'!$AF$23="Alta",'Riesgos de Gestión'!$AH$23="Menor"),CONCATENATE("R4C",'Riesgos de Gestión'!$V$23),"")</f>
        <v/>
      </c>
      <c r="Q19" s="51" t="str">
        <f>IF(AND('Riesgos de Gestión'!$AF$24="Alta",'Riesgos de Gestión'!$AH$24="Menor"),CONCATENATE("R4C",'Riesgos de Gestión'!$V$24),"")</f>
        <v/>
      </c>
      <c r="R19" s="51" t="str">
        <f>IF(AND('Riesgos de Gestión'!$AF$25="Alta",'Riesgos de Gestión'!$AH$25="Menor"),CONCATENATE("R4C",'Riesgos de Gestión'!$V$25),"")</f>
        <v/>
      </c>
      <c r="S19" s="51" t="str">
        <f>IF(AND('Riesgos de Gestión'!$AF$26="Alta",'Riesgos de Gestión'!$AH$26="Menor"),CONCATENATE("R4C",'Riesgos de Gestión'!$V$26),"")</f>
        <v/>
      </c>
      <c r="T19" s="51" t="str">
        <f>IF(AND('Riesgos de Gestión'!$AF$27="Alta",'Riesgos de Gestión'!$AH$27="Menor"),CONCATENATE("R4C",'Riesgos de Gestión'!$V$27),"")</f>
        <v/>
      </c>
      <c r="U19" s="52" t="str">
        <f>IF(AND('Riesgos de Gestión'!$AF$28="Alta",'Riesgos de Gestión'!$AH$28="Menor"),CONCATENATE("R4C",'Riesgos de Gestión'!$V$28),"")</f>
        <v/>
      </c>
      <c r="V19" s="35" t="str">
        <f>IF(AND('Riesgos de Gestión'!$AF$23="Alta",'Riesgos de Gestión'!$AH$23="Moderado"),CONCATENATE("R4C",'Riesgos de Gestión'!$V$23),"")</f>
        <v/>
      </c>
      <c r="W19" s="36" t="str">
        <f>IF(AND('Riesgos de Gestión'!$AF$24="Alta",'Riesgos de Gestión'!$AH$24="Moderado"),CONCATENATE("R4C",'Riesgos de Gestión'!$V$24),"")</f>
        <v/>
      </c>
      <c r="X19" s="36" t="str">
        <f>IF(AND('Riesgos de Gestión'!$AF$25="Alta",'Riesgos de Gestión'!$AH$25="Moderado"),CONCATENATE("R4C",'Riesgos de Gestión'!$V$25),"")</f>
        <v/>
      </c>
      <c r="Y19" s="36" t="str">
        <f>IF(AND('Riesgos de Gestión'!$AF$26="Alta",'Riesgos de Gestión'!$AH$26="Moderado"),CONCATENATE("R4C",'Riesgos de Gestión'!$V$26),"")</f>
        <v/>
      </c>
      <c r="Z19" s="36" t="str">
        <f>IF(AND('Riesgos de Gestión'!$AF$27="Alta",'Riesgos de Gestión'!$AH$27="Moderado"),CONCATENATE("R4C",'Riesgos de Gestión'!$V$27),"")</f>
        <v/>
      </c>
      <c r="AA19" s="37" t="str">
        <f>IF(AND('Riesgos de Gestión'!$AF$28="Alta",'Riesgos de Gestión'!$AH$28="Moderado"),CONCATENATE("R4C",'Riesgos de Gestión'!$V$28),"")</f>
        <v/>
      </c>
      <c r="AB19" s="35" t="str">
        <f>IF(AND('Riesgos de Gestión'!$AF$23="Alta",'Riesgos de Gestión'!$AH$23="Mayor"),CONCATENATE("R4C",'Riesgos de Gestión'!$V$23),"")</f>
        <v/>
      </c>
      <c r="AC19" s="36" t="str">
        <f>IF(AND('Riesgos de Gestión'!$AF$24="Alta",'Riesgos de Gestión'!$AH$24="Mayor"),CONCATENATE("R4C",'Riesgos de Gestión'!$V$24),"")</f>
        <v/>
      </c>
      <c r="AD19" s="36" t="str">
        <f>IF(AND('Riesgos de Gestión'!$AF$25="Alta",'Riesgos de Gestión'!$AH$25="Mayor"),CONCATENATE("R4C",'Riesgos de Gestión'!$V$25),"")</f>
        <v/>
      </c>
      <c r="AE19" s="36" t="str">
        <f>IF(AND('Riesgos de Gestión'!$AF$26="Alta",'Riesgos de Gestión'!$AH$26="Mayor"),CONCATENATE("R4C",'Riesgos de Gestión'!$V$26),"")</f>
        <v/>
      </c>
      <c r="AF19" s="36" t="str">
        <f>IF(AND('Riesgos de Gestión'!$AF$27="Alta",'Riesgos de Gestión'!$AH$27="Mayor"),CONCATENATE("R4C",'Riesgos de Gestión'!$V$27),"")</f>
        <v/>
      </c>
      <c r="AG19" s="37" t="str">
        <f>IF(AND('Riesgos de Gestión'!$AF$28="Alta",'Riesgos de Gestión'!$AH$28="Mayor"),CONCATENATE("R4C",'Riesgos de Gestión'!$V$28),"")</f>
        <v/>
      </c>
      <c r="AH19" s="38" t="str">
        <f>IF(AND('Riesgos de Gestión'!$AF$23="Alta",'Riesgos de Gestión'!$AH$23="Catastrófico"),CONCATENATE("R4C",'Riesgos de Gestión'!$V$23),"")</f>
        <v/>
      </c>
      <c r="AI19" s="39" t="str">
        <f>IF(AND('Riesgos de Gestión'!$AF$24="Alta",'Riesgos de Gestión'!$AH$24="Catastrófico"),CONCATENATE("R4C",'Riesgos de Gestión'!$V$24),"")</f>
        <v/>
      </c>
      <c r="AJ19" s="39" t="str">
        <f>IF(AND('Riesgos de Gestión'!$AF$25="Alta",'Riesgos de Gestión'!$AH$25="Catastrófico"),CONCATENATE("R4C",'Riesgos de Gestión'!$V$25),"")</f>
        <v/>
      </c>
      <c r="AK19" s="39" t="str">
        <f>IF(AND('Riesgos de Gestión'!$AF$26="Alta",'Riesgos de Gestión'!$AH$26="Catastrófico"),CONCATENATE("R4C",'Riesgos de Gestión'!$V$26),"")</f>
        <v/>
      </c>
      <c r="AL19" s="39" t="str">
        <f>IF(AND('Riesgos de Gestión'!$AF$27="Alta",'Riesgos de Gestión'!$AH$27="Catastrófico"),CONCATENATE("R4C",'Riesgos de Gestión'!$V$27),"")</f>
        <v/>
      </c>
      <c r="AM19" s="40" t="str">
        <f>IF(AND('Riesgos de Gestión'!$AF$28="Alta",'Riesgos de Gestión'!$AH$28="Catastrófico"),CONCATENATE("R4C",'Riesgos de Gestión'!$V$28),"")</f>
        <v/>
      </c>
      <c r="AN19" s="66"/>
      <c r="AO19" s="484"/>
      <c r="AP19" s="485"/>
      <c r="AQ19" s="485"/>
      <c r="AR19" s="485"/>
      <c r="AS19" s="485"/>
      <c r="AT19" s="48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33"/>
      <c r="C20" s="433"/>
      <c r="D20" s="434"/>
      <c r="E20" s="474"/>
      <c r="F20" s="475"/>
      <c r="G20" s="475"/>
      <c r="H20" s="475"/>
      <c r="I20" s="475"/>
      <c r="J20" s="50" t="str">
        <f>IF(AND('Riesgos de Gestión'!$AF$29="Alta",'Riesgos de Gestión'!$AH$29="Leve"),CONCATENATE("R5C",'Riesgos de Gestión'!$V$29),"")</f>
        <v/>
      </c>
      <c r="K20" s="51" t="str">
        <f>IF(AND('Riesgos de Gestión'!$AF$30="Alta",'Riesgos de Gestión'!$AH$30="Leve"),CONCATENATE("R5C",'Riesgos de Gestión'!$V$30),"")</f>
        <v/>
      </c>
      <c r="L20" s="51" t="str">
        <f>IF(AND('Riesgos de Gestión'!$AF$31="Alta",'Riesgos de Gestión'!$AH$31="Leve"),CONCATENATE("R5C",'Riesgos de Gestión'!$V$31),"")</f>
        <v/>
      </c>
      <c r="M20" s="51" t="str">
        <f>IF(AND('Riesgos de Gestión'!$AF$32="Alta",'Riesgos de Gestión'!$AH$32="Leve"),CONCATENATE("R5C",'Riesgos de Gestión'!$V$32),"")</f>
        <v/>
      </c>
      <c r="N20" s="51" t="str">
        <f>IF(AND('Riesgos de Gestión'!$AF$33="Alta",'Riesgos de Gestión'!$AH$33="Leve"),CONCATENATE("R5C",'Riesgos de Gestión'!$V$33),"")</f>
        <v/>
      </c>
      <c r="O20" s="52" t="str">
        <f>IF(AND('Riesgos de Gestión'!$AF$34="Alta",'Riesgos de Gestión'!$AH$34="Leve"),CONCATENATE("R5C",'Riesgos de Gestión'!$V$34),"")</f>
        <v/>
      </c>
      <c r="P20" s="50" t="str">
        <f>IF(AND('Riesgos de Gestión'!$AF$29="Alta",'Riesgos de Gestión'!$AH$29="Menor"),CONCATENATE("R5C",'Riesgos de Gestión'!$V$29),"")</f>
        <v/>
      </c>
      <c r="Q20" s="51" t="str">
        <f>IF(AND('Riesgos de Gestión'!$AF$30="Alta",'Riesgos de Gestión'!$AH$30="Menor"),CONCATENATE("R5C",'Riesgos de Gestión'!$V$30),"")</f>
        <v/>
      </c>
      <c r="R20" s="51" t="str">
        <f>IF(AND('Riesgos de Gestión'!$AF$31="Alta",'Riesgos de Gestión'!$AH$31="Menor"),CONCATENATE("R5C",'Riesgos de Gestión'!$V$31),"")</f>
        <v/>
      </c>
      <c r="S20" s="51" t="str">
        <f>IF(AND('Riesgos de Gestión'!$AF$32="Alta",'Riesgos de Gestión'!$AH$32="Menor"),CONCATENATE("R5C",'Riesgos de Gestión'!$V$32),"")</f>
        <v/>
      </c>
      <c r="T20" s="51" t="str">
        <f>IF(AND('Riesgos de Gestión'!$AF$33="Alta",'Riesgos de Gestión'!$AH$33="Menor"),CONCATENATE("R5C",'Riesgos de Gestión'!$V$33),"")</f>
        <v/>
      </c>
      <c r="U20" s="52" t="str">
        <f>IF(AND('Riesgos de Gestión'!$AF$34="Alta",'Riesgos de Gestión'!$AH$34="Menor"),CONCATENATE("R5C",'Riesgos de Gestión'!$V$34),"")</f>
        <v/>
      </c>
      <c r="V20" s="35" t="str">
        <f>IF(AND('Riesgos de Gestión'!$AF$29="Alta",'Riesgos de Gestión'!$AH$29="Moderado"),CONCATENATE("R5C",'Riesgos de Gestión'!$V$29),"")</f>
        <v/>
      </c>
      <c r="W20" s="36" t="str">
        <f>IF(AND('Riesgos de Gestión'!$AF$30="Alta",'Riesgos de Gestión'!$AH$30="Moderado"),CONCATENATE("R5C",'Riesgos de Gestión'!$V$30),"")</f>
        <v/>
      </c>
      <c r="X20" s="36" t="str">
        <f>IF(AND('Riesgos de Gestión'!$AF$31="Alta",'Riesgos de Gestión'!$AH$31="Moderado"),CONCATENATE("R5C",'Riesgos de Gestión'!$V$31),"")</f>
        <v/>
      </c>
      <c r="Y20" s="36" t="str">
        <f>IF(AND('Riesgos de Gestión'!$AF$32="Alta",'Riesgos de Gestión'!$AH$32="Moderado"),CONCATENATE("R5C",'Riesgos de Gestión'!$V$32),"")</f>
        <v/>
      </c>
      <c r="Z20" s="36" t="str">
        <f>IF(AND('Riesgos de Gestión'!$AF$33="Alta",'Riesgos de Gestión'!$AH$33="Moderado"),CONCATENATE("R5C",'Riesgos de Gestión'!$V$33),"")</f>
        <v/>
      </c>
      <c r="AA20" s="37" t="str">
        <f>IF(AND('Riesgos de Gestión'!$AF$34="Alta",'Riesgos de Gestión'!$AH$34="Moderado"),CONCATENATE("R5C",'Riesgos de Gestión'!$V$34),"")</f>
        <v/>
      </c>
      <c r="AB20" s="35" t="str">
        <f>IF(AND('Riesgos de Gestión'!$AF$29="Alta",'Riesgos de Gestión'!$AH$29="Mayor"),CONCATENATE("R5C",'Riesgos de Gestión'!$V$29),"")</f>
        <v/>
      </c>
      <c r="AC20" s="36" t="str">
        <f>IF(AND('Riesgos de Gestión'!$AF$30="Alta",'Riesgos de Gestión'!$AH$30="Mayor"),CONCATENATE("R5C",'Riesgos de Gestión'!$V$30),"")</f>
        <v/>
      </c>
      <c r="AD20" s="36" t="str">
        <f>IF(AND('Riesgos de Gestión'!$AF$31="Alta",'Riesgos de Gestión'!$AH$31="Mayor"),CONCATENATE("R5C",'Riesgos de Gestión'!$V$31),"")</f>
        <v/>
      </c>
      <c r="AE20" s="36" t="str">
        <f>IF(AND('Riesgos de Gestión'!$AF$32="Alta",'Riesgos de Gestión'!$AH$32="Mayor"),CONCATENATE("R5C",'Riesgos de Gestión'!$V$32),"")</f>
        <v/>
      </c>
      <c r="AF20" s="36" t="str">
        <f>IF(AND('Riesgos de Gestión'!$AF$33="Alta",'Riesgos de Gestión'!$AH$33="Mayor"),CONCATENATE("R5C",'Riesgos de Gestión'!$V$33),"")</f>
        <v/>
      </c>
      <c r="AG20" s="37" t="str">
        <f>IF(AND('Riesgos de Gestión'!$AF$34="Alta",'Riesgos de Gestión'!$AH$34="Mayor"),CONCATENATE("R5C",'Riesgos de Gestión'!$V$34),"")</f>
        <v/>
      </c>
      <c r="AH20" s="38" t="str">
        <f>IF(AND('Riesgos de Gestión'!$AF$29="Alta",'Riesgos de Gestión'!$AH$29="Catastrófico"),CONCATENATE("R5C",'Riesgos de Gestión'!$V$29),"")</f>
        <v/>
      </c>
      <c r="AI20" s="39" t="str">
        <f>IF(AND('Riesgos de Gestión'!$AF$30="Alta",'Riesgos de Gestión'!$AH$30="Catastrófico"),CONCATENATE("R5C",'Riesgos de Gestión'!$V$30),"")</f>
        <v/>
      </c>
      <c r="AJ20" s="39" t="str">
        <f>IF(AND('Riesgos de Gestión'!$AF$31="Alta",'Riesgos de Gestión'!$AH$31="Catastrófico"),CONCATENATE("R5C",'Riesgos de Gestión'!$V$31),"")</f>
        <v/>
      </c>
      <c r="AK20" s="39" t="str">
        <f>IF(AND('Riesgos de Gestión'!$AF$32="Alta",'Riesgos de Gestión'!$AH$32="Catastrófico"),CONCATENATE("R5C",'Riesgos de Gestión'!$V$32),"")</f>
        <v/>
      </c>
      <c r="AL20" s="39" t="str">
        <f>IF(AND('Riesgos de Gestión'!$AF$33="Alta",'Riesgos de Gestión'!$AH$33="Catastrófico"),CONCATENATE("R5C",'Riesgos de Gestión'!$V$33),"")</f>
        <v/>
      </c>
      <c r="AM20" s="40" t="str">
        <f>IF(AND('Riesgos de Gestión'!$AF$34="Alta",'Riesgos de Gestión'!$AH$34="Catastrófico"),CONCATENATE("R5C",'Riesgos de Gestión'!$V$34),"")</f>
        <v/>
      </c>
      <c r="AN20" s="66"/>
      <c r="AO20" s="484"/>
      <c r="AP20" s="485"/>
      <c r="AQ20" s="485"/>
      <c r="AR20" s="485"/>
      <c r="AS20" s="485"/>
      <c r="AT20" s="48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33"/>
      <c r="C21" s="433"/>
      <c r="D21" s="434"/>
      <c r="E21" s="474"/>
      <c r="F21" s="475"/>
      <c r="G21" s="475"/>
      <c r="H21" s="475"/>
      <c r="I21" s="475"/>
      <c r="J21" s="50" t="str">
        <f>IF(AND('Riesgos de Gestión'!$AF$35="Alta",'Riesgos de Gestión'!$AH$35="Leve"),CONCATENATE("R6C",'Riesgos de Gestión'!$V$35),"")</f>
        <v/>
      </c>
      <c r="K21" s="51" t="str">
        <f>IF(AND('Riesgos de Gestión'!$AF$36="Alta",'Riesgos de Gestión'!$AH$36="Leve"),CONCATENATE("R6C",'Riesgos de Gestión'!$V$36),"")</f>
        <v/>
      </c>
      <c r="L21" s="51" t="str">
        <f>IF(AND('Riesgos de Gestión'!$AF$37="Alta",'Riesgos de Gestión'!$AH$37="Leve"),CONCATENATE("R6C",'Riesgos de Gestión'!$V$37),"")</f>
        <v/>
      </c>
      <c r="M21" s="51" t="str">
        <f>IF(AND('Riesgos de Gestión'!$AF$38="Alta",'Riesgos de Gestión'!$AH$38="Leve"),CONCATENATE("R6C",'Riesgos de Gestión'!$V$38),"")</f>
        <v/>
      </c>
      <c r="N21" s="51" t="str">
        <f>IF(AND('Riesgos de Gestión'!$AF$39="Alta",'Riesgos de Gestión'!$AH$39="Leve"),CONCATENATE("R6C",'Riesgos de Gestión'!$V$39),"")</f>
        <v/>
      </c>
      <c r="O21" s="52" t="str">
        <f>IF(AND('Riesgos de Gestión'!$AF$40="Alta",'Riesgos de Gestión'!$AH$40="Leve"),CONCATENATE("R6C",'Riesgos de Gestión'!$V$40),"")</f>
        <v/>
      </c>
      <c r="P21" s="50" t="str">
        <f>IF(AND('Riesgos de Gestión'!$AF$35="Alta",'Riesgos de Gestión'!$AH$35="Menor"),CONCATENATE("R6C",'Riesgos de Gestión'!$V$35),"")</f>
        <v/>
      </c>
      <c r="Q21" s="51" t="str">
        <f>IF(AND('Riesgos de Gestión'!$AF$36="Alta",'Riesgos de Gestión'!$AH$36="Menor"),CONCATENATE("R6C",'Riesgos de Gestión'!$V$36),"")</f>
        <v/>
      </c>
      <c r="R21" s="51" t="str">
        <f>IF(AND('Riesgos de Gestión'!$AF$37="Alta",'Riesgos de Gestión'!$AH$37="Menor"),CONCATENATE("R6C",'Riesgos de Gestión'!$V$37),"")</f>
        <v/>
      </c>
      <c r="S21" s="51" t="str">
        <f>IF(AND('Riesgos de Gestión'!$AF$38="Alta",'Riesgos de Gestión'!$AH$38="Menor"),CONCATENATE("R6C",'Riesgos de Gestión'!$V$38),"")</f>
        <v/>
      </c>
      <c r="T21" s="51" t="str">
        <f>IF(AND('Riesgos de Gestión'!$AF$39="Alta",'Riesgos de Gestión'!$AH$39="Menor"),CONCATENATE("R6C",'Riesgos de Gestión'!$V$39),"")</f>
        <v/>
      </c>
      <c r="U21" s="52" t="str">
        <f>IF(AND('Riesgos de Gestión'!$AF$40="Alta",'Riesgos de Gestión'!$AH$40="Menor"),CONCATENATE("R6C",'Riesgos de Gestión'!$V$40),"")</f>
        <v/>
      </c>
      <c r="V21" s="35" t="str">
        <f>IF(AND('Riesgos de Gestión'!$AF$35="Alta",'Riesgos de Gestión'!$AH$35="Moderado"),CONCATENATE("R6C",'Riesgos de Gestión'!$V$35),"")</f>
        <v/>
      </c>
      <c r="W21" s="36" t="str">
        <f>IF(AND('Riesgos de Gestión'!$AF$36="Alta",'Riesgos de Gestión'!$AH$36="Moderado"),CONCATENATE("R6C",'Riesgos de Gestión'!$V$36),"")</f>
        <v/>
      </c>
      <c r="X21" s="36" t="str">
        <f>IF(AND('Riesgos de Gestión'!$AF$37="Alta",'Riesgos de Gestión'!$AH$37="Moderado"),CONCATENATE("R6C",'Riesgos de Gestión'!$V$37),"")</f>
        <v/>
      </c>
      <c r="Y21" s="36" t="str">
        <f>IF(AND('Riesgos de Gestión'!$AF$38="Alta",'Riesgos de Gestión'!$AH$38="Moderado"),CONCATENATE("R6C",'Riesgos de Gestión'!$V$38),"")</f>
        <v/>
      </c>
      <c r="Z21" s="36" t="str">
        <f>IF(AND('Riesgos de Gestión'!$AF$39="Alta",'Riesgos de Gestión'!$AH$39="Moderado"),CONCATENATE("R6C",'Riesgos de Gestión'!$V$39),"")</f>
        <v/>
      </c>
      <c r="AA21" s="37" t="str">
        <f>IF(AND('Riesgos de Gestión'!$AF$40="Alta",'Riesgos de Gestión'!$AH$40="Moderado"),CONCATENATE("R6C",'Riesgos de Gestión'!$V$40),"")</f>
        <v/>
      </c>
      <c r="AB21" s="35" t="str">
        <f>IF(AND('Riesgos de Gestión'!$AF$35="Alta",'Riesgos de Gestión'!$AH$35="Mayor"),CONCATENATE("R6C",'Riesgos de Gestión'!$V$35),"")</f>
        <v/>
      </c>
      <c r="AC21" s="36" t="str">
        <f>IF(AND('Riesgos de Gestión'!$AF$36="Alta",'Riesgos de Gestión'!$AH$36="Mayor"),CONCATENATE("R6C",'Riesgos de Gestión'!$V$36),"")</f>
        <v/>
      </c>
      <c r="AD21" s="36" t="str">
        <f>IF(AND('Riesgos de Gestión'!$AF$37="Alta",'Riesgos de Gestión'!$AH$37="Mayor"),CONCATENATE("R6C",'Riesgos de Gestión'!$V$37),"")</f>
        <v/>
      </c>
      <c r="AE21" s="36" t="str">
        <f>IF(AND('Riesgos de Gestión'!$AF$38="Alta",'Riesgos de Gestión'!$AH$38="Mayor"),CONCATENATE("R6C",'Riesgos de Gestión'!$V$38),"")</f>
        <v/>
      </c>
      <c r="AF21" s="36" t="str">
        <f>IF(AND('Riesgos de Gestión'!$AF$39="Alta",'Riesgos de Gestión'!$AH$39="Mayor"),CONCATENATE("R6C",'Riesgos de Gestión'!$V$39),"")</f>
        <v/>
      </c>
      <c r="AG21" s="37" t="str">
        <f>IF(AND('Riesgos de Gestión'!$AF$40="Alta",'Riesgos de Gestión'!$AH$40="Mayor"),CONCATENATE("R6C",'Riesgos de Gestión'!$V$40),"")</f>
        <v/>
      </c>
      <c r="AH21" s="38" t="str">
        <f>IF(AND('Riesgos de Gestión'!$AF$35="Alta",'Riesgos de Gestión'!$AH$35="Catastrófico"),CONCATENATE("R6C",'Riesgos de Gestión'!$V$35),"")</f>
        <v/>
      </c>
      <c r="AI21" s="39" t="str">
        <f>IF(AND('Riesgos de Gestión'!$AF$36="Alta",'Riesgos de Gestión'!$AH$36="Catastrófico"),CONCATENATE("R6C",'Riesgos de Gestión'!$V$36),"")</f>
        <v/>
      </c>
      <c r="AJ21" s="39" t="str">
        <f>IF(AND('Riesgos de Gestión'!$AF$37="Alta",'Riesgos de Gestión'!$AH$37="Catastrófico"),CONCATENATE("R6C",'Riesgos de Gestión'!$V$37),"")</f>
        <v/>
      </c>
      <c r="AK21" s="39" t="str">
        <f>IF(AND('Riesgos de Gestión'!$AF$38="Alta",'Riesgos de Gestión'!$AH$38="Catastrófico"),CONCATENATE("R6C",'Riesgos de Gestión'!$V$38),"")</f>
        <v/>
      </c>
      <c r="AL21" s="39" t="str">
        <f>IF(AND('Riesgos de Gestión'!$AF$39="Alta",'Riesgos de Gestión'!$AH$39="Catastrófico"),CONCATENATE("R6C",'Riesgos de Gestión'!$V$39),"")</f>
        <v/>
      </c>
      <c r="AM21" s="40" t="str">
        <f>IF(AND('Riesgos de Gestión'!$AF$40="Alta",'Riesgos de Gestión'!$AH$40="Catastrófico"),CONCATENATE("R6C",'Riesgos de Gestión'!$V$40),"")</f>
        <v/>
      </c>
      <c r="AN21" s="66"/>
      <c r="AO21" s="484"/>
      <c r="AP21" s="485"/>
      <c r="AQ21" s="485"/>
      <c r="AR21" s="485"/>
      <c r="AS21" s="485"/>
      <c r="AT21" s="48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33"/>
      <c r="C22" s="433"/>
      <c r="D22" s="434"/>
      <c r="E22" s="474"/>
      <c r="F22" s="475"/>
      <c r="G22" s="475"/>
      <c r="H22" s="475"/>
      <c r="I22" s="475"/>
      <c r="J22" s="50" t="str">
        <f>IF(AND('Riesgos de Gestión'!$AF$41="Alta",'Riesgos de Gestión'!$AH$41="Leve"),CONCATENATE("R7C",'Riesgos de Gestión'!$V$41),"")</f>
        <v/>
      </c>
      <c r="K22" s="51" t="str">
        <f>IF(AND('Riesgos de Gestión'!$AF$42="Alta",'Riesgos de Gestión'!$AH$42="Leve"),CONCATENATE("R7C",'Riesgos de Gestión'!$V$42),"")</f>
        <v/>
      </c>
      <c r="L22" s="51" t="str">
        <f>IF(AND('Riesgos de Gestión'!$AF$43="Alta",'Riesgos de Gestión'!$AH$43="Leve"),CONCATENATE("R7C",'Riesgos de Gestión'!$V$43),"")</f>
        <v/>
      </c>
      <c r="M22" s="51" t="str">
        <f>IF(AND('Riesgos de Gestión'!$AF$44="Alta",'Riesgos de Gestión'!$AH$44="Leve"),CONCATENATE("R7C",'Riesgos de Gestión'!$V$44),"")</f>
        <v/>
      </c>
      <c r="N22" s="51" t="str">
        <f>IF(AND('Riesgos de Gestión'!$AF$45="Alta",'Riesgos de Gestión'!$AH$45="Leve"),CONCATENATE("R7C",'Riesgos de Gestión'!$V$45),"")</f>
        <v/>
      </c>
      <c r="O22" s="52" t="str">
        <f>IF(AND('Riesgos de Gestión'!$AF$46="Alta",'Riesgos de Gestión'!$AH$46="Leve"),CONCATENATE("R7C",'Riesgos de Gestión'!$V$46),"")</f>
        <v/>
      </c>
      <c r="P22" s="50" t="str">
        <f>IF(AND('Riesgos de Gestión'!$AF$41="Alta",'Riesgos de Gestión'!$AH$41="Menor"),CONCATENATE("R7C",'Riesgos de Gestión'!$V$41),"")</f>
        <v/>
      </c>
      <c r="Q22" s="51" t="str">
        <f>IF(AND('Riesgos de Gestión'!$AF$42="Alta",'Riesgos de Gestión'!$AH$42="Menor"),CONCATENATE("R7C",'Riesgos de Gestión'!$V$42),"")</f>
        <v/>
      </c>
      <c r="R22" s="51" t="str">
        <f>IF(AND('Riesgos de Gestión'!$AF$43="Alta",'Riesgos de Gestión'!$AH$43="Menor"),CONCATENATE("R7C",'Riesgos de Gestión'!$V$43),"")</f>
        <v/>
      </c>
      <c r="S22" s="51" t="str">
        <f>IF(AND('Riesgos de Gestión'!$AF$44="Alta",'Riesgos de Gestión'!$AH$44="Menor"),CONCATENATE("R7C",'Riesgos de Gestión'!$V$44),"")</f>
        <v/>
      </c>
      <c r="T22" s="51" t="str">
        <f>IF(AND('Riesgos de Gestión'!$AF$45="Alta",'Riesgos de Gestión'!$AH$45="Menor"),CONCATENATE("R7C",'Riesgos de Gestión'!$V$45),"")</f>
        <v/>
      </c>
      <c r="U22" s="52" t="str">
        <f>IF(AND('Riesgos de Gestión'!$AF$46="Alta",'Riesgos de Gestión'!$AH$46="Menor"),CONCATENATE("R7C",'Riesgos de Gestión'!$V$46),"")</f>
        <v/>
      </c>
      <c r="V22" s="35" t="str">
        <f>IF(AND('Riesgos de Gestión'!$AF$41="Alta",'Riesgos de Gestión'!$AH$41="Moderado"),CONCATENATE("R7C",'Riesgos de Gestión'!$V$41),"")</f>
        <v/>
      </c>
      <c r="W22" s="36" t="str">
        <f>IF(AND('Riesgos de Gestión'!$AF$42="Alta",'Riesgos de Gestión'!$AH$42="Moderado"),CONCATENATE("R7C",'Riesgos de Gestión'!$V$42),"")</f>
        <v/>
      </c>
      <c r="X22" s="36" t="str">
        <f>IF(AND('Riesgos de Gestión'!$AF$43="Alta",'Riesgos de Gestión'!$AH$43="Moderado"),CONCATENATE("R7C",'Riesgos de Gestión'!$V$43),"")</f>
        <v/>
      </c>
      <c r="Y22" s="36" t="str">
        <f>IF(AND('Riesgos de Gestión'!$AF$44="Alta",'Riesgos de Gestión'!$AH$44="Moderado"),CONCATENATE("R7C",'Riesgos de Gestión'!$V$44),"")</f>
        <v/>
      </c>
      <c r="Z22" s="36" t="str">
        <f>IF(AND('Riesgos de Gestión'!$AF$45="Alta",'Riesgos de Gestión'!$AH$45="Moderado"),CONCATENATE("R7C",'Riesgos de Gestión'!$V$45),"")</f>
        <v/>
      </c>
      <c r="AA22" s="37" t="str">
        <f>IF(AND('Riesgos de Gestión'!$AF$46="Alta",'Riesgos de Gestión'!$AH$46="Moderado"),CONCATENATE("R7C",'Riesgos de Gestión'!$V$46),"")</f>
        <v/>
      </c>
      <c r="AB22" s="35" t="str">
        <f>IF(AND('Riesgos de Gestión'!$AF$41="Alta",'Riesgos de Gestión'!$AH$41="Mayor"),CONCATENATE("R7C",'Riesgos de Gestión'!$V$41),"")</f>
        <v/>
      </c>
      <c r="AC22" s="36" t="str">
        <f>IF(AND('Riesgos de Gestión'!$AF$42="Alta",'Riesgos de Gestión'!$AH$42="Mayor"),CONCATENATE("R7C",'Riesgos de Gestión'!$V$42),"")</f>
        <v/>
      </c>
      <c r="AD22" s="36" t="str">
        <f>IF(AND('Riesgos de Gestión'!$AF$43="Alta",'Riesgos de Gestión'!$AH$43="Mayor"),CONCATENATE("R7C",'Riesgos de Gestión'!$V$43),"")</f>
        <v/>
      </c>
      <c r="AE22" s="36" t="str">
        <f>IF(AND('Riesgos de Gestión'!$AF$44="Alta",'Riesgos de Gestión'!$AH$44="Mayor"),CONCATENATE("R7C",'Riesgos de Gestión'!$V$44),"")</f>
        <v/>
      </c>
      <c r="AF22" s="36" t="str">
        <f>IF(AND('Riesgos de Gestión'!$AF$45="Alta",'Riesgos de Gestión'!$AH$45="Mayor"),CONCATENATE("R7C",'Riesgos de Gestión'!$V$45),"")</f>
        <v/>
      </c>
      <c r="AG22" s="37" t="str">
        <f>IF(AND('Riesgos de Gestión'!$AF$46="Alta",'Riesgos de Gestión'!$AH$46="Mayor"),CONCATENATE("R7C",'Riesgos de Gestión'!$V$46),"")</f>
        <v/>
      </c>
      <c r="AH22" s="38" t="str">
        <f>IF(AND('Riesgos de Gestión'!$AF$41="Alta",'Riesgos de Gestión'!$AH$41="Catastrófico"),CONCATENATE("R7C",'Riesgos de Gestión'!$V$41),"")</f>
        <v/>
      </c>
      <c r="AI22" s="39" t="str">
        <f>IF(AND('Riesgos de Gestión'!$AF$42="Alta",'Riesgos de Gestión'!$AH$42="Catastrófico"),CONCATENATE("R7C",'Riesgos de Gestión'!$V$42),"")</f>
        <v/>
      </c>
      <c r="AJ22" s="39" t="str">
        <f>IF(AND('Riesgos de Gestión'!$AF$43="Alta",'Riesgos de Gestión'!$AH$43="Catastrófico"),CONCATENATE("R7C",'Riesgos de Gestión'!$V$43),"")</f>
        <v/>
      </c>
      <c r="AK22" s="39" t="str">
        <f>IF(AND('Riesgos de Gestión'!$AF$44="Alta",'Riesgos de Gestión'!$AH$44="Catastrófico"),CONCATENATE("R7C",'Riesgos de Gestión'!$V$44),"")</f>
        <v/>
      </c>
      <c r="AL22" s="39" t="str">
        <f>IF(AND('Riesgos de Gestión'!$AF$45="Alta",'Riesgos de Gestión'!$AH$45="Catastrófico"),CONCATENATE("R7C",'Riesgos de Gestión'!$V$45),"")</f>
        <v/>
      </c>
      <c r="AM22" s="40" t="str">
        <f>IF(AND('Riesgos de Gestión'!$AF$46="Alta",'Riesgos de Gestión'!$AH$46="Catastrófico"),CONCATENATE("R7C",'Riesgos de Gestión'!$V$46),"")</f>
        <v/>
      </c>
      <c r="AN22" s="66"/>
      <c r="AO22" s="484"/>
      <c r="AP22" s="485"/>
      <c r="AQ22" s="485"/>
      <c r="AR22" s="485"/>
      <c r="AS22" s="485"/>
      <c r="AT22" s="48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33"/>
      <c r="C23" s="433"/>
      <c r="D23" s="434"/>
      <c r="E23" s="474"/>
      <c r="F23" s="475"/>
      <c r="G23" s="475"/>
      <c r="H23" s="475"/>
      <c r="I23" s="475"/>
      <c r="J23" s="50" t="str">
        <f>IF(AND('Riesgos de Gestión'!$AF$47="Alta",'Riesgos de Gestión'!$AH$47="Leve"),CONCATENATE("R8C",'Riesgos de Gestión'!$V$47),"")</f>
        <v/>
      </c>
      <c r="K23" s="51" t="str">
        <f>IF(AND('Riesgos de Gestión'!$AF$48="Alta",'Riesgos de Gestión'!$AH$48="Leve"),CONCATENATE("R8C",'Riesgos de Gestión'!$V$48),"")</f>
        <v/>
      </c>
      <c r="L23" s="51" t="str">
        <f>IF(AND('Riesgos de Gestión'!$AF$49="Alta",'Riesgos de Gestión'!$AH$49="Leve"),CONCATENATE("R8C",'Riesgos de Gestión'!$V$49),"")</f>
        <v/>
      </c>
      <c r="M23" s="51" t="str">
        <f>IF(AND('Riesgos de Gestión'!$AF$50="Alta",'Riesgos de Gestión'!$AH$50="Leve"),CONCATENATE("R8C",'Riesgos de Gestión'!$V$50),"")</f>
        <v/>
      </c>
      <c r="N23" s="51" t="str">
        <f>IF(AND('Riesgos de Gestión'!$AF$51="Alta",'Riesgos de Gestión'!$AH$51="Leve"),CONCATENATE("R8C",'Riesgos de Gestión'!$V$51),"")</f>
        <v/>
      </c>
      <c r="O23" s="52" t="str">
        <f>IF(AND('Riesgos de Gestión'!$AF$52="Alta",'Riesgos de Gestión'!$AH$52="Leve"),CONCATENATE("R8C",'Riesgos de Gestión'!$V$52),"")</f>
        <v/>
      </c>
      <c r="P23" s="50" t="str">
        <f>IF(AND('Riesgos de Gestión'!$AF$47="Alta",'Riesgos de Gestión'!$AH$47="Menor"),CONCATENATE("R8C",'Riesgos de Gestión'!$V$47),"")</f>
        <v/>
      </c>
      <c r="Q23" s="51" t="str">
        <f>IF(AND('Riesgos de Gestión'!$AF$48="Alta",'Riesgos de Gestión'!$AH$48="Menor"),CONCATENATE("R8C",'Riesgos de Gestión'!$V$48),"")</f>
        <v/>
      </c>
      <c r="R23" s="51" t="str">
        <f>IF(AND('Riesgos de Gestión'!$AF$49="Alta",'Riesgos de Gestión'!$AH$49="Menor"),CONCATENATE("R8C",'Riesgos de Gestión'!$V$49),"")</f>
        <v/>
      </c>
      <c r="S23" s="51" t="str">
        <f>IF(AND('Riesgos de Gestión'!$AF$50="Alta",'Riesgos de Gestión'!$AH$50="Menor"),CONCATENATE("R8C",'Riesgos de Gestión'!$V$50),"")</f>
        <v/>
      </c>
      <c r="T23" s="51" t="str">
        <f>IF(AND('Riesgos de Gestión'!$AF$51="Alta",'Riesgos de Gestión'!$AH$51="Menor"),CONCATENATE("R8C",'Riesgos de Gestión'!$V$51),"")</f>
        <v/>
      </c>
      <c r="U23" s="52" t="str">
        <f>IF(AND('Riesgos de Gestión'!$AF$52="Alta",'Riesgos de Gestión'!$AH$52="Menor"),CONCATENATE("R8C",'Riesgos de Gestión'!$V$52),"")</f>
        <v/>
      </c>
      <c r="V23" s="35" t="str">
        <f>IF(AND('Riesgos de Gestión'!$AF$47="Alta",'Riesgos de Gestión'!$AH$47="Moderado"),CONCATENATE("R8C",'Riesgos de Gestión'!$V$47),"")</f>
        <v/>
      </c>
      <c r="W23" s="36" t="str">
        <f>IF(AND('Riesgos de Gestión'!$AF$48="Alta",'Riesgos de Gestión'!$AH$48="Moderado"),CONCATENATE("R8C",'Riesgos de Gestión'!$V$48),"")</f>
        <v/>
      </c>
      <c r="X23" s="36" t="str">
        <f>IF(AND('Riesgos de Gestión'!$AF$49="Alta",'Riesgos de Gestión'!$AH$49="Moderado"),CONCATENATE("R8C",'Riesgos de Gestión'!$V$49),"")</f>
        <v/>
      </c>
      <c r="Y23" s="36" t="str">
        <f>IF(AND('Riesgos de Gestión'!$AF$50="Alta",'Riesgos de Gestión'!$AH$50="Moderado"),CONCATENATE("R8C",'Riesgos de Gestión'!$V$50),"")</f>
        <v/>
      </c>
      <c r="Z23" s="36" t="str">
        <f>IF(AND('Riesgos de Gestión'!$AF$51="Alta",'Riesgos de Gestión'!$AH$51="Moderado"),CONCATENATE("R8C",'Riesgos de Gestión'!$V$51),"")</f>
        <v/>
      </c>
      <c r="AA23" s="37" t="str">
        <f>IF(AND('Riesgos de Gestión'!$AF$52="Alta",'Riesgos de Gestión'!$AH$52="Moderado"),CONCATENATE("R8C",'Riesgos de Gestión'!$V$52),"")</f>
        <v/>
      </c>
      <c r="AB23" s="35" t="str">
        <f>IF(AND('Riesgos de Gestión'!$AF$47="Alta",'Riesgos de Gestión'!$AH$47="Mayor"),CONCATENATE("R8C",'Riesgos de Gestión'!$V$47),"")</f>
        <v/>
      </c>
      <c r="AC23" s="36" t="str">
        <f>IF(AND('Riesgos de Gestión'!$AF$48="Alta",'Riesgos de Gestión'!$AH$48="Mayor"),CONCATENATE("R8C",'Riesgos de Gestión'!$V$48),"")</f>
        <v/>
      </c>
      <c r="AD23" s="36" t="str">
        <f>IF(AND('Riesgos de Gestión'!$AF$49="Alta",'Riesgos de Gestión'!$AH$49="Mayor"),CONCATENATE("R8C",'Riesgos de Gestión'!$V$49),"")</f>
        <v/>
      </c>
      <c r="AE23" s="36" t="str">
        <f>IF(AND('Riesgos de Gestión'!$AF$50="Alta",'Riesgos de Gestión'!$AH$50="Mayor"),CONCATENATE("R8C",'Riesgos de Gestión'!$V$50),"")</f>
        <v/>
      </c>
      <c r="AF23" s="36" t="str">
        <f>IF(AND('Riesgos de Gestión'!$AF$51="Alta",'Riesgos de Gestión'!$AH$51="Mayor"),CONCATENATE("R8C",'Riesgos de Gestión'!$V$51),"")</f>
        <v/>
      </c>
      <c r="AG23" s="37" t="str">
        <f>IF(AND('Riesgos de Gestión'!$AF$52="Alta",'Riesgos de Gestión'!$AH$52="Mayor"),CONCATENATE("R8C",'Riesgos de Gestión'!$V$52),"")</f>
        <v/>
      </c>
      <c r="AH23" s="38" t="str">
        <f>IF(AND('Riesgos de Gestión'!$AF$47="Alta",'Riesgos de Gestión'!$AH$47="Catastrófico"),CONCATENATE("R8C",'Riesgos de Gestión'!$V$47),"")</f>
        <v/>
      </c>
      <c r="AI23" s="39" t="str">
        <f>IF(AND('Riesgos de Gestión'!$AF$48="Alta",'Riesgos de Gestión'!$AH$48="Catastrófico"),CONCATENATE("R8C",'Riesgos de Gestión'!$V$48),"")</f>
        <v/>
      </c>
      <c r="AJ23" s="39" t="str">
        <f>IF(AND('Riesgos de Gestión'!$AF$49="Alta",'Riesgos de Gestión'!$AH$49="Catastrófico"),CONCATENATE("R8C",'Riesgos de Gestión'!$V$49),"")</f>
        <v/>
      </c>
      <c r="AK23" s="39" t="str">
        <f>IF(AND('Riesgos de Gestión'!$AF$50="Alta",'Riesgos de Gestión'!$AH$50="Catastrófico"),CONCATENATE("R8C",'Riesgos de Gestión'!$V$50),"")</f>
        <v/>
      </c>
      <c r="AL23" s="39" t="str">
        <f>IF(AND('Riesgos de Gestión'!$AF$51="Alta",'Riesgos de Gestión'!$AH$51="Catastrófico"),CONCATENATE("R8C",'Riesgos de Gestión'!$V$51),"")</f>
        <v/>
      </c>
      <c r="AM23" s="40" t="str">
        <f>IF(AND('Riesgos de Gestión'!$AF$52="Alta",'Riesgos de Gestión'!$AH$52="Catastrófico"),CONCATENATE("R8C",'Riesgos de Gestión'!$V$52),"")</f>
        <v/>
      </c>
      <c r="AN23" s="66"/>
      <c r="AO23" s="484"/>
      <c r="AP23" s="485"/>
      <c r="AQ23" s="485"/>
      <c r="AR23" s="485"/>
      <c r="AS23" s="485"/>
      <c r="AT23" s="48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33"/>
      <c r="C24" s="433"/>
      <c r="D24" s="434"/>
      <c r="E24" s="474"/>
      <c r="F24" s="475"/>
      <c r="G24" s="475"/>
      <c r="H24" s="475"/>
      <c r="I24" s="475"/>
      <c r="J24" s="50" t="str">
        <f>IF(AND('Riesgos de Gestión'!$AF$53="Alta",'Riesgos de Gestión'!$AH$53="Leve"),CONCATENATE("R9C",'Riesgos de Gestión'!$V$53),"")</f>
        <v/>
      </c>
      <c r="K24" s="51" t="str">
        <f>IF(AND('Riesgos de Gestión'!$AF$54="Alta",'Riesgos de Gestión'!$AH$54="Leve"),CONCATENATE("R9C",'Riesgos de Gestión'!$V$54),"")</f>
        <v/>
      </c>
      <c r="L24" s="51" t="str">
        <f>IF(AND('Riesgos de Gestión'!$AF$55="Alta",'Riesgos de Gestión'!$AH$55="Leve"),CONCATENATE("R9C",'Riesgos de Gestión'!$V$55),"")</f>
        <v/>
      </c>
      <c r="M24" s="51" t="str">
        <f>IF(AND('Riesgos de Gestión'!$AF$56="Alta",'Riesgos de Gestión'!$AH$56="Leve"),CONCATENATE("R9C",'Riesgos de Gestión'!$V$56),"")</f>
        <v/>
      </c>
      <c r="N24" s="51" t="str">
        <f>IF(AND('Riesgos de Gestión'!$AF$57="Alta",'Riesgos de Gestión'!$AH$57="Leve"),CONCATENATE("R9C",'Riesgos de Gestión'!$V$57),"")</f>
        <v/>
      </c>
      <c r="O24" s="52" t="str">
        <f>IF(AND('Riesgos de Gestión'!$AF$58="Alta",'Riesgos de Gestión'!$AH$58="Leve"),CONCATENATE("R9C",'Riesgos de Gestión'!$V$58),"")</f>
        <v/>
      </c>
      <c r="P24" s="50" t="str">
        <f>IF(AND('Riesgos de Gestión'!$AF$53="Alta",'Riesgos de Gestión'!$AH$53="Menor"),CONCATENATE("R9C",'Riesgos de Gestión'!$V$53),"")</f>
        <v/>
      </c>
      <c r="Q24" s="51" t="str">
        <f>IF(AND('Riesgos de Gestión'!$AF$54="Alta",'Riesgos de Gestión'!$AH$54="Menor"),CONCATENATE("R9C",'Riesgos de Gestión'!$V$54),"")</f>
        <v/>
      </c>
      <c r="R24" s="51" t="str">
        <f>IF(AND('Riesgos de Gestión'!$AF$55="Alta",'Riesgos de Gestión'!$AH$55="Menor"),CONCATENATE("R9C",'Riesgos de Gestión'!$V$55),"")</f>
        <v/>
      </c>
      <c r="S24" s="51" t="str">
        <f>IF(AND('Riesgos de Gestión'!$AF$56="Alta",'Riesgos de Gestión'!$AH$56="Menor"),CONCATENATE("R9C",'Riesgos de Gestión'!$V$56),"")</f>
        <v/>
      </c>
      <c r="T24" s="51" t="str">
        <f>IF(AND('Riesgos de Gestión'!$AF$57="Alta",'Riesgos de Gestión'!$AH$57="Menor"),CONCATENATE("R9C",'Riesgos de Gestión'!$V$57),"")</f>
        <v/>
      </c>
      <c r="U24" s="52" t="str">
        <f>IF(AND('Riesgos de Gestión'!$AF$58="Alta",'Riesgos de Gestión'!$AH$58="Menor"),CONCATENATE("R9C",'Riesgos de Gestión'!$V$58),"")</f>
        <v/>
      </c>
      <c r="V24" s="35" t="str">
        <f>IF(AND('Riesgos de Gestión'!$AF$53="Alta",'Riesgos de Gestión'!$AH$53="Moderado"),CONCATENATE("R9C",'Riesgos de Gestión'!$V$53),"")</f>
        <v/>
      </c>
      <c r="W24" s="36" t="str">
        <f>IF(AND('Riesgos de Gestión'!$AF$54="Alta",'Riesgos de Gestión'!$AH$54="Moderado"),CONCATENATE("R9C",'Riesgos de Gestión'!$V$54),"")</f>
        <v/>
      </c>
      <c r="X24" s="36" t="str">
        <f>IF(AND('Riesgos de Gestión'!$AF$55="Alta",'Riesgos de Gestión'!$AH$55="Moderado"),CONCATENATE("R9C",'Riesgos de Gestión'!$V$55),"")</f>
        <v/>
      </c>
      <c r="Y24" s="36" t="str">
        <f>IF(AND('Riesgos de Gestión'!$AF$56="Alta",'Riesgos de Gestión'!$AH$56="Moderado"),CONCATENATE("R9C",'Riesgos de Gestión'!$V$56),"")</f>
        <v/>
      </c>
      <c r="Z24" s="36" t="str">
        <f>IF(AND('Riesgos de Gestión'!$AF$57="Alta",'Riesgos de Gestión'!$AH$57="Moderado"),CONCATENATE("R9C",'Riesgos de Gestión'!$V$57),"")</f>
        <v/>
      </c>
      <c r="AA24" s="37" t="str">
        <f>IF(AND('Riesgos de Gestión'!$AF$58="Alta",'Riesgos de Gestión'!$AH$58="Moderado"),CONCATENATE("R9C",'Riesgos de Gestión'!$V$58),"")</f>
        <v/>
      </c>
      <c r="AB24" s="35" t="str">
        <f>IF(AND('Riesgos de Gestión'!$AF$53="Alta",'Riesgos de Gestión'!$AH$53="Mayor"),CONCATENATE("R9C",'Riesgos de Gestión'!$V$53),"")</f>
        <v/>
      </c>
      <c r="AC24" s="36" t="str">
        <f>IF(AND('Riesgos de Gestión'!$AF$54="Alta",'Riesgos de Gestión'!$AH$54="Mayor"),CONCATENATE("R9C",'Riesgos de Gestión'!$V$54),"")</f>
        <v/>
      </c>
      <c r="AD24" s="36" t="str">
        <f>IF(AND('Riesgos de Gestión'!$AF$55="Alta",'Riesgos de Gestión'!$AH$55="Mayor"),CONCATENATE("R9C",'Riesgos de Gestión'!$V$55),"")</f>
        <v/>
      </c>
      <c r="AE24" s="36" t="str">
        <f>IF(AND('Riesgos de Gestión'!$AF$56="Alta",'Riesgos de Gestión'!$AH$56="Mayor"),CONCATENATE("R9C",'Riesgos de Gestión'!$V$56),"")</f>
        <v/>
      </c>
      <c r="AF24" s="36" t="str">
        <f>IF(AND('Riesgos de Gestión'!$AF$57="Alta",'Riesgos de Gestión'!$AH$57="Mayor"),CONCATENATE("R9C",'Riesgos de Gestión'!$V$57),"")</f>
        <v/>
      </c>
      <c r="AG24" s="37" t="str">
        <f>IF(AND('Riesgos de Gestión'!$AF$58="Alta",'Riesgos de Gestión'!$AH$58="Mayor"),CONCATENATE("R9C",'Riesgos de Gestión'!$V$58),"")</f>
        <v/>
      </c>
      <c r="AH24" s="38" t="str">
        <f>IF(AND('Riesgos de Gestión'!$AF$53="Alta",'Riesgos de Gestión'!$AH$53="Catastrófico"),CONCATENATE("R9C",'Riesgos de Gestión'!$V$53),"")</f>
        <v/>
      </c>
      <c r="AI24" s="39" t="str">
        <f>IF(AND('Riesgos de Gestión'!$AF$54="Alta",'Riesgos de Gestión'!$AH$54="Catastrófico"),CONCATENATE("R9C",'Riesgos de Gestión'!$V$54),"")</f>
        <v/>
      </c>
      <c r="AJ24" s="39" t="str">
        <f>IF(AND('Riesgos de Gestión'!$AF$55="Alta",'Riesgos de Gestión'!$AH$55="Catastrófico"),CONCATENATE("R9C",'Riesgos de Gestión'!$V$55),"")</f>
        <v/>
      </c>
      <c r="AK24" s="39" t="str">
        <f>IF(AND('Riesgos de Gestión'!$AF$56="Alta",'Riesgos de Gestión'!$AH$56="Catastrófico"),CONCATENATE("R9C",'Riesgos de Gestión'!$V$56),"")</f>
        <v/>
      </c>
      <c r="AL24" s="39" t="str">
        <f>IF(AND('Riesgos de Gestión'!$AF$57="Alta",'Riesgos de Gestión'!$AH$57="Catastrófico"),CONCATENATE("R9C",'Riesgos de Gestión'!$V$57),"")</f>
        <v/>
      </c>
      <c r="AM24" s="40" t="str">
        <f>IF(AND('Riesgos de Gestión'!$AF$58="Alta",'Riesgos de Gestión'!$AH$58="Catastrófico"),CONCATENATE("R9C",'Riesgos de Gestión'!$V$58),"")</f>
        <v/>
      </c>
      <c r="AN24" s="66"/>
      <c r="AO24" s="484"/>
      <c r="AP24" s="485"/>
      <c r="AQ24" s="485"/>
      <c r="AR24" s="485"/>
      <c r="AS24" s="485"/>
      <c r="AT24" s="48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33"/>
      <c r="C25" s="433"/>
      <c r="D25" s="434"/>
      <c r="E25" s="477"/>
      <c r="F25" s="478"/>
      <c r="G25" s="478"/>
      <c r="H25" s="478"/>
      <c r="I25" s="478"/>
      <c r="J25" s="53" t="str">
        <f>IF(AND('Riesgos de Gestión'!$AF$59="Alta",'Riesgos de Gestión'!$AH$59="Leve"),CONCATENATE("R10C",'Riesgos de Gestión'!$V$59),"")</f>
        <v/>
      </c>
      <c r="K25" s="54" t="str">
        <f>IF(AND('Riesgos de Gestión'!$AF$60="Alta",'Riesgos de Gestión'!$AH$60="Leve"),CONCATENATE("R10C",'Riesgos de Gestión'!$V$60),"")</f>
        <v/>
      </c>
      <c r="L25" s="54" t="str">
        <f>IF(AND('Riesgos de Gestión'!$AF$61="Alta",'Riesgos de Gestión'!$AH$61="Leve"),CONCATENATE("R10C",'Riesgos de Gestión'!$V$61),"")</f>
        <v/>
      </c>
      <c r="M25" s="54" t="str">
        <f>IF(AND('Riesgos de Gestión'!$AF$62="Alta",'Riesgos de Gestión'!$AH$62="Leve"),CONCATENATE("R10C",'Riesgos de Gestión'!$V$62),"")</f>
        <v/>
      </c>
      <c r="N25" s="54" t="str">
        <f>IF(AND('Riesgos de Gestión'!$AF$63="Alta",'Riesgos de Gestión'!$AH$63="Leve"),CONCATENATE("R10C",'Riesgos de Gestión'!$V$63),"")</f>
        <v/>
      </c>
      <c r="O25" s="55" t="str">
        <f>IF(AND('Riesgos de Gestión'!$AF$64="Alta",'Riesgos de Gestión'!$AH$64="Leve"),CONCATENATE("R10C",'Riesgos de Gestión'!$V$64),"")</f>
        <v/>
      </c>
      <c r="P25" s="53" t="str">
        <f>IF(AND('Riesgos de Gestión'!$AF$59="Alta",'Riesgos de Gestión'!$AH$59="Menor"),CONCATENATE("R10C",'Riesgos de Gestión'!$V$59),"")</f>
        <v/>
      </c>
      <c r="Q25" s="54" t="str">
        <f>IF(AND('Riesgos de Gestión'!$AF$60="Alta",'Riesgos de Gestión'!$AH$60="Menor"),CONCATENATE("R10C",'Riesgos de Gestión'!$V$60),"")</f>
        <v/>
      </c>
      <c r="R25" s="54" t="str">
        <f>IF(AND('Riesgos de Gestión'!$AF$61="Alta",'Riesgos de Gestión'!$AH$61="Menor"),CONCATENATE("R10C",'Riesgos de Gestión'!$V$61),"")</f>
        <v/>
      </c>
      <c r="S25" s="54" t="str">
        <f>IF(AND('Riesgos de Gestión'!$AF$62="Alta",'Riesgos de Gestión'!$AH$62="Menor"),CONCATENATE("R10C",'Riesgos de Gestión'!$V$62),"")</f>
        <v/>
      </c>
      <c r="T25" s="54" t="str">
        <f>IF(AND('Riesgos de Gestión'!$AF$63="Alta",'Riesgos de Gestión'!$AH$63="Menor"),CONCATENATE("R10C",'Riesgos de Gestión'!$V$63),"")</f>
        <v/>
      </c>
      <c r="U25" s="55" t="str">
        <f>IF(AND('Riesgos de Gestión'!$AF$64="Alta",'Riesgos de Gestión'!$AH$64="Menor"),CONCATENATE("R10C",'Riesgos de Gestión'!$V$64),"")</f>
        <v/>
      </c>
      <c r="V25" s="41" t="str">
        <f>IF(AND('Riesgos de Gestión'!$AF$59="Alta",'Riesgos de Gestión'!$AH$59="Moderado"),CONCATENATE("R10C",'Riesgos de Gestión'!$V$59),"")</f>
        <v/>
      </c>
      <c r="W25" s="42" t="str">
        <f>IF(AND('Riesgos de Gestión'!$AF$60="Alta",'Riesgos de Gestión'!$AH$60="Moderado"),CONCATENATE("R10C",'Riesgos de Gestión'!$V$60),"")</f>
        <v/>
      </c>
      <c r="X25" s="42" t="str">
        <f>IF(AND('Riesgos de Gestión'!$AF$61="Alta",'Riesgos de Gestión'!$AH$61="Moderado"),CONCATENATE("R10C",'Riesgos de Gestión'!$V$61),"")</f>
        <v/>
      </c>
      <c r="Y25" s="42" t="str">
        <f>IF(AND('Riesgos de Gestión'!$AF$62="Alta",'Riesgos de Gestión'!$AH$62="Moderado"),CONCATENATE("R10C",'Riesgos de Gestión'!$V$62),"")</f>
        <v/>
      </c>
      <c r="Z25" s="42" t="str">
        <f>IF(AND('Riesgos de Gestión'!$AF$63="Alta",'Riesgos de Gestión'!$AH$63="Moderado"),CONCATENATE("R10C",'Riesgos de Gestión'!$V$63),"")</f>
        <v/>
      </c>
      <c r="AA25" s="43" t="str">
        <f>IF(AND('Riesgos de Gestión'!$AF$64="Alta",'Riesgos de Gestión'!$AH$64="Moderado"),CONCATENATE("R10C",'Riesgos de Gestión'!$V$64),"")</f>
        <v/>
      </c>
      <c r="AB25" s="41" t="str">
        <f>IF(AND('Riesgos de Gestión'!$AF$59="Alta",'Riesgos de Gestión'!$AH$59="Mayor"),CONCATENATE("R10C",'Riesgos de Gestión'!$V$59),"")</f>
        <v/>
      </c>
      <c r="AC25" s="42" t="str">
        <f>IF(AND('Riesgos de Gestión'!$AF$60="Alta",'Riesgos de Gestión'!$AH$60="Mayor"),CONCATENATE("R10C",'Riesgos de Gestión'!$V$60),"")</f>
        <v/>
      </c>
      <c r="AD25" s="42" t="str">
        <f>IF(AND('Riesgos de Gestión'!$AF$61="Alta",'Riesgos de Gestión'!$AH$61="Mayor"),CONCATENATE("R10C",'Riesgos de Gestión'!$V$61),"")</f>
        <v/>
      </c>
      <c r="AE25" s="42" t="str">
        <f>IF(AND('Riesgos de Gestión'!$AF$62="Alta",'Riesgos de Gestión'!$AH$62="Mayor"),CONCATENATE("R10C",'Riesgos de Gestión'!$V$62),"")</f>
        <v/>
      </c>
      <c r="AF25" s="42" t="str">
        <f>IF(AND('Riesgos de Gestión'!$AF$63="Alta",'Riesgos de Gestión'!$AH$63="Mayor"),CONCATENATE("R10C",'Riesgos de Gestión'!$V$63),"")</f>
        <v/>
      </c>
      <c r="AG25" s="43" t="str">
        <f>IF(AND('Riesgos de Gestión'!$AF$64="Alta",'Riesgos de Gestión'!$AH$64="Mayor"),CONCATENATE("R10C",'Riesgos de Gestión'!$V$64),"")</f>
        <v/>
      </c>
      <c r="AH25" s="44" t="str">
        <f>IF(AND('Riesgos de Gestión'!$AF$59="Alta",'Riesgos de Gestión'!$AH$59="Catastrófico"),CONCATENATE("R10C",'Riesgos de Gestión'!$V$59),"")</f>
        <v/>
      </c>
      <c r="AI25" s="45" t="str">
        <f>IF(AND('Riesgos de Gestión'!$AF$60="Alta",'Riesgos de Gestión'!$AH$60="Catastrófico"),CONCATENATE("R10C",'Riesgos de Gestión'!$V$60),"")</f>
        <v/>
      </c>
      <c r="AJ25" s="45" t="str">
        <f>IF(AND('Riesgos de Gestión'!$AF$61="Alta",'Riesgos de Gestión'!$AH$61="Catastrófico"),CONCATENATE("R10C",'Riesgos de Gestión'!$V$61),"")</f>
        <v/>
      </c>
      <c r="AK25" s="45" t="str">
        <f>IF(AND('Riesgos de Gestión'!$AF$62="Alta",'Riesgos de Gestión'!$AH$62="Catastrófico"),CONCATENATE("R10C",'Riesgos de Gestión'!$V$62),"")</f>
        <v/>
      </c>
      <c r="AL25" s="45" t="str">
        <f>IF(AND('Riesgos de Gestión'!$AF$63="Alta",'Riesgos de Gestión'!$AH$63="Catastrófico"),CONCATENATE("R10C",'Riesgos de Gestión'!$V$63),"")</f>
        <v/>
      </c>
      <c r="AM25" s="46" t="str">
        <f>IF(AND('Riesgos de Gestión'!$AF$64="Alta",'Riesgos de Gestión'!$AH$64="Catastrófico"),CONCATENATE("R10C",'Riesgos de Gestión'!$V$64),"")</f>
        <v/>
      </c>
      <c r="AN25" s="66"/>
      <c r="AO25" s="487"/>
      <c r="AP25" s="488"/>
      <c r="AQ25" s="488"/>
      <c r="AR25" s="488"/>
      <c r="AS25" s="488"/>
      <c r="AT25" s="48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33"/>
      <c r="C26" s="433"/>
      <c r="D26" s="434"/>
      <c r="E26" s="471" t="s">
        <v>269</v>
      </c>
      <c r="F26" s="472"/>
      <c r="G26" s="472"/>
      <c r="H26" s="472"/>
      <c r="I26" s="473"/>
      <c r="J26" s="47" t="str">
        <f>IF(AND('Riesgos de Gestión'!$AF$13="Media",'Riesgos de Gestión'!$AH$13="Leve"),CONCATENATE("R1C",'Riesgos de Gestión'!$V$13),"")</f>
        <v/>
      </c>
      <c r="K26" s="48" t="str">
        <f>IF(AND('Riesgos de Gestión'!$AF$14="Media",'Riesgos de Gestión'!$AH$14="Leve"),CONCATENATE("R1C",'Riesgos de Gestión'!$V$14),"")</f>
        <v/>
      </c>
      <c r="L26" s="48" t="e">
        <f>IF(AND('Riesgos de Gestión'!#REF!="Media",'Riesgos de Gestión'!#REF!="Leve"),CONCATENATE("R1C",'Riesgos de Gestión'!#REF!),"")</f>
        <v>#REF!</v>
      </c>
      <c r="M26" s="48" t="e">
        <f>IF(AND('Riesgos de Gestión'!#REF!="Media",'Riesgos de Gestión'!#REF!="Leve"),CONCATENATE("R1C",'Riesgos de Gestión'!#REF!),"")</f>
        <v>#REF!</v>
      </c>
      <c r="N26" s="48" t="e">
        <f>IF(AND('Riesgos de Gestión'!#REF!="Media",'Riesgos de Gestión'!#REF!="Leve"),CONCATENATE("R1C",'Riesgos de Gestión'!#REF!),"")</f>
        <v>#REF!</v>
      </c>
      <c r="O26" s="49" t="e">
        <f>IF(AND('Riesgos de Gestión'!#REF!="Media",'Riesgos de Gestión'!#REF!="Leve"),CONCATENATE("R1C",'Riesgos de Gestión'!#REF!),"")</f>
        <v>#REF!</v>
      </c>
      <c r="P26" s="47" t="str">
        <f>IF(AND('Riesgos de Gestión'!$AF$13="Media",'Riesgos de Gestión'!$AH$13="Menor"),CONCATENATE("R1C",'Riesgos de Gestión'!$V$13),"")</f>
        <v/>
      </c>
      <c r="Q26" s="48" t="str">
        <f>IF(AND('Riesgos de Gestión'!$AF$14="Media",'Riesgos de Gestión'!$AH$14="Menor"),CONCATENATE("R1C",'Riesgos de Gestión'!$V$14),"")</f>
        <v/>
      </c>
      <c r="R26" s="48" t="e">
        <f>IF(AND('Riesgos de Gestión'!#REF!="Media",'Riesgos de Gestión'!#REF!="Menor"),CONCATENATE("R1C",'Riesgos de Gestión'!#REF!),"")</f>
        <v>#REF!</v>
      </c>
      <c r="S26" s="48" t="e">
        <f>IF(AND('Riesgos de Gestión'!#REF!="Media",'Riesgos de Gestión'!#REF!="Menor"),CONCATENATE("R1C",'Riesgos de Gestión'!#REF!),"")</f>
        <v>#REF!</v>
      </c>
      <c r="T26" s="48" t="e">
        <f>IF(AND('Riesgos de Gestión'!#REF!="Media",'Riesgos de Gestión'!#REF!="Menor"),CONCATENATE("R1C",'Riesgos de Gestión'!#REF!),"")</f>
        <v>#REF!</v>
      </c>
      <c r="U26" s="49" t="e">
        <f>IF(AND('Riesgos de Gestión'!#REF!="Media",'Riesgos de Gestión'!#REF!="Menor"),CONCATENATE("R1C",'Riesgos de Gestión'!#REF!),"")</f>
        <v>#REF!</v>
      </c>
      <c r="V26" s="47" t="str">
        <f>IF(AND('Riesgos de Gestión'!$AF$13="Media",'Riesgos de Gestión'!$AH$13="Moderado"),CONCATENATE("R1C",'Riesgos de Gestión'!$V$13),"")</f>
        <v/>
      </c>
      <c r="W26" s="48" t="str">
        <f>IF(AND('Riesgos de Gestión'!$AF$14="Media",'Riesgos de Gestión'!$AH$14="Moderado"),CONCATENATE("R1C",'Riesgos de Gestión'!$V$14),"")</f>
        <v/>
      </c>
      <c r="X26" s="48" t="e">
        <f>IF(AND('Riesgos de Gestión'!#REF!="Media",'Riesgos de Gestión'!#REF!="Moderado"),CONCATENATE("R1C",'Riesgos de Gestión'!#REF!),"")</f>
        <v>#REF!</v>
      </c>
      <c r="Y26" s="48" t="e">
        <f>IF(AND('Riesgos de Gestión'!#REF!="Media",'Riesgos de Gestión'!#REF!="Moderado"),CONCATENATE("R1C",'Riesgos de Gestión'!#REF!),"")</f>
        <v>#REF!</v>
      </c>
      <c r="Z26" s="48" t="e">
        <f>IF(AND('Riesgos de Gestión'!#REF!="Media",'Riesgos de Gestión'!#REF!="Moderado"),CONCATENATE("R1C",'Riesgos de Gestión'!#REF!),"")</f>
        <v>#REF!</v>
      </c>
      <c r="AA26" s="49" t="e">
        <f>IF(AND('Riesgos de Gestión'!#REF!="Media",'Riesgos de Gestión'!#REF!="Moderado"),CONCATENATE("R1C",'Riesgos de Gestión'!#REF!),"")</f>
        <v>#REF!</v>
      </c>
      <c r="AB26" s="29" t="str">
        <f>IF(AND('Riesgos de Gestión'!$AF$13="Media",'Riesgos de Gestión'!$AH$13="Mayor"),CONCATENATE("R1C",'Riesgos de Gestión'!$V$13),"")</f>
        <v/>
      </c>
      <c r="AC26" s="30" t="str">
        <f>IF(AND('Riesgos de Gestión'!$AF$14="Media",'Riesgos de Gestión'!$AH$14="Mayor"),CONCATENATE("R1C",'Riesgos de Gestión'!$V$14),"")</f>
        <v/>
      </c>
      <c r="AD26" s="30" t="e">
        <f>IF(AND('Riesgos de Gestión'!#REF!="Media",'Riesgos de Gestión'!#REF!="Mayor"),CONCATENATE("R1C",'Riesgos de Gestión'!#REF!),"")</f>
        <v>#REF!</v>
      </c>
      <c r="AE26" s="30" t="e">
        <f>IF(AND('Riesgos de Gestión'!#REF!="Media",'Riesgos de Gestión'!#REF!="Mayor"),CONCATENATE("R1C",'Riesgos de Gestión'!#REF!),"")</f>
        <v>#REF!</v>
      </c>
      <c r="AF26" s="30" t="e">
        <f>IF(AND('Riesgos de Gestión'!#REF!="Media",'Riesgos de Gestión'!#REF!="Mayor"),CONCATENATE("R1C",'Riesgos de Gestión'!#REF!),"")</f>
        <v>#REF!</v>
      </c>
      <c r="AG26" s="31" t="e">
        <f>IF(AND('Riesgos de Gestión'!#REF!="Media",'Riesgos de Gestión'!#REF!="Mayor"),CONCATENATE("R1C",'Riesgos de Gestión'!#REF!),"")</f>
        <v>#REF!</v>
      </c>
      <c r="AH26" s="32" t="str">
        <f>IF(AND('Riesgos de Gestión'!$AF$13="Media",'Riesgos de Gestión'!$AH$13="Catastrófico"),CONCATENATE("R1C",'Riesgos de Gestión'!$V$13),"")</f>
        <v/>
      </c>
      <c r="AI26" s="33" t="str">
        <f>IF(AND('Riesgos de Gestión'!$AF$14="Media",'Riesgos de Gestión'!$AH$14="Catastrófico"),CONCATENATE("R1C",'Riesgos de Gestión'!$V$14),"")</f>
        <v/>
      </c>
      <c r="AJ26" s="33" t="e">
        <f>IF(AND('Riesgos de Gestión'!#REF!="Media",'Riesgos de Gestión'!#REF!="Catastrófico"),CONCATENATE("R1C",'Riesgos de Gestión'!#REF!),"")</f>
        <v>#REF!</v>
      </c>
      <c r="AK26" s="33" t="e">
        <f>IF(AND('Riesgos de Gestión'!#REF!="Media",'Riesgos de Gestión'!#REF!="Catastrófico"),CONCATENATE("R1C",'Riesgos de Gestión'!#REF!),"")</f>
        <v>#REF!</v>
      </c>
      <c r="AL26" s="33" t="e">
        <f>IF(AND('Riesgos de Gestión'!#REF!="Media",'Riesgos de Gestión'!#REF!="Catastrófico"),CONCATENATE("R1C",'Riesgos de Gestión'!#REF!),"")</f>
        <v>#REF!</v>
      </c>
      <c r="AM26" s="34" t="e">
        <f>IF(AND('Riesgos de Gestión'!#REF!="Media",'Riesgos de Gestión'!#REF!="Catastrófico"),CONCATENATE("R1C",'Riesgos de Gestión'!#REF!),"")</f>
        <v>#REF!</v>
      </c>
      <c r="AN26" s="66"/>
      <c r="AO26" s="511" t="s">
        <v>270</v>
      </c>
      <c r="AP26" s="512"/>
      <c r="AQ26" s="512"/>
      <c r="AR26" s="512"/>
      <c r="AS26" s="512"/>
      <c r="AT26" s="51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33"/>
      <c r="C27" s="433"/>
      <c r="D27" s="434"/>
      <c r="E27" s="490"/>
      <c r="F27" s="475"/>
      <c r="G27" s="475"/>
      <c r="H27" s="475"/>
      <c r="I27" s="476"/>
      <c r="J27" s="50" t="str">
        <f>IF(AND('Riesgos de Gestión'!$AF$15="Media",'Riesgos de Gestión'!$AH$15="Leve"),CONCATENATE("R2C",'Riesgos de Gestión'!$V$15),"")</f>
        <v/>
      </c>
      <c r="K27" s="51" t="str">
        <f>IF(AND('Riesgos de Gestión'!$AF$16="Media",'Riesgos de Gestión'!$AH$16="Leve"),CONCATENATE("R2C",'Riesgos de Gestión'!$V$16),"")</f>
        <v/>
      </c>
      <c r="L27" s="51" t="e">
        <f>IF(AND('Riesgos de Gestión'!#REF!="Media",'Riesgos de Gestión'!#REF!="Leve"),CONCATENATE("R2C",'Riesgos de Gestión'!#REF!),"")</f>
        <v>#REF!</v>
      </c>
      <c r="M27" s="51" t="e">
        <f>IF(AND('Riesgos de Gestión'!#REF!="Media",'Riesgos de Gestión'!#REF!="Leve"),CONCATENATE("R2C",'Riesgos de Gestión'!#REF!),"")</f>
        <v>#REF!</v>
      </c>
      <c r="N27" s="51" t="e">
        <f>IF(AND('Riesgos de Gestión'!#REF!="Media",'Riesgos de Gestión'!#REF!="Leve"),CONCATENATE("R2C",'Riesgos de Gestión'!#REF!),"")</f>
        <v>#REF!</v>
      </c>
      <c r="O27" s="52" t="e">
        <f>IF(AND('Riesgos de Gestión'!#REF!="Media",'Riesgos de Gestión'!#REF!="Leve"),CONCATENATE("R2C",'Riesgos de Gestión'!#REF!),"")</f>
        <v>#REF!</v>
      </c>
      <c r="P27" s="50" t="str">
        <f>IF(AND('Riesgos de Gestión'!$AF$15="Media",'Riesgos de Gestión'!$AH$15="Menor"),CONCATENATE("R2C",'Riesgos de Gestión'!$V$15),"")</f>
        <v/>
      </c>
      <c r="Q27" s="51" t="str">
        <f>IF(AND('Riesgos de Gestión'!$AF$16="Media",'Riesgos de Gestión'!$AH$16="Menor"),CONCATENATE("R2C",'Riesgos de Gestión'!$V$16),"")</f>
        <v/>
      </c>
      <c r="R27" s="51" t="e">
        <f>IF(AND('Riesgos de Gestión'!#REF!="Media",'Riesgos de Gestión'!#REF!="Menor"),CONCATENATE("R2C",'Riesgos de Gestión'!#REF!),"")</f>
        <v>#REF!</v>
      </c>
      <c r="S27" s="51" t="e">
        <f>IF(AND('Riesgos de Gestión'!#REF!="Media",'Riesgos de Gestión'!#REF!="Menor"),CONCATENATE("R2C",'Riesgos de Gestión'!#REF!),"")</f>
        <v>#REF!</v>
      </c>
      <c r="T27" s="51" t="e">
        <f>IF(AND('Riesgos de Gestión'!#REF!="Media",'Riesgos de Gestión'!#REF!="Menor"),CONCATENATE("R2C",'Riesgos de Gestión'!#REF!),"")</f>
        <v>#REF!</v>
      </c>
      <c r="U27" s="52" t="e">
        <f>IF(AND('Riesgos de Gestión'!#REF!="Media",'Riesgos de Gestión'!#REF!="Menor"),CONCATENATE("R2C",'Riesgos de Gestión'!#REF!),"")</f>
        <v>#REF!</v>
      </c>
      <c r="V27" s="50" t="str">
        <f>IF(AND('Riesgos de Gestión'!$AF$15="Media",'Riesgos de Gestión'!$AH$15="Moderado"),CONCATENATE("R2C",'Riesgos de Gestión'!$V$15),"")</f>
        <v/>
      </c>
      <c r="W27" s="51" t="str">
        <f>IF(AND('Riesgos de Gestión'!$AF$16="Media",'Riesgos de Gestión'!$AH$16="Moderado"),CONCATENATE("R2C",'Riesgos de Gestión'!$V$16),"")</f>
        <v/>
      </c>
      <c r="X27" s="51" t="e">
        <f>IF(AND('Riesgos de Gestión'!#REF!="Media",'Riesgos de Gestión'!#REF!="Moderado"),CONCATENATE("R2C",'Riesgos de Gestión'!#REF!),"")</f>
        <v>#REF!</v>
      </c>
      <c r="Y27" s="51" t="e">
        <f>IF(AND('Riesgos de Gestión'!#REF!="Media",'Riesgos de Gestión'!#REF!="Moderado"),CONCATENATE("R2C",'Riesgos de Gestión'!#REF!),"")</f>
        <v>#REF!</v>
      </c>
      <c r="Z27" s="51" t="e">
        <f>IF(AND('Riesgos de Gestión'!#REF!="Media",'Riesgos de Gestión'!#REF!="Moderado"),CONCATENATE("R2C",'Riesgos de Gestión'!#REF!),"")</f>
        <v>#REF!</v>
      </c>
      <c r="AA27" s="52" t="e">
        <f>IF(AND('Riesgos de Gestión'!#REF!="Media",'Riesgos de Gestión'!#REF!="Moderado"),CONCATENATE("R2C",'Riesgos de Gestión'!#REF!),"")</f>
        <v>#REF!</v>
      </c>
      <c r="AB27" s="35" t="str">
        <f>IF(AND('Riesgos de Gestión'!$AF$15="Media",'Riesgos de Gestión'!$AH$15="Mayor"),CONCATENATE("R2C",'Riesgos de Gestión'!$V$15),"")</f>
        <v/>
      </c>
      <c r="AC27" s="36" t="str">
        <f>IF(AND('Riesgos de Gestión'!$AF$16="Media",'Riesgos de Gestión'!$AH$16="Mayor"),CONCATENATE("R2C",'Riesgos de Gestión'!$V$16),"")</f>
        <v/>
      </c>
      <c r="AD27" s="36" t="e">
        <f>IF(AND('Riesgos de Gestión'!#REF!="Media",'Riesgos de Gestión'!#REF!="Mayor"),CONCATENATE("R2C",'Riesgos de Gestión'!#REF!),"")</f>
        <v>#REF!</v>
      </c>
      <c r="AE27" s="36" t="e">
        <f>IF(AND('Riesgos de Gestión'!#REF!="Media",'Riesgos de Gestión'!#REF!="Mayor"),CONCATENATE("R2C",'Riesgos de Gestión'!#REF!),"")</f>
        <v>#REF!</v>
      </c>
      <c r="AF27" s="36" t="e">
        <f>IF(AND('Riesgos de Gestión'!#REF!="Media",'Riesgos de Gestión'!#REF!="Mayor"),CONCATENATE("R2C",'Riesgos de Gestión'!#REF!),"")</f>
        <v>#REF!</v>
      </c>
      <c r="AG27" s="37" t="e">
        <f>IF(AND('Riesgos de Gestión'!#REF!="Media",'Riesgos de Gestión'!#REF!="Mayor"),CONCATENATE("R2C",'Riesgos de Gestión'!#REF!),"")</f>
        <v>#REF!</v>
      </c>
      <c r="AH27" s="38" t="str">
        <f>IF(AND('Riesgos de Gestión'!$AF$15="Media",'Riesgos de Gestión'!$AH$15="Catastrófico"),CONCATENATE("R2C",'Riesgos de Gestión'!$V$15),"")</f>
        <v/>
      </c>
      <c r="AI27" s="39" t="str">
        <f>IF(AND('Riesgos de Gestión'!$AF$16="Media",'Riesgos de Gestión'!$AH$16="Catastrófico"),CONCATENATE("R2C",'Riesgos de Gestión'!$V$16),"")</f>
        <v/>
      </c>
      <c r="AJ27" s="39" t="e">
        <f>IF(AND('Riesgos de Gestión'!#REF!="Media",'Riesgos de Gestión'!#REF!="Catastrófico"),CONCATENATE("R2C",'Riesgos de Gestión'!#REF!),"")</f>
        <v>#REF!</v>
      </c>
      <c r="AK27" s="39" t="e">
        <f>IF(AND('Riesgos de Gestión'!#REF!="Media",'Riesgos de Gestión'!#REF!="Catastrófico"),CONCATENATE("R2C",'Riesgos de Gestión'!#REF!),"")</f>
        <v>#REF!</v>
      </c>
      <c r="AL27" s="39" t="e">
        <f>IF(AND('Riesgos de Gestión'!#REF!="Media",'Riesgos de Gestión'!#REF!="Catastrófico"),CONCATENATE("R2C",'Riesgos de Gestión'!#REF!),"")</f>
        <v>#REF!</v>
      </c>
      <c r="AM27" s="40" t="e">
        <f>IF(AND('Riesgos de Gestión'!#REF!="Media",'Riesgos de Gestión'!#REF!="Catastrófico"),CONCATENATE("R2C",'Riesgos de Gestión'!#REF!),"")</f>
        <v>#REF!</v>
      </c>
      <c r="AN27" s="66"/>
      <c r="AO27" s="514"/>
      <c r="AP27" s="515"/>
      <c r="AQ27" s="515"/>
      <c r="AR27" s="515"/>
      <c r="AS27" s="515"/>
      <c r="AT27" s="51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33"/>
      <c r="C28" s="433"/>
      <c r="D28" s="434"/>
      <c r="E28" s="474"/>
      <c r="F28" s="475"/>
      <c r="G28" s="475"/>
      <c r="H28" s="475"/>
      <c r="I28" s="476"/>
      <c r="J28" s="50" t="str">
        <f>IF(AND('Riesgos de Gestión'!$AF$17="Media",'Riesgos de Gestión'!$AH$17="Leve"),CONCATENATE("R3C",'Riesgos de Gestión'!$V$17),"")</f>
        <v/>
      </c>
      <c r="K28" s="51" t="str">
        <f>IF(AND('Riesgos de Gestión'!$AF$18="Media",'Riesgos de Gestión'!$AH$18="Leve"),CONCATENATE("R3C",'Riesgos de Gestión'!$V$18),"")</f>
        <v/>
      </c>
      <c r="L28" s="51" t="str">
        <f>IF(AND('Riesgos de Gestión'!$AF$19="Media",'Riesgos de Gestión'!$AH$19="Leve"),CONCATENATE("R3C",'Riesgos de Gestión'!$V$19),"")</f>
        <v/>
      </c>
      <c r="M28" s="51" t="str">
        <f>IF(AND('Riesgos de Gestión'!$AF$20="Media",'Riesgos de Gestión'!$AH$20="Leve"),CONCATENATE("R3C",'Riesgos de Gestión'!$V$20),"")</f>
        <v/>
      </c>
      <c r="N28" s="51" t="str">
        <f>IF(AND('Riesgos de Gestión'!$AF$21="Media",'Riesgos de Gestión'!$AH$21="Leve"),CONCATENATE("R3C",'Riesgos de Gestión'!$V$21),"")</f>
        <v/>
      </c>
      <c r="O28" s="52" t="str">
        <f>IF(AND('Riesgos de Gestión'!$AF$22="Media",'Riesgos de Gestión'!$AH$22="Leve"),CONCATENATE("R3C",'Riesgos de Gestión'!$V$22),"")</f>
        <v/>
      </c>
      <c r="P28" s="50" t="str">
        <f>IF(AND('Riesgos de Gestión'!$AF$17="Media",'Riesgos de Gestión'!$AH$17="Menor"),CONCATENATE("R3C",'Riesgos de Gestión'!$V$17),"")</f>
        <v/>
      </c>
      <c r="Q28" s="51" t="str">
        <f>IF(AND('Riesgos de Gestión'!$AF$18="Media",'Riesgos de Gestión'!$AH$18="Menor"),CONCATENATE("R3C",'Riesgos de Gestión'!$V$18),"")</f>
        <v/>
      </c>
      <c r="R28" s="51" t="str">
        <f>IF(AND('Riesgos de Gestión'!$AF$19="Media",'Riesgos de Gestión'!$AH$19="Menor"),CONCATENATE("R3C",'Riesgos de Gestión'!$V$19),"")</f>
        <v/>
      </c>
      <c r="S28" s="51" t="str">
        <f>IF(AND('Riesgos de Gestión'!$AF$20="Media",'Riesgos de Gestión'!$AH$20="Menor"),CONCATENATE("R3C",'Riesgos de Gestión'!$V$20),"")</f>
        <v/>
      </c>
      <c r="T28" s="51" t="str">
        <f>IF(AND('Riesgos de Gestión'!$AF$21="Media",'Riesgos de Gestión'!$AH$21="Menor"),CONCATENATE("R3C",'Riesgos de Gestión'!$V$21),"")</f>
        <v/>
      </c>
      <c r="U28" s="52" t="str">
        <f>IF(AND('Riesgos de Gestión'!$AF$22="Media",'Riesgos de Gestión'!$AH$22="Menor"),CONCATENATE("R3C",'Riesgos de Gestión'!$V$22),"")</f>
        <v/>
      </c>
      <c r="V28" s="50" t="str">
        <f>IF(AND('Riesgos de Gestión'!$AF$17="Media",'Riesgos de Gestión'!$AH$17="Moderado"),CONCATENATE("R3C",'Riesgos de Gestión'!$V$17),"")</f>
        <v/>
      </c>
      <c r="W28" s="51" t="str">
        <f>IF(AND('Riesgos de Gestión'!$AF$18="Media",'Riesgos de Gestión'!$AH$18="Moderado"),CONCATENATE("R3C",'Riesgos de Gestión'!$V$18),"")</f>
        <v/>
      </c>
      <c r="X28" s="51" t="str">
        <f>IF(AND('Riesgos de Gestión'!$AF$19="Media",'Riesgos de Gestión'!$AH$19="Moderado"),CONCATENATE("R3C",'Riesgos de Gestión'!$V$19),"")</f>
        <v/>
      </c>
      <c r="Y28" s="51" t="str">
        <f>IF(AND('Riesgos de Gestión'!$AF$20="Media",'Riesgos de Gestión'!$AH$20="Moderado"),CONCATENATE("R3C",'Riesgos de Gestión'!$V$20),"")</f>
        <v/>
      </c>
      <c r="Z28" s="51" t="str">
        <f>IF(AND('Riesgos de Gestión'!$AF$21="Media",'Riesgos de Gestión'!$AH$21="Moderado"),CONCATENATE("R3C",'Riesgos de Gestión'!$V$21),"")</f>
        <v/>
      </c>
      <c r="AA28" s="52" t="str">
        <f>IF(AND('Riesgos de Gestión'!$AF$22="Media",'Riesgos de Gestión'!$AH$22="Moderado"),CONCATENATE("R3C",'Riesgos de Gestión'!$V$22),"")</f>
        <v/>
      </c>
      <c r="AB28" s="35" t="str">
        <f>IF(AND('Riesgos de Gestión'!$AF$17="Media",'Riesgos de Gestión'!$AH$17="Mayor"),CONCATENATE("R3C",'Riesgos de Gestión'!$V$17),"")</f>
        <v/>
      </c>
      <c r="AC28" s="36" t="str">
        <f>IF(AND('Riesgos de Gestión'!$AF$18="Media",'Riesgos de Gestión'!$AH$18="Mayor"),CONCATENATE("R3C",'Riesgos de Gestión'!$V$18),"")</f>
        <v/>
      </c>
      <c r="AD28" s="36" t="str">
        <f>IF(AND('Riesgos de Gestión'!$AF$19="Media",'Riesgos de Gestión'!$AH$19="Mayor"),CONCATENATE("R3C",'Riesgos de Gestión'!$V$19),"")</f>
        <v/>
      </c>
      <c r="AE28" s="36" t="str">
        <f>IF(AND('Riesgos de Gestión'!$AF$20="Media",'Riesgos de Gestión'!$AH$20="Mayor"),CONCATENATE("R3C",'Riesgos de Gestión'!$V$20),"")</f>
        <v/>
      </c>
      <c r="AF28" s="36" t="str">
        <f>IF(AND('Riesgos de Gestión'!$AF$21="Media",'Riesgos de Gestión'!$AH$21="Mayor"),CONCATENATE("R3C",'Riesgos de Gestión'!$V$21),"")</f>
        <v/>
      </c>
      <c r="AG28" s="37" t="str">
        <f>IF(AND('Riesgos de Gestión'!$AF$22="Media",'Riesgos de Gestión'!$AH$22="Mayor"),CONCATENATE("R3C",'Riesgos de Gestión'!$V$22),"")</f>
        <v/>
      </c>
      <c r="AH28" s="38" t="str">
        <f>IF(AND('Riesgos de Gestión'!$AF$17="Media",'Riesgos de Gestión'!$AH$17="Catastrófico"),CONCATENATE("R3C",'Riesgos de Gestión'!$V$17),"")</f>
        <v/>
      </c>
      <c r="AI28" s="39" t="str">
        <f>IF(AND('Riesgos de Gestión'!$AF$18="Media",'Riesgos de Gestión'!$AH$18="Catastrófico"),CONCATENATE("R3C",'Riesgos de Gestión'!$V$18),"")</f>
        <v/>
      </c>
      <c r="AJ28" s="39" t="str">
        <f>IF(AND('Riesgos de Gestión'!$AF$19="Media",'Riesgos de Gestión'!$AH$19="Catastrófico"),CONCATENATE("R3C",'Riesgos de Gestión'!$V$19),"")</f>
        <v/>
      </c>
      <c r="AK28" s="39" t="str">
        <f>IF(AND('Riesgos de Gestión'!$AF$20="Media",'Riesgos de Gestión'!$AH$20="Catastrófico"),CONCATENATE("R3C",'Riesgos de Gestión'!$V$20),"")</f>
        <v/>
      </c>
      <c r="AL28" s="39" t="str">
        <f>IF(AND('Riesgos de Gestión'!$AF$21="Media",'Riesgos de Gestión'!$AH$21="Catastrófico"),CONCATENATE("R3C",'Riesgos de Gestión'!$V$21),"")</f>
        <v/>
      </c>
      <c r="AM28" s="40" t="str">
        <f>IF(AND('Riesgos de Gestión'!$AF$22="Media",'Riesgos de Gestión'!$AH$22="Catastrófico"),CONCATENATE("R3C",'Riesgos de Gestión'!$V$22),"")</f>
        <v/>
      </c>
      <c r="AN28" s="66"/>
      <c r="AO28" s="514"/>
      <c r="AP28" s="515"/>
      <c r="AQ28" s="515"/>
      <c r="AR28" s="515"/>
      <c r="AS28" s="515"/>
      <c r="AT28" s="51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33"/>
      <c r="C29" s="433"/>
      <c r="D29" s="434"/>
      <c r="E29" s="474"/>
      <c r="F29" s="475"/>
      <c r="G29" s="475"/>
      <c r="H29" s="475"/>
      <c r="I29" s="476"/>
      <c r="J29" s="50" t="str">
        <f>IF(AND('Riesgos de Gestión'!$AF$23="Media",'Riesgos de Gestión'!$AH$23="Leve"),CONCATENATE("R4C",'Riesgos de Gestión'!$V$23),"")</f>
        <v/>
      </c>
      <c r="K29" s="51" t="str">
        <f>IF(AND('Riesgos de Gestión'!$AF$24="Media",'Riesgos de Gestión'!$AH$24="Leve"),CONCATENATE("R4C",'Riesgos de Gestión'!$V$24),"")</f>
        <v/>
      </c>
      <c r="L29" s="51" t="str">
        <f>IF(AND('Riesgos de Gestión'!$AF$25="Media",'Riesgos de Gestión'!$AH$25="Leve"),CONCATENATE("R4C",'Riesgos de Gestión'!$V$25),"")</f>
        <v/>
      </c>
      <c r="M29" s="51" t="str">
        <f>IF(AND('Riesgos de Gestión'!$AF$26="Media",'Riesgos de Gestión'!$AH$26="Leve"),CONCATENATE("R4C",'Riesgos de Gestión'!$V$26),"")</f>
        <v/>
      </c>
      <c r="N29" s="51" t="str">
        <f>IF(AND('Riesgos de Gestión'!$AF$27="Media",'Riesgos de Gestión'!$AH$27="Leve"),CONCATENATE("R4C",'Riesgos de Gestión'!$V$27),"")</f>
        <v/>
      </c>
      <c r="O29" s="52" t="str">
        <f>IF(AND('Riesgos de Gestión'!$AF$28="Media",'Riesgos de Gestión'!$AH$28="Leve"),CONCATENATE("R4C",'Riesgos de Gestión'!$V$28),"")</f>
        <v/>
      </c>
      <c r="P29" s="50" t="str">
        <f>IF(AND('Riesgos de Gestión'!$AF$23="Media",'Riesgos de Gestión'!$AH$23="Menor"),CONCATENATE("R4C",'Riesgos de Gestión'!$V$23),"")</f>
        <v/>
      </c>
      <c r="Q29" s="51" t="str">
        <f>IF(AND('Riesgos de Gestión'!$AF$24="Media",'Riesgos de Gestión'!$AH$24="Menor"),CONCATENATE("R4C",'Riesgos de Gestión'!$V$24),"")</f>
        <v/>
      </c>
      <c r="R29" s="51" t="str">
        <f>IF(AND('Riesgos de Gestión'!$AF$25="Media",'Riesgos de Gestión'!$AH$25="Menor"),CONCATENATE("R4C",'Riesgos de Gestión'!$V$25),"")</f>
        <v/>
      </c>
      <c r="S29" s="51" t="str">
        <f>IF(AND('Riesgos de Gestión'!$AF$26="Media",'Riesgos de Gestión'!$AH$26="Menor"),CONCATENATE("R4C",'Riesgos de Gestión'!$V$26),"")</f>
        <v/>
      </c>
      <c r="T29" s="51" t="str">
        <f>IF(AND('Riesgos de Gestión'!$AF$27="Media",'Riesgos de Gestión'!$AH$27="Menor"),CONCATENATE("R4C",'Riesgos de Gestión'!$V$27),"")</f>
        <v/>
      </c>
      <c r="U29" s="52" t="str">
        <f>IF(AND('Riesgos de Gestión'!$AF$28="Media",'Riesgos de Gestión'!$AH$28="Menor"),CONCATENATE("R4C",'Riesgos de Gestión'!$V$28),"")</f>
        <v/>
      </c>
      <c r="V29" s="50" t="str">
        <f>IF(AND('Riesgos de Gestión'!$AF$23="Media",'Riesgos de Gestión'!$AH$23="Moderado"),CONCATENATE("R4C",'Riesgos de Gestión'!$V$23),"")</f>
        <v/>
      </c>
      <c r="W29" s="51" t="str">
        <f>IF(AND('Riesgos de Gestión'!$AF$24="Media",'Riesgos de Gestión'!$AH$24="Moderado"),CONCATENATE("R4C",'Riesgos de Gestión'!$V$24),"")</f>
        <v/>
      </c>
      <c r="X29" s="51" t="str">
        <f>IF(AND('Riesgos de Gestión'!$AF$25="Media",'Riesgos de Gestión'!$AH$25="Moderado"),CONCATENATE("R4C",'Riesgos de Gestión'!$V$25),"")</f>
        <v/>
      </c>
      <c r="Y29" s="51" t="str">
        <f>IF(AND('Riesgos de Gestión'!$AF$26="Media",'Riesgos de Gestión'!$AH$26="Moderado"),CONCATENATE("R4C",'Riesgos de Gestión'!$V$26),"")</f>
        <v/>
      </c>
      <c r="Z29" s="51" t="str">
        <f>IF(AND('Riesgos de Gestión'!$AF$27="Media",'Riesgos de Gestión'!$AH$27="Moderado"),CONCATENATE("R4C",'Riesgos de Gestión'!$V$27),"")</f>
        <v/>
      </c>
      <c r="AA29" s="52" t="str">
        <f>IF(AND('Riesgos de Gestión'!$AF$28="Media",'Riesgos de Gestión'!$AH$28="Moderado"),CONCATENATE("R4C",'Riesgos de Gestión'!$V$28),"")</f>
        <v/>
      </c>
      <c r="AB29" s="35" t="str">
        <f>IF(AND('Riesgos de Gestión'!$AF$23="Media",'Riesgos de Gestión'!$AH$23="Mayor"),CONCATENATE("R4C",'Riesgos de Gestión'!$V$23),"")</f>
        <v/>
      </c>
      <c r="AC29" s="36" t="str">
        <f>IF(AND('Riesgos de Gestión'!$AF$24="Media",'Riesgos de Gestión'!$AH$24="Mayor"),CONCATENATE("R4C",'Riesgos de Gestión'!$V$24),"")</f>
        <v/>
      </c>
      <c r="AD29" s="36" t="str">
        <f>IF(AND('Riesgos de Gestión'!$AF$25="Media",'Riesgos de Gestión'!$AH$25="Mayor"),CONCATENATE("R4C",'Riesgos de Gestión'!$V$25),"")</f>
        <v/>
      </c>
      <c r="AE29" s="36" t="str">
        <f>IF(AND('Riesgos de Gestión'!$AF$26="Media",'Riesgos de Gestión'!$AH$26="Mayor"),CONCATENATE("R4C",'Riesgos de Gestión'!$V$26),"")</f>
        <v/>
      </c>
      <c r="AF29" s="36" t="str">
        <f>IF(AND('Riesgos de Gestión'!$AF$27="Media",'Riesgos de Gestión'!$AH$27="Mayor"),CONCATENATE("R4C",'Riesgos de Gestión'!$V$27),"")</f>
        <v/>
      </c>
      <c r="AG29" s="37" t="str">
        <f>IF(AND('Riesgos de Gestión'!$AF$28="Media",'Riesgos de Gestión'!$AH$28="Mayor"),CONCATENATE("R4C",'Riesgos de Gestión'!$V$28),"")</f>
        <v/>
      </c>
      <c r="AH29" s="38" t="str">
        <f>IF(AND('Riesgos de Gestión'!$AF$23="Media",'Riesgos de Gestión'!$AH$23="Catastrófico"),CONCATENATE("R4C",'Riesgos de Gestión'!$V$23),"")</f>
        <v/>
      </c>
      <c r="AI29" s="39" t="str">
        <f>IF(AND('Riesgos de Gestión'!$AF$24="Media",'Riesgos de Gestión'!$AH$24="Catastrófico"),CONCATENATE("R4C",'Riesgos de Gestión'!$V$24),"")</f>
        <v/>
      </c>
      <c r="AJ29" s="39" t="str">
        <f>IF(AND('Riesgos de Gestión'!$AF$25="Media",'Riesgos de Gestión'!$AH$25="Catastrófico"),CONCATENATE("R4C",'Riesgos de Gestión'!$V$25),"")</f>
        <v/>
      </c>
      <c r="AK29" s="39" t="str">
        <f>IF(AND('Riesgos de Gestión'!$AF$26="Media",'Riesgos de Gestión'!$AH$26="Catastrófico"),CONCATENATE("R4C",'Riesgos de Gestión'!$V$26),"")</f>
        <v/>
      </c>
      <c r="AL29" s="39" t="str">
        <f>IF(AND('Riesgos de Gestión'!$AF$27="Media",'Riesgos de Gestión'!$AH$27="Catastrófico"),CONCATENATE("R4C",'Riesgos de Gestión'!$V$27),"")</f>
        <v/>
      </c>
      <c r="AM29" s="40" t="str">
        <f>IF(AND('Riesgos de Gestión'!$AF$28="Media",'Riesgos de Gestión'!$AH$28="Catastrófico"),CONCATENATE("R4C",'Riesgos de Gestión'!$V$28),"")</f>
        <v/>
      </c>
      <c r="AN29" s="66"/>
      <c r="AO29" s="514"/>
      <c r="AP29" s="515"/>
      <c r="AQ29" s="515"/>
      <c r="AR29" s="515"/>
      <c r="AS29" s="515"/>
      <c r="AT29" s="51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33"/>
      <c r="C30" s="433"/>
      <c r="D30" s="434"/>
      <c r="E30" s="474"/>
      <c r="F30" s="475"/>
      <c r="G30" s="475"/>
      <c r="H30" s="475"/>
      <c r="I30" s="476"/>
      <c r="J30" s="50" t="str">
        <f>IF(AND('Riesgos de Gestión'!$AF$29="Media",'Riesgos de Gestión'!$AH$29="Leve"),CONCATENATE("R5C",'Riesgos de Gestión'!$V$29),"")</f>
        <v/>
      </c>
      <c r="K30" s="51" t="str">
        <f>IF(AND('Riesgos de Gestión'!$AF$30="Media",'Riesgos de Gestión'!$AH$30="Leve"),CONCATENATE("R5C",'Riesgos de Gestión'!$V$30),"")</f>
        <v/>
      </c>
      <c r="L30" s="51" t="str">
        <f>IF(AND('Riesgos de Gestión'!$AF$31="Media",'Riesgos de Gestión'!$AH$31="Leve"),CONCATENATE("R5C",'Riesgos de Gestión'!$V$31),"")</f>
        <v/>
      </c>
      <c r="M30" s="51" t="str">
        <f>IF(AND('Riesgos de Gestión'!$AF$32="Media",'Riesgos de Gestión'!$AH$32="Leve"),CONCATENATE("R5C",'Riesgos de Gestión'!$V$32),"")</f>
        <v/>
      </c>
      <c r="N30" s="51" t="str">
        <f>IF(AND('Riesgos de Gestión'!$AF$33="Media",'Riesgos de Gestión'!$AH$33="Leve"),CONCATENATE("R5C",'Riesgos de Gestión'!$V$33),"")</f>
        <v/>
      </c>
      <c r="O30" s="52" t="str">
        <f>IF(AND('Riesgos de Gestión'!$AF$34="Media",'Riesgos de Gestión'!$AH$34="Leve"),CONCATENATE("R5C",'Riesgos de Gestión'!$V$34),"")</f>
        <v/>
      </c>
      <c r="P30" s="50" t="str">
        <f>IF(AND('Riesgos de Gestión'!$AF$29="Media",'Riesgos de Gestión'!$AH$29="Menor"),CONCATENATE("R5C",'Riesgos de Gestión'!$V$29),"")</f>
        <v/>
      </c>
      <c r="Q30" s="51" t="str">
        <f>IF(AND('Riesgos de Gestión'!$AF$30="Media",'Riesgos de Gestión'!$AH$30="Menor"),CONCATENATE("R5C",'Riesgos de Gestión'!$V$30),"")</f>
        <v/>
      </c>
      <c r="R30" s="51" t="str">
        <f>IF(AND('Riesgos de Gestión'!$AF$31="Media",'Riesgos de Gestión'!$AH$31="Menor"),CONCATENATE("R5C",'Riesgos de Gestión'!$V$31),"")</f>
        <v/>
      </c>
      <c r="S30" s="51" t="str">
        <f>IF(AND('Riesgos de Gestión'!$AF$32="Media",'Riesgos de Gestión'!$AH$32="Menor"),CONCATENATE("R5C",'Riesgos de Gestión'!$V$32),"")</f>
        <v/>
      </c>
      <c r="T30" s="51" t="str">
        <f>IF(AND('Riesgos de Gestión'!$AF$33="Media",'Riesgos de Gestión'!$AH$33="Menor"),CONCATENATE("R5C",'Riesgos de Gestión'!$V$33),"")</f>
        <v/>
      </c>
      <c r="U30" s="52" t="str">
        <f>IF(AND('Riesgos de Gestión'!$AF$34="Media",'Riesgos de Gestión'!$AH$34="Menor"),CONCATENATE("R5C",'Riesgos de Gestión'!$V$34),"")</f>
        <v/>
      </c>
      <c r="V30" s="50" t="str">
        <f>IF(AND('Riesgos de Gestión'!$AF$29="Media",'Riesgos de Gestión'!$AH$29="Moderado"),CONCATENATE("R5C",'Riesgos de Gestión'!$V$29),"")</f>
        <v/>
      </c>
      <c r="W30" s="51" t="str">
        <f>IF(AND('Riesgos de Gestión'!$AF$30="Media",'Riesgos de Gestión'!$AH$30="Moderado"),CONCATENATE("R5C",'Riesgos de Gestión'!$V$30),"")</f>
        <v/>
      </c>
      <c r="X30" s="51" t="str">
        <f>IF(AND('Riesgos de Gestión'!$AF$31="Media",'Riesgos de Gestión'!$AH$31="Moderado"),CONCATENATE("R5C",'Riesgos de Gestión'!$V$31),"")</f>
        <v/>
      </c>
      <c r="Y30" s="51" t="str">
        <f>IF(AND('Riesgos de Gestión'!$AF$32="Media",'Riesgos de Gestión'!$AH$32="Moderado"),CONCATENATE("R5C",'Riesgos de Gestión'!$V$32),"")</f>
        <v/>
      </c>
      <c r="Z30" s="51" t="str">
        <f>IF(AND('Riesgos de Gestión'!$AF$33="Media",'Riesgos de Gestión'!$AH$33="Moderado"),CONCATENATE("R5C",'Riesgos de Gestión'!$V$33),"")</f>
        <v/>
      </c>
      <c r="AA30" s="52" t="str">
        <f>IF(AND('Riesgos de Gestión'!$AF$34="Media",'Riesgos de Gestión'!$AH$34="Moderado"),CONCATENATE("R5C",'Riesgos de Gestión'!$V$34),"")</f>
        <v/>
      </c>
      <c r="AB30" s="35" t="str">
        <f>IF(AND('Riesgos de Gestión'!$AF$29="Media",'Riesgos de Gestión'!$AH$29="Mayor"),CONCATENATE("R5C",'Riesgos de Gestión'!$V$29),"")</f>
        <v/>
      </c>
      <c r="AC30" s="36" t="str">
        <f>IF(AND('Riesgos de Gestión'!$AF$30="Media",'Riesgos de Gestión'!$AH$30="Mayor"),CONCATENATE("R5C",'Riesgos de Gestión'!$V$30),"")</f>
        <v/>
      </c>
      <c r="AD30" s="36" t="str">
        <f>IF(AND('Riesgos de Gestión'!$AF$31="Media",'Riesgos de Gestión'!$AH$31="Mayor"),CONCATENATE("R5C",'Riesgos de Gestión'!$V$31),"")</f>
        <v/>
      </c>
      <c r="AE30" s="36" t="str">
        <f>IF(AND('Riesgos de Gestión'!$AF$32="Media",'Riesgos de Gestión'!$AH$32="Mayor"),CONCATENATE("R5C",'Riesgos de Gestión'!$V$32),"")</f>
        <v/>
      </c>
      <c r="AF30" s="36" t="str">
        <f>IF(AND('Riesgos de Gestión'!$AF$33="Media",'Riesgos de Gestión'!$AH$33="Mayor"),CONCATENATE("R5C",'Riesgos de Gestión'!$V$33),"")</f>
        <v/>
      </c>
      <c r="AG30" s="37" t="str">
        <f>IF(AND('Riesgos de Gestión'!$AF$34="Media",'Riesgos de Gestión'!$AH$34="Mayor"),CONCATENATE("R5C",'Riesgos de Gestión'!$V$34),"")</f>
        <v/>
      </c>
      <c r="AH30" s="38" t="str">
        <f>IF(AND('Riesgos de Gestión'!$AF$29="Media",'Riesgos de Gestión'!$AH$29="Catastrófico"),CONCATENATE("R5C",'Riesgos de Gestión'!$V$29),"")</f>
        <v/>
      </c>
      <c r="AI30" s="39" t="str">
        <f>IF(AND('Riesgos de Gestión'!$AF$30="Media",'Riesgos de Gestión'!$AH$30="Catastrófico"),CONCATENATE("R5C",'Riesgos de Gestión'!$V$30),"")</f>
        <v/>
      </c>
      <c r="AJ30" s="39" t="str">
        <f>IF(AND('Riesgos de Gestión'!$AF$31="Media",'Riesgos de Gestión'!$AH$31="Catastrófico"),CONCATENATE("R5C",'Riesgos de Gestión'!$V$31),"")</f>
        <v/>
      </c>
      <c r="AK30" s="39" t="str">
        <f>IF(AND('Riesgos de Gestión'!$AF$32="Media",'Riesgos de Gestión'!$AH$32="Catastrófico"),CONCATENATE("R5C",'Riesgos de Gestión'!$V$32),"")</f>
        <v/>
      </c>
      <c r="AL30" s="39" t="str">
        <f>IF(AND('Riesgos de Gestión'!$AF$33="Media",'Riesgos de Gestión'!$AH$33="Catastrófico"),CONCATENATE("R5C",'Riesgos de Gestión'!$V$33),"")</f>
        <v/>
      </c>
      <c r="AM30" s="40" t="str">
        <f>IF(AND('Riesgos de Gestión'!$AF$34="Media",'Riesgos de Gestión'!$AH$34="Catastrófico"),CONCATENATE("R5C",'Riesgos de Gestión'!$V$34),"")</f>
        <v/>
      </c>
      <c r="AN30" s="66"/>
      <c r="AO30" s="514"/>
      <c r="AP30" s="515"/>
      <c r="AQ30" s="515"/>
      <c r="AR30" s="515"/>
      <c r="AS30" s="515"/>
      <c r="AT30" s="51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33"/>
      <c r="C31" s="433"/>
      <c r="D31" s="434"/>
      <c r="E31" s="474"/>
      <c r="F31" s="475"/>
      <c r="G31" s="475"/>
      <c r="H31" s="475"/>
      <c r="I31" s="476"/>
      <c r="J31" s="50" t="str">
        <f>IF(AND('Riesgos de Gestión'!$AF$35="Media",'Riesgos de Gestión'!$AH$35="Leve"),CONCATENATE("R6C",'Riesgos de Gestión'!$V$35),"")</f>
        <v/>
      </c>
      <c r="K31" s="51" t="str">
        <f>IF(AND('Riesgos de Gestión'!$AF$36="Media",'Riesgos de Gestión'!$AH$36="Leve"),CONCATENATE("R6C",'Riesgos de Gestión'!$V$36),"")</f>
        <v/>
      </c>
      <c r="L31" s="51" t="str">
        <f>IF(AND('Riesgos de Gestión'!$AF$37="Media",'Riesgos de Gestión'!$AH$37="Leve"),CONCATENATE("R6C",'Riesgos de Gestión'!$V$37),"")</f>
        <v/>
      </c>
      <c r="M31" s="51" t="str">
        <f>IF(AND('Riesgos de Gestión'!$AF$38="Media",'Riesgos de Gestión'!$AH$38="Leve"),CONCATENATE("R6C",'Riesgos de Gestión'!$V$38),"")</f>
        <v/>
      </c>
      <c r="N31" s="51" t="str">
        <f>IF(AND('Riesgos de Gestión'!$AF$39="Media",'Riesgos de Gestión'!$AH$39="Leve"),CONCATENATE("R6C",'Riesgos de Gestión'!$V$39),"")</f>
        <v/>
      </c>
      <c r="O31" s="52" t="str">
        <f>IF(AND('Riesgos de Gestión'!$AF$40="Media",'Riesgos de Gestión'!$AH$40="Leve"),CONCATENATE("R6C",'Riesgos de Gestión'!$V$40),"")</f>
        <v/>
      </c>
      <c r="P31" s="50" t="str">
        <f>IF(AND('Riesgos de Gestión'!$AF$35="Media",'Riesgos de Gestión'!$AH$35="Menor"),CONCATENATE("R6C",'Riesgos de Gestión'!$V$35),"")</f>
        <v/>
      </c>
      <c r="Q31" s="51" t="str">
        <f>IF(AND('Riesgos de Gestión'!$AF$36="Media",'Riesgos de Gestión'!$AH$36="Menor"),CONCATENATE("R6C",'Riesgos de Gestión'!$V$36),"")</f>
        <v/>
      </c>
      <c r="R31" s="51" t="str">
        <f>IF(AND('Riesgos de Gestión'!$AF$37="Media",'Riesgos de Gestión'!$AH$37="Menor"),CONCATENATE("R6C",'Riesgos de Gestión'!$V$37),"")</f>
        <v/>
      </c>
      <c r="S31" s="51" t="str">
        <f>IF(AND('Riesgos de Gestión'!$AF$38="Media",'Riesgos de Gestión'!$AH$38="Menor"),CONCATENATE("R6C",'Riesgos de Gestión'!$V$38),"")</f>
        <v/>
      </c>
      <c r="T31" s="51" t="str">
        <f>IF(AND('Riesgos de Gestión'!$AF$39="Media",'Riesgos de Gestión'!$AH$39="Menor"),CONCATENATE("R6C",'Riesgos de Gestión'!$V$39),"")</f>
        <v/>
      </c>
      <c r="U31" s="52" t="str">
        <f>IF(AND('Riesgos de Gestión'!$AF$40="Media",'Riesgos de Gestión'!$AH$40="Menor"),CONCATENATE("R6C",'Riesgos de Gestión'!$V$40),"")</f>
        <v/>
      </c>
      <c r="V31" s="50" t="str">
        <f>IF(AND('Riesgos de Gestión'!$AF$35="Media",'Riesgos de Gestión'!$AH$35="Moderado"),CONCATENATE("R6C",'Riesgos de Gestión'!$V$35),"")</f>
        <v/>
      </c>
      <c r="W31" s="51" t="str">
        <f>IF(AND('Riesgos de Gestión'!$AF$36="Media",'Riesgos de Gestión'!$AH$36="Moderado"),CONCATENATE("R6C",'Riesgos de Gestión'!$V$36),"")</f>
        <v/>
      </c>
      <c r="X31" s="51" t="str">
        <f>IF(AND('Riesgos de Gestión'!$AF$37="Media",'Riesgos de Gestión'!$AH$37="Moderado"),CONCATENATE("R6C",'Riesgos de Gestión'!$V$37),"")</f>
        <v/>
      </c>
      <c r="Y31" s="51" t="str">
        <f>IF(AND('Riesgos de Gestión'!$AF$38="Media",'Riesgos de Gestión'!$AH$38="Moderado"),CONCATENATE("R6C",'Riesgos de Gestión'!$V$38),"")</f>
        <v/>
      </c>
      <c r="Z31" s="51" t="str">
        <f>IF(AND('Riesgos de Gestión'!$AF$39="Media",'Riesgos de Gestión'!$AH$39="Moderado"),CONCATENATE("R6C",'Riesgos de Gestión'!$V$39),"")</f>
        <v/>
      </c>
      <c r="AA31" s="52" t="str">
        <f>IF(AND('Riesgos de Gestión'!$AF$40="Media",'Riesgos de Gestión'!$AH$40="Moderado"),CONCATENATE("R6C",'Riesgos de Gestión'!$V$40),"")</f>
        <v/>
      </c>
      <c r="AB31" s="35" t="str">
        <f>IF(AND('Riesgos de Gestión'!$AF$35="Media",'Riesgos de Gestión'!$AH$35="Mayor"),CONCATENATE("R6C",'Riesgos de Gestión'!$V$35),"")</f>
        <v/>
      </c>
      <c r="AC31" s="36" t="str">
        <f>IF(AND('Riesgos de Gestión'!$AF$36="Media",'Riesgos de Gestión'!$AH$36="Mayor"),CONCATENATE("R6C",'Riesgos de Gestión'!$V$36),"")</f>
        <v/>
      </c>
      <c r="AD31" s="36" t="str">
        <f>IF(AND('Riesgos de Gestión'!$AF$37="Media",'Riesgos de Gestión'!$AH$37="Mayor"),CONCATENATE("R6C",'Riesgos de Gestión'!$V$37),"")</f>
        <v/>
      </c>
      <c r="AE31" s="36" t="str">
        <f>IF(AND('Riesgos de Gestión'!$AF$38="Media",'Riesgos de Gestión'!$AH$38="Mayor"),CONCATENATE("R6C",'Riesgos de Gestión'!$V$38),"")</f>
        <v/>
      </c>
      <c r="AF31" s="36" t="str">
        <f>IF(AND('Riesgos de Gestión'!$AF$39="Media",'Riesgos de Gestión'!$AH$39="Mayor"),CONCATENATE("R6C",'Riesgos de Gestión'!$V$39),"")</f>
        <v/>
      </c>
      <c r="AG31" s="37" t="str">
        <f>IF(AND('Riesgos de Gestión'!$AF$40="Media",'Riesgos de Gestión'!$AH$40="Mayor"),CONCATENATE("R6C",'Riesgos de Gestión'!$V$40),"")</f>
        <v/>
      </c>
      <c r="AH31" s="38" t="str">
        <f>IF(AND('Riesgos de Gestión'!$AF$35="Media",'Riesgos de Gestión'!$AH$35="Catastrófico"),CONCATENATE("R6C",'Riesgos de Gestión'!$V$35),"")</f>
        <v/>
      </c>
      <c r="AI31" s="39" t="str">
        <f>IF(AND('Riesgos de Gestión'!$AF$36="Media",'Riesgos de Gestión'!$AH$36="Catastrófico"),CONCATENATE("R6C",'Riesgos de Gestión'!$V$36),"")</f>
        <v/>
      </c>
      <c r="AJ31" s="39" t="str">
        <f>IF(AND('Riesgos de Gestión'!$AF$37="Media",'Riesgos de Gestión'!$AH$37="Catastrófico"),CONCATENATE("R6C",'Riesgos de Gestión'!$V$37),"")</f>
        <v/>
      </c>
      <c r="AK31" s="39" t="str">
        <f>IF(AND('Riesgos de Gestión'!$AF$38="Media",'Riesgos de Gestión'!$AH$38="Catastrófico"),CONCATENATE("R6C",'Riesgos de Gestión'!$V$38),"")</f>
        <v/>
      </c>
      <c r="AL31" s="39" t="str">
        <f>IF(AND('Riesgos de Gestión'!$AF$39="Media",'Riesgos de Gestión'!$AH$39="Catastrófico"),CONCATENATE("R6C",'Riesgos de Gestión'!$V$39),"")</f>
        <v/>
      </c>
      <c r="AM31" s="40" t="str">
        <f>IF(AND('Riesgos de Gestión'!$AF$40="Media",'Riesgos de Gestión'!$AH$40="Catastrófico"),CONCATENATE("R6C",'Riesgos de Gestión'!$V$40),"")</f>
        <v/>
      </c>
      <c r="AN31" s="66"/>
      <c r="AO31" s="514"/>
      <c r="AP31" s="515"/>
      <c r="AQ31" s="515"/>
      <c r="AR31" s="515"/>
      <c r="AS31" s="515"/>
      <c r="AT31" s="51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33"/>
      <c r="C32" s="433"/>
      <c r="D32" s="434"/>
      <c r="E32" s="474"/>
      <c r="F32" s="475"/>
      <c r="G32" s="475"/>
      <c r="H32" s="475"/>
      <c r="I32" s="476"/>
      <c r="J32" s="50" t="str">
        <f>IF(AND('Riesgos de Gestión'!$AF$41="Media",'Riesgos de Gestión'!$AH$41="Leve"),CONCATENATE("R7C",'Riesgos de Gestión'!$V$41),"")</f>
        <v/>
      </c>
      <c r="K32" s="51" t="str">
        <f>IF(AND('Riesgos de Gestión'!$AF$42="Media",'Riesgos de Gestión'!$AH$42="Leve"),CONCATENATE("R7C",'Riesgos de Gestión'!$V$42),"")</f>
        <v/>
      </c>
      <c r="L32" s="51" t="str">
        <f>IF(AND('Riesgos de Gestión'!$AF$43="Media",'Riesgos de Gestión'!$AH$43="Leve"),CONCATENATE("R7C",'Riesgos de Gestión'!$V$43),"")</f>
        <v/>
      </c>
      <c r="M32" s="51" t="str">
        <f>IF(AND('Riesgos de Gestión'!$AF$44="Media",'Riesgos de Gestión'!$AH$44="Leve"),CONCATENATE("R7C",'Riesgos de Gestión'!$V$44),"")</f>
        <v/>
      </c>
      <c r="N32" s="51" t="str">
        <f>IF(AND('Riesgos de Gestión'!$AF$45="Media",'Riesgos de Gestión'!$AH$45="Leve"),CONCATENATE("R7C",'Riesgos de Gestión'!$V$45),"")</f>
        <v/>
      </c>
      <c r="O32" s="52" t="str">
        <f>IF(AND('Riesgos de Gestión'!$AF$46="Media",'Riesgos de Gestión'!$AH$46="Leve"),CONCATENATE("R7C",'Riesgos de Gestión'!$V$46),"")</f>
        <v/>
      </c>
      <c r="P32" s="50" t="str">
        <f>IF(AND('Riesgos de Gestión'!$AF$41="Media",'Riesgos de Gestión'!$AH$41="Menor"),CONCATENATE("R7C",'Riesgos de Gestión'!$V$41),"")</f>
        <v/>
      </c>
      <c r="Q32" s="51" t="str">
        <f>IF(AND('Riesgos de Gestión'!$AF$42="Media",'Riesgos de Gestión'!$AH$42="Menor"),CONCATENATE("R7C",'Riesgos de Gestión'!$V$42),"")</f>
        <v/>
      </c>
      <c r="R32" s="51" t="str">
        <f>IF(AND('Riesgos de Gestión'!$AF$43="Media",'Riesgos de Gestión'!$AH$43="Menor"),CONCATENATE("R7C",'Riesgos de Gestión'!$V$43),"")</f>
        <v/>
      </c>
      <c r="S32" s="51" t="str">
        <f>IF(AND('Riesgos de Gestión'!$AF$44="Media",'Riesgos de Gestión'!$AH$44="Menor"),CONCATENATE("R7C",'Riesgos de Gestión'!$V$44),"")</f>
        <v/>
      </c>
      <c r="T32" s="51" t="str">
        <f>IF(AND('Riesgos de Gestión'!$AF$45="Media",'Riesgos de Gestión'!$AH$45="Menor"),CONCATENATE("R7C",'Riesgos de Gestión'!$V$45),"")</f>
        <v/>
      </c>
      <c r="U32" s="52" t="str">
        <f>IF(AND('Riesgos de Gestión'!$AF$46="Media",'Riesgos de Gestión'!$AH$46="Menor"),CONCATENATE("R7C",'Riesgos de Gestión'!$V$46),"")</f>
        <v/>
      </c>
      <c r="V32" s="50" t="str">
        <f>IF(AND('Riesgos de Gestión'!$AF$41="Media",'Riesgos de Gestión'!$AH$41="Moderado"),CONCATENATE("R7C",'Riesgos de Gestión'!$V$41),"")</f>
        <v/>
      </c>
      <c r="W32" s="51" t="str">
        <f>IF(AND('Riesgos de Gestión'!$AF$42="Media",'Riesgos de Gestión'!$AH$42="Moderado"),CONCATENATE("R7C",'Riesgos de Gestión'!$V$42),"")</f>
        <v/>
      </c>
      <c r="X32" s="51" t="str">
        <f>IF(AND('Riesgos de Gestión'!$AF$43="Media",'Riesgos de Gestión'!$AH$43="Moderado"),CONCATENATE("R7C",'Riesgos de Gestión'!$V$43),"")</f>
        <v/>
      </c>
      <c r="Y32" s="51" t="str">
        <f>IF(AND('Riesgos de Gestión'!$AF$44="Media",'Riesgos de Gestión'!$AH$44="Moderado"),CONCATENATE("R7C",'Riesgos de Gestión'!$V$44),"")</f>
        <v/>
      </c>
      <c r="Z32" s="51" t="str">
        <f>IF(AND('Riesgos de Gestión'!$AF$45="Media",'Riesgos de Gestión'!$AH$45="Moderado"),CONCATENATE("R7C",'Riesgos de Gestión'!$V$45),"")</f>
        <v/>
      </c>
      <c r="AA32" s="52" t="str">
        <f>IF(AND('Riesgos de Gestión'!$AF$46="Media",'Riesgos de Gestión'!$AH$46="Moderado"),CONCATENATE("R7C",'Riesgos de Gestión'!$V$46),"")</f>
        <v/>
      </c>
      <c r="AB32" s="35" t="str">
        <f>IF(AND('Riesgos de Gestión'!$AF$41="Media",'Riesgos de Gestión'!$AH$41="Mayor"),CONCATENATE("R7C",'Riesgos de Gestión'!$V$41),"")</f>
        <v/>
      </c>
      <c r="AC32" s="36" t="str">
        <f>IF(AND('Riesgos de Gestión'!$AF$42="Media",'Riesgos de Gestión'!$AH$42="Mayor"),CONCATENATE("R7C",'Riesgos de Gestión'!$V$42),"")</f>
        <v/>
      </c>
      <c r="AD32" s="36" t="str">
        <f>IF(AND('Riesgos de Gestión'!$AF$43="Media",'Riesgos de Gestión'!$AH$43="Mayor"),CONCATENATE("R7C",'Riesgos de Gestión'!$V$43),"")</f>
        <v/>
      </c>
      <c r="AE32" s="36" t="str">
        <f>IF(AND('Riesgos de Gestión'!$AF$44="Media",'Riesgos de Gestión'!$AH$44="Mayor"),CONCATENATE("R7C",'Riesgos de Gestión'!$V$44),"")</f>
        <v/>
      </c>
      <c r="AF32" s="36" t="str">
        <f>IF(AND('Riesgos de Gestión'!$AF$45="Media",'Riesgos de Gestión'!$AH$45="Mayor"),CONCATENATE("R7C",'Riesgos de Gestión'!$V$45),"")</f>
        <v/>
      </c>
      <c r="AG32" s="37" t="str">
        <f>IF(AND('Riesgos de Gestión'!$AF$46="Media",'Riesgos de Gestión'!$AH$46="Mayor"),CONCATENATE("R7C",'Riesgos de Gestión'!$V$46),"")</f>
        <v/>
      </c>
      <c r="AH32" s="38" t="str">
        <f>IF(AND('Riesgos de Gestión'!$AF$41="Media",'Riesgos de Gestión'!$AH$41="Catastrófico"),CONCATENATE("R7C",'Riesgos de Gestión'!$V$41),"")</f>
        <v/>
      </c>
      <c r="AI32" s="39" t="str">
        <f>IF(AND('Riesgos de Gestión'!$AF$42="Media",'Riesgos de Gestión'!$AH$42="Catastrófico"),CONCATENATE("R7C",'Riesgos de Gestión'!$V$42),"")</f>
        <v/>
      </c>
      <c r="AJ32" s="39" t="str">
        <f>IF(AND('Riesgos de Gestión'!$AF$43="Media",'Riesgos de Gestión'!$AH$43="Catastrófico"),CONCATENATE("R7C",'Riesgos de Gestión'!$V$43),"")</f>
        <v/>
      </c>
      <c r="AK32" s="39" t="str">
        <f>IF(AND('Riesgos de Gestión'!$AF$44="Media",'Riesgos de Gestión'!$AH$44="Catastrófico"),CONCATENATE("R7C",'Riesgos de Gestión'!$V$44),"")</f>
        <v/>
      </c>
      <c r="AL32" s="39" t="str">
        <f>IF(AND('Riesgos de Gestión'!$AF$45="Media",'Riesgos de Gestión'!$AH$45="Catastrófico"),CONCATENATE("R7C",'Riesgos de Gestión'!$V$45),"")</f>
        <v/>
      </c>
      <c r="AM32" s="40" t="str">
        <f>IF(AND('Riesgos de Gestión'!$AF$46="Media",'Riesgos de Gestión'!$AH$46="Catastrófico"),CONCATENATE("R7C",'Riesgos de Gestión'!$V$46),"")</f>
        <v/>
      </c>
      <c r="AN32" s="66"/>
      <c r="AO32" s="514"/>
      <c r="AP32" s="515"/>
      <c r="AQ32" s="515"/>
      <c r="AR32" s="515"/>
      <c r="AS32" s="515"/>
      <c r="AT32" s="51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33"/>
      <c r="C33" s="433"/>
      <c r="D33" s="434"/>
      <c r="E33" s="474"/>
      <c r="F33" s="475"/>
      <c r="G33" s="475"/>
      <c r="H33" s="475"/>
      <c r="I33" s="476"/>
      <c r="J33" s="50" t="str">
        <f>IF(AND('Riesgos de Gestión'!$AF$47="Media",'Riesgos de Gestión'!$AH$47="Leve"),CONCATENATE("R8C",'Riesgos de Gestión'!$V$47),"")</f>
        <v/>
      </c>
      <c r="K33" s="51" t="str">
        <f>IF(AND('Riesgos de Gestión'!$AF$48="Media",'Riesgos de Gestión'!$AH$48="Leve"),CONCATENATE("R8C",'Riesgos de Gestión'!$V$48),"")</f>
        <v/>
      </c>
      <c r="L33" s="51" t="str">
        <f>IF(AND('Riesgos de Gestión'!$AF$49="Media",'Riesgos de Gestión'!$AH$49="Leve"),CONCATENATE("R8C",'Riesgos de Gestión'!$V$49),"")</f>
        <v/>
      </c>
      <c r="M33" s="51" t="str">
        <f>IF(AND('Riesgos de Gestión'!$AF$50="Media",'Riesgos de Gestión'!$AH$50="Leve"),CONCATENATE("R8C",'Riesgos de Gestión'!$V$50),"")</f>
        <v/>
      </c>
      <c r="N33" s="51" t="str">
        <f>IF(AND('Riesgos de Gestión'!$AF$51="Media",'Riesgos de Gestión'!$AH$51="Leve"),CONCATENATE("R8C",'Riesgos de Gestión'!$V$51),"")</f>
        <v/>
      </c>
      <c r="O33" s="52" t="str">
        <f>IF(AND('Riesgos de Gestión'!$AF$52="Media",'Riesgos de Gestión'!$AH$52="Leve"),CONCATENATE("R8C",'Riesgos de Gestión'!$V$52),"")</f>
        <v/>
      </c>
      <c r="P33" s="50" t="str">
        <f>IF(AND('Riesgos de Gestión'!$AF$47="Media",'Riesgos de Gestión'!$AH$47="Menor"),CONCATENATE("R8C",'Riesgos de Gestión'!$V$47),"")</f>
        <v/>
      </c>
      <c r="Q33" s="51" t="str">
        <f>IF(AND('Riesgos de Gestión'!$AF$48="Media",'Riesgos de Gestión'!$AH$48="Menor"),CONCATENATE("R8C",'Riesgos de Gestión'!$V$48),"")</f>
        <v/>
      </c>
      <c r="R33" s="51" t="str">
        <f>IF(AND('Riesgos de Gestión'!$AF$49="Media",'Riesgos de Gestión'!$AH$49="Menor"),CONCATENATE("R8C",'Riesgos de Gestión'!$V$49),"")</f>
        <v/>
      </c>
      <c r="S33" s="51" t="str">
        <f>IF(AND('Riesgos de Gestión'!$AF$50="Media",'Riesgos de Gestión'!$AH$50="Menor"),CONCATENATE("R8C",'Riesgos de Gestión'!$V$50),"")</f>
        <v/>
      </c>
      <c r="T33" s="51" t="str">
        <f>IF(AND('Riesgos de Gestión'!$AF$51="Media",'Riesgos de Gestión'!$AH$51="Menor"),CONCATENATE("R8C",'Riesgos de Gestión'!$V$51),"")</f>
        <v/>
      </c>
      <c r="U33" s="52" t="str">
        <f>IF(AND('Riesgos de Gestión'!$AF$52="Media",'Riesgos de Gestión'!$AH$52="Menor"),CONCATENATE("R8C",'Riesgos de Gestión'!$V$52),"")</f>
        <v/>
      </c>
      <c r="V33" s="50" t="str">
        <f>IF(AND('Riesgos de Gestión'!$AF$47="Media",'Riesgos de Gestión'!$AH$47="Moderado"),CONCATENATE("R8C",'Riesgos de Gestión'!$V$47),"")</f>
        <v/>
      </c>
      <c r="W33" s="51" t="str">
        <f>IF(AND('Riesgos de Gestión'!$AF$48="Media",'Riesgos de Gestión'!$AH$48="Moderado"),CONCATENATE("R8C",'Riesgos de Gestión'!$V$48),"")</f>
        <v/>
      </c>
      <c r="X33" s="51" t="str">
        <f>IF(AND('Riesgos de Gestión'!$AF$49="Media",'Riesgos de Gestión'!$AH$49="Moderado"),CONCATENATE("R8C",'Riesgos de Gestión'!$V$49),"")</f>
        <v/>
      </c>
      <c r="Y33" s="51" t="str">
        <f>IF(AND('Riesgos de Gestión'!$AF$50="Media",'Riesgos de Gestión'!$AH$50="Moderado"),CONCATENATE("R8C",'Riesgos de Gestión'!$V$50),"")</f>
        <v/>
      </c>
      <c r="Z33" s="51" t="str">
        <f>IF(AND('Riesgos de Gestión'!$AF$51="Media",'Riesgos de Gestión'!$AH$51="Moderado"),CONCATENATE("R8C",'Riesgos de Gestión'!$V$51),"")</f>
        <v/>
      </c>
      <c r="AA33" s="52" t="str">
        <f>IF(AND('Riesgos de Gestión'!$AF$52="Media",'Riesgos de Gestión'!$AH$52="Moderado"),CONCATENATE("R8C",'Riesgos de Gestión'!$V$52),"")</f>
        <v/>
      </c>
      <c r="AB33" s="35" t="str">
        <f>IF(AND('Riesgos de Gestión'!$AF$47="Media",'Riesgos de Gestión'!$AH$47="Mayor"),CONCATENATE("R8C",'Riesgos de Gestión'!$V$47),"")</f>
        <v/>
      </c>
      <c r="AC33" s="36" t="str">
        <f>IF(AND('Riesgos de Gestión'!$AF$48="Media",'Riesgos de Gestión'!$AH$48="Mayor"),CONCATENATE("R8C",'Riesgos de Gestión'!$V$48),"")</f>
        <v/>
      </c>
      <c r="AD33" s="36" t="str">
        <f>IF(AND('Riesgos de Gestión'!$AF$49="Media",'Riesgos de Gestión'!$AH$49="Mayor"),CONCATENATE("R8C",'Riesgos de Gestión'!$V$49),"")</f>
        <v/>
      </c>
      <c r="AE33" s="36" t="str">
        <f>IF(AND('Riesgos de Gestión'!$AF$50="Media",'Riesgos de Gestión'!$AH$50="Mayor"),CONCATENATE("R8C",'Riesgos de Gestión'!$V$50),"")</f>
        <v/>
      </c>
      <c r="AF33" s="36" t="str">
        <f>IF(AND('Riesgos de Gestión'!$AF$51="Media",'Riesgos de Gestión'!$AH$51="Mayor"),CONCATENATE("R8C",'Riesgos de Gestión'!$V$51),"")</f>
        <v/>
      </c>
      <c r="AG33" s="37" t="str">
        <f>IF(AND('Riesgos de Gestión'!$AF$52="Media",'Riesgos de Gestión'!$AH$52="Mayor"),CONCATENATE("R8C",'Riesgos de Gestión'!$V$52),"")</f>
        <v/>
      </c>
      <c r="AH33" s="38" t="str">
        <f>IF(AND('Riesgos de Gestión'!$AF$47="Media",'Riesgos de Gestión'!$AH$47="Catastrófico"),CONCATENATE("R8C",'Riesgos de Gestión'!$V$47),"")</f>
        <v/>
      </c>
      <c r="AI33" s="39" t="str">
        <f>IF(AND('Riesgos de Gestión'!$AF$48="Media",'Riesgos de Gestión'!$AH$48="Catastrófico"),CONCATENATE("R8C",'Riesgos de Gestión'!$V$48),"")</f>
        <v/>
      </c>
      <c r="AJ33" s="39" t="str">
        <f>IF(AND('Riesgos de Gestión'!$AF$49="Media",'Riesgos de Gestión'!$AH$49="Catastrófico"),CONCATENATE("R8C",'Riesgos de Gestión'!$V$49),"")</f>
        <v/>
      </c>
      <c r="AK33" s="39" t="str">
        <f>IF(AND('Riesgos de Gestión'!$AF$50="Media",'Riesgos de Gestión'!$AH$50="Catastrófico"),CONCATENATE("R8C",'Riesgos de Gestión'!$V$50),"")</f>
        <v/>
      </c>
      <c r="AL33" s="39" t="str">
        <f>IF(AND('Riesgos de Gestión'!$AF$51="Media",'Riesgos de Gestión'!$AH$51="Catastrófico"),CONCATENATE("R8C",'Riesgos de Gestión'!$V$51),"")</f>
        <v/>
      </c>
      <c r="AM33" s="40" t="str">
        <f>IF(AND('Riesgos de Gestión'!$AF$52="Media",'Riesgos de Gestión'!$AH$52="Catastrófico"),CONCATENATE("R8C",'Riesgos de Gestión'!$V$52),"")</f>
        <v/>
      </c>
      <c r="AN33" s="66"/>
      <c r="AO33" s="514"/>
      <c r="AP33" s="515"/>
      <c r="AQ33" s="515"/>
      <c r="AR33" s="515"/>
      <c r="AS33" s="515"/>
      <c r="AT33" s="51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33"/>
      <c r="C34" s="433"/>
      <c r="D34" s="434"/>
      <c r="E34" s="474"/>
      <c r="F34" s="475"/>
      <c r="G34" s="475"/>
      <c r="H34" s="475"/>
      <c r="I34" s="476"/>
      <c r="J34" s="50" t="str">
        <f>IF(AND('Riesgos de Gestión'!$AF$53="Media",'Riesgos de Gestión'!$AH$53="Leve"),CONCATENATE("R9C",'Riesgos de Gestión'!$V$53),"")</f>
        <v/>
      </c>
      <c r="K34" s="51" t="str">
        <f>IF(AND('Riesgos de Gestión'!$AF$54="Media",'Riesgos de Gestión'!$AH$54="Leve"),CONCATENATE("R9C",'Riesgos de Gestión'!$V$54),"")</f>
        <v/>
      </c>
      <c r="L34" s="51" t="str">
        <f>IF(AND('Riesgos de Gestión'!$AF$55="Media",'Riesgos de Gestión'!$AH$55="Leve"),CONCATENATE("R9C",'Riesgos de Gestión'!$V$55),"")</f>
        <v/>
      </c>
      <c r="M34" s="51" t="str">
        <f>IF(AND('Riesgos de Gestión'!$AF$56="Media",'Riesgos de Gestión'!$AH$56="Leve"),CONCATENATE("R9C",'Riesgos de Gestión'!$V$56),"")</f>
        <v/>
      </c>
      <c r="N34" s="51" t="str">
        <f>IF(AND('Riesgos de Gestión'!$AF$57="Media",'Riesgos de Gestión'!$AH$57="Leve"),CONCATENATE("R9C",'Riesgos de Gestión'!$V$57),"")</f>
        <v/>
      </c>
      <c r="O34" s="52" t="str">
        <f>IF(AND('Riesgos de Gestión'!$AF$58="Media",'Riesgos de Gestión'!$AH$58="Leve"),CONCATENATE("R9C",'Riesgos de Gestión'!$V$58),"")</f>
        <v/>
      </c>
      <c r="P34" s="50" t="str">
        <f>IF(AND('Riesgos de Gestión'!$AF$53="Media",'Riesgos de Gestión'!$AH$53="Menor"),CONCATENATE("R9C",'Riesgos de Gestión'!$V$53),"")</f>
        <v/>
      </c>
      <c r="Q34" s="51" t="str">
        <f>IF(AND('Riesgos de Gestión'!$AF$54="Media",'Riesgos de Gestión'!$AH$54="Menor"),CONCATENATE("R9C",'Riesgos de Gestión'!$V$54),"")</f>
        <v/>
      </c>
      <c r="R34" s="51" t="str">
        <f>IF(AND('Riesgos de Gestión'!$AF$55="Media",'Riesgos de Gestión'!$AH$55="Menor"),CONCATENATE("R9C",'Riesgos de Gestión'!$V$55),"")</f>
        <v/>
      </c>
      <c r="S34" s="51" t="str">
        <f>IF(AND('Riesgos de Gestión'!$AF$56="Media",'Riesgos de Gestión'!$AH$56="Menor"),CONCATENATE("R9C",'Riesgos de Gestión'!$V$56),"")</f>
        <v/>
      </c>
      <c r="T34" s="51" t="str">
        <f>IF(AND('Riesgos de Gestión'!$AF$57="Media",'Riesgos de Gestión'!$AH$57="Menor"),CONCATENATE("R9C",'Riesgos de Gestión'!$V$57),"")</f>
        <v/>
      </c>
      <c r="U34" s="52" t="str">
        <f>IF(AND('Riesgos de Gestión'!$AF$58="Media",'Riesgos de Gestión'!$AH$58="Menor"),CONCATENATE("R9C",'Riesgos de Gestión'!$V$58),"")</f>
        <v/>
      </c>
      <c r="V34" s="50" t="str">
        <f>IF(AND('Riesgos de Gestión'!$AF$53="Media",'Riesgos de Gestión'!$AH$53="Moderado"),CONCATENATE("R9C",'Riesgos de Gestión'!$V$53),"")</f>
        <v/>
      </c>
      <c r="W34" s="51" t="str">
        <f>IF(AND('Riesgos de Gestión'!$AF$54="Media",'Riesgos de Gestión'!$AH$54="Moderado"),CONCATENATE("R9C",'Riesgos de Gestión'!$V$54),"")</f>
        <v/>
      </c>
      <c r="X34" s="51" t="str">
        <f>IF(AND('Riesgos de Gestión'!$AF$55="Media",'Riesgos de Gestión'!$AH$55="Moderado"),CONCATENATE("R9C",'Riesgos de Gestión'!$V$55),"")</f>
        <v/>
      </c>
      <c r="Y34" s="51" t="str">
        <f>IF(AND('Riesgos de Gestión'!$AF$56="Media",'Riesgos de Gestión'!$AH$56="Moderado"),CONCATENATE("R9C",'Riesgos de Gestión'!$V$56),"")</f>
        <v/>
      </c>
      <c r="Z34" s="51" t="str">
        <f>IF(AND('Riesgos de Gestión'!$AF$57="Media",'Riesgos de Gestión'!$AH$57="Moderado"),CONCATENATE("R9C",'Riesgos de Gestión'!$V$57),"")</f>
        <v/>
      </c>
      <c r="AA34" s="52" t="str">
        <f>IF(AND('Riesgos de Gestión'!$AF$58="Media",'Riesgos de Gestión'!$AH$58="Moderado"),CONCATENATE("R9C",'Riesgos de Gestión'!$V$58),"")</f>
        <v/>
      </c>
      <c r="AB34" s="35" t="str">
        <f>IF(AND('Riesgos de Gestión'!$AF$53="Media",'Riesgos de Gestión'!$AH$53="Mayor"),CONCATENATE("R9C",'Riesgos de Gestión'!$V$53),"")</f>
        <v/>
      </c>
      <c r="AC34" s="36" t="str">
        <f>IF(AND('Riesgos de Gestión'!$AF$54="Media",'Riesgos de Gestión'!$AH$54="Mayor"),CONCATENATE("R9C",'Riesgos de Gestión'!$V$54),"")</f>
        <v/>
      </c>
      <c r="AD34" s="36" t="str">
        <f>IF(AND('Riesgos de Gestión'!$AF$55="Media",'Riesgos de Gestión'!$AH$55="Mayor"),CONCATENATE("R9C",'Riesgos de Gestión'!$V$55),"")</f>
        <v/>
      </c>
      <c r="AE34" s="36" t="str">
        <f>IF(AND('Riesgos de Gestión'!$AF$56="Media",'Riesgos de Gestión'!$AH$56="Mayor"),CONCATENATE("R9C",'Riesgos de Gestión'!$V$56),"")</f>
        <v/>
      </c>
      <c r="AF34" s="36" t="str">
        <f>IF(AND('Riesgos de Gestión'!$AF$57="Media",'Riesgos de Gestión'!$AH$57="Mayor"),CONCATENATE("R9C",'Riesgos de Gestión'!$V$57),"")</f>
        <v/>
      </c>
      <c r="AG34" s="37" t="str">
        <f>IF(AND('Riesgos de Gestión'!$AF$58="Media",'Riesgos de Gestión'!$AH$58="Mayor"),CONCATENATE("R9C",'Riesgos de Gestión'!$V$58),"")</f>
        <v/>
      </c>
      <c r="AH34" s="38" t="str">
        <f>IF(AND('Riesgos de Gestión'!$AF$53="Media",'Riesgos de Gestión'!$AH$53="Catastrófico"),CONCATENATE("R9C",'Riesgos de Gestión'!$V$53),"")</f>
        <v/>
      </c>
      <c r="AI34" s="39" t="str">
        <f>IF(AND('Riesgos de Gestión'!$AF$54="Media",'Riesgos de Gestión'!$AH$54="Catastrófico"),CONCATENATE("R9C",'Riesgos de Gestión'!$V$54),"")</f>
        <v/>
      </c>
      <c r="AJ34" s="39" t="str">
        <f>IF(AND('Riesgos de Gestión'!$AF$55="Media",'Riesgos de Gestión'!$AH$55="Catastrófico"),CONCATENATE("R9C",'Riesgos de Gestión'!$V$55),"")</f>
        <v/>
      </c>
      <c r="AK34" s="39" t="str">
        <f>IF(AND('Riesgos de Gestión'!$AF$56="Media",'Riesgos de Gestión'!$AH$56="Catastrófico"),CONCATENATE("R9C",'Riesgos de Gestión'!$V$56),"")</f>
        <v/>
      </c>
      <c r="AL34" s="39" t="str">
        <f>IF(AND('Riesgos de Gestión'!$AF$57="Media",'Riesgos de Gestión'!$AH$57="Catastrófico"),CONCATENATE("R9C",'Riesgos de Gestión'!$V$57),"")</f>
        <v/>
      </c>
      <c r="AM34" s="40" t="str">
        <f>IF(AND('Riesgos de Gestión'!$AF$58="Media",'Riesgos de Gestión'!$AH$58="Catastrófico"),CONCATENATE("R9C",'Riesgos de Gestión'!$V$58),"")</f>
        <v/>
      </c>
      <c r="AN34" s="66"/>
      <c r="AO34" s="514"/>
      <c r="AP34" s="515"/>
      <c r="AQ34" s="515"/>
      <c r="AR34" s="515"/>
      <c r="AS34" s="515"/>
      <c r="AT34" s="51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33"/>
      <c r="C35" s="433"/>
      <c r="D35" s="434"/>
      <c r="E35" s="477"/>
      <c r="F35" s="478"/>
      <c r="G35" s="478"/>
      <c r="H35" s="478"/>
      <c r="I35" s="479"/>
      <c r="J35" s="50" t="str">
        <f>IF(AND('Riesgos de Gestión'!$AF$59="Media",'Riesgos de Gestión'!$AH$59="Leve"),CONCATENATE("R10C",'Riesgos de Gestión'!$V$59),"")</f>
        <v/>
      </c>
      <c r="K35" s="51" t="str">
        <f>IF(AND('Riesgos de Gestión'!$AF$60="Media",'Riesgos de Gestión'!$AH$60="Leve"),CONCATENATE("R10C",'Riesgos de Gestión'!$V$60),"")</f>
        <v/>
      </c>
      <c r="L35" s="51" t="str">
        <f>IF(AND('Riesgos de Gestión'!$AF$61="Media",'Riesgos de Gestión'!$AH$61="Leve"),CONCATENATE("R10C",'Riesgos de Gestión'!$V$61),"")</f>
        <v/>
      </c>
      <c r="M35" s="51" t="str">
        <f>IF(AND('Riesgos de Gestión'!$AF$62="Media",'Riesgos de Gestión'!$AH$62="Leve"),CONCATENATE("R10C",'Riesgos de Gestión'!$V$62),"")</f>
        <v/>
      </c>
      <c r="N35" s="51" t="str">
        <f>IF(AND('Riesgos de Gestión'!$AF$63="Media",'Riesgos de Gestión'!$AH$63="Leve"),CONCATENATE("R10C",'Riesgos de Gestión'!$V$63),"")</f>
        <v/>
      </c>
      <c r="O35" s="52" t="str">
        <f>IF(AND('Riesgos de Gestión'!$AF$64="Media",'Riesgos de Gestión'!$AH$64="Leve"),CONCATENATE("R10C",'Riesgos de Gestión'!$V$64),"")</f>
        <v/>
      </c>
      <c r="P35" s="50" t="str">
        <f>IF(AND('Riesgos de Gestión'!$AF$59="Media",'Riesgos de Gestión'!$AH$59="Menor"),CONCATENATE("R10C",'Riesgos de Gestión'!$V$59),"")</f>
        <v/>
      </c>
      <c r="Q35" s="51" t="str">
        <f>IF(AND('Riesgos de Gestión'!$AF$60="Media",'Riesgos de Gestión'!$AH$60="Menor"),CONCATENATE("R10C",'Riesgos de Gestión'!$V$60),"")</f>
        <v/>
      </c>
      <c r="R35" s="51" t="str">
        <f>IF(AND('Riesgos de Gestión'!$AF$61="Media",'Riesgos de Gestión'!$AH$61="Menor"),CONCATENATE("R10C",'Riesgos de Gestión'!$V$61),"")</f>
        <v/>
      </c>
      <c r="S35" s="51" t="str">
        <f>IF(AND('Riesgos de Gestión'!$AF$62="Media",'Riesgos de Gestión'!$AH$62="Menor"),CONCATENATE("R10C",'Riesgos de Gestión'!$V$62),"")</f>
        <v/>
      </c>
      <c r="T35" s="51" t="str">
        <f>IF(AND('Riesgos de Gestión'!$AF$63="Media",'Riesgos de Gestión'!$AH$63="Menor"),CONCATENATE("R10C",'Riesgos de Gestión'!$V$63),"")</f>
        <v/>
      </c>
      <c r="U35" s="52" t="str">
        <f>IF(AND('Riesgos de Gestión'!$AF$64="Media",'Riesgos de Gestión'!$AH$64="Menor"),CONCATENATE("R10C",'Riesgos de Gestión'!$V$64),"")</f>
        <v/>
      </c>
      <c r="V35" s="50" t="str">
        <f>IF(AND('Riesgos de Gestión'!$AF$59="Media",'Riesgos de Gestión'!$AH$59="Moderado"),CONCATENATE("R10C",'Riesgos de Gestión'!$V$59),"")</f>
        <v/>
      </c>
      <c r="W35" s="51" t="str">
        <f>IF(AND('Riesgos de Gestión'!$AF$60="Media",'Riesgos de Gestión'!$AH$60="Moderado"),CONCATENATE("R10C",'Riesgos de Gestión'!$V$60),"")</f>
        <v/>
      </c>
      <c r="X35" s="51" t="str">
        <f>IF(AND('Riesgos de Gestión'!$AF$61="Media",'Riesgos de Gestión'!$AH$61="Moderado"),CONCATENATE("R10C",'Riesgos de Gestión'!$V$61),"")</f>
        <v/>
      </c>
      <c r="Y35" s="51" t="str">
        <f>IF(AND('Riesgos de Gestión'!$AF$62="Media",'Riesgos de Gestión'!$AH$62="Moderado"),CONCATENATE("R10C",'Riesgos de Gestión'!$V$62),"")</f>
        <v/>
      </c>
      <c r="Z35" s="51" t="str">
        <f>IF(AND('Riesgos de Gestión'!$AF$63="Media",'Riesgos de Gestión'!$AH$63="Moderado"),CONCATENATE("R10C",'Riesgos de Gestión'!$V$63),"")</f>
        <v/>
      </c>
      <c r="AA35" s="52" t="str">
        <f>IF(AND('Riesgos de Gestión'!$AF$64="Media",'Riesgos de Gestión'!$AH$64="Moderado"),CONCATENATE("R10C",'Riesgos de Gestión'!$V$64),"")</f>
        <v/>
      </c>
      <c r="AB35" s="41" t="str">
        <f>IF(AND('Riesgos de Gestión'!$AF$59="Media",'Riesgos de Gestión'!$AH$59="Mayor"),CONCATENATE("R10C",'Riesgos de Gestión'!$V$59),"")</f>
        <v/>
      </c>
      <c r="AC35" s="42" t="str">
        <f>IF(AND('Riesgos de Gestión'!$AF$60="Media",'Riesgos de Gestión'!$AH$60="Mayor"),CONCATENATE("R10C",'Riesgos de Gestión'!$V$60),"")</f>
        <v/>
      </c>
      <c r="AD35" s="42" t="str">
        <f>IF(AND('Riesgos de Gestión'!$AF$61="Media",'Riesgos de Gestión'!$AH$61="Mayor"),CONCATENATE("R10C",'Riesgos de Gestión'!$V$61),"")</f>
        <v/>
      </c>
      <c r="AE35" s="42" t="str">
        <f>IF(AND('Riesgos de Gestión'!$AF$62="Media",'Riesgos de Gestión'!$AH$62="Mayor"),CONCATENATE("R10C",'Riesgos de Gestión'!$V$62),"")</f>
        <v/>
      </c>
      <c r="AF35" s="42" t="str">
        <f>IF(AND('Riesgos de Gestión'!$AF$63="Media",'Riesgos de Gestión'!$AH$63="Mayor"),CONCATENATE("R10C",'Riesgos de Gestión'!$V$63),"")</f>
        <v/>
      </c>
      <c r="AG35" s="43" t="str">
        <f>IF(AND('Riesgos de Gestión'!$AF$64="Media",'Riesgos de Gestión'!$AH$64="Mayor"),CONCATENATE("R10C",'Riesgos de Gestión'!$V$64),"")</f>
        <v/>
      </c>
      <c r="AH35" s="44" t="str">
        <f>IF(AND('Riesgos de Gestión'!$AF$59="Media",'Riesgos de Gestión'!$AH$59="Catastrófico"),CONCATENATE("R10C",'Riesgos de Gestión'!$V$59),"")</f>
        <v/>
      </c>
      <c r="AI35" s="45" t="str">
        <f>IF(AND('Riesgos de Gestión'!$AF$60="Media",'Riesgos de Gestión'!$AH$60="Catastrófico"),CONCATENATE("R10C",'Riesgos de Gestión'!$V$60),"")</f>
        <v/>
      </c>
      <c r="AJ35" s="45" t="str">
        <f>IF(AND('Riesgos de Gestión'!$AF$61="Media",'Riesgos de Gestión'!$AH$61="Catastrófico"),CONCATENATE("R10C",'Riesgos de Gestión'!$V$61),"")</f>
        <v/>
      </c>
      <c r="AK35" s="45" t="str">
        <f>IF(AND('Riesgos de Gestión'!$AF$62="Media",'Riesgos de Gestión'!$AH$62="Catastrófico"),CONCATENATE("R10C",'Riesgos de Gestión'!$V$62),"")</f>
        <v/>
      </c>
      <c r="AL35" s="45" t="str">
        <f>IF(AND('Riesgos de Gestión'!$AF$63="Media",'Riesgos de Gestión'!$AH$63="Catastrófico"),CONCATENATE("R10C",'Riesgos de Gestión'!$V$63),"")</f>
        <v/>
      </c>
      <c r="AM35" s="46" t="str">
        <f>IF(AND('Riesgos de Gestión'!$AF$64="Media",'Riesgos de Gestión'!$AH$64="Catastrófico"),CONCATENATE("R10C",'Riesgos de Gestión'!$V$64),"")</f>
        <v/>
      </c>
      <c r="AN35" s="66"/>
      <c r="AO35" s="517"/>
      <c r="AP35" s="518"/>
      <c r="AQ35" s="518"/>
      <c r="AR35" s="518"/>
      <c r="AS35" s="518"/>
      <c r="AT35" s="51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33"/>
      <c r="C36" s="433"/>
      <c r="D36" s="434"/>
      <c r="E36" s="471" t="s">
        <v>271</v>
      </c>
      <c r="F36" s="472"/>
      <c r="G36" s="472"/>
      <c r="H36" s="472"/>
      <c r="I36" s="472"/>
      <c r="J36" s="56" t="str">
        <f>IF(AND('Riesgos de Gestión'!$AF$13="Baja",'Riesgos de Gestión'!$AH$13="Leve"),CONCATENATE("R1C",'Riesgos de Gestión'!$V$13),"")</f>
        <v/>
      </c>
      <c r="K36" s="57" t="str">
        <f>IF(AND('Riesgos de Gestión'!$AF$14="Baja",'Riesgos de Gestión'!$AH$14="Leve"),CONCATENATE("R1C",'Riesgos de Gestión'!$V$14),"")</f>
        <v/>
      </c>
      <c r="L36" s="57" t="e">
        <f>IF(AND('Riesgos de Gestión'!#REF!="Baja",'Riesgos de Gestión'!#REF!="Leve"),CONCATENATE("R1C",'Riesgos de Gestión'!#REF!),"")</f>
        <v>#REF!</v>
      </c>
      <c r="M36" s="57" t="e">
        <f>IF(AND('Riesgos de Gestión'!#REF!="Baja",'Riesgos de Gestión'!#REF!="Leve"),CONCATENATE("R1C",'Riesgos de Gestión'!#REF!),"")</f>
        <v>#REF!</v>
      </c>
      <c r="N36" s="57" t="e">
        <f>IF(AND('Riesgos de Gestión'!#REF!="Baja",'Riesgos de Gestión'!#REF!="Leve"),CONCATENATE("R1C",'Riesgos de Gestión'!#REF!),"")</f>
        <v>#REF!</v>
      </c>
      <c r="O36" s="58" t="e">
        <f>IF(AND('Riesgos de Gestión'!#REF!="Baja",'Riesgos de Gestión'!#REF!="Leve"),CONCATENATE("R1C",'Riesgos de Gestión'!#REF!),"")</f>
        <v>#REF!</v>
      </c>
      <c r="P36" s="47" t="str">
        <f>IF(AND('Riesgos de Gestión'!$AF$13="Baja",'Riesgos de Gestión'!$AH$13="Menor"),CONCATENATE("R1C",'Riesgos de Gestión'!$V$13),"")</f>
        <v/>
      </c>
      <c r="Q36" s="48" t="str">
        <f>IF(AND('Riesgos de Gestión'!$AF$14="Baja",'Riesgos de Gestión'!$AH$14="Menor"),CONCATENATE("R1C",'Riesgos de Gestión'!$V$14),"")</f>
        <v/>
      </c>
      <c r="R36" s="48" t="e">
        <f>IF(AND('Riesgos de Gestión'!#REF!="Baja",'Riesgos de Gestión'!#REF!="Menor"),CONCATENATE("R1C",'Riesgos de Gestión'!#REF!),"")</f>
        <v>#REF!</v>
      </c>
      <c r="S36" s="48" t="e">
        <f>IF(AND('Riesgos de Gestión'!#REF!="Baja",'Riesgos de Gestión'!#REF!="Menor"),CONCATENATE("R1C",'Riesgos de Gestión'!#REF!),"")</f>
        <v>#REF!</v>
      </c>
      <c r="T36" s="48" t="e">
        <f>IF(AND('Riesgos de Gestión'!#REF!="Baja",'Riesgos de Gestión'!#REF!="Menor"),CONCATENATE("R1C",'Riesgos de Gestión'!#REF!),"")</f>
        <v>#REF!</v>
      </c>
      <c r="U36" s="49" t="e">
        <f>IF(AND('Riesgos de Gestión'!#REF!="Baja",'Riesgos de Gestión'!#REF!="Menor"),CONCATENATE("R1C",'Riesgos de Gestión'!#REF!),"")</f>
        <v>#REF!</v>
      </c>
      <c r="V36" s="47" t="str">
        <f>IF(AND('Riesgos de Gestión'!$AF$13="Baja",'Riesgos de Gestión'!$AH$13="Moderado"),CONCATENATE("R1C",'Riesgos de Gestión'!$V$13),"")</f>
        <v>R1C1</v>
      </c>
      <c r="W36" s="48" t="str">
        <f>IF(AND('Riesgos de Gestión'!$AF$14="Baja",'Riesgos de Gestión'!$AH$14="Moderado"),CONCATENATE("R1C",'Riesgos de Gestión'!$V$14),"")</f>
        <v>R1C2</v>
      </c>
      <c r="X36" s="48" t="e">
        <f>IF(AND('Riesgos de Gestión'!#REF!="Baja",'Riesgos de Gestión'!#REF!="Moderado"),CONCATENATE("R1C",'Riesgos de Gestión'!#REF!),"")</f>
        <v>#REF!</v>
      </c>
      <c r="Y36" s="48" t="e">
        <f>IF(AND('Riesgos de Gestión'!#REF!="Baja",'Riesgos de Gestión'!#REF!="Moderado"),CONCATENATE("R1C",'Riesgos de Gestión'!#REF!),"")</f>
        <v>#REF!</v>
      </c>
      <c r="Z36" s="48" t="e">
        <f>IF(AND('Riesgos de Gestión'!#REF!="Baja",'Riesgos de Gestión'!#REF!="Moderado"),CONCATENATE("R1C",'Riesgos de Gestión'!#REF!),"")</f>
        <v>#REF!</v>
      </c>
      <c r="AA36" s="49" t="e">
        <f>IF(AND('Riesgos de Gestión'!#REF!="Baja",'Riesgos de Gestión'!#REF!="Moderado"),CONCATENATE("R1C",'Riesgos de Gestión'!#REF!),"")</f>
        <v>#REF!</v>
      </c>
      <c r="AB36" s="29" t="str">
        <f>IF(AND('Riesgos de Gestión'!$AF$13="Baja",'Riesgos de Gestión'!$AH$13="Mayor"),CONCATENATE("R1C",'Riesgos de Gestión'!$V$13),"")</f>
        <v/>
      </c>
      <c r="AC36" s="30" t="str">
        <f>IF(AND('Riesgos de Gestión'!$AF$14="Baja",'Riesgos de Gestión'!$AH$14="Mayor"),CONCATENATE("R1C",'Riesgos de Gestión'!$V$14),"")</f>
        <v/>
      </c>
      <c r="AD36" s="30" t="e">
        <f>IF(AND('Riesgos de Gestión'!#REF!="Baja",'Riesgos de Gestión'!#REF!="Mayor"),CONCATENATE("R1C",'Riesgos de Gestión'!#REF!),"")</f>
        <v>#REF!</v>
      </c>
      <c r="AE36" s="30" t="e">
        <f>IF(AND('Riesgos de Gestión'!#REF!="Baja",'Riesgos de Gestión'!#REF!="Mayor"),CONCATENATE("R1C",'Riesgos de Gestión'!#REF!),"")</f>
        <v>#REF!</v>
      </c>
      <c r="AF36" s="30" t="e">
        <f>IF(AND('Riesgos de Gestión'!#REF!="Baja",'Riesgos de Gestión'!#REF!="Mayor"),CONCATENATE("R1C",'Riesgos de Gestión'!#REF!),"")</f>
        <v>#REF!</v>
      </c>
      <c r="AG36" s="31" t="e">
        <f>IF(AND('Riesgos de Gestión'!#REF!="Baja",'Riesgos de Gestión'!#REF!="Mayor"),CONCATENATE("R1C",'Riesgos de Gestión'!#REF!),"")</f>
        <v>#REF!</v>
      </c>
      <c r="AH36" s="32" t="str">
        <f>IF(AND('Riesgos de Gestión'!$AF$13="Baja",'Riesgos de Gestión'!$AH$13="Catastrófico"),CONCATENATE("R1C",'Riesgos de Gestión'!$V$13),"")</f>
        <v/>
      </c>
      <c r="AI36" s="33" t="str">
        <f>IF(AND('Riesgos de Gestión'!$AF$14="Baja",'Riesgos de Gestión'!$AH$14="Catastrófico"),CONCATENATE("R1C",'Riesgos de Gestión'!$V$14),"")</f>
        <v/>
      </c>
      <c r="AJ36" s="33" t="e">
        <f>IF(AND('Riesgos de Gestión'!#REF!="Baja",'Riesgos de Gestión'!#REF!="Catastrófico"),CONCATENATE("R1C",'Riesgos de Gestión'!#REF!),"")</f>
        <v>#REF!</v>
      </c>
      <c r="AK36" s="33" t="e">
        <f>IF(AND('Riesgos de Gestión'!#REF!="Baja",'Riesgos de Gestión'!#REF!="Catastrófico"),CONCATENATE("R1C",'Riesgos de Gestión'!#REF!),"")</f>
        <v>#REF!</v>
      </c>
      <c r="AL36" s="33" t="e">
        <f>IF(AND('Riesgos de Gestión'!#REF!="Baja",'Riesgos de Gestión'!#REF!="Catastrófico"),CONCATENATE("R1C",'Riesgos de Gestión'!#REF!),"")</f>
        <v>#REF!</v>
      </c>
      <c r="AM36" s="34" t="e">
        <f>IF(AND('Riesgos de Gestión'!#REF!="Baja",'Riesgos de Gestión'!#REF!="Catastrófico"),CONCATENATE("R1C",'Riesgos de Gestión'!#REF!),"")</f>
        <v>#REF!</v>
      </c>
      <c r="AN36" s="66"/>
      <c r="AO36" s="502" t="s">
        <v>272</v>
      </c>
      <c r="AP36" s="503"/>
      <c r="AQ36" s="503"/>
      <c r="AR36" s="503"/>
      <c r="AS36" s="503"/>
      <c r="AT36" s="50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33"/>
      <c r="C37" s="433"/>
      <c r="D37" s="434"/>
      <c r="E37" s="490"/>
      <c r="F37" s="475"/>
      <c r="G37" s="475"/>
      <c r="H37" s="475"/>
      <c r="I37" s="475"/>
      <c r="J37" s="59" t="str">
        <f>IF(AND('Riesgos de Gestión'!$AF$15="Baja",'Riesgos de Gestión'!$AH$15="Leve"),CONCATENATE("R2C",'Riesgos de Gestión'!$V$15),"")</f>
        <v>R2C1</v>
      </c>
      <c r="K37" s="60" t="str">
        <f>IF(AND('Riesgos de Gestión'!$AF$16="Baja",'Riesgos de Gestión'!$AH$16="Leve"),CONCATENATE("R2C",'Riesgos de Gestión'!$V$16),"")</f>
        <v/>
      </c>
      <c r="L37" s="60" t="e">
        <f>IF(AND('Riesgos de Gestión'!#REF!="Baja",'Riesgos de Gestión'!#REF!="Leve"),CONCATENATE("R2C",'Riesgos de Gestión'!#REF!),"")</f>
        <v>#REF!</v>
      </c>
      <c r="M37" s="60" t="e">
        <f>IF(AND('Riesgos de Gestión'!#REF!="Baja",'Riesgos de Gestión'!#REF!="Leve"),CONCATENATE("R2C",'Riesgos de Gestión'!#REF!),"")</f>
        <v>#REF!</v>
      </c>
      <c r="N37" s="60" t="e">
        <f>IF(AND('Riesgos de Gestión'!#REF!="Baja",'Riesgos de Gestión'!#REF!="Leve"),CONCATENATE("R2C",'Riesgos de Gestión'!#REF!),"")</f>
        <v>#REF!</v>
      </c>
      <c r="O37" s="61" t="e">
        <f>IF(AND('Riesgos de Gestión'!#REF!="Baja",'Riesgos de Gestión'!#REF!="Leve"),CONCATENATE("R2C",'Riesgos de Gestión'!#REF!),"")</f>
        <v>#REF!</v>
      </c>
      <c r="P37" s="50" t="str">
        <f>IF(AND('Riesgos de Gestión'!$AF$15="Baja",'Riesgos de Gestión'!$AH$15="Menor"),CONCATENATE("R2C",'Riesgos de Gestión'!$V$15),"")</f>
        <v/>
      </c>
      <c r="Q37" s="51" t="str">
        <f>IF(AND('Riesgos de Gestión'!$AF$16="Baja",'Riesgos de Gestión'!$AH$16="Menor"),CONCATENATE("R2C",'Riesgos de Gestión'!$V$16),"")</f>
        <v/>
      </c>
      <c r="R37" s="51" t="e">
        <f>IF(AND('Riesgos de Gestión'!#REF!="Baja",'Riesgos de Gestión'!#REF!="Menor"),CONCATENATE("R2C",'Riesgos de Gestión'!#REF!),"")</f>
        <v>#REF!</v>
      </c>
      <c r="S37" s="51" t="e">
        <f>IF(AND('Riesgos de Gestión'!#REF!="Baja",'Riesgos de Gestión'!#REF!="Menor"),CONCATENATE("R2C",'Riesgos de Gestión'!#REF!),"")</f>
        <v>#REF!</v>
      </c>
      <c r="T37" s="51" t="e">
        <f>IF(AND('Riesgos de Gestión'!#REF!="Baja",'Riesgos de Gestión'!#REF!="Menor"),CONCATENATE("R2C",'Riesgos de Gestión'!#REF!),"")</f>
        <v>#REF!</v>
      </c>
      <c r="U37" s="52" t="e">
        <f>IF(AND('Riesgos de Gestión'!#REF!="Baja",'Riesgos de Gestión'!#REF!="Menor"),CONCATENATE("R2C",'Riesgos de Gestión'!#REF!),"")</f>
        <v>#REF!</v>
      </c>
      <c r="V37" s="50" t="str">
        <f>IF(AND('Riesgos de Gestión'!$AF$15="Baja",'Riesgos de Gestión'!$AH$15="Moderado"),CONCATENATE("R2C",'Riesgos de Gestión'!$V$15),"")</f>
        <v/>
      </c>
      <c r="W37" s="51" t="str">
        <f>IF(AND('Riesgos de Gestión'!$AF$16="Baja",'Riesgos de Gestión'!$AH$16="Moderado"),CONCATENATE("R2C",'Riesgos de Gestión'!$V$16),"")</f>
        <v/>
      </c>
      <c r="X37" s="51" t="e">
        <f>IF(AND('Riesgos de Gestión'!#REF!="Baja",'Riesgos de Gestión'!#REF!="Moderado"),CONCATENATE("R2C",'Riesgos de Gestión'!#REF!),"")</f>
        <v>#REF!</v>
      </c>
      <c r="Y37" s="51" t="e">
        <f>IF(AND('Riesgos de Gestión'!#REF!="Baja",'Riesgos de Gestión'!#REF!="Moderado"),CONCATENATE("R2C",'Riesgos de Gestión'!#REF!),"")</f>
        <v>#REF!</v>
      </c>
      <c r="Z37" s="51" t="e">
        <f>IF(AND('Riesgos de Gestión'!#REF!="Baja",'Riesgos de Gestión'!#REF!="Moderado"),CONCATENATE("R2C",'Riesgos de Gestión'!#REF!),"")</f>
        <v>#REF!</v>
      </c>
      <c r="AA37" s="52" t="e">
        <f>IF(AND('Riesgos de Gestión'!#REF!="Baja",'Riesgos de Gestión'!#REF!="Moderado"),CONCATENATE("R2C",'Riesgos de Gestión'!#REF!),"")</f>
        <v>#REF!</v>
      </c>
      <c r="AB37" s="35" t="str">
        <f>IF(AND('Riesgos de Gestión'!$AF$15="Baja",'Riesgos de Gestión'!$AH$15="Mayor"),CONCATENATE("R2C",'Riesgos de Gestión'!$V$15),"")</f>
        <v/>
      </c>
      <c r="AC37" s="36" t="str">
        <f>IF(AND('Riesgos de Gestión'!$AF$16="Baja",'Riesgos de Gestión'!$AH$16="Mayor"),CONCATENATE("R2C",'Riesgos de Gestión'!$V$16),"")</f>
        <v/>
      </c>
      <c r="AD37" s="36" t="e">
        <f>IF(AND('Riesgos de Gestión'!#REF!="Baja",'Riesgos de Gestión'!#REF!="Mayor"),CONCATENATE("R2C",'Riesgos de Gestión'!#REF!),"")</f>
        <v>#REF!</v>
      </c>
      <c r="AE37" s="36" t="e">
        <f>IF(AND('Riesgos de Gestión'!#REF!="Baja",'Riesgos de Gestión'!#REF!="Mayor"),CONCATENATE("R2C",'Riesgos de Gestión'!#REF!),"")</f>
        <v>#REF!</v>
      </c>
      <c r="AF37" s="36" t="e">
        <f>IF(AND('Riesgos de Gestión'!#REF!="Baja",'Riesgos de Gestión'!#REF!="Mayor"),CONCATENATE("R2C",'Riesgos de Gestión'!#REF!),"")</f>
        <v>#REF!</v>
      </c>
      <c r="AG37" s="37" t="e">
        <f>IF(AND('Riesgos de Gestión'!#REF!="Baja",'Riesgos de Gestión'!#REF!="Mayor"),CONCATENATE("R2C",'Riesgos de Gestión'!#REF!),"")</f>
        <v>#REF!</v>
      </c>
      <c r="AH37" s="38" t="str">
        <f>IF(AND('Riesgos de Gestión'!$AF$15="Baja",'Riesgos de Gestión'!$AH$15="Catastrófico"),CONCATENATE("R2C",'Riesgos de Gestión'!$V$15),"")</f>
        <v/>
      </c>
      <c r="AI37" s="39" t="str">
        <f>IF(AND('Riesgos de Gestión'!$AF$16="Baja",'Riesgos de Gestión'!$AH$16="Catastrófico"),CONCATENATE("R2C",'Riesgos de Gestión'!$V$16),"")</f>
        <v/>
      </c>
      <c r="AJ37" s="39" t="e">
        <f>IF(AND('Riesgos de Gestión'!#REF!="Baja",'Riesgos de Gestión'!#REF!="Catastrófico"),CONCATENATE("R2C",'Riesgos de Gestión'!#REF!),"")</f>
        <v>#REF!</v>
      </c>
      <c r="AK37" s="39" t="e">
        <f>IF(AND('Riesgos de Gestión'!#REF!="Baja",'Riesgos de Gestión'!#REF!="Catastrófico"),CONCATENATE("R2C",'Riesgos de Gestión'!#REF!),"")</f>
        <v>#REF!</v>
      </c>
      <c r="AL37" s="39" t="e">
        <f>IF(AND('Riesgos de Gestión'!#REF!="Baja",'Riesgos de Gestión'!#REF!="Catastrófico"),CONCATENATE("R2C",'Riesgos de Gestión'!#REF!),"")</f>
        <v>#REF!</v>
      </c>
      <c r="AM37" s="40" t="e">
        <f>IF(AND('Riesgos de Gestión'!#REF!="Baja",'Riesgos de Gestión'!#REF!="Catastrófico"),CONCATENATE("R2C",'Riesgos de Gestión'!#REF!),"")</f>
        <v>#REF!</v>
      </c>
      <c r="AN37" s="66"/>
      <c r="AO37" s="505"/>
      <c r="AP37" s="506"/>
      <c r="AQ37" s="506"/>
      <c r="AR37" s="506"/>
      <c r="AS37" s="506"/>
      <c r="AT37" s="50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33"/>
      <c r="C38" s="433"/>
      <c r="D38" s="434"/>
      <c r="E38" s="474"/>
      <c r="F38" s="475"/>
      <c r="G38" s="475"/>
      <c r="H38" s="475"/>
      <c r="I38" s="475"/>
      <c r="J38" s="59" t="str">
        <f>IF(AND('Riesgos de Gestión'!$AF$17="Baja",'Riesgos de Gestión'!$AH$17="Leve"),CONCATENATE("R3C",'Riesgos de Gestión'!$V$17),"")</f>
        <v/>
      </c>
      <c r="K38" s="60" t="str">
        <f>IF(AND('Riesgos de Gestión'!$AF$18="Baja",'Riesgos de Gestión'!$AH$18="Leve"),CONCATENATE("R3C",'Riesgos de Gestión'!$V$18),"")</f>
        <v/>
      </c>
      <c r="L38" s="60" t="str">
        <f>IF(AND('Riesgos de Gestión'!$AF$19="Baja",'Riesgos de Gestión'!$AH$19="Leve"),CONCATENATE("R3C",'Riesgos de Gestión'!$V$19),"")</f>
        <v/>
      </c>
      <c r="M38" s="60" t="str">
        <f>IF(AND('Riesgos de Gestión'!$AF$20="Baja",'Riesgos de Gestión'!$AH$20="Leve"),CONCATENATE("R3C",'Riesgos de Gestión'!$V$20),"")</f>
        <v/>
      </c>
      <c r="N38" s="60" t="str">
        <f>IF(AND('Riesgos de Gestión'!$AF$21="Baja",'Riesgos de Gestión'!$AH$21="Leve"),CONCATENATE("R3C",'Riesgos de Gestión'!$V$21),"")</f>
        <v/>
      </c>
      <c r="O38" s="61" t="str">
        <f>IF(AND('Riesgos de Gestión'!$AF$22="Baja",'Riesgos de Gestión'!$AH$22="Leve"),CONCATENATE("R3C",'Riesgos de Gestión'!$V$22),"")</f>
        <v/>
      </c>
      <c r="P38" s="50" t="str">
        <f>IF(AND('Riesgos de Gestión'!$AF$17="Baja",'Riesgos de Gestión'!$AH$17="Menor"),CONCATENATE("R3C",'Riesgos de Gestión'!$V$17),"")</f>
        <v/>
      </c>
      <c r="Q38" s="51" t="str">
        <f>IF(AND('Riesgos de Gestión'!$AF$18="Baja",'Riesgos de Gestión'!$AH$18="Menor"),CONCATENATE("R3C",'Riesgos de Gestión'!$V$18),"")</f>
        <v/>
      </c>
      <c r="R38" s="51" t="str">
        <f>IF(AND('Riesgos de Gestión'!$AF$19="Baja",'Riesgos de Gestión'!$AH$19="Menor"),CONCATENATE("R3C",'Riesgos de Gestión'!$V$19),"")</f>
        <v/>
      </c>
      <c r="S38" s="51" t="str">
        <f>IF(AND('Riesgos de Gestión'!$AF$20="Baja",'Riesgos de Gestión'!$AH$20="Menor"),CONCATENATE("R3C",'Riesgos de Gestión'!$V$20),"")</f>
        <v/>
      </c>
      <c r="T38" s="51" t="str">
        <f>IF(AND('Riesgos de Gestión'!$AF$21="Baja",'Riesgos de Gestión'!$AH$21="Menor"),CONCATENATE("R3C",'Riesgos de Gestión'!$V$21),"")</f>
        <v/>
      </c>
      <c r="U38" s="52" t="str">
        <f>IF(AND('Riesgos de Gestión'!$AF$22="Baja",'Riesgos de Gestión'!$AH$22="Menor"),CONCATENATE("R3C",'Riesgos de Gestión'!$V$22),"")</f>
        <v/>
      </c>
      <c r="V38" s="50" t="str">
        <f>IF(AND('Riesgos de Gestión'!$AF$17="Baja",'Riesgos de Gestión'!$AH$17="Moderado"),CONCATENATE("R3C",'Riesgos de Gestión'!$V$17),"")</f>
        <v/>
      </c>
      <c r="W38" s="51" t="str">
        <f>IF(AND('Riesgos de Gestión'!$AF$18="Baja",'Riesgos de Gestión'!$AH$18="Moderado"),CONCATENATE("R3C",'Riesgos de Gestión'!$V$18),"")</f>
        <v/>
      </c>
      <c r="X38" s="51" t="str">
        <f>IF(AND('Riesgos de Gestión'!$AF$19="Baja",'Riesgos de Gestión'!$AH$19="Moderado"),CONCATENATE("R3C",'Riesgos de Gestión'!$V$19),"")</f>
        <v/>
      </c>
      <c r="Y38" s="51" t="str">
        <f>IF(AND('Riesgos de Gestión'!$AF$20="Baja",'Riesgos de Gestión'!$AH$20="Moderado"),CONCATENATE("R3C",'Riesgos de Gestión'!$V$20),"")</f>
        <v/>
      </c>
      <c r="Z38" s="51" t="str">
        <f>IF(AND('Riesgos de Gestión'!$AF$21="Baja",'Riesgos de Gestión'!$AH$21="Moderado"),CONCATENATE("R3C",'Riesgos de Gestión'!$V$21),"")</f>
        <v/>
      </c>
      <c r="AA38" s="52" t="str">
        <f>IF(AND('Riesgos de Gestión'!$AF$22="Baja",'Riesgos de Gestión'!$AH$22="Moderado"),CONCATENATE("R3C",'Riesgos de Gestión'!$V$22),"")</f>
        <v/>
      </c>
      <c r="AB38" s="35" t="str">
        <f>IF(AND('Riesgos de Gestión'!$AF$17="Baja",'Riesgos de Gestión'!$AH$17="Mayor"),CONCATENATE("R3C",'Riesgos de Gestión'!$V$17),"")</f>
        <v/>
      </c>
      <c r="AC38" s="36" t="str">
        <f>IF(AND('Riesgos de Gestión'!$AF$18="Baja",'Riesgos de Gestión'!$AH$18="Mayor"),CONCATENATE("R3C",'Riesgos de Gestión'!$V$18),"")</f>
        <v/>
      </c>
      <c r="AD38" s="36" t="str">
        <f>IF(AND('Riesgos de Gestión'!$AF$19="Baja",'Riesgos de Gestión'!$AH$19="Mayor"),CONCATENATE("R3C",'Riesgos de Gestión'!$V$19),"")</f>
        <v/>
      </c>
      <c r="AE38" s="36" t="str">
        <f>IF(AND('Riesgos de Gestión'!$AF$20="Baja",'Riesgos de Gestión'!$AH$20="Mayor"),CONCATENATE("R3C",'Riesgos de Gestión'!$V$20),"")</f>
        <v/>
      </c>
      <c r="AF38" s="36" t="str">
        <f>IF(AND('Riesgos de Gestión'!$AF$21="Baja",'Riesgos de Gestión'!$AH$21="Mayor"),CONCATENATE("R3C",'Riesgos de Gestión'!$V$21),"")</f>
        <v/>
      </c>
      <c r="AG38" s="37" t="str">
        <f>IF(AND('Riesgos de Gestión'!$AF$22="Baja",'Riesgos de Gestión'!$AH$22="Mayor"),CONCATENATE("R3C",'Riesgos de Gestión'!$V$22),"")</f>
        <v/>
      </c>
      <c r="AH38" s="38" t="str">
        <f>IF(AND('Riesgos de Gestión'!$AF$17="Baja",'Riesgos de Gestión'!$AH$17="Catastrófico"),CONCATENATE("R3C",'Riesgos de Gestión'!$V$17),"")</f>
        <v/>
      </c>
      <c r="AI38" s="39" t="str">
        <f>IF(AND('Riesgos de Gestión'!$AF$18="Baja",'Riesgos de Gestión'!$AH$18="Catastrófico"),CONCATENATE("R3C",'Riesgos de Gestión'!$V$18),"")</f>
        <v/>
      </c>
      <c r="AJ38" s="39" t="str">
        <f>IF(AND('Riesgos de Gestión'!$AF$19="Baja",'Riesgos de Gestión'!$AH$19="Catastrófico"),CONCATENATE("R3C",'Riesgos de Gestión'!$V$19),"")</f>
        <v/>
      </c>
      <c r="AK38" s="39" t="str">
        <f>IF(AND('Riesgos de Gestión'!$AF$20="Baja",'Riesgos de Gestión'!$AH$20="Catastrófico"),CONCATENATE("R3C",'Riesgos de Gestión'!$V$20),"")</f>
        <v/>
      </c>
      <c r="AL38" s="39" t="str">
        <f>IF(AND('Riesgos de Gestión'!$AF$21="Baja",'Riesgos de Gestión'!$AH$21="Catastrófico"),CONCATENATE("R3C",'Riesgos de Gestión'!$V$21),"")</f>
        <v/>
      </c>
      <c r="AM38" s="40" t="str">
        <f>IF(AND('Riesgos de Gestión'!$AF$22="Baja",'Riesgos de Gestión'!$AH$22="Catastrófico"),CONCATENATE("R3C",'Riesgos de Gestión'!$V$22),"")</f>
        <v/>
      </c>
      <c r="AN38" s="66"/>
      <c r="AO38" s="505"/>
      <c r="AP38" s="506"/>
      <c r="AQ38" s="506"/>
      <c r="AR38" s="506"/>
      <c r="AS38" s="506"/>
      <c r="AT38" s="50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33"/>
      <c r="C39" s="433"/>
      <c r="D39" s="434"/>
      <c r="E39" s="474"/>
      <c r="F39" s="475"/>
      <c r="G39" s="475"/>
      <c r="H39" s="475"/>
      <c r="I39" s="475"/>
      <c r="J39" s="59" t="str">
        <f>IF(AND('Riesgos de Gestión'!$AF$23="Baja",'Riesgos de Gestión'!$AH$23="Leve"),CONCATENATE("R4C",'Riesgos de Gestión'!$V$23),"")</f>
        <v/>
      </c>
      <c r="K39" s="60" t="str">
        <f>IF(AND('Riesgos de Gestión'!$AF$24="Baja",'Riesgos de Gestión'!$AH$24="Leve"),CONCATENATE("R4C",'Riesgos de Gestión'!$V$24),"")</f>
        <v/>
      </c>
      <c r="L39" s="60" t="str">
        <f>IF(AND('Riesgos de Gestión'!$AF$25="Baja",'Riesgos de Gestión'!$AH$25="Leve"),CONCATENATE("R4C",'Riesgos de Gestión'!$V$25),"")</f>
        <v/>
      </c>
      <c r="M39" s="60" t="str">
        <f>IF(AND('Riesgos de Gestión'!$AF$26="Baja",'Riesgos de Gestión'!$AH$26="Leve"),CONCATENATE("R4C",'Riesgos de Gestión'!$V$26),"")</f>
        <v/>
      </c>
      <c r="N39" s="60" t="str">
        <f>IF(AND('Riesgos de Gestión'!$AF$27="Baja",'Riesgos de Gestión'!$AH$27="Leve"),CONCATENATE("R4C",'Riesgos de Gestión'!$V$27),"")</f>
        <v/>
      </c>
      <c r="O39" s="61" t="str">
        <f>IF(AND('Riesgos de Gestión'!$AF$28="Baja",'Riesgos de Gestión'!$AH$28="Leve"),CONCATENATE("R4C",'Riesgos de Gestión'!$V$28),"")</f>
        <v/>
      </c>
      <c r="P39" s="50" t="str">
        <f>IF(AND('Riesgos de Gestión'!$AF$23="Baja",'Riesgos de Gestión'!$AH$23="Menor"),CONCATENATE("R4C",'Riesgos de Gestión'!$V$23),"")</f>
        <v/>
      </c>
      <c r="Q39" s="51" t="str">
        <f>IF(AND('Riesgos de Gestión'!$AF$24="Baja",'Riesgos de Gestión'!$AH$24="Menor"),CONCATENATE("R4C",'Riesgos de Gestión'!$V$24),"")</f>
        <v/>
      </c>
      <c r="R39" s="51" t="str">
        <f>IF(AND('Riesgos de Gestión'!$AF$25="Baja",'Riesgos de Gestión'!$AH$25="Menor"),CONCATENATE("R4C",'Riesgos de Gestión'!$V$25),"")</f>
        <v/>
      </c>
      <c r="S39" s="51" t="str">
        <f>IF(AND('Riesgos de Gestión'!$AF$26="Baja",'Riesgos de Gestión'!$AH$26="Menor"),CONCATENATE("R4C",'Riesgos de Gestión'!$V$26),"")</f>
        <v/>
      </c>
      <c r="T39" s="51" t="str">
        <f>IF(AND('Riesgos de Gestión'!$AF$27="Baja",'Riesgos de Gestión'!$AH$27="Menor"),CONCATENATE("R4C",'Riesgos de Gestión'!$V$27),"")</f>
        <v/>
      </c>
      <c r="U39" s="52" t="str">
        <f>IF(AND('Riesgos de Gestión'!$AF$28="Baja",'Riesgos de Gestión'!$AH$28="Menor"),CONCATENATE("R4C",'Riesgos de Gestión'!$V$28),"")</f>
        <v/>
      </c>
      <c r="V39" s="50" t="str">
        <f>IF(AND('Riesgos de Gestión'!$AF$23="Baja",'Riesgos de Gestión'!$AH$23="Moderado"),CONCATENATE("R4C",'Riesgos de Gestión'!$V$23),"")</f>
        <v/>
      </c>
      <c r="W39" s="51" t="str">
        <f>IF(AND('Riesgos de Gestión'!$AF$24="Baja",'Riesgos de Gestión'!$AH$24="Moderado"),CONCATENATE("R4C",'Riesgos de Gestión'!$V$24),"")</f>
        <v/>
      </c>
      <c r="X39" s="51" t="str">
        <f>IF(AND('Riesgos de Gestión'!$AF$25="Baja",'Riesgos de Gestión'!$AH$25="Moderado"),CONCATENATE("R4C",'Riesgos de Gestión'!$V$25),"")</f>
        <v/>
      </c>
      <c r="Y39" s="51" t="str">
        <f>IF(AND('Riesgos de Gestión'!$AF$26="Baja",'Riesgos de Gestión'!$AH$26="Moderado"),CONCATENATE("R4C",'Riesgos de Gestión'!$V$26),"")</f>
        <v/>
      </c>
      <c r="Z39" s="51" t="str">
        <f>IF(AND('Riesgos de Gestión'!$AF$27="Baja",'Riesgos de Gestión'!$AH$27="Moderado"),CONCATENATE("R4C",'Riesgos de Gestión'!$V$27),"")</f>
        <v/>
      </c>
      <c r="AA39" s="52" t="str">
        <f>IF(AND('Riesgos de Gestión'!$AF$28="Baja",'Riesgos de Gestión'!$AH$28="Moderado"),CONCATENATE("R4C",'Riesgos de Gestión'!$V$28),"")</f>
        <v/>
      </c>
      <c r="AB39" s="35" t="str">
        <f>IF(AND('Riesgos de Gestión'!$AF$23="Baja",'Riesgos de Gestión'!$AH$23="Mayor"),CONCATENATE("R4C",'Riesgos de Gestión'!$V$23),"")</f>
        <v/>
      </c>
      <c r="AC39" s="36" t="str">
        <f>IF(AND('Riesgos de Gestión'!$AF$24="Baja",'Riesgos de Gestión'!$AH$24="Mayor"),CONCATENATE("R4C",'Riesgos de Gestión'!$V$24),"")</f>
        <v/>
      </c>
      <c r="AD39" s="36" t="str">
        <f>IF(AND('Riesgos de Gestión'!$AF$25="Baja",'Riesgos de Gestión'!$AH$25="Mayor"),CONCATENATE("R4C",'Riesgos de Gestión'!$V$25),"")</f>
        <v/>
      </c>
      <c r="AE39" s="36" t="str">
        <f>IF(AND('Riesgos de Gestión'!$AF$26="Baja",'Riesgos de Gestión'!$AH$26="Mayor"),CONCATENATE("R4C",'Riesgos de Gestión'!$V$26),"")</f>
        <v/>
      </c>
      <c r="AF39" s="36" t="str">
        <f>IF(AND('Riesgos de Gestión'!$AF$27="Baja",'Riesgos de Gestión'!$AH$27="Mayor"),CONCATENATE("R4C",'Riesgos de Gestión'!$V$27),"")</f>
        <v/>
      </c>
      <c r="AG39" s="37" t="str">
        <f>IF(AND('Riesgos de Gestión'!$AF$28="Baja",'Riesgos de Gestión'!$AH$28="Mayor"),CONCATENATE("R4C",'Riesgos de Gestión'!$V$28),"")</f>
        <v/>
      </c>
      <c r="AH39" s="38" t="str">
        <f>IF(AND('Riesgos de Gestión'!$AF$23="Baja",'Riesgos de Gestión'!$AH$23="Catastrófico"),CONCATENATE("R4C",'Riesgos de Gestión'!$V$23),"")</f>
        <v/>
      </c>
      <c r="AI39" s="39" t="str">
        <f>IF(AND('Riesgos de Gestión'!$AF$24="Baja",'Riesgos de Gestión'!$AH$24="Catastrófico"),CONCATENATE("R4C",'Riesgos de Gestión'!$V$24),"")</f>
        <v/>
      </c>
      <c r="AJ39" s="39" t="str">
        <f>IF(AND('Riesgos de Gestión'!$AF$25="Baja",'Riesgos de Gestión'!$AH$25="Catastrófico"),CONCATENATE("R4C",'Riesgos de Gestión'!$V$25),"")</f>
        <v/>
      </c>
      <c r="AK39" s="39" t="str">
        <f>IF(AND('Riesgos de Gestión'!$AF$26="Baja",'Riesgos de Gestión'!$AH$26="Catastrófico"),CONCATENATE("R4C",'Riesgos de Gestión'!$V$26),"")</f>
        <v/>
      </c>
      <c r="AL39" s="39" t="str">
        <f>IF(AND('Riesgos de Gestión'!$AF$27="Baja",'Riesgos de Gestión'!$AH$27="Catastrófico"),CONCATENATE("R4C",'Riesgos de Gestión'!$V$27),"")</f>
        <v/>
      </c>
      <c r="AM39" s="40" t="str">
        <f>IF(AND('Riesgos de Gestión'!$AF$28="Baja",'Riesgos de Gestión'!$AH$28="Catastrófico"),CONCATENATE("R4C",'Riesgos de Gestión'!$V$28),"")</f>
        <v/>
      </c>
      <c r="AN39" s="66"/>
      <c r="AO39" s="505"/>
      <c r="AP39" s="506"/>
      <c r="AQ39" s="506"/>
      <c r="AR39" s="506"/>
      <c r="AS39" s="506"/>
      <c r="AT39" s="50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33"/>
      <c r="C40" s="433"/>
      <c r="D40" s="434"/>
      <c r="E40" s="474"/>
      <c r="F40" s="475"/>
      <c r="G40" s="475"/>
      <c r="H40" s="475"/>
      <c r="I40" s="475"/>
      <c r="J40" s="59" t="str">
        <f>IF(AND('Riesgos de Gestión'!$AF$29="Baja",'Riesgos de Gestión'!$AH$29="Leve"),CONCATENATE("R5C",'Riesgos de Gestión'!$V$29),"")</f>
        <v/>
      </c>
      <c r="K40" s="60" t="str">
        <f>IF(AND('Riesgos de Gestión'!$AF$30="Baja",'Riesgos de Gestión'!$AH$30="Leve"),CONCATENATE("R5C",'Riesgos de Gestión'!$V$30),"")</f>
        <v/>
      </c>
      <c r="L40" s="60" t="str">
        <f>IF(AND('Riesgos de Gestión'!$AF$31="Baja",'Riesgos de Gestión'!$AH$31="Leve"),CONCATENATE("R5C",'Riesgos de Gestión'!$V$31),"")</f>
        <v/>
      </c>
      <c r="M40" s="60" t="str">
        <f>IF(AND('Riesgos de Gestión'!$AF$32="Baja",'Riesgos de Gestión'!$AH$32="Leve"),CONCATENATE("R5C",'Riesgos de Gestión'!$V$32),"")</f>
        <v/>
      </c>
      <c r="N40" s="60" t="str">
        <f>IF(AND('Riesgos de Gestión'!$AF$33="Baja",'Riesgos de Gestión'!$AH$33="Leve"),CONCATENATE("R5C",'Riesgos de Gestión'!$V$33),"")</f>
        <v/>
      </c>
      <c r="O40" s="61" t="str">
        <f>IF(AND('Riesgos de Gestión'!$AF$34="Baja",'Riesgos de Gestión'!$AH$34="Leve"),CONCATENATE("R5C",'Riesgos de Gestión'!$V$34),"")</f>
        <v/>
      </c>
      <c r="P40" s="50" t="str">
        <f>IF(AND('Riesgos de Gestión'!$AF$29="Baja",'Riesgos de Gestión'!$AH$29="Menor"),CONCATENATE("R5C",'Riesgos de Gestión'!$V$29),"")</f>
        <v/>
      </c>
      <c r="Q40" s="51" t="str">
        <f>IF(AND('Riesgos de Gestión'!$AF$30="Baja",'Riesgos de Gestión'!$AH$30="Menor"),CONCATENATE("R5C",'Riesgos de Gestión'!$V$30),"")</f>
        <v/>
      </c>
      <c r="R40" s="51" t="str">
        <f>IF(AND('Riesgos de Gestión'!$AF$31="Baja",'Riesgos de Gestión'!$AH$31="Menor"),CONCATENATE("R5C",'Riesgos de Gestión'!$V$31),"")</f>
        <v/>
      </c>
      <c r="S40" s="51" t="str">
        <f>IF(AND('Riesgos de Gestión'!$AF$32="Baja",'Riesgos de Gestión'!$AH$32="Menor"),CONCATENATE("R5C",'Riesgos de Gestión'!$V$32),"")</f>
        <v/>
      </c>
      <c r="T40" s="51" t="str">
        <f>IF(AND('Riesgos de Gestión'!$AF$33="Baja",'Riesgos de Gestión'!$AH$33="Menor"),CONCATENATE("R5C",'Riesgos de Gestión'!$V$33),"")</f>
        <v/>
      </c>
      <c r="U40" s="52" t="str">
        <f>IF(AND('Riesgos de Gestión'!$AF$34="Baja",'Riesgos de Gestión'!$AH$34="Menor"),CONCATENATE("R5C",'Riesgos de Gestión'!$V$34),"")</f>
        <v/>
      </c>
      <c r="V40" s="50" t="str">
        <f>IF(AND('Riesgos de Gestión'!$AF$29="Baja",'Riesgos de Gestión'!$AH$29="Moderado"),CONCATENATE("R5C",'Riesgos de Gestión'!$V$29),"")</f>
        <v/>
      </c>
      <c r="W40" s="51" t="str">
        <f>IF(AND('Riesgos de Gestión'!$AF$30="Baja",'Riesgos de Gestión'!$AH$30="Moderado"),CONCATENATE("R5C",'Riesgos de Gestión'!$V$30),"")</f>
        <v/>
      </c>
      <c r="X40" s="51" t="str">
        <f>IF(AND('Riesgos de Gestión'!$AF$31="Baja",'Riesgos de Gestión'!$AH$31="Moderado"),CONCATENATE("R5C",'Riesgos de Gestión'!$V$31),"")</f>
        <v/>
      </c>
      <c r="Y40" s="51" t="str">
        <f>IF(AND('Riesgos de Gestión'!$AF$32="Baja",'Riesgos de Gestión'!$AH$32="Moderado"),CONCATENATE("R5C",'Riesgos de Gestión'!$V$32),"")</f>
        <v/>
      </c>
      <c r="Z40" s="51" t="str">
        <f>IF(AND('Riesgos de Gestión'!$AF$33="Baja",'Riesgos de Gestión'!$AH$33="Moderado"),CONCATENATE("R5C",'Riesgos de Gestión'!$V$33),"")</f>
        <v/>
      </c>
      <c r="AA40" s="52" t="str">
        <f>IF(AND('Riesgos de Gestión'!$AF$34="Baja",'Riesgos de Gestión'!$AH$34="Moderado"),CONCATENATE("R5C",'Riesgos de Gestión'!$V$34),"")</f>
        <v/>
      </c>
      <c r="AB40" s="35" t="str">
        <f>IF(AND('Riesgos de Gestión'!$AF$29="Baja",'Riesgos de Gestión'!$AH$29="Mayor"),CONCATENATE("R5C",'Riesgos de Gestión'!$V$29),"")</f>
        <v/>
      </c>
      <c r="AC40" s="36" t="str">
        <f>IF(AND('Riesgos de Gestión'!$AF$30="Baja",'Riesgos de Gestión'!$AH$30="Mayor"),CONCATENATE("R5C",'Riesgos de Gestión'!$V$30),"")</f>
        <v/>
      </c>
      <c r="AD40" s="36" t="str">
        <f>IF(AND('Riesgos de Gestión'!$AF$31="Baja",'Riesgos de Gestión'!$AH$31="Mayor"),CONCATENATE("R5C",'Riesgos de Gestión'!$V$31),"")</f>
        <v/>
      </c>
      <c r="AE40" s="36" t="str">
        <f>IF(AND('Riesgos de Gestión'!$AF$32="Baja",'Riesgos de Gestión'!$AH$32="Mayor"),CONCATENATE("R5C",'Riesgos de Gestión'!$V$32),"")</f>
        <v/>
      </c>
      <c r="AF40" s="36" t="str">
        <f>IF(AND('Riesgos de Gestión'!$AF$33="Baja",'Riesgos de Gestión'!$AH$33="Mayor"),CONCATENATE("R5C",'Riesgos de Gestión'!$V$33),"")</f>
        <v/>
      </c>
      <c r="AG40" s="37" t="str">
        <f>IF(AND('Riesgos de Gestión'!$AF$34="Baja",'Riesgos de Gestión'!$AH$34="Mayor"),CONCATENATE("R5C",'Riesgos de Gestión'!$V$34),"")</f>
        <v/>
      </c>
      <c r="AH40" s="38" t="str">
        <f>IF(AND('Riesgos de Gestión'!$AF$29="Baja",'Riesgos de Gestión'!$AH$29="Catastrófico"),CONCATENATE("R5C",'Riesgos de Gestión'!$V$29),"")</f>
        <v/>
      </c>
      <c r="AI40" s="39" t="str">
        <f>IF(AND('Riesgos de Gestión'!$AF$30="Baja",'Riesgos de Gestión'!$AH$30="Catastrófico"),CONCATENATE("R5C",'Riesgos de Gestión'!$V$30),"")</f>
        <v/>
      </c>
      <c r="AJ40" s="39" t="str">
        <f>IF(AND('Riesgos de Gestión'!$AF$31="Baja",'Riesgos de Gestión'!$AH$31="Catastrófico"),CONCATENATE("R5C",'Riesgos de Gestión'!$V$31),"")</f>
        <v/>
      </c>
      <c r="AK40" s="39" t="str">
        <f>IF(AND('Riesgos de Gestión'!$AF$32="Baja",'Riesgos de Gestión'!$AH$32="Catastrófico"),CONCATENATE("R5C",'Riesgos de Gestión'!$V$32),"")</f>
        <v/>
      </c>
      <c r="AL40" s="39" t="str">
        <f>IF(AND('Riesgos de Gestión'!$AF$33="Baja",'Riesgos de Gestión'!$AH$33="Catastrófico"),CONCATENATE("R5C",'Riesgos de Gestión'!$V$33),"")</f>
        <v/>
      </c>
      <c r="AM40" s="40" t="str">
        <f>IF(AND('Riesgos de Gestión'!$AF$34="Baja",'Riesgos de Gestión'!$AH$34="Catastrófico"),CONCATENATE("R5C",'Riesgos de Gestión'!$V$34),"")</f>
        <v/>
      </c>
      <c r="AN40" s="66"/>
      <c r="AO40" s="505"/>
      <c r="AP40" s="506"/>
      <c r="AQ40" s="506"/>
      <c r="AR40" s="506"/>
      <c r="AS40" s="506"/>
      <c r="AT40" s="50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33"/>
      <c r="C41" s="433"/>
      <c r="D41" s="434"/>
      <c r="E41" s="474"/>
      <c r="F41" s="475"/>
      <c r="G41" s="475"/>
      <c r="H41" s="475"/>
      <c r="I41" s="475"/>
      <c r="J41" s="59" t="str">
        <f>IF(AND('Riesgos de Gestión'!$AF$35="Baja",'Riesgos de Gestión'!$AH$35="Leve"),CONCATENATE("R6C",'Riesgos de Gestión'!$V$35),"")</f>
        <v/>
      </c>
      <c r="K41" s="60" t="str">
        <f>IF(AND('Riesgos de Gestión'!$AF$36="Baja",'Riesgos de Gestión'!$AH$36="Leve"),CONCATENATE("R6C",'Riesgos de Gestión'!$V$36),"")</f>
        <v/>
      </c>
      <c r="L41" s="60" t="str">
        <f>IF(AND('Riesgos de Gestión'!$AF$37="Baja",'Riesgos de Gestión'!$AH$37="Leve"),CONCATENATE("R6C",'Riesgos de Gestión'!$V$37),"")</f>
        <v/>
      </c>
      <c r="M41" s="60" t="str">
        <f>IF(AND('Riesgos de Gestión'!$AF$38="Baja",'Riesgos de Gestión'!$AH$38="Leve"),CONCATENATE("R6C",'Riesgos de Gestión'!$V$38),"")</f>
        <v/>
      </c>
      <c r="N41" s="60" t="str">
        <f>IF(AND('Riesgos de Gestión'!$AF$39="Baja",'Riesgos de Gestión'!$AH$39="Leve"),CONCATENATE("R6C",'Riesgos de Gestión'!$V$39),"")</f>
        <v/>
      </c>
      <c r="O41" s="61" t="str">
        <f>IF(AND('Riesgos de Gestión'!$AF$40="Baja",'Riesgos de Gestión'!$AH$40="Leve"),CONCATENATE("R6C",'Riesgos de Gestión'!$V$40),"")</f>
        <v/>
      </c>
      <c r="P41" s="50" t="str">
        <f>IF(AND('Riesgos de Gestión'!$AF$35="Baja",'Riesgos de Gestión'!$AH$35="Menor"),CONCATENATE("R6C",'Riesgos de Gestión'!$V$35),"")</f>
        <v/>
      </c>
      <c r="Q41" s="51" t="str">
        <f>IF(AND('Riesgos de Gestión'!$AF$36="Baja",'Riesgos de Gestión'!$AH$36="Menor"),CONCATENATE("R6C",'Riesgos de Gestión'!$V$36),"")</f>
        <v/>
      </c>
      <c r="R41" s="51" t="str">
        <f>IF(AND('Riesgos de Gestión'!$AF$37="Baja",'Riesgos de Gestión'!$AH$37="Menor"),CONCATENATE("R6C",'Riesgos de Gestión'!$V$37),"")</f>
        <v/>
      </c>
      <c r="S41" s="51" t="str">
        <f>IF(AND('Riesgos de Gestión'!$AF$38="Baja",'Riesgos de Gestión'!$AH$38="Menor"),CONCATENATE("R6C",'Riesgos de Gestión'!$V$38),"")</f>
        <v/>
      </c>
      <c r="T41" s="51" t="str">
        <f>IF(AND('Riesgos de Gestión'!$AF$39="Baja",'Riesgos de Gestión'!$AH$39="Menor"),CONCATENATE("R6C",'Riesgos de Gestión'!$V$39),"")</f>
        <v/>
      </c>
      <c r="U41" s="52" t="str">
        <f>IF(AND('Riesgos de Gestión'!$AF$40="Baja",'Riesgos de Gestión'!$AH$40="Menor"),CONCATENATE("R6C",'Riesgos de Gestión'!$V$40),"")</f>
        <v/>
      </c>
      <c r="V41" s="50" t="str">
        <f>IF(AND('Riesgos de Gestión'!$AF$35="Baja",'Riesgos de Gestión'!$AH$35="Moderado"),CONCATENATE("R6C",'Riesgos de Gestión'!$V$35),"")</f>
        <v/>
      </c>
      <c r="W41" s="51" t="str">
        <f>IF(AND('Riesgos de Gestión'!$AF$36="Baja",'Riesgos de Gestión'!$AH$36="Moderado"),CONCATENATE("R6C",'Riesgos de Gestión'!$V$36),"")</f>
        <v/>
      </c>
      <c r="X41" s="51" t="str">
        <f>IF(AND('Riesgos de Gestión'!$AF$37="Baja",'Riesgos de Gestión'!$AH$37="Moderado"),CONCATENATE("R6C",'Riesgos de Gestión'!$V$37),"")</f>
        <v/>
      </c>
      <c r="Y41" s="51" t="str">
        <f>IF(AND('Riesgos de Gestión'!$AF$38="Baja",'Riesgos de Gestión'!$AH$38="Moderado"),CONCATENATE("R6C",'Riesgos de Gestión'!$V$38),"")</f>
        <v/>
      </c>
      <c r="Z41" s="51" t="str">
        <f>IF(AND('Riesgos de Gestión'!$AF$39="Baja",'Riesgos de Gestión'!$AH$39="Moderado"),CONCATENATE("R6C",'Riesgos de Gestión'!$V$39),"")</f>
        <v/>
      </c>
      <c r="AA41" s="52" t="str">
        <f>IF(AND('Riesgos de Gestión'!$AF$40="Baja",'Riesgos de Gestión'!$AH$40="Moderado"),CONCATENATE("R6C",'Riesgos de Gestión'!$V$40),"")</f>
        <v/>
      </c>
      <c r="AB41" s="35" t="str">
        <f>IF(AND('Riesgos de Gestión'!$AF$35="Baja",'Riesgos de Gestión'!$AH$35="Mayor"),CONCATENATE("R6C",'Riesgos de Gestión'!$V$35),"")</f>
        <v/>
      </c>
      <c r="AC41" s="36" t="str">
        <f>IF(AND('Riesgos de Gestión'!$AF$36="Baja",'Riesgos de Gestión'!$AH$36="Mayor"),CONCATENATE("R6C",'Riesgos de Gestión'!$V$36),"")</f>
        <v/>
      </c>
      <c r="AD41" s="36" t="str">
        <f>IF(AND('Riesgos de Gestión'!$AF$37="Baja",'Riesgos de Gestión'!$AH$37="Mayor"),CONCATENATE("R6C",'Riesgos de Gestión'!$V$37),"")</f>
        <v/>
      </c>
      <c r="AE41" s="36" t="str">
        <f>IF(AND('Riesgos de Gestión'!$AF$38="Baja",'Riesgos de Gestión'!$AH$38="Mayor"),CONCATENATE("R6C",'Riesgos de Gestión'!$V$38),"")</f>
        <v/>
      </c>
      <c r="AF41" s="36" t="str">
        <f>IF(AND('Riesgos de Gestión'!$AF$39="Baja",'Riesgos de Gestión'!$AH$39="Mayor"),CONCATENATE("R6C",'Riesgos de Gestión'!$V$39),"")</f>
        <v/>
      </c>
      <c r="AG41" s="37" t="str">
        <f>IF(AND('Riesgos de Gestión'!$AF$40="Baja",'Riesgos de Gestión'!$AH$40="Mayor"),CONCATENATE("R6C",'Riesgos de Gestión'!$V$40),"")</f>
        <v/>
      </c>
      <c r="AH41" s="38" t="str">
        <f>IF(AND('Riesgos de Gestión'!$AF$35="Baja",'Riesgos de Gestión'!$AH$35="Catastrófico"),CONCATENATE("R6C",'Riesgos de Gestión'!$V$35),"")</f>
        <v/>
      </c>
      <c r="AI41" s="39" t="str">
        <f>IF(AND('Riesgos de Gestión'!$AF$36="Baja",'Riesgos de Gestión'!$AH$36="Catastrófico"),CONCATENATE("R6C",'Riesgos de Gestión'!$V$36),"")</f>
        <v/>
      </c>
      <c r="AJ41" s="39" t="str">
        <f>IF(AND('Riesgos de Gestión'!$AF$37="Baja",'Riesgos de Gestión'!$AH$37="Catastrófico"),CONCATENATE("R6C",'Riesgos de Gestión'!$V$37),"")</f>
        <v/>
      </c>
      <c r="AK41" s="39" t="str">
        <f>IF(AND('Riesgos de Gestión'!$AF$38="Baja",'Riesgos de Gestión'!$AH$38="Catastrófico"),CONCATENATE("R6C",'Riesgos de Gestión'!$V$38),"")</f>
        <v/>
      </c>
      <c r="AL41" s="39" t="str">
        <f>IF(AND('Riesgos de Gestión'!$AF$39="Baja",'Riesgos de Gestión'!$AH$39="Catastrófico"),CONCATENATE("R6C",'Riesgos de Gestión'!$V$39),"")</f>
        <v/>
      </c>
      <c r="AM41" s="40" t="str">
        <f>IF(AND('Riesgos de Gestión'!$AF$40="Baja",'Riesgos de Gestión'!$AH$40="Catastrófico"),CONCATENATE("R6C",'Riesgos de Gestión'!$V$40),"")</f>
        <v/>
      </c>
      <c r="AN41" s="66"/>
      <c r="AO41" s="505"/>
      <c r="AP41" s="506"/>
      <c r="AQ41" s="506"/>
      <c r="AR41" s="506"/>
      <c r="AS41" s="506"/>
      <c r="AT41" s="50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33"/>
      <c r="C42" s="433"/>
      <c r="D42" s="434"/>
      <c r="E42" s="474"/>
      <c r="F42" s="475"/>
      <c r="G42" s="475"/>
      <c r="H42" s="475"/>
      <c r="I42" s="475"/>
      <c r="J42" s="59" t="str">
        <f>IF(AND('Riesgos de Gestión'!$AF$41="Baja",'Riesgos de Gestión'!$AH$41="Leve"),CONCATENATE("R7C",'Riesgos de Gestión'!$V$41),"")</f>
        <v/>
      </c>
      <c r="K42" s="60" t="str">
        <f>IF(AND('Riesgos de Gestión'!$AF$42="Baja",'Riesgos de Gestión'!$AH$42="Leve"),CONCATENATE("R7C",'Riesgos de Gestión'!$V$42),"")</f>
        <v/>
      </c>
      <c r="L42" s="60" t="str">
        <f>IF(AND('Riesgos de Gestión'!$AF$43="Baja",'Riesgos de Gestión'!$AH$43="Leve"),CONCATENATE("R7C",'Riesgos de Gestión'!$V$43),"")</f>
        <v/>
      </c>
      <c r="M42" s="60" t="str">
        <f>IF(AND('Riesgos de Gestión'!$AF$44="Baja",'Riesgos de Gestión'!$AH$44="Leve"),CONCATENATE("R7C",'Riesgos de Gestión'!$V$44),"")</f>
        <v/>
      </c>
      <c r="N42" s="60" t="str">
        <f>IF(AND('Riesgos de Gestión'!$AF$45="Baja",'Riesgos de Gestión'!$AH$45="Leve"),CONCATENATE("R7C",'Riesgos de Gestión'!$V$45),"")</f>
        <v/>
      </c>
      <c r="O42" s="61" t="str">
        <f>IF(AND('Riesgos de Gestión'!$AF$46="Baja",'Riesgos de Gestión'!$AH$46="Leve"),CONCATENATE("R7C",'Riesgos de Gestión'!$V$46),"")</f>
        <v/>
      </c>
      <c r="P42" s="50" t="str">
        <f>IF(AND('Riesgos de Gestión'!$AF$41="Baja",'Riesgos de Gestión'!$AH$41="Menor"),CONCATENATE("R7C",'Riesgos de Gestión'!$V$41),"")</f>
        <v/>
      </c>
      <c r="Q42" s="51" t="str">
        <f>IF(AND('Riesgos de Gestión'!$AF$42="Baja",'Riesgos de Gestión'!$AH$42="Menor"),CONCATENATE("R7C",'Riesgos de Gestión'!$V$42),"")</f>
        <v/>
      </c>
      <c r="R42" s="51" t="str">
        <f>IF(AND('Riesgos de Gestión'!$AF$43="Baja",'Riesgos de Gestión'!$AH$43="Menor"),CONCATENATE("R7C",'Riesgos de Gestión'!$V$43),"")</f>
        <v/>
      </c>
      <c r="S42" s="51" t="str">
        <f>IF(AND('Riesgos de Gestión'!$AF$44="Baja",'Riesgos de Gestión'!$AH$44="Menor"),CONCATENATE("R7C",'Riesgos de Gestión'!$V$44),"")</f>
        <v/>
      </c>
      <c r="T42" s="51" t="str">
        <f>IF(AND('Riesgos de Gestión'!$AF$45="Baja",'Riesgos de Gestión'!$AH$45="Menor"),CONCATENATE("R7C",'Riesgos de Gestión'!$V$45),"")</f>
        <v/>
      </c>
      <c r="U42" s="52" t="str">
        <f>IF(AND('Riesgos de Gestión'!$AF$46="Baja",'Riesgos de Gestión'!$AH$46="Menor"),CONCATENATE("R7C",'Riesgos de Gestión'!$V$46),"")</f>
        <v/>
      </c>
      <c r="V42" s="50" t="str">
        <f>IF(AND('Riesgos de Gestión'!$AF$41="Baja",'Riesgos de Gestión'!$AH$41="Moderado"),CONCATENATE("R7C",'Riesgos de Gestión'!$V$41),"")</f>
        <v/>
      </c>
      <c r="W42" s="51" t="str">
        <f>IF(AND('Riesgos de Gestión'!$AF$42="Baja",'Riesgos de Gestión'!$AH$42="Moderado"),CONCATENATE("R7C",'Riesgos de Gestión'!$V$42),"")</f>
        <v/>
      </c>
      <c r="X42" s="51" t="str">
        <f>IF(AND('Riesgos de Gestión'!$AF$43="Baja",'Riesgos de Gestión'!$AH$43="Moderado"),CONCATENATE("R7C",'Riesgos de Gestión'!$V$43),"")</f>
        <v/>
      </c>
      <c r="Y42" s="51" t="str">
        <f>IF(AND('Riesgos de Gestión'!$AF$44="Baja",'Riesgos de Gestión'!$AH$44="Moderado"),CONCATENATE("R7C",'Riesgos de Gestión'!$V$44),"")</f>
        <v/>
      </c>
      <c r="Z42" s="51" t="str">
        <f>IF(AND('Riesgos de Gestión'!$AF$45="Baja",'Riesgos de Gestión'!$AH$45="Moderado"),CONCATENATE("R7C",'Riesgos de Gestión'!$V$45),"")</f>
        <v/>
      </c>
      <c r="AA42" s="52" t="str">
        <f>IF(AND('Riesgos de Gestión'!$AF$46="Baja",'Riesgos de Gestión'!$AH$46="Moderado"),CONCATENATE("R7C",'Riesgos de Gestión'!$V$46),"")</f>
        <v/>
      </c>
      <c r="AB42" s="35" t="str">
        <f>IF(AND('Riesgos de Gestión'!$AF$41="Baja",'Riesgos de Gestión'!$AH$41="Mayor"),CONCATENATE("R7C",'Riesgos de Gestión'!$V$41),"")</f>
        <v/>
      </c>
      <c r="AC42" s="36" t="str">
        <f>IF(AND('Riesgos de Gestión'!$AF$42="Baja",'Riesgos de Gestión'!$AH$42="Mayor"),CONCATENATE("R7C",'Riesgos de Gestión'!$V$42),"")</f>
        <v/>
      </c>
      <c r="AD42" s="36" t="str">
        <f>IF(AND('Riesgos de Gestión'!$AF$43="Baja",'Riesgos de Gestión'!$AH$43="Mayor"),CONCATENATE("R7C",'Riesgos de Gestión'!$V$43),"")</f>
        <v/>
      </c>
      <c r="AE42" s="36" t="str">
        <f>IF(AND('Riesgos de Gestión'!$AF$44="Baja",'Riesgos de Gestión'!$AH$44="Mayor"),CONCATENATE("R7C",'Riesgos de Gestión'!$V$44),"")</f>
        <v/>
      </c>
      <c r="AF42" s="36" t="str">
        <f>IF(AND('Riesgos de Gestión'!$AF$45="Baja",'Riesgos de Gestión'!$AH$45="Mayor"),CONCATENATE("R7C",'Riesgos de Gestión'!$V$45),"")</f>
        <v/>
      </c>
      <c r="AG42" s="37" t="str">
        <f>IF(AND('Riesgos de Gestión'!$AF$46="Baja",'Riesgos de Gestión'!$AH$46="Mayor"),CONCATENATE("R7C",'Riesgos de Gestión'!$V$46),"")</f>
        <v/>
      </c>
      <c r="AH42" s="38" t="str">
        <f>IF(AND('Riesgos de Gestión'!$AF$41="Baja",'Riesgos de Gestión'!$AH$41="Catastrófico"),CONCATENATE("R7C",'Riesgos de Gestión'!$V$41),"")</f>
        <v/>
      </c>
      <c r="AI42" s="39" t="str">
        <f>IF(AND('Riesgos de Gestión'!$AF$42="Baja",'Riesgos de Gestión'!$AH$42="Catastrófico"),CONCATENATE("R7C",'Riesgos de Gestión'!$V$42),"")</f>
        <v/>
      </c>
      <c r="AJ42" s="39" t="str">
        <f>IF(AND('Riesgos de Gestión'!$AF$43="Baja",'Riesgos de Gestión'!$AH$43="Catastrófico"),CONCATENATE("R7C",'Riesgos de Gestión'!$V$43),"")</f>
        <v/>
      </c>
      <c r="AK42" s="39" t="str">
        <f>IF(AND('Riesgos de Gestión'!$AF$44="Baja",'Riesgos de Gestión'!$AH$44="Catastrófico"),CONCATENATE("R7C",'Riesgos de Gestión'!$V$44),"")</f>
        <v/>
      </c>
      <c r="AL42" s="39" t="str">
        <f>IF(AND('Riesgos de Gestión'!$AF$45="Baja",'Riesgos de Gestión'!$AH$45="Catastrófico"),CONCATENATE("R7C",'Riesgos de Gestión'!$V$45),"")</f>
        <v/>
      </c>
      <c r="AM42" s="40" t="str">
        <f>IF(AND('Riesgos de Gestión'!$AF$46="Baja",'Riesgos de Gestión'!$AH$46="Catastrófico"),CONCATENATE("R7C",'Riesgos de Gestión'!$V$46),"")</f>
        <v/>
      </c>
      <c r="AN42" s="66"/>
      <c r="AO42" s="505"/>
      <c r="AP42" s="506"/>
      <c r="AQ42" s="506"/>
      <c r="AR42" s="506"/>
      <c r="AS42" s="506"/>
      <c r="AT42" s="50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33"/>
      <c r="C43" s="433"/>
      <c r="D43" s="434"/>
      <c r="E43" s="474"/>
      <c r="F43" s="475"/>
      <c r="G43" s="475"/>
      <c r="H43" s="475"/>
      <c r="I43" s="475"/>
      <c r="J43" s="59" t="str">
        <f>IF(AND('Riesgos de Gestión'!$AF$47="Baja",'Riesgos de Gestión'!$AH$47="Leve"),CONCATENATE("R8C",'Riesgos de Gestión'!$V$47),"")</f>
        <v/>
      </c>
      <c r="K43" s="60" t="str">
        <f>IF(AND('Riesgos de Gestión'!$AF$48="Baja",'Riesgos de Gestión'!$AH$48="Leve"),CONCATENATE("R8C",'Riesgos de Gestión'!$V$48),"")</f>
        <v/>
      </c>
      <c r="L43" s="60" t="str">
        <f>IF(AND('Riesgos de Gestión'!$AF$49="Baja",'Riesgos de Gestión'!$AH$49="Leve"),CONCATENATE("R8C",'Riesgos de Gestión'!$V$49),"")</f>
        <v/>
      </c>
      <c r="M43" s="60" t="str">
        <f>IF(AND('Riesgos de Gestión'!$AF$50="Baja",'Riesgos de Gestión'!$AH$50="Leve"),CONCATENATE("R8C",'Riesgos de Gestión'!$V$50),"")</f>
        <v/>
      </c>
      <c r="N43" s="60" t="str">
        <f>IF(AND('Riesgos de Gestión'!$AF$51="Baja",'Riesgos de Gestión'!$AH$51="Leve"),CONCATENATE("R8C",'Riesgos de Gestión'!$V$51),"")</f>
        <v/>
      </c>
      <c r="O43" s="61" t="str">
        <f>IF(AND('Riesgos de Gestión'!$AF$52="Baja",'Riesgos de Gestión'!$AH$52="Leve"),CONCATENATE("R8C",'Riesgos de Gestión'!$V$52),"")</f>
        <v/>
      </c>
      <c r="P43" s="50" t="str">
        <f>IF(AND('Riesgos de Gestión'!$AF$47="Baja",'Riesgos de Gestión'!$AH$47="Menor"),CONCATENATE("R8C",'Riesgos de Gestión'!$V$47),"")</f>
        <v/>
      </c>
      <c r="Q43" s="51" t="str">
        <f>IF(AND('Riesgos de Gestión'!$AF$48="Baja",'Riesgos de Gestión'!$AH$48="Menor"),CONCATENATE("R8C",'Riesgos de Gestión'!$V$48),"")</f>
        <v/>
      </c>
      <c r="R43" s="51" t="str">
        <f>IF(AND('Riesgos de Gestión'!$AF$49="Baja",'Riesgos de Gestión'!$AH$49="Menor"),CONCATENATE("R8C",'Riesgos de Gestión'!$V$49),"")</f>
        <v/>
      </c>
      <c r="S43" s="51" t="str">
        <f>IF(AND('Riesgos de Gestión'!$AF$50="Baja",'Riesgos de Gestión'!$AH$50="Menor"),CONCATENATE("R8C",'Riesgos de Gestión'!$V$50),"")</f>
        <v/>
      </c>
      <c r="T43" s="51" t="str">
        <f>IF(AND('Riesgos de Gestión'!$AF$51="Baja",'Riesgos de Gestión'!$AH$51="Menor"),CONCATENATE("R8C",'Riesgos de Gestión'!$V$51),"")</f>
        <v/>
      </c>
      <c r="U43" s="52" t="str">
        <f>IF(AND('Riesgos de Gestión'!$AF$52="Baja",'Riesgos de Gestión'!$AH$52="Menor"),CONCATENATE("R8C",'Riesgos de Gestión'!$V$52),"")</f>
        <v/>
      </c>
      <c r="V43" s="50" t="str">
        <f>IF(AND('Riesgos de Gestión'!$AF$47="Baja",'Riesgos de Gestión'!$AH$47="Moderado"),CONCATENATE("R8C",'Riesgos de Gestión'!$V$47),"")</f>
        <v/>
      </c>
      <c r="W43" s="51" t="str">
        <f>IF(AND('Riesgos de Gestión'!$AF$48="Baja",'Riesgos de Gestión'!$AH$48="Moderado"),CONCATENATE("R8C",'Riesgos de Gestión'!$V$48),"")</f>
        <v/>
      </c>
      <c r="X43" s="51" t="str">
        <f>IF(AND('Riesgos de Gestión'!$AF$49="Baja",'Riesgos de Gestión'!$AH$49="Moderado"),CONCATENATE("R8C",'Riesgos de Gestión'!$V$49),"")</f>
        <v/>
      </c>
      <c r="Y43" s="51" t="str">
        <f>IF(AND('Riesgos de Gestión'!$AF$50="Baja",'Riesgos de Gestión'!$AH$50="Moderado"),CONCATENATE("R8C",'Riesgos de Gestión'!$V$50),"")</f>
        <v/>
      </c>
      <c r="Z43" s="51" t="str">
        <f>IF(AND('Riesgos de Gestión'!$AF$51="Baja",'Riesgos de Gestión'!$AH$51="Moderado"),CONCATENATE("R8C",'Riesgos de Gestión'!$V$51),"")</f>
        <v/>
      </c>
      <c r="AA43" s="52" t="str">
        <f>IF(AND('Riesgos de Gestión'!$AF$52="Baja",'Riesgos de Gestión'!$AH$52="Moderado"),CONCATENATE("R8C",'Riesgos de Gestión'!$V$52),"")</f>
        <v/>
      </c>
      <c r="AB43" s="35" t="str">
        <f>IF(AND('Riesgos de Gestión'!$AF$47="Baja",'Riesgos de Gestión'!$AH$47="Mayor"),CONCATENATE("R8C",'Riesgos de Gestión'!$V$47),"")</f>
        <v/>
      </c>
      <c r="AC43" s="36" t="str">
        <f>IF(AND('Riesgos de Gestión'!$AF$48="Baja",'Riesgos de Gestión'!$AH$48="Mayor"),CONCATENATE("R8C",'Riesgos de Gestión'!$V$48),"")</f>
        <v/>
      </c>
      <c r="AD43" s="36" t="str">
        <f>IF(AND('Riesgos de Gestión'!$AF$49="Baja",'Riesgos de Gestión'!$AH$49="Mayor"),CONCATENATE("R8C",'Riesgos de Gestión'!$V$49),"")</f>
        <v/>
      </c>
      <c r="AE43" s="36" t="str">
        <f>IF(AND('Riesgos de Gestión'!$AF$50="Baja",'Riesgos de Gestión'!$AH$50="Mayor"),CONCATENATE("R8C",'Riesgos de Gestión'!$V$50),"")</f>
        <v/>
      </c>
      <c r="AF43" s="36" t="str">
        <f>IF(AND('Riesgos de Gestión'!$AF$51="Baja",'Riesgos de Gestión'!$AH$51="Mayor"),CONCATENATE("R8C",'Riesgos de Gestión'!$V$51),"")</f>
        <v/>
      </c>
      <c r="AG43" s="37" t="str">
        <f>IF(AND('Riesgos de Gestión'!$AF$52="Baja",'Riesgos de Gestión'!$AH$52="Mayor"),CONCATENATE("R8C",'Riesgos de Gestión'!$V$52),"")</f>
        <v/>
      </c>
      <c r="AH43" s="38" t="str">
        <f>IF(AND('Riesgos de Gestión'!$AF$47="Baja",'Riesgos de Gestión'!$AH$47="Catastrófico"),CONCATENATE("R8C",'Riesgos de Gestión'!$V$47),"")</f>
        <v/>
      </c>
      <c r="AI43" s="39" t="str">
        <f>IF(AND('Riesgos de Gestión'!$AF$48="Baja",'Riesgos de Gestión'!$AH$48="Catastrófico"),CONCATENATE("R8C",'Riesgos de Gestión'!$V$48),"")</f>
        <v/>
      </c>
      <c r="AJ43" s="39" t="str">
        <f>IF(AND('Riesgos de Gestión'!$AF$49="Baja",'Riesgos de Gestión'!$AH$49="Catastrófico"),CONCATENATE("R8C",'Riesgos de Gestión'!$V$49),"")</f>
        <v/>
      </c>
      <c r="AK43" s="39" t="str">
        <f>IF(AND('Riesgos de Gestión'!$AF$50="Baja",'Riesgos de Gestión'!$AH$50="Catastrófico"),CONCATENATE("R8C",'Riesgos de Gestión'!$V$50),"")</f>
        <v/>
      </c>
      <c r="AL43" s="39" t="str">
        <f>IF(AND('Riesgos de Gestión'!$AF$51="Baja",'Riesgos de Gestión'!$AH$51="Catastrófico"),CONCATENATE("R8C",'Riesgos de Gestión'!$V$51),"")</f>
        <v/>
      </c>
      <c r="AM43" s="40" t="str">
        <f>IF(AND('Riesgos de Gestión'!$AF$52="Baja",'Riesgos de Gestión'!$AH$52="Catastrófico"),CONCATENATE("R8C",'Riesgos de Gestión'!$V$52),"")</f>
        <v/>
      </c>
      <c r="AN43" s="66"/>
      <c r="AO43" s="505"/>
      <c r="AP43" s="506"/>
      <c r="AQ43" s="506"/>
      <c r="AR43" s="506"/>
      <c r="AS43" s="506"/>
      <c r="AT43" s="50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33"/>
      <c r="C44" s="433"/>
      <c r="D44" s="434"/>
      <c r="E44" s="474"/>
      <c r="F44" s="475"/>
      <c r="G44" s="475"/>
      <c r="H44" s="475"/>
      <c r="I44" s="475"/>
      <c r="J44" s="59" t="str">
        <f>IF(AND('Riesgos de Gestión'!$AF$53="Baja",'Riesgos de Gestión'!$AH$53="Leve"),CONCATENATE("R9C",'Riesgos de Gestión'!$V$53),"")</f>
        <v/>
      </c>
      <c r="K44" s="60" t="str">
        <f>IF(AND('Riesgos de Gestión'!$AF$54="Baja",'Riesgos de Gestión'!$AH$54="Leve"),CONCATENATE("R9C",'Riesgos de Gestión'!$V$54),"")</f>
        <v/>
      </c>
      <c r="L44" s="60" t="str">
        <f>IF(AND('Riesgos de Gestión'!$AF$55="Baja",'Riesgos de Gestión'!$AH$55="Leve"),CONCATENATE("R9C",'Riesgos de Gestión'!$V$55),"")</f>
        <v/>
      </c>
      <c r="M44" s="60" t="str">
        <f>IF(AND('Riesgos de Gestión'!$AF$56="Baja",'Riesgos de Gestión'!$AH$56="Leve"),CONCATENATE("R9C",'Riesgos de Gestión'!$V$56),"")</f>
        <v/>
      </c>
      <c r="N44" s="60" t="str">
        <f>IF(AND('Riesgos de Gestión'!$AF$57="Baja",'Riesgos de Gestión'!$AH$57="Leve"),CONCATENATE("R9C",'Riesgos de Gestión'!$V$57),"")</f>
        <v/>
      </c>
      <c r="O44" s="61" t="str">
        <f>IF(AND('Riesgos de Gestión'!$AF$58="Baja",'Riesgos de Gestión'!$AH$58="Leve"),CONCATENATE("R9C",'Riesgos de Gestión'!$V$58),"")</f>
        <v/>
      </c>
      <c r="P44" s="50" t="str">
        <f>IF(AND('Riesgos de Gestión'!$AF$53="Baja",'Riesgos de Gestión'!$AH$53="Menor"),CONCATENATE("R9C",'Riesgos de Gestión'!$V$53),"")</f>
        <v/>
      </c>
      <c r="Q44" s="51" t="str">
        <f>IF(AND('Riesgos de Gestión'!$AF$54="Baja",'Riesgos de Gestión'!$AH$54="Menor"),CONCATENATE("R9C",'Riesgos de Gestión'!$V$54),"")</f>
        <v/>
      </c>
      <c r="R44" s="51" t="str">
        <f>IF(AND('Riesgos de Gestión'!$AF$55="Baja",'Riesgos de Gestión'!$AH$55="Menor"),CONCATENATE("R9C",'Riesgos de Gestión'!$V$55),"")</f>
        <v/>
      </c>
      <c r="S44" s="51" t="str">
        <f>IF(AND('Riesgos de Gestión'!$AF$56="Baja",'Riesgos de Gestión'!$AH$56="Menor"),CONCATENATE("R9C",'Riesgos de Gestión'!$V$56),"")</f>
        <v/>
      </c>
      <c r="T44" s="51" t="str">
        <f>IF(AND('Riesgos de Gestión'!$AF$57="Baja",'Riesgos de Gestión'!$AH$57="Menor"),CONCATENATE("R9C",'Riesgos de Gestión'!$V$57),"")</f>
        <v/>
      </c>
      <c r="U44" s="52" t="str">
        <f>IF(AND('Riesgos de Gestión'!$AF$58="Baja",'Riesgos de Gestión'!$AH$58="Menor"),CONCATENATE("R9C",'Riesgos de Gestión'!$V$58),"")</f>
        <v/>
      </c>
      <c r="V44" s="50" t="str">
        <f>IF(AND('Riesgos de Gestión'!$AF$53="Baja",'Riesgos de Gestión'!$AH$53="Moderado"),CONCATENATE("R9C",'Riesgos de Gestión'!$V$53),"")</f>
        <v/>
      </c>
      <c r="W44" s="51" t="str">
        <f>IF(AND('Riesgos de Gestión'!$AF$54="Baja",'Riesgos de Gestión'!$AH$54="Moderado"),CONCATENATE("R9C",'Riesgos de Gestión'!$V$54),"")</f>
        <v/>
      </c>
      <c r="X44" s="51" t="str">
        <f>IF(AND('Riesgos de Gestión'!$AF$55="Baja",'Riesgos de Gestión'!$AH$55="Moderado"),CONCATENATE("R9C",'Riesgos de Gestión'!$V$55),"")</f>
        <v/>
      </c>
      <c r="Y44" s="51" t="str">
        <f>IF(AND('Riesgos de Gestión'!$AF$56="Baja",'Riesgos de Gestión'!$AH$56="Moderado"),CONCATENATE("R9C",'Riesgos de Gestión'!$V$56),"")</f>
        <v/>
      </c>
      <c r="Z44" s="51" t="str">
        <f>IF(AND('Riesgos de Gestión'!$AF$57="Baja",'Riesgos de Gestión'!$AH$57="Moderado"),CONCATENATE("R9C",'Riesgos de Gestión'!$V$57),"")</f>
        <v/>
      </c>
      <c r="AA44" s="52" t="str">
        <f>IF(AND('Riesgos de Gestión'!$AF$58="Baja",'Riesgos de Gestión'!$AH$58="Moderado"),CONCATENATE("R9C",'Riesgos de Gestión'!$V$58),"")</f>
        <v/>
      </c>
      <c r="AB44" s="35" t="str">
        <f>IF(AND('Riesgos de Gestión'!$AF$53="Baja",'Riesgos de Gestión'!$AH$53="Mayor"),CONCATENATE("R9C",'Riesgos de Gestión'!$V$53),"")</f>
        <v/>
      </c>
      <c r="AC44" s="36" t="str">
        <f>IF(AND('Riesgos de Gestión'!$AF$54="Baja",'Riesgos de Gestión'!$AH$54="Mayor"),CONCATENATE("R9C",'Riesgos de Gestión'!$V$54),"")</f>
        <v/>
      </c>
      <c r="AD44" s="36" t="str">
        <f>IF(AND('Riesgos de Gestión'!$AF$55="Baja",'Riesgos de Gestión'!$AH$55="Mayor"),CONCATENATE("R9C",'Riesgos de Gestión'!$V$55),"")</f>
        <v/>
      </c>
      <c r="AE44" s="36" t="str">
        <f>IF(AND('Riesgos de Gestión'!$AF$56="Baja",'Riesgos de Gestión'!$AH$56="Mayor"),CONCATENATE("R9C",'Riesgos de Gestión'!$V$56),"")</f>
        <v/>
      </c>
      <c r="AF44" s="36" t="str">
        <f>IF(AND('Riesgos de Gestión'!$AF$57="Baja",'Riesgos de Gestión'!$AH$57="Mayor"),CONCATENATE("R9C",'Riesgos de Gestión'!$V$57),"")</f>
        <v/>
      </c>
      <c r="AG44" s="37" t="str">
        <f>IF(AND('Riesgos de Gestión'!$AF$58="Baja",'Riesgos de Gestión'!$AH$58="Mayor"),CONCATENATE("R9C",'Riesgos de Gestión'!$V$58),"")</f>
        <v/>
      </c>
      <c r="AH44" s="38" t="str">
        <f>IF(AND('Riesgos de Gestión'!$AF$53="Baja",'Riesgos de Gestión'!$AH$53="Catastrófico"),CONCATENATE("R9C",'Riesgos de Gestión'!$V$53),"")</f>
        <v/>
      </c>
      <c r="AI44" s="39" t="str">
        <f>IF(AND('Riesgos de Gestión'!$AF$54="Baja",'Riesgos de Gestión'!$AH$54="Catastrófico"),CONCATENATE("R9C",'Riesgos de Gestión'!$V$54),"")</f>
        <v/>
      </c>
      <c r="AJ44" s="39" t="str">
        <f>IF(AND('Riesgos de Gestión'!$AF$55="Baja",'Riesgos de Gestión'!$AH$55="Catastrófico"),CONCATENATE("R9C",'Riesgos de Gestión'!$V$55),"")</f>
        <v/>
      </c>
      <c r="AK44" s="39" t="str">
        <f>IF(AND('Riesgos de Gestión'!$AF$56="Baja",'Riesgos de Gestión'!$AH$56="Catastrófico"),CONCATENATE("R9C",'Riesgos de Gestión'!$V$56),"")</f>
        <v/>
      </c>
      <c r="AL44" s="39" t="str">
        <f>IF(AND('Riesgos de Gestión'!$AF$57="Baja",'Riesgos de Gestión'!$AH$57="Catastrófico"),CONCATENATE("R9C",'Riesgos de Gestión'!$V$57),"")</f>
        <v/>
      </c>
      <c r="AM44" s="40" t="str">
        <f>IF(AND('Riesgos de Gestión'!$AF$58="Baja",'Riesgos de Gestión'!$AH$58="Catastrófico"),CONCATENATE("R9C",'Riesgos de Gestión'!$V$58),"")</f>
        <v/>
      </c>
      <c r="AN44" s="66"/>
      <c r="AO44" s="505"/>
      <c r="AP44" s="506"/>
      <c r="AQ44" s="506"/>
      <c r="AR44" s="506"/>
      <c r="AS44" s="506"/>
      <c r="AT44" s="50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33"/>
      <c r="C45" s="433"/>
      <c r="D45" s="434"/>
      <c r="E45" s="477"/>
      <c r="F45" s="478"/>
      <c r="G45" s="478"/>
      <c r="H45" s="478"/>
      <c r="I45" s="478"/>
      <c r="J45" s="62" t="str">
        <f>IF(AND('Riesgos de Gestión'!$AF$59="Baja",'Riesgos de Gestión'!$AH$59="Leve"),CONCATENATE("R10C",'Riesgos de Gestión'!$V$59),"")</f>
        <v/>
      </c>
      <c r="K45" s="63" t="str">
        <f>IF(AND('Riesgos de Gestión'!$AF$60="Baja",'Riesgos de Gestión'!$AH$60="Leve"),CONCATENATE("R10C",'Riesgos de Gestión'!$V$60),"")</f>
        <v/>
      </c>
      <c r="L45" s="63" t="str">
        <f>IF(AND('Riesgos de Gestión'!$AF$61="Baja",'Riesgos de Gestión'!$AH$61="Leve"),CONCATENATE("R10C",'Riesgos de Gestión'!$V$61),"")</f>
        <v/>
      </c>
      <c r="M45" s="63" t="str">
        <f>IF(AND('Riesgos de Gestión'!$AF$62="Baja",'Riesgos de Gestión'!$AH$62="Leve"),CONCATENATE("R10C",'Riesgos de Gestión'!$V$62),"")</f>
        <v/>
      </c>
      <c r="N45" s="63" t="str">
        <f>IF(AND('Riesgos de Gestión'!$AF$63="Baja",'Riesgos de Gestión'!$AH$63="Leve"),CONCATENATE("R10C",'Riesgos de Gestión'!$V$63),"")</f>
        <v/>
      </c>
      <c r="O45" s="64" t="str">
        <f>IF(AND('Riesgos de Gestión'!$AF$64="Baja",'Riesgos de Gestión'!$AH$64="Leve"),CONCATENATE("R10C",'Riesgos de Gestión'!$V$64),"")</f>
        <v/>
      </c>
      <c r="P45" s="50" t="str">
        <f>IF(AND('Riesgos de Gestión'!$AF$59="Baja",'Riesgos de Gestión'!$AH$59="Menor"),CONCATENATE("R10C",'Riesgos de Gestión'!$V$59),"")</f>
        <v/>
      </c>
      <c r="Q45" s="51" t="str">
        <f>IF(AND('Riesgos de Gestión'!$AF$60="Baja",'Riesgos de Gestión'!$AH$60="Menor"),CONCATENATE("R10C",'Riesgos de Gestión'!$V$60),"")</f>
        <v/>
      </c>
      <c r="R45" s="51" t="str">
        <f>IF(AND('Riesgos de Gestión'!$AF$61="Baja",'Riesgos de Gestión'!$AH$61="Menor"),CONCATENATE("R10C",'Riesgos de Gestión'!$V$61),"")</f>
        <v/>
      </c>
      <c r="S45" s="51" t="str">
        <f>IF(AND('Riesgos de Gestión'!$AF$62="Baja",'Riesgos de Gestión'!$AH$62="Menor"),CONCATENATE("R10C",'Riesgos de Gestión'!$V$62),"")</f>
        <v/>
      </c>
      <c r="T45" s="51" t="str">
        <f>IF(AND('Riesgos de Gestión'!$AF$63="Baja",'Riesgos de Gestión'!$AH$63="Menor"),CONCATENATE("R10C",'Riesgos de Gestión'!$V$63),"")</f>
        <v/>
      </c>
      <c r="U45" s="52" t="str">
        <f>IF(AND('Riesgos de Gestión'!$AF$64="Baja",'Riesgos de Gestión'!$AH$64="Menor"),CONCATENATE("R10C",'Riesgos de Gestión'!$V$64),"")</f>
        <v/>
      </c>
      <c r="V45" s="53" t="str">
        <f>IF(AND('Riesgos de Gestión'!$AF$59="Baja",'Riesgos de Gestión'!$AH$59="Moderado"),CONCATENATE("R10C",'Riesgos de Gestión'!$V$59),"")</f>
        <v/>
      </c>
      <c r="W45" s="54" t="str">
        <f>IF(AND('Riesgos de Gestión'!$AF$60="Baja",'Riesgos de Gestión'!$AH$60="Moderado"),CONCATENATE("R10C",'Riesgos de Gestión'!$V$60),"")</f>
        <v/>
      </c>
      <c r="X45" s="54" t="str">
        <f>IF(AND('Riesgos de Gestión'!$AF$61="Baja",'Riesgos de Gestión'!$AH$61="Moderado"),CONCATENATE("R10C",'Riesgos de Gestión'!$V$61),"")</f>
        <v/>
      </c>
      <c r="Y45" s="54" t="str">
        <f>IF(AND('Riesgos de Gestión'!$AF$62="Baja",'Riesgos de Gestión'!$AH$62="Moderado"),CONCATENATE("R10C",'Riesgos de Gestión'!$V$62),"")</f>
        <v/>
      </c>
      <c r="Z45" s="54" t="str">
        <f>IF(AND('Riesgos de Gestión'!$AF$63="Baja",'Riesgos de Gestión'!$AH$63="Moderado"),CONCATENATE("R10C",'Riesgos de Gestión'!$V$63),"")</f>
        <v/>
      </c>
      <c r="AA45" s="55" t="str">
        <f>IF(AND('Riesgos de Gestión'!$AF$64="Baja",'Riesgos de Gestión'!$AH$64="Moderado"),CONCATENATE("R10C",'Riesgos de Gestión'!$V$64),"")</f>
        <v/>
      </c>
      <c r="AB45" s="41" t="str">
        <f>IF(AND('Riesgos de Gestión'!$AF$59="Baja",'Riesgos de Gestión'!$AH$59="Mayor"),CONCATENATE("R10C",'Riesgos de Gestión'!$V$59),"")</f>
        <v/>
      </c>
      <c r="AC45" s="42" t="str">
        <f>IF(AND('Riesgos de Gestión'!$AF$60="Baja",'Riesgos de Gestión'!$AH$60="Mayor"),CONCATENATE("R10C",'Riesgos de Gestión'!$V$60),"")</f>
        <v/>
      </c>
      <c r="AD45" s="42" t="str">
        <f>IF(AND('Riesgos de Gestión'!$AF$61="Baja",'Riesgos de Gestión'!$AH$61="Mayor"),CONCATENATE("R10C",'Riesgos de Gestión'!$V$61),"")</f>
        <v/>
      </c>
      <c r="AE45" s="42" t="str">
        <f>IF(AND('Riesgos de Gestión'!$AF$62="Baja",'Riesgos de Gestión'!$AH$62="Mayor"),CONCATENATE("R10C",'Riesgos de Gestión'!$V$62),"")</f>
        <v/>
      </c>
      <c r="AF45" s="42" t="str">
        <f>IF(AND('Riesgos de Gestión'!$AF$63="Baja",'Riesgos de Gestión'!$AH$63="Mayor"),CONCATENATE("R10C",'Riesgos de Gestión'!$V$63),"")</f>
        <v/>
      </c>
      <c r="AG45" s="43" t="str">
        <f>IF(AND('Riesgos de Gestión'!$AF$64="Baja",'Riesgos de Gestión'!$AH$64="Mayor"),CONCATENATE("R10C",'Riesgos de Gestión'!$V$64),"")</f>
        <v/>
      </c>
      <c r="AH45" s="44" t="str">
        <f>IF(AND('Riesgos de Gestión'!$AF$59="Baja",'Riesgos de Gestión'!$AH$59="Catastrófico"),CONCATENATE("R10C",'Riesgos de Gestión'!$V$59),"")</f>
        <v/>
      </c>
      <c r="AI45" s="45" t="str">
        <f>IF(AND('Riesgos de Gestión'!$AF$60="Baja",'Riesgos de Gestión'!$AH$60="Catastrófico"),CONCATENATE("R10C",'Riesgos de Gestión'!$V$60),"")</f>
        <v/>
      </c>
      <c r="AJ45" s="45" t="str">
        <f>IF(AND('Riesgos de Gestión'!$AF$61="Baja",'Riesgos de Gestión'!$AH$61="Catastrófico"),CONCATENATE("R10C",'Riesgos de Gestión'!$V$61),"")</f>
        <v/>
      </c>
      <c r="AK45" s="45" t="str">
        <f>IF(AND('Riesgos de Gestión'!$AF$62="Baja",'Riesgos de Gestión'!$AH$62="Catastrófico"),CONCATENATE("R10C",'Riesgos de Gestión'!$V$62),"")</f>
        <v/>
      </c>
      <c r="AL45" s="45" t="str">
        <f>IF(AND('Riesgos de Gestión'!$AF$63="Baja",'Riesgos de Gestión'!$AH$63="Catastrófico"),CONCATENATE("R10C",'Riesgos de Gestión'!$V$63),"")</f>
        <v/>
      </c>
      <c r="AM45" s="46" t="str">
        <f>IF(AND('Riesgos de Gestión'!$AF$64="Baja",'Riesgos de Gestión'!$AH$64="Catastrófico"),CONCATENATE("R10C",'Riesgos de Gestión'!$V$64),"")</f>
        <v/>
      </c>
      <c r="AN45" s="66"/>
      <c r="AO45" s="508"/>
      <c r="AP45" s="509"/>
      <c r="AQ45" s="509"/>
      <c r="AR45" s="509"/>
      <c r="AS45" s="509"/>
      <c r="AT45" s="510"/>
    </row>
    <row r="46" spans="1:80" ht="46.5" customHeight="1" x14ac:dyDescent="0.35">
      <c r="A46" s="66"/>
      <c r="B46" s="433"/>
      <c r="C46" s="433"/>
      <c r="D46" s="434"/>
      <c r="E46" s="471" t="s">
        <v>273</v>
      </c>
      <c r="F46" s="472"/>
      <c r="G46" s="472"/>
      <c r="H46" s="472"/>
      <c r="I46" s="473"/>
      <c r="J46" s="56" t="str">
        <f>IF(AND('Riesgos de Gestión'!$AF$13="Muy Baja",'Riesgos de Gestión'!$AH$13="Leve"),CONCATENATE("R1C",'Riesgos de Gestión'!$V$13),"")</f>
        <v/>
      </c>
      <c r="K46" s="57" t="str">
        <f>IF(AND('Riesgos de Gestión'!$AF$14="Muy Baja",'Riesgos de Gestión'!$AH$14="Leve"),CONCATENATE("R1C",'Riesgos de Gestión'!$V$14),"")</f>
        <v/>
      </c>
      <c r="L46" s="57" t="e">
        <f>IF(AND('Riesgos de Gestión'!#REF!="Muy Baja",'Riesgos de Gestión'!#REF!="Leve"),CONCATENATE("R1C",'Riesgos de Gestión'!#REF!),"")</f>
        <v>#REF!</v>
      </c>
      <c r="M46" s="57" t="e">
        <f>IF(AND('Riesgos de Gestión'!#REF!="Muy Baja",'Riesgos de Gestión'!#REF!="Leve"),CONCATENATE("R1C",'Riesgos de Gestión'!#REF!),"")</f>
        <v>#REF!</v>
      </c>
      <c r="N46" s="57" t="e">
        <f>IF(AND('Riesgos de Gestión'!#REF!="Muy Baja",'Riesgos de Gestión'!#REF!="Leve"),CONCATENATE("R1C",'Riesgos de Gestión'!#REF!),"")</f>
        <v>#REF!</v>
      </c>
      <c r="O46" s="58" t="e">
        <f>IF(AND('Riesgos de Gestión'!#REF!="Muy Baja",'Riesgos de Gestión'!#REF!="Leve"),CONCATENATE("R1C",'Riesgos de Gestión'!#REF!),"")</f>
        <v>#REF!</v>
      </c>
      <c r="P46" s="56" t="str">
        <f>IF(AND('Riesgos de Gestión'!$AF$13="Muy Baja",'Riesgos de Gestión'!$AH$13="Menor"),CONCATENATE("R1C",'Riesgos de Gestión'!$V$13),"")</f>
        <v/>
      </c>
      <c r="Q46" s="57" t="str">
        <f>IF(AND('Riesgos de Gestión'!$AF$14="Muy Baja",'Riesgos de Gestión'!$AH$14="Menor"),CONCATENATE("R1C",'Riesgos de Gestión'!$V$14),"")</f>
        <v/>
      </c>
      <c r="R46" s="57" t="e">
        <f>IF(AND('Riesgos de Gestión'!#REF!="Muy Baja",'Riesgos de Gestión'!#REF!="Menor"),CONCATENATE("R1C",'Riesgos de Gestión'!#REF!),"")</f>
        <v>#REF!</v>
      </c>
      <c r="S46" s="57" t="e">
        <f>IF(AND('Riesgos de Gestión'!#REF!="Muy Baja",'Riesgos de Gestión'!#REF!="Menor"),CONCATENATE("R1C",'Riesgos de Gestión'!#REF!),"")</f>
        <v>#REF!</v>
      </c>
      <c r="T46" s="57" t="e">
        <f>IF(AND('Riesgos de Gestión'!#REF!="Muy Baja",'Riesgos de Gestión'!#REF!="Menor"),CONCATENATE("R1C",'Riesgos de Gestión'!#REF!),"")</f>
        <v>#REF!</v>
      </c>
      <c r="U46" s="58" t="e">
        <f>IF(AND('Riesgos de Gestión'!#REF!="Muy Baja",'Riesgos de Gestión'!#REF!="Menor"),CONCATENATE("R1C",'Riesgos de Gestión'!#REF!),"")</f>
        <v>#REF!</v>
      </c>
      <c r="V46" s="47" t="str">
        <f>IF(AND('Riesgos de Gestión'!$AF$13="Muy Baja",'Riesgos de Gestión'!$AH$13="Moderado"),CONCATENATE("R1C",'Riesgos de Gestión'!$V$13),"")</f>
        <v/>
      </c>
      <c r="W46" s="65" t="str">
        <f>IF(AND('Riesgos de Gestión'!$AF$14="Muy Baja",'Riesgos de Gestión'!$AH$14="Moderado"),CONCATENATE("R1C",'Riesgos de Gestión'!$V$14),"")</f>
        <v/>
      </c>
      <c r="X46" s="48" t="e">
        <f>IF(AND('Riesgos de Gestión'!#REF!="Muy Baja",'Riesgos de Gestión'!#REF!="Moderado"),CONCATENATE("R1C",'Riesgos de Gestión'!#REF!),"")</f>
        <v>#REF!</v>
      </c>
      <c r="Y46" s="48" t="e">
        <f>IF(AND('Riesgos de Gestión'!#REF!="Muy Baja",'Riesgos de Gestión'!#REF!="Moderado"),CONCATENATE("R1C",'Riesgos de Gestión'!#REF!),"")</f>
        <v>#REF!</v>
      </c>
      <c r="Z46" s="48" t="e">
        <f>IF(AND('Riesgos de Gestión'!#REF!="Muy Baja",'Riesgos de Gestión'!#REF!="Moderado"),CONCATENATE("R1C",'Riesgos de Gestión'!#REF!),"")</f>
        <v>#REF!</v>
      </c>
      <c r="AA46" s="49" t="e">
        <f>IF(AND('Riesgos de Gestión'!#REF!="Muy Baja",'Riesgos de Gestión'!#REF!="Moderado"),CONCATENATE("R1C",'Riesgos de Gestión'!#REF!),"")</f>
        <v>#REF!</v>
      </c>
      <c r="AB46" s="29" t="str">
        <f>IF(AND('Riesgos de Gestión'!$AF$13="Muy Baja",'Riesgos de Gestión'!$AH$13="Mayor"),CONCATENATE("R1C",'Riesgos de Gestión'!$V$13),"")</f>
        <v/>
      </c>
      <c r="AC46" s="30" t="str">
        <f>IF(AND('Riesgos de Gestión'!$AF$14="Muy Baja",'Riesgos de Gestión'!$AH$14="Mayor"),CONCATENATE("R1C",'Riesgos de Gestión'!$V$14),"")</f>
        <v/>
      </c>
      <c r="AD46" s="30" t="e">
        <f>IF(AND('Riesgos de Gestión'!#REF!="Muy Baja",'Riesgos de Gestión'!#REF!="Mayor"),CONCATENATE("R1C",'Riesgos de Gestión'!#REF!),"")</f>
        <v>#REF!</v>
      </c>
      <c r="AE46" s="30" t="e">
        <f>IF(AND('Riesgos de Gestión'!#REF!="Muy Baja",'Riesgos de Gestión'!#REF!="Mayor"),CONCATENATE("R1C",'Riesgos de Gestión'!#REF!),"")</f>
        <v>#REF!</v>
      </c>
      <c r="AF46" s="30" t="e">
        <f>IF(AND('Riesgos de Gestión'!#REF!="Muy Baja",'Riesgos de Gestión'!#REF!="Mayor"),CONCATENATE("R1C",'Riesgos de Gestión'!#REF!),"")</f>
        <v>#REF!</v>
      </c>
      <c r="AG46" s="31" t="e">
        <f>IF(AND('Riesgos de Gestión'!#REF!="Muy Baja",'Riesgos de Gestión'!#REF!="Mayor"),CONCATENATE("R1C",'Riesgos de Gestión'!#REF!),"")</f>
        <v>#REF!</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e">
        <f>IF(AND('Riesgos de Gestión'!#REF!="Muy Baja",'Riesgos de Gestión'!#REF!="Catastrófico"),CONCATENATE("R1C",'Riesgos de Gestión'!#REF!),"")</f>
        <v>#REF!</v>
      </c>
      <c r="AK46" s="33" t="e">
        <f>IF(AND('Riesgos de Gestión'!#REF!="Muy Baja",'Riesgos de Gestión'!#REF!="Catastrófico"),CONCATENATE("R1C",'Riesgos de Gestión'!#REF!),"")</f>
        <v>#REF!</v>
      </c>
      <c r="AL46" s="33" t="e">
        <f>IF(AND('Riesgos de Gestión'!#REF!="Muy Baja",'Riesgos de Gestión'!#REF!="Catastrófico"),CONCATENATE("R1C",'Riesgos de Gestión'!#REF!),"")</f>
        <v>#REF!</v>
      </c>
      <c r="AM46" s="34" t="e">
        <f>IF(AND('Riesgos de Gestión'!#REF!="Muy Baja",'Riesgos de Gestión'!#REF!="Catastrófico"),CONCATENATE("R1C",'Riesgos de Gestión'!#REF!),"")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33"/>
      <c r="C47" s="433"/>
      <c r="D47" s="434"/>
      <c r="E47" s="490"/>
      <c r="F47" s="475"/>
      <c r="G47" s="475"/>
      <c r="H47" s="475"/>
      <c r="I47" s="476"/>
      <c r="J47" s="59" t="str">
        <f>IF(AND('Riesgos de Gestión'!$AF$15="Muy Baja",'Riesgos de Gestión'!$AH$15="Leve"),CONCATENATE("R2C",'Riesgos de Gestión'!$V$15),"")</f>
        <v/>
      </c>
      <c r="K47" s="60" t="str">
        <f>IF(AND('Riesgos de Gestión'!$AF$16="Muy Baja",'Riesgos de Gestión'!$AH$16="Leve"),CONCATENATE("R2C",'Riesgos de Gestión'!$V$16),"")</f>
        <v>R2C2</v>
      </c>
      <c r="L47" s="60" t="e">
        <f>IF(AND('Riesgos de Gestión'!#REF!="Muy Baja",'Riesgos de Gestión'!#REF!="Leve"),CONCATENATE("R2C",'Riesgos de Gestión'!#REF!),"")</f>
        <v>#REF!</v>
      </c>
      <c r="M47" s="60" t="e">
        <f>IF(AND('Riesgos de Gestión'!#REF!="Muy Baja",'Riesgos de Gestión'!#REF!="Leve"),CONCATENATE("R2C",'Riesgos de Gestión'!#REF!),"")</f>
        <v>#REF!</v>
      </c>
      <c r="N47" s="60" t="e">
        <f>IF(AND('Riesgos de Gestión'!#REF!="Muy Baja",'Riesgos de Gestión'!#REF!="Leve"),CONCATENATE("R2C",'Riesgos de Gestión'!#REF!),"")</f>
        <v>#REF!</v>
      </c>
      <c r="O47" s="61" t="e">
        <f>IF(AND('Riesgos de Gestión'!#REF!="Muy Baja",'Riesgos de Gestión'!#REF!="Leve"),CONCATENATE("R2C",'Riesgos de Gestión'!#REF!),"")</f>
        <v>#REF!</v>
      </c>
      <c r="P47" s="59" t="str">
        <f>IF(AND('Riesgos de Gestión'!$AF$15="Muy Baja",'Riesgos de Gestión'!$AH$15="Menor"),CONCATENATE("R2C",'Riesgos de Gestión'!$V$15),"")</f>
        <v/>
      </c>
      <c r="Q47" s="60" t="str">
        <f>IF(AND('Riesgos de Gestión'!$AF$16="Muy Baja",'Riesgos de Gestión'!$AH$16="Menor"),CONCATENATE("R2C",'Riesgos de Gestión'!$V$16),"")</f>
        <v/>
      </c>
      <c r="R47" s="60" t="e">
        <f>IF(AND('Riesgos de Gestión'!#REF!="Muy Baja",'Riesgos de Gestión'!#REF!="Menor"),CONCATENATE("R2C",'Riesgos de Gestión'!#REF!),"")</f>
        <v>#REF!</v>
      </c>
      <c r="S47" s="60" t="e">
        <f>IF(AND('Riesgos de Gestión'!#REF!="Muy Baja",'Riesgos de Gestión'!#REF!="Menor"),CONCATENATE("R2C",'Riesgos de Gestión'!#REF!),"")</f>
        <v>#REF!</v>
      </c>
      <c r="T47" s="60" t="e">
        <f>IF(AND('Riesgos de Gestión'!#REF!="Muy Baja",'Riesgos de Gestión'!#REF!="Menor"),CONCATENATE("R2C",'Riesgos de Gestión'!#REF!),"")</f>
        <v>#REF!</v>
      </c>
      <c r="U47" s="61" t="e">
        <f>IF(AND('Riesgos de Gestión'!#REF!="Muy Baja",'Riesgos de Gestión'!#REF!="Menor"),CONCATENATE("R2C",'Riesgos de Gestión'!#REF!),"")</f>
        <v>#REF!</v>
      </c>
      <c r="V47" s="50" t="str">
        <f>IF(AND('Riesgos de Gestión'!$AF$15="Muy Baja",'Riesgos de Gestión'!$AH$15="Moderado"),CONCATENATE("R2C",'Riesgos de Gestión'!$V$15),"")</f>
        <v/>
      </c>
      <c r="W47" s="51" t="str">
        <f>IF(AND('Riesgos de Gestión'!$AF$16="Muy Baja",'Riesgos de Gestión'!$AH$16="Moderado"),CONCATENATE("R2C",'Riesgos de Gestión'!$V$16),"")</f>
        <v/>
      </c>
      <c r="X47" s="51" t="e">
        <f>IF(AND('Riesgos de Gestión'!#REF!="Muy Baja",'Riesgos de Gestión'!#REF!="Moderado"),CONCATENATE("R2C",'Riesgos de Gestión'!#REF!),"")</f>
        <v>#REF!</v>
      </c>
      <c r="Y47" s="51" t="e">
        <f>IF(AND('Riesgos de Gestión'!#REF!="Muy Baja",'Riesgos de Gestión'!#REF!="Moderado"),CONCATENATE("R2C",'Riesgos de Gestión'!#REF!),"")</f>
        <v>#REF!</v>
      </c>
      <c r="Z47" s="51" t="e">
        <f>IF(AND('Riesgos de Gestión'!#REF!="Muy Baja",'Riesgos de Gestión'!#REF!="Moderado"),CONCATENATE("R2C",'Riesgos de Gestión'!#REF!),"")</f>
        <v>#REF!</v>
      </c>
      <c r="AA47" s="52" t="e">
        <f>IF(AND('Riesgos de Gestión'!#REF!="Muy Baja",'Riesgos de Gestión'!#REF!="Moderado"),CONCATENATE("R2C",'Riesgos de Gestión'!#REF!),"")</f>
        <v>#REF!</v>
      </c>
      <c r="AB47" s="35" t="str">
        <f>IF(AND('Riesgos de Gestión'!$AF$15="Muy Baja",'Riesgos de Gestión'!$AH$15="Mayor"),CONCATENATE("R2C",'Riesgos de Gestión'!$V$15),"")</f>
        <v/>
      </c>
      <c r="AC47" s="36" t="str">
        <f>IF(AND('Riesgos de Gestión'!$AF$16="Muy Baja",'Riesgos de Gestión'!$AH$16="Mayor"),CONCATENATE("R2C",'Riesgos de Gestión'!$V$16),"")</f>
        <v/>
      </c>
      <c r="AD47" s="36" t="e">
        <f>IF(AND('Riesgos de Gestión'!#REF!="Muy Baja",'Riesgos de Gestión'!#REF!="Mayor"),CONCATENATE("R2C",'Riesgos de Gestión'!#REF!),"")</f>
        <v>#REF!</v>
      </c>
      <c r="AE47" s="36" t="e">
        <f>IF(AND('Riesgos de Gestión'!#REF!="Muy Baja",'Riesgos de Gestión'!#REF!="Mayor"),CONCATENATE("R2C",'Riesgos de Gestión'!#REF!),"")</f>
        <v>#REF!</v>
      </c>
      <c r="AF47" s="36" t="e">
        <f>IF(AND('Riesgos de Gestión'!#REF!="Muy Baja",'Riesgos de Gestión'!#REF!="Mayor"),CONCATENATE("R2C",'Riesgos de Gestión'!#REF!),"")</f>
        <v>#REF!</v>
      </c>
      <c r="AG47" s="37" t="e">
        <f>IF(AND('Riesgos de Gestión'!#REF!="Muy Baja",'Riesgos de Gestión'!#REF!="Mayor"),CONCATENATE("R2C",'Riesgos de Gestión'!#REF!),"")</f>
        <v>#REF!</v>
      </c>
      <c r="AH47" s="38" t="str">
        <f>IF(AND('Riesgos de Gestión'!$AF$15="Muy Baja",'Riesgos de Gestión'!$AH$15="Catastrófico"),CONCATENATE("R2C",'Riesgos de Gestión'!$V$15),"")</f>
        <v/>
      </c>
      <c r="AI47" s="39" t="str">
        <f>IF(AND('Riesgos de Gestión'!$AF$16="Muy Baja",'Riesgos de Gestión'!$AH$16="Catastrófico"),CONCATENATE("R2C",'Riesgos de Gestión'!$V$16),"")</f>
        <v/>
      </c>
      <c r="AJ47" s="39" t="e">
        <f>IF(AND('Riesgos de Gestión'!#REF!="Muy Baja",'Riesgos de Gestión'!#REF!="Catastrófico"),CONCATENATE("R2C",'Riesgos de Gestión'!#REF!),"")</f>
        <v>#REF!</v>
      </c>
      <c r="AK47" s="39" t="e">
        <f>IF(AND('Riesgos de Gestión'!#REF!="Muy Baja",'Riesgos de Gestión'!#REF!="Catastrófico"),CONCATENATE("R2C",'Riesgos de Gestión'!#REF!),"")</f>
        <v>#REF!</v>
      </c>
      <c r="AL47" s="39" t="e">
        <f>IF(AND('Riesgos de Gestión'!#REF!="Muy Baja",'Riesgos de Gestión'!#REF!="Catastrófico"),CONCATENATE("R2C",'Riesgos de Gestión'!#REF!),"")</f>
        <v>#REF!</v>
      </c>
      <c r="AM47" s="40" t="e">
        <f>IF(AND('Riesgos de Gestión'!#REF!="Muy Baja",'Riesgos de Gestión'!#REF!="Catastrófico"),CONCATENATE("R2C",'Riesgos de Gestión'!#REF!),"")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33"/>
      <c r="C48" s="433"/>
      <c r="D48" s="434"/>
      <c r="E48" s="490"/>
      <c r="F48" s="475"/>
      <c r="G48" s="475"/>
      <c r="H48" s="475"/>
      <c r="I48" s="476"/>
      <c r="J48" s="59" t="str">
        <f>IF(AND('Riesgos de Gestión'!$AF$17="Muy Baja",'Riesgos de Gestión'!$AH$17="Leve"),CONCATENATE("R3C",'Riesgos de Gestión'!$V$17),"")</f>
        <v/>
      </c>
      <c r="K48" s="60" t="str">
        <f>IF(AND('Riesgos de Gestión'!$AF$18="Muy Baja",'Riesgos de Gestión'!$AH$18="Leve"),CONCATENATE("R3C",'Riesgos de Gestión'!$V$18),"")</f>
        <v/>
      </c>
      <c r="L48" s="60" t="str">
        <f>IF(AND('Riesgos de Gestión'!$AF$19="Muy Baja",'Riesgos de Gestión'!$AH$19="Leve"),CONCATENATE("R3C",'Riesgos de Gestión'!$V$19),"")</f>
        <v/>
      </c>
      <c r="M48" s="60" t="str">
        <f>IF(AND('Riesgos de Gestión'!$AF$20="Muy Baja",'Riesgos de Gestión'!$AH$20="Leve"),CONCATENATE("R3C",'Riesgos de Gestión'!$V$20),"")</f>
        <v/>
      </c>
      <c r="N48" s="60" t="str">
        <f>IF(AND('Riesgos de Gestión'!$AF$21="Muy Baja",'Riesgos de Gestión'!$AH$21="Leve"),CONCATENATE("R3C",'Riesgos de Gestión'!$V$21),"")</f>
        <v/>
      </c>
      <c r="O48" s="61" t="str">
        <f>IF(AND('Riesgos de Gestión'!$AF$22="Muy Baja",'Riesgos de Gestión'!$AH$22="Leve"),CONCATENATE("R3C",'Riesgos de Gestión'!$V$22),"")</f>
        <v/>
      </c>
      <c r="P48" s="59" t="str">
        <f>IF(AND('Riesgos de Gestión'!$AF$17="Muy Baja",'Riesgos de Gestión'!$AH$17="Menor"),CONCATENATE("R3C",'Riesgos de Gestión'!$V$17),"")</f>
        <v/>
      </c>
      <c r="Q48" s="60" t="str">
        <f>IF(AND('Riesgos de Gestión'!$AF$18="Muy Baja",'Riesgos de Gestión'!$AH$18="Menor"),CONCATENATE("R3C",'Riesgos de Gestión'!$V$18),"")</f>
        <v/>
      </c>
      <c r="R48" s="60" t="str">
        <f>IF(AND('Riesgos de Gestión'!$AF$19="Muy Baja",'Riesgos de Gestión'!$AH$19="Menor"),CONCATENATE("R3C",'Riesgos de Gestión'!$V$19),"")</f>
        <v/>
      </c>
      <c r="S48" s="60" t="str">
        <f>IF(AND('Riesgos de Gestión'!$AF$20="Muy Baja",'Riesgos de Gestión'!$AH$20="Menor"),CONCATENATE("R3C",'Riesgos de Gestión'!$V$20),"")</f>
        <v/>
      </c>
      <c r="T48" s="60" t="str">
        <f>IF(AND('Riesgos de Gestión'!$AF$21="Muy Baja",'Riesgos de Gestión'!$AH$21="Menor"),CONCATENATE("R3C",'Riesgos de Gestión'!$V$21),"")</f>
        <v/>
      </c>
      <c r="U48" s="61" t="str">
        <f>IF(AND('Riesgos de Gestión'!$AF$22="Muy Baja",'Riesgos de Gestión'!$AH$22="Menor"),CONCATENATE("R3C",'Riesgos de Gestión'!$V$22),"")</f>
        <v/>
      </c>
      <c r="V48" s="50" t="str">
        <f>IF(AND('Riesgos de Gestión'!$AF$17="Muy Baja",'Riesgos de Gestión'!$AH$17="Moderado"),CONCATENATE("R3C",'Riesgos de Gestión'!$V$17),"")</f>
        <v/>
      </c>
      <c r="W48" s="51" t="str">
        <f>IF(AND('Riesgos de Gestión'!$AF$18="Muy Baja",'Riesgos de Gestión'!$AH$18="Moderado"),CONCATENATE("R3C",'Riesgos de Gestión'!$V$18),"")</f>
        <v/>
      </c>
      <c r="X48" s="51" t="str">
        <f>IF(AND('Riesgos de Gestión'!$AF$19="Muy Baja",'Riesgos de Gestión'!$AH$19="Moderado"),CONCATENATE("R3C",'Riesgos de Gestión'!$V$19),"")</f>
        <v/>
      </c>
      <c r="Y48" s="51" t="str">
        <f>IF(AND('Riesgos de Gestión'!$AF$20="Muy Baja",'Riesgos de Gestión'!$AH$20="Moderado"),CONCATENATE("R3C",'Riesgos de Gestión'!$V$20),"")</f>
        <v/>
      </c>
      <c r="Z48" s="51" t="str">
        <f>IF(AND('Riesgos de Gestión'!$AF$21="Muy Baja",'Riesgos de Gestión'!$AH$21="Moderado"),CONCATENATE("R3C",'Riesgos de Gestión'!$V$21),"")</f>
        <v/>
      </c>
      <c r="AA48" s="52" t="str">
        <f>IF(AND('Riesgos de Gestión'!$AF$22="Muy Baja",'Riesgos de Gestión'!$AH$22="Moderado"),CONCATENATE("R3C",'Riesgos de Gestión'!$V$22),"")</f>
        <v/>
      </c>
      <c r="AB48" s="35" t="str">
        <f>IF(AND('Riesgos de Gestión'!$AF$17="Muy Baja",'Riesgos de Gestión'!$AH$17="Mayor"),CONCATENATE("R3C",'Riesgos de Gestión'!$V$17),"")</f>
        <v/>
      </c>
      <c r="AC48" s="36" t="str">
        <f>IF(AND('Riesgos de Gestión'!$AF$18="Muy Baja",'Riesgos de Gestión'!$AH$18="Mayor"),CONCATENATE("R3C",'Riesgos de Gestión'!$V$18),"")</f>
        <v/>
      </c>
      <c r="AD48" s="36" t="str">
        <f>IF(AND('Riesgos de Gestión'!$AF$19="Muy Baja",'Riesgos de Gestión'!$AH$19="Mayor"),CONCATENATE("R3C",'Riesgos de Gestión'!$V$19),"")</f>
        <v/>
      </c>
      <c r="AE48" s="36" t="str">
        <f>IF(AND('Riesgos de Gestión'!$AF$20="Muy Baja",'Riesgos de Gestión'!$AH$20="Mayor"),CONCATENATE("R3C",'Riesgos de Gestión'!$V$20),"")</f>
        <v/>
      </c>
      <c r="AF48" s="36" t="str">
        <f>IF(AND('Riesgos de Gestión'!$AF$21="Muy Baja",'Riesgos de Gestión'!$AH$21="Mayor"),CONCATENATE("R3C",'Riesgos de Gestión'!$V$21),"")</f>
        <v/>
      </c>
      <c r="AG48" s="37" t="str">
        <f>IF(AND('Riesgos de Gestión'!$AF$22="Muy Baja",'Riesgos de Gestión'!$AH$22="Mayor"),CONCATENATE("R3C",'Riesgos de Gestión'!$V$22),"")</f>
        <v/>
      </c>
      <c r="AH48" s="38" t="str">
        <f>IF(AND('Riesgos de Gestión'!$AF$17="Muy Baja",'Riesgos de Gestión'!$AH$17="Catastrófico"),CONCATENATE("R3C",'Riesgos de Gestión'!$V$17),"")</f>
        <v/>
      </c>
      <c r="AI48" s="39" t="str">
        <f>IF(AND('Riesgos de Gestión'!$AF$18="Muy Baja",'Riesgos de Gestión'!$AH$18="Catastrófico"),CONCATENATE("R3C",'Riesgos de Gestión'!$V$18),"")</f>
        <v/>
      </c>
      <c r="AJ48" s="39" t="str">
        <f>IF(AND('Riesgos de Gestión'!$AF$19="Muy Baja",'Riesgos de Gestión'!$AH$19="Catastrófico"),CONCATENATE("R3C",'Riesgos de Gestión'!$V$19),"")</f>
        <v/>
      </c>
      <c r="AK48" s="39" t="str">
        <f>IF(AND('Riesgos de Gestión'!$AF$20="Muy Baja",'Riesgos de Gestión'!$AH$20="Catastrófico"),CONCATENATE("R3C",'Riesgos de Gestión'!$V$20),"")</f>
        <v/>
      </c>
      <c r="AL48" s="39" t="str">
        <f>IF(AND('Riesgos de Gestión'!$AF$21="Muy Baja",'Riesgos de Gestión'!$AH$21="Catastrófico"),CONCATENATE("R3C",'Riesgos de Gestión'!$V$21),"")</f>
        <v/>
      </c>
      <c r="AM48" s="40" t="str">
        <f>IF(AND('Riesgos de Gestión'!$AF$22="Muy Baja",'Riesgos de Gestión'!$AH$22="Catastrófico"),CONCATENATE("R3C",'Riesgos de Gestión'!$V$22),"")</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33"/>
      <c r="C49" s="433"/>
      <c r="D49" s="434"/>
      <c r="E49" s="474"/>
      <c r="F49" s="475"/>
      <c r="G49" s="475"/>
      <c r="H49" s="475"/>
      <c r="I49" s="476"/>
      <c r="J49" s="59" t="str">
        <f>IF(AND('Riesgos de Gestión'!$AF$23="Muy Baja",'Riesgos de Gestión'!$AH$23="Leve"),CONCATENATE("R4C",'Riesgos de Gestión'!$V$23),"")</f>
        <v/>
      </c>
      <c r="K49" s="60" t="str">
        <f>IF(AND('Riesgos de Gestión'!$AF$24="Muy Baja",'Riesgos de Gestión'!$AH$24="Leve"),CONCATENATE("R4C",'Riesgos de Gestión'!$V$24),"")</f>
        <v/>
      </c>
      <c r="L49" s="60" t="str">
        <f>IF(AND('Riesgos de Gestión'!$AF$25="Muy Baja",'Riesgos de Gestión'!$AH$25="Leve"),CONCATENATE("R4C",'Riesgos de Gestión'!$V$25),"")</f>
        <v/>
      </c>
      <c r="M49" s="60" t="str">
        <f>IF(AND('Riesgos de Gestión'!$AF$26="Muy Baja",'Riesgos de Gestión'!$AH$26="Leve"),CONCATENATE("R4C",'Riesgos de Gestión'!$V$26),"")</f>
        <v/>
      </c>
      <c r="N49" s="60" t="str">
        <f>IF(AND('Riesgos de Gestión'!$AF$27="Muy Baja",'Riesgos de Gestión'!$AH$27="Leve"),CONCATENATE("R4C",'Riesgos de Gestión'!$V$27),"")</f>
        <v/>
      </c>
      <c r="O49" s="61" t="str">
        <f>IF(AND('Riesgos de Gestión'!$AF$28="Muy Baja",'Riesgos de Gestión'!$AH$28="Leve"),CONCATENATE("R4C",'Riesgos de Gestión'!$V$28),"")</f>
        <v/>
      </c>
      <c r="P49" s="59" t="str">
        <f>IF(AND('Riesgos de Gestión'!$AF$23="Muy Baja",'Riesgos de Gestión'!$AH$23="Menor"),CONCATENATE("R4C",'Riesgos de Gestión'!$V$23),"")</f>
        <v/>
      </c>
      <c r="Q49" s="60" t="str">
        <f>IF(AND('Riesgos de Gestión'!$AF$24="Muy Baja",'Riesgos de Gestión'!$AH$24="Menor"),CONCATENATE("R4C",'Riesgos de Gestión'!$V$24),"")</f>
        <v/>
      </c>
      <c r="R49" s="60" t="str">
        <f>IF(AND('Riesgos de Gestión'!$AF$25="Muy Baja",'Riesgos de Gestión'!$AH$25="Menor"),CONCATENATE("R4C",'Riesgos de Gestión'!$V$25),"")</f>
        <v/>
      </c>
      <c r="S49" s="60" t="str">
        <f>IF(AND('Riesgos de Gestión'!$AF$26="Muy Baja",'Riesgos de Gestión'!$AH$26="Menor"),CONCATENATE("R4C",'Riesgos de Gestión'!$V$26),"")</f>
        <v/>
      </c>
      <c r="T49" s="60" t="str">
        <f>IF(AND('Riesgos de Gestión'!$AF$27="Muy Baja",'Riesgos de Gestión'!$AH$27="Menor"),CONCATENATE("R4C",'Riesgos de Gestión'!$V$27),"")</f>
        <v/>
      </c>
      <c r="U49" s="61" t="str">
        <f>IF(AND('Riesgos de Gestión'!$AF$28="Muy Baja",'Riesgos de Gestión'!$AH$28="Menor"),CONCATENATE("R4C",'Riesgos de Gestión'!$V$28),"")</f>
        <v/>
      </c>
      <c r="V49" s="50" t="str">
        <f>IF(AND('Riesgos de Gestión'!$AF$23="Muy Baja",'Riesgos de Gestión'!$AH$23="Moderado"),CONCATENATE("R4C",'Riesgos de Gestión'!$V$23),"")</f>
        <v/>
      </c>
      <c r="W49" s="51" t="str">
        <f>IF(AND('Riesgos de Gestión'!$AF$24="Muy Baja",'Riesgos de Gestión'!$AH$24="Moderado"),CONCATENATE("R4C",'Riesgos de Gestión'!$V$24),"")</f>
        <v/>
      </c>
      <c r="X49" s="51" t="str">
        <f>IF(AND('Riesgos de Gestión'!$AF$25="Muy Baja",'Riesgos de Gestión'!$AH$25="Moderado"),CONCATENATE("R4C",'Riesgos de Gestión'!$V$25),"")</f>
        <v/>
      </c>
      <c r="Y49" s="51" t="str">
        <f>IF(AND('Riesgos de Gestión'!$AF$26="Muy Baja",'Riesgos de Gestión'!$AH$26="Moderado"),CONCATENATE("R4C",'Riesgos de Gestión'!$V$26),"")</f>
        <v/>
      </c>
      <c r="Z49" s="51" t="str">
        <f>IF(AND('Riesgos de Gestión'!$AF$27="Muy Baja",'Riesgos de Gestión'!$AH$27="Moderado"),CONCATENATE("R4C",'Riesgos de Gestión'!$V$27),"")</f>
        <v/>
      </c>
      <c r="AA49" s="52" t="str">
        <f>IF(AND('Riesgos de Gestión'!$AF$28="Muy Baja",'Riesgos de Gestión'!$AH$28="Moderado"),CONCATENATE("R4C",'Riesgos de Gestión'!$V$28),"")</f>
        <v/>
      </c>
      <c r="AB49" s="35" t="str">
        <f>IF(AND('Riesgos de Gestión'!$AF$23="Muy Baja",'Riesgos de Gestión'!$AH$23="Mayor"),CONCATENATE("R4C",'Riesgos de Gestión'!$V$23),"")</f>
        <v/>
      </c>
      <c r="AC49" s="36" t="str">
        <f>IF(AND('Riesgos de Gestión'!$AF$24="Muy Baja",'Riesgos de Gestión'!$AH$24="Mayor"),CONCATENATE("R4C",'Riesgos de Gestión'!$V$24),"")</f>
        <v/>
      </c>
      <c r="AD49" s="36" t="str">
        <f>IF(AND('Riesgos de Gestión'!$AF$25="Muy Baja",'Riesgos de Gestión'!$AH$25="Mayor"),CONCATENATE("R4C",'Riesgos de Gestión'!$V$25),"")</f>
        <v/>
      </c>
      <c r="AE49" s="36" t="str">
        <f>IF(AND('Riesgos de Gestión'!$AF$26="Muy Baja",'Riesgos de Gestión'!$AH$26="Mayor"),CONCATENATE("R4C",'Riesgos de Gestión'!$V$26),"")</f>
        <v/>
      </c>
      <c r="AF49" s="36" t="str">
        <f>IF(AND('Riesgos de Gestión'!$AF$27="Muy Baja",'Riesgos de Gestión'!$AH$27="Mayor"),CONCATENATE("R4C",'Riesgos de Gestión'!$V$27),"")</f>
        <v/>
      </c>
      <c r="AG49" s="37" t="str">
        <f>IF(AND('Riesgos de Gestión'!$AF$28="Muy Baja",'Riesgos de Gestión'!$AH$28="Mayor"),CONCATENATE("R4C",'Riesgos de Gestión'!$V$28),"")</f>
        <v/>
      </c>
      <c r="AH49" s="38" t="str">
        <f>IF(AND('Riesgos de Gestión'!$AF$23="Muy Baja",'Riesgos de Gestión'!$AH$23="Catastrófico"),CONCATENATE("R4C",'Riesgos de Gestión'!$V$23),"")</f>
        <v/>
      </c>
      <c r="AI49" s="39" t="str">
        <f>IF(AND('Riesgos de Gestión'!$AF$24="Muy Baja",'Riesgos de Gestión'!$AH$24="Catastrófico"),CONCATENATE("R4C",'Riesgos de Gestión'!$V$24),"")</f>
        <v/>
      </c>
      <c r="AJ49" s="39" t="str">
        <f>IF(AND('Riesgos de Gestión'!$AF$25="Muy Baja",'Riesgos de Gestión'!$AH$25="Catastrófico"),CONCATENATE("R4C",'Riesgos de Gestión'!$V$25),"")</f>
        <v/>
      </c>
      <c r="AK49" s="39" t="str">
        <f>IF(AND('Riesgos de Gestión'!$AF$26="Muy Baja",'Riesgos de Gestión'!$AH$26="Catastrófico"),CONCATENATE("R4C",'Riesgos de Gestión'!$V$26),"")</f>
        <v/>
      </c>
      <c r="AL49" s="39" t="str">
        <f>IF(AND('Riesgos de Gestión'!$AF$27="Muy Baja",'Riesgos de Gestión'!$AH$27="Catastrófico"),CONCATENATE("R4C",'Riesgos de Gestión'!$V$27),"")</f>
        <v/>
      </c>
      <c r="AM49" s="40" t="str">
        <f>IF(AND('Riesgos de Gestión'!$AF$28="Muy Baja",'Riesgos de Gestión'!$AH$28="Catastrófico"),CONCATENATE("R4C",'Riesgos de Gestión'!$V$28),"")</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33"/>
      <c r="C50" s="433"/>
      <c r="D50" s="434"/>
      <c r="E50" s="474"/>
      <c r="F50" s="475"/>
      <c r="G50" s="475"/>
      <c r="H50" s="475"/>
      <c r="I50" s="476"/>
      <c r="J50" s="59" t="str">
        <f>IF(AND('Riesgos de Gestión'!$AF$29="Muy Baja",'Riesgos de Gestión'!$AH$29="Leve"),CONCATENATE("R5C",'Riesgos de Gestión'!$V$29),"")</f>
        <v/>
      </c>
      <c r="K50" s="60" t="str">
        <f>IF(AND('Riesgos de Gestión'!$AF$30="Muy Baja",'Riesgos de Gestión'!$AH$30="Leve"),CONCATENATE("R5C",'Riesgos de Gestión'!$V$30),"")</f>
        <v/>
      </c>
      <c r="L50" s="60" t="str">
        <f>IF(AND('Riesgos de Gestión'!$AF$31="Muy Baja",'Riesgos de Gestión'!$AH$31="Leve"),CONCATENATE("R5C",'Riesgos de Gestión'!$V$31),"")</f>
        <v/>
      </c>
      <c r="M50" s="60" t="str">
        <f>IF(AND('Riesgos de Gestión'!$AF$32="Muy Baja",'Riesgos de Gestión'!$AH$32="Leve"),CONCATENATE("R5C",'Riesgos de Gestión'!$V$32),"")</f>
        <v/>
      </c>
      <c r="N50" s="60" t="str">
        <f>IF(AND('Riesgos de Gestión'!$AF$33="Muy Baja",'Riesgos de Gestión'!$AH$33="Leve"),CONCATENATE("R5C",'Riesgos de Gestión'!$V$33),"")</f>
        <v/>
      </c>
      <c r="O50" s="61" t="str">
        <f>IF(AND('Riesgos de Gestión'!$AF$34="Muy Baja",'Riesgos de Gestión'!$AH$34="Leve"),CONCATENATE("R5C",'Riesgos de Gestión'!$V$34),"")</f>
        <v/>
      </c>
      <c r="P50" s="59" t="str">
        <f>IF(AND('Riesgos de Gestión'!$AF$29="Muy Baja",'Riesgos de Gestión'!$AH$29="Menor"),CONCATENATE("R5C",'Riesgos de Gestión'!$V$29),"")</f>
        <v/>
      </c>
      <c r="Q50" s="60" t="str">
        <f>IF(AND('Riesgos de Gestión'!$AF$30="Muy Baja",'Riesgos de Gestión'!$AH$30="Menor"),CONCATENATE("R5C",'Riesgos de Gestión'!$V$30),"")</f>
        <v/>
      </c>
      <c r="R50" s="60" t="str">
        <f>IF(AND('Riesgos de Gestión'!$AF$31="Muy Baja",'Riesgos de Gestión'!$AH$31="Menor"),CONCATENATE("R5C",'Riesgos de Gestión'!$V$31),"")</f>
        <v/>
      </c>
      <c r="S50" s="60" t="str">
        <f>IF(AND('Riesgos de Gestión'!$AF$32="Muy Baja",'Riesgos de Gestión'!$AH$32="Menor"),CONCATENATE("R5C",'Riesgos de Gestión'!$V$32),"")</f>
        <v/>
      </c>
      <c r="T50" s="60" t="str">
        <f>IF(AND('Riesgos de Gestión'!$AF$33="Muy Baja",'Riesgos de Gestión'!$AH$33="Menor"),CONCATENATE("R5C",'Riesgos de Gestión'!$V$33),"")</f>
        <v/>
      </c>
      <c r="U50" s="61" t="str">
        <f>IF(AND('Riesgos de Gestión'!$AF$34="Muy Baja",'Riesgos de Gestión'!$AH$34="Menor"),CONCATENATE("R5C",'Riesgos de Gestión'!$V$34),"")</f>
        <v/>
      </c>
      <c r="V50" s="50" t="str">
        <f>IF(AND('Riesgos de Gestión'!$AF$29="Muy Baja",'Riesgos de Gestión'!$AH$29="Moderado"),CONCATENATE("R5C",'Riesgos de Gestión'!$V$29),"")</f>
        <v/>
      </c>
      <c r="W50" s="51" t="str">
        <f>IF(AND('Riesgos de Gestión'!$AF$30="Muy Baja",'Riesgos de Gestión'!$AH$30="Moderado"),CONCATENATE("R5C",'Riesgos de Gestión'!$V$30),"")</f>
        <v/>
      </c>
      <c r="X50" s="51" t="str">
        <f>IF(AND('Riesgos de Gestión'!$AF$31="Muy Baja",'Riesgos de Gestión'!$AH$31="Moderado"),CONCATENATE("R5C",'Riesgos de Gestión'!$V$31),"")</f>
        <v/>
      </c>
      <c r="Y50" s="51" t="str">
        <f>IF(AND('Riesgos de Gestión'!$AF$32="Muy Baja",'Riesgos de Gestión'!$AH$32="Moderado"),CONCATENATE("R5C",'Riesgos de Gestión'!$V$32),"")</f>
        <v/>
      </c>
      <c r="Z50" s="51" t="str">
        <f>IF(AND('Riesgos de Gestión'!$AF$33="Muy Baja",'Riesgos de Gestión'!$AH$33="Moderado"),CONCATENATE("R5C",'Riesgos de Gestión'!$V$33),"")</f>
        <v/>
      </c>
      <c r="AA50" s="52" t="str">
        <f>IF(AND('Riesgos de Gestión'!$AF$34="Muy Baja",'Riesgos de Gestión'!$AH$34="Moderado"),CONCATENATE("R5C",'Riesgos de Gestión'!$V$34),"")</f>
        <v/>
      </c>
      <c r="AB50" s="35" t="str">
        <f>IF(AND('Riesgos de Gestión'!$AF$29="Muy Baja",'Riesgos de Gestión'!$AH$29="Mayor"),CONCATENATE("R5C",'Riesgos de Gestión'!$V$29),"")</f>
        <v/>
      </c>
      <c r="AC50" s="36" t="str">
        <f>IF(AND('Riesgos de Gestión'!$AF$30="Muy Baja",'Riesgos de Gestión'!$AH$30="Mayor"),CONCATENATE("R5C",'Riesgos de Gestión'!$V$30),"")</f>
        <v/>
      </c>
      <c r="AD50" s="36" t="str">
        <f>IF(AND('Riesgos de Gestión'!$AF$31="Muy Baja",'Riesgos de Gestión'!$AH$31="Mayor"),CONCATENATE("R5C",'Riesgos de Gestión'!$V$31),"")</f>
        <v/>
      </c>
      <c r="AE50" s="36" t="str">
        <f>IF(AND('Riesgos de Gestión'!$AF$32="Muy Baja",'Riesgos de Gestión'!$AH$32="Mayor"),CONCATENATE("R5C",'Riesgos de Gestión'!$V$32),"")</f>
        <v/>
      </c>
      <c r="AF50" s="36" t="str">
        <f>IF(AND('Riesgos de Gestión'!$AF$33="Muy Baja",'Riesgos de Gestión'!$AH$33="Mayor"),CONCATENATE("R5C",'Riesgos de Gestión'!$V$33),"")</f>
        <v/>
      </c>
      <c r="AG50" s="37" t="str">
        <f>IF(AND('Riesgos de Gestión'!$AF$34="Muy Baja",'Riesgos de Gestión'!$AH$34="Mayor"),CONCATENATE("R5C",'Riesgos de Gestión'!$V$34),"")</f>
        <v/>
      </c>
      <c r="AH50" s="38" t="str">
        <f>IF(AND('Riesgos de Gestión'!$AF$29="Muy Baja",'Riesgos de Gestión'!$AH$29="Catastrófico"),CONCATENATE("R5C",'Riesgos de Gestión'!$V$29),"")</f>
        <v/>
      </c>
      <c r="AI50" s="39" t="str">
        <f>IF(AND('Riesgos de Gestión'!$AF$30="Muy Baja",'Riesgos de Gestión'!$AH$30="Catastrófico"),CONCATENATE("R5C",'Riesgos de Gestión'!$V$30),"")</f>
        <v/>
      </c>
      <c r="AJ50" s="39" t="str">
        <f>IF(AND('Riesgos de Gestión'!$AF$31="Muy Baja",'Riesgos de Gestión'!$AH$31="Catastrófico"),CONCATENATE("R5C",'Riesgos de Gestión'!$V$31),"")</f>
        <v/>
      </c>
      <c r="AK50" s="39" t="str">
        <f>IF(AND('Riesgos de Gestión'!$AF$32="Muy Baja",'Riesgos de Gestión'!$AH$32="Catastrófico"),CONCATENATE("R5C",'Riesgos de Gestión'!$V$32),"")</f>
        <v/>
      </c>
      <c r="AL50" s="39" t="str">
        <f>IF(AND('Riesgos de Gestión'!$AF$33="Muy Baja",'Riesgos de Gestión'!$AH$33="Catastrófico"),CONCATENATE("R5C",'Riesgos de Gestión'!$V$33),"")</f>
        <v/>
      </c>
      <c r="AM50" s="40" t="str">
        <f>IF(AND('Riesgos de Gestión'!$AF$34="Muy Baja",'Riesgos de Gestión'!$AH$34="Catastrófico"),CONCATENATE("R5C",'Riesgos de Gestión'!$V$34),"")</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33"/>
      <c r="C51" s="433"/>
      <c r="D51" s="434"/>
      <c r="E51" s="474"/>
      <c r="F51" s="475"/>
      <c r="G51" s="475"/>
      <c r="H51" s="475"/>
      <c r="I51" s="476"/>
      <c r="J51" s="59" t="str">
        <f>IF(AND('Riesgos de Gestión'!$AF$35="Muy Baja",'Riesgos de Gestión'!$AH$35="Leve"),CONCATENATE("R6C",'Riesgos de Gestión'!$V$35),"")</f>
        <v/>
      </c>
      <c r="K51" s="60" t="str">
        <f>IF(AND('Riesgos de Gestión'!$AF$36="Muy Baja",'Riesgos de Gestión'!$AH$36="Leve"),CONCATENATE("R6C",'Riesgos de Gestión'!$V$36),"")</f>
        <v/>
      </c>
      <c r="L51" s="60" t="str">
        <f>IF(AND('Riesgos de Gestión'!$AF$37="Muy Baja",'Riesgos de Gestión'!$AH$37="Leve"),CONCATENATE("R6C",'Riesgos de Gestión'!$V$37),"")</f>
        <v/>
      </c>
      <c r="M51" s="60" t="str">
        <f>IF(AND('Riesgos de Gestión'!$AF$38="Muy Baja",'Riesgos de Gestión'!$AH$38="Leve"),CONCATENATE("R6C",'Riesgos de Gestión'!$V$38),"")</f>
        <v/>
      </c>
      <c r="N51" s="60" t="str">
        <f>IF(AND('Riesgos de Gestión'!$AF$39="Muy Baja",'Riesgos de Gestión'!$AH$39="Leve"),CONCATENATE("R6C",'Riesgos de Gestión'!$V$39),"")</f>
        <v/>
      </c>
      <c r="O51" s="61" t="str">
        <f>IF(AND('Riesgos de Gestión'!$AF$40="Muy Baja",'Riesgos de Gestión'!$AH$40="Leve"),CONCATENATE("R6C",'Riesgos de Gestión'!$V$40),"")</f>
        <v/>
      </c>
      <c r="P51" s="59" t="str">
        <f>IF(AND('Riesgos de Gestión'!$AF$35="Muy Baja",'Riesgos de Gestión'!$AH$35="Menor"),CONCATENATE("R6C",'Riesgos de Gestión'!$V$35),"")</f>
        <v/>
      </c>
      <c r="Q51" s="60" t="str">
        <f>IF(AND('Riesgos de Gestión'!$AF$36="Muy Baja",'Riesgos de Gestión'!$AH$36="Menor"),CONCATENATE("R6C",'Riesgos de Gestión'!$V$36),"")</f>
        <v/>
      </c>
      <c r="R51" s="60" t="str">
        <f>IF(AND('Riesgos de Gestión'!$AF$37="Muy Baja",'Riesgos de Gestión'!$AH$37="Menor"),CONCATENATE("R6C",'Riesgos de Gestión'!$V$37),"")</f>
        <v/>
      </c>
      <c r="S51" s="60" t="str">
        <f>IF(AND('Riesgos de Gestión'!$AF$38="Muy Baja",'Riesgos de Gestión'!$AH$38="Menor"),CONCATENATE("R6C",'Riesgos de Gestión'!$V$38),"")</f>
        <v/>
      </c>
      <c r="T51" s="60" t="str">
        <f>IF(AND('Riesgos de Gestión'!$AF$39="Muy Baja",'Riesgos de Gestión'!$AH$39="Menor"),CONCATENATE("R6C",'Riesgos de Gestión'!$V$39),"")</f>
        <v/>
      </c>
      <c r="U51" s="61" t="str">
        <f>IF(AND('Riesgos de Gestión'!$AF$40="Muy Baja",'Riesgos de Gestión'!$AH$40="Menor"),CONCATENATE("R6C",'Riesgos de Gestión'!$V$40),"")</f>
        <v/>
      </c>
      <c r="V51" s="50" t="str">
        <f>IF(AND('Riesgos de Gestión'!$AF$35="Muy Baja",'Riesgos de Gestión'!$AH$35="Moderado"),CONCATENATE("R6C",'Riesgos de Gestión'!$V$35),"")</f>
        <v/>
      </c>
      <c r="W51" s="51" t="str">
        <f>IF(AND('Riesgos de Gestión'!$AF$36="Muy Baja",'Riesgos de Gestión'!$AH$36="Moderado"),CONCATENATE("R6C",'Riesgos de Gestión'!$V$36),"")</f>
        <v/>
      </c>
      <c r="X51" s="51" t="str">
        <f>IF(AND('Riesgos de Gestión'!$AF$37="Muy Baja",'Riesgos de Gestión'!$AH$37="Moderado"),CONCATENATE("R6C",'Riesgos de Gestión'!$V$37),"")</f>
        <v/>
      </c>
      <c r="Y51" s="51" t="str">
        <f>IF(AND('Riesgos de Gestión'!$AF$38="Muy Baja",'Riesgos de Gestión'!$AH$38="Moderado"),CONCATENATE("R6C",'Riesgos de Gestión'!$V$38),"")</f>
        <v/>
      </c>
      <c r="Z51" s="51" t="str">
        <f>IF(AND('Riesgos de Gestión'!$AF$39="Muy Baja",'Riesgos de Gestión'!$AH$39="Moderado"),CONCATENATE("R6C",'Riesgos de Gestión'!$V$39),"")</f>
        <v/>
      </c>
      <c r="AA51" s="52" t="str">
        <f>IF(AND('Riesgos de Gestión'!$AF$40="Muy Baja",'Riesgos de Gestión'!$AH$40="Moderado"),CONCATENATE("R6C",'Riesgos de Gestión'!$V$40),"")</f>
        <v/>
      </c>
      <c r="AB51" s="35" t="str">
        <f>IF(AND('Riesgos de Gestión'!$AF$35="Muy Baja",'Riesgos de Gestión'!$AH$35="Mayor"),CONCATENATE("R6C",'Riesgos de Gestión'!$V$35),"")</f>
        <v/>
      </c>
      <c r="AC51" s="36" t="str">
        <f>IF(AND('Riesgos de Gestión'!$AF$36="Muy Baja",'Riesgos de Gestión'!$AH$36="Mayor"),CONCATENATE("R6C",'Riesgos de Gestión'!$V$36),"")</f>
        <v/>
      </c>
      <c r="AD51" s="36" t="str">
        <f>IF(AND('Riesgos de Gestión'!$AF$37="Muy Baja",'Riesgos de Gestión'!$AH$37="Mayor"),CONCATENATE("R6C",'Riesgos de Gestión'!$V$37),"")</f>
        <v/>
      </c>
      <c r="AE51" s="36" t="str">
        <f>IF(AND('Riesgos de Gestión'!$AF$38="Muy Baja",'Riesgos de Gestión'!$AH$38="Mayor"),CONCATENATE("R6C",'Riesgos de Gestión'!$V$38),"")</f>
        <v/>
      </c>
      <c r="AF51" s="36" t="str">
        <f>IF(AND('Riesgos de Gestión'!$AF$39="Muy Baja",'Riesgos de Gestión'!$AH$39="Mayor"),CONCATENATE("R6C",'Riesgos de Gestión'!$V$39),"")</f>
        <v/>
      </c>
      <c r="AG51" s="37" t="str">
        <f>IF(AND('Riesgos de Gestión'!$AF$40="Muy Baja",'Riesgos de Gestión'!$AH$40="Mayor"),CONCATENATE("R6C",'Riesgos de Gestión'!$V$40),"")</f>
        <v/>
      </c>
      <c r="AH51" s="38" t="str">
        <f>IF(AND('Riesgos de Gestión'!$AF$35="Muy Baja",'Riesgos de Gestión'!$AH$35="Catastrófico"),CONCATENATE("R6C",'Riesgos de Gestión'!$V$35),"")</f>
        <v/>
      </c>
      <c r="AI51" s="39" t="str">
        <f>IF(AND('Riesgos de Gestión'!$AF$36="Muy Baja",'Riesgos de Gestión'!$AH$36="Catastrófico"),CONCATENATE("R6C",'Riesgos de Gestión'!$V$36),"")</f>
        <v/>
      </c>
      <c r="AJ51" s="39" t="str">
        <f>IF(AND('Riesgos de Gestión'!$AF$37="Muy Baja",'Riesgos de Gestión'!$AH$37="Catastrófico"),CONCATENATE("R6C",'Riesgos de Gestión'!$V$37),"")</f>
        <v/>
      </c>
      <c r="AK51" s="39" t="str">
        <f>IF(AND('Riesgos de Gestión'!$AF$38="Muy Baja",'Riesgos de Gestión'!$AH$38="Catastrófico"),CONCATENATE("R6C",'Riesgos de Gestión'!$V$38),"")</f>
        <v/>
      </c>
      <c r="AL51" s="39" t="str">
        <f>IF(AND('Riesgos de Gestión'!$AF$39="Muy Baja",'Riesgos de Gestión'!$AH$39="Catastrófico"),CONCATENATE("R6C",'Riesgos de Gestión'!$V$39),"")</f>
        <v/>
      </c>
      <c r="AM51" s="40" t="str">
        <f>IF(AND('Riesgos de Gestión'!$AF$40="Muy Baja",'Riesgos de Gestión'!$AH$40="Catastrófico"),CONCATENATE("R6C",'Riesgos de Gestión'!$V$40),"")</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33"/>
      <c r="C52" s="433"/>
      <c r="D52" s="434"/>
      <c r="E52" s="474"/>
      <c r="F52" s="475"/>
      <c r="G52" s="475"/>
      <c r="H52" s="475"/>
      <c r="I52" s="476"/>
      <c r="J52" s="59" t="str">
        <f>IF(AND('Riesgos de Gestión'!$AF$41="Muy Baja",'Riesgos de Gestión'!$AH$41="Leve"),CONCATENATE("R7C",'Riesgos de Gestión'!$V$41),"")</f>
        <v/>
      </c>
      <c r="K52" s="60" t="str">
        <f>IF(AND('Riesgos de Gestión'!$AF$42="Muy Baja",'Riesgos de Gestión'!$AH$42="Leve"),CONCATENATE("R7C",'Riesgos de Gestión'!$V$42),"")</f>
        <v/>
      </c>
      <c r="L52" s="60" t="str">
        <f>IF(AND('Riesgos de Gestión'!$AF$43="Muy Baja",'Riesgos de Gestión'!$AH$43="Leve"),CONCATENATE("R7C",'Riesgos de Gestión'!$V$43),"")</f>
        <v/>
      </c>
      <c r="M52" s="60" t="str">
        <f>IF(AND('Riesgos de Gestión'!$AF$44="Muy Baja",'Riesgos de Gestión'!$AH$44="Leve"),CONCATENATE("R7C",'Riesgos de Gestión'!$V$44),"")</f>
        <v/>
      </c>
      <c r="N52" s="60" t="str">
        <f>IF(AND('Riesgos de Gestión'!$AF$45="Muy Baja",'Riesgos de Gestión'!$AH$45="Leve"),CONCATENATE("R7C",'Riesgos de Gestión'!$V$45),"")</f>
        <v/>
      </c>
      <c r="O52" s="61" t="str">
        <f>IF(AND('Riesgos de Gestión'!$AF$46="Muy Baja",'Riesgos de Gestión'!$AH$46="Leve"),CONCATENATE("R7C",'Riesgos de Gestión'!$V$46),"")</f>
        <v/>
      </c>
      <c r="P52" s="59" t="str">
        <f>IF(AND('Riesgos de Gestión'!$AF$41="Muy Baja",'Riesgos de Gestión'!$AH$41="Menor"),CONCATENATE("R7C",'Riesgos de Gestión'!$V$41),"")</f>
        <v/>
      </c>
      <c r="Q52" s="60" t="str">
        <f>IF(AND('Riesgos de Gestión'!$AF$42="Muy Baja",'Riesgos de Gestión'!$AH$42="Menor"),CONCATENATE("R7C",'Riesgos de Gestión'!$V$42),"")</f>
        <v/>
      </c>
      <c r="R52" s="60" t="str">
        <f>IF(AND('Riesgos de Gestión'!$AF$43="Muy Baja",'Riesgos de Gestión'!$AH$43="Menor"),CONCATENATE("R7C",'Riesgos de Gestión'!$V$43),"")</f>
        <v/>
      </c>
      <c r="S52" s="60" t="str">
        <f>IF(AND('Riesgos de Gestión'!$AF$44="Muy Baja",'Riesgos de Gestión'!$AH$44="Menor"),CONCATENATE("R7C",'Riesgos de Gestión'!$V$44),"")</f>
        <v/>
      </c>
      <c r="T52" s="60" t="str">
        <f>IF(AND('Riesgos de Gestión'!$AF$45="Muy Baja",'Riesgos de Gestión'!$AH$45="Menor"),CONCATENATE("R7C",'Riesgos de Gestión'!$V$45),"")</f>
        <v/>
      </c>
      <c r="U52" s="61" t="str">
        <f>IF(AND('Riesgos de Gestión'!$AF$46="Muy Baja",'Riesgos de Gestión'!$AH$46="Menor"),CONCATENATE("R7C",'Riesgos de Gestión'!$V$46),"")</f>
        <v/>
      </c>
      <c r="V52" s="50" t="str">
        <f>IF(AND('Riesgos de Gestión'!$AF$41="Muy Baja",'Riesgos de Gestión'!$AH$41="Moderado"),CONCATENATE("R7C",'Riesgos de Gestión'!$V$41),"")</f>
        <v/>
      </c>
      <c r="W52" s="51" t="str">
        <f>IF(AND('Riesgos de Gestión'!$AF$42="Muy Baja",'Riesgos de Gestión'!$AH$42="Moderado"),CONCATENATE("R7C",'Riesgos de Gestión'!$V$42),"")</f>
        <v/>
      </c>
      <c r="X52" s="51" t="str">
        <f>IF(AND('Riesgos de Gestión'!$AF$43="Muy Baja",'Riesgos de Gestión'!$AH$43="Moderado"),CONCATENATE("R7C",'Riesgos de Gestión'!$V$43),"")</f>
        <v/>
      </c>
      <c r="Y52" s="51" t="str">
        <f>IF(AND('Riesgos de Gestión'!$AF$44="Muy Baja",'Riesgos de Gestión'!$AH$44="Moderado"),CONCATENATE("R7C",'Riesgos de Gestión'!$V$44),"")</f>
        <v/>
      </c>
      <c r="Z52" s="51" t="str">
        <f>IF(AND('Riesgos de Gestión'!$AF$45="Muy Baja",'Riesgos de Gestión'!$AH$45="Moderado"),CONCATENATE("R7C",'Riesgos de Gestión'!$V$45),"")</f>
        <v/>
      </c>
      <c r="AA52" s="52" t="str">
        <f>IF(AND('Riesgos de Gestión'!$AF$46="Muy Baja",'Riesgos de Gestión'!$AH$46="Moderado"),CONCATENATE("R7C",'Riesgos de Gestión'!$V$46),"")</f>
        <v/>
      </c>
      <c r="AB52" s="35" t="str">
        <f>IF(AND('Riesgos de Gestión'!$AF$41="Muy Baja",'Riesgos de Gestión'!$AH$41="Mayor"),CONCATENATE("R7C",'Riesgos de Gestión'!$V$41),"")</f>
        <v/>
      </c>
      <c r="AC52" s="36" t="str">
        <f>IF(AND('Riesgos de Gestión'!$AF$42="Muy Baja",'Riesgos de Gestión'!$AH$42="Mayor"),CONCATENATE("R7C",'Riesgos de Gestión'!$V$42),"")</f>
        <v/>
      </c>
      <c r="AD52" s="36" t="str">
        <f>IF(AND('Riesgos de Gestión'!$AF$43="Muy Baja",'Riesgos de Gestión'!$AH$43="Mayor"),CONCATENATE("R7C",'Riesgos de Gestión'!$V$43),"")</f>
        <v/>
      </c>
      <c r="AE52" s="36" t="str">
        <f>IF(AND('Riesgos de Gestión'!$AF$44="Muy Baja",'Riesgos de Gestión'!$AH$44="Mayor"),CONCATENATE("R7C",'Riesgos de Gestión'!$V$44),"")</f>
        <v/>
      </c>
      <c r="AF52" s="36" t="str">
        <f>IF(AND('Riesgos de Gestión'!$AF$45="Muy Baja",'Riesgos de Gestión'!$AH$45="Mayor"),CONCATENATE("R7C",'Riesgos de Gestión'!$V$45),"")</f>
        <v/>
      </c>
      <c r="AG52" s="37" t="str">
        <f>IF(AND('Riesgos de Gestión'!$AF$46="Muy Baja",'Riesgos de Gestión'!$AH$46="Mayor"),CONCATENATE("R7C",'Riesgos de Gestión'!$V$46),"")</f>
        <v/>
      </c>
      <c r="AH52" s="38" t="str">
        <f>IF(AND('Riesgos de Gestión'!$AF$41="Muy Baja",'Riesgos de Gestión'!$AH$41="Catastrófico"),CONCATENATE("R7C",'Riesgos de Gestión'!$V$41),"")</f>
        <v/>
      </c>
      <c r="AI52" s="39" t="str">
        <f>IF(AND('Riesgos de Gestión'!$AF$42="Muy Baja",'Riesgos de Gestión'!$AH$42="Catastrófico"),CONCATENATE("R7C",'Riesgos de Gestión'!$V$42),"")</f>
        <v/>
      </c>
      <c r="AJ52" s="39" t="str">
        <f>IF(AND('Riesgos de Gestión'!$AF$43="Muy Baja",'Riesgos de Gestión'!$AH$43="Catastrófico"),CONCATENATE("R7C",'Riesgos de Gestión'!$V$43),"")</f>
        <v/>
      </c>
      <c r="AK52" s="39" t="str">
        <f>IF(AND('Riesgos de Gestión'!$AF$44="Muy Baja",'Riesgos de Gestión'!$AH$44="Catastrófico"),CONCATENATE("R7C",'Riesgos de Gestión'!$V$44),"")</f>
        <v/>
      </c>
      <c r="AL52" s="39" t="str">
        <f>IF(AND('Riesgos de Gestión'!$AF$45="Muy Baja",'Riesgos de Gestión'!$AH$45="Catastrófico"),CONCATENATE("R7C",'Riesgos de Gestión'!$V$45),"")</f>
        <v/>
      </c>
      <c r="AM52" s="40" t="str">
        <f>IF(AND('Riesgos de Gestión'!$AF$46="Muy Baja",'Riesgos de Gestión'!$AH$46="Catastrófico"),CONCATENATE("R7C",'Riesgos de Gestión'!$V$46),"")</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33"/>
      <c r="C53" s="433"/>
      <c r="D53" s="434"/>
      <c r="E53" s="474"/>
      <c r="F53" s="475"/>
      <c r="G53" s="475"/>
      <c r="H53" s="475"/>
      <c r="I53" s="476"/>
      <c r="J53" s="59" t="str">
        <f>IF(AND('Riesgos de Gestión'!$AF$47="Muy Baja",'Riesgos de Gestión'!$AH$47="Leve"),CONCATENATE("R8C",'Riesgos de Gestión'!$V$47),"")</f>
        <v/>
      </c>
      <c r="K53" s="60" t="str">
        <f>IF(AND('Riesgos de Gestión'!$AF$48="Muy Baja",'Riesgos de Gestión'!$AH$48="Leve"),CONCATENATE("R8C",'Riesgos de Gestión'!$V$48),"")</f>
        <v/>
      </c>
      <c r="L53" s="60" t="str">
        <f>IF(AND('Riesgos de Gestión'!$AF$49="Muy Baja",'Riesgos de Gestión'!$AH$49="Leve"),CONCATENATE("R8C",'Riesgos de Gestión'!$V$49),"")</f>
        <v/>
      </c>
      <c r="M53" s="60" t="str">
        <f>IF(AND('Riesgos de Gestión'!$AF$50="Muy Baja",'Riesgos de Gestión'!$AH$50="Leve"),CONCATENATE("R8C",'Riesgos de Gestión'!$V$50),"")</f>
        <v/>
      </c>
      <c r="N53" s="60" t="str">
        <f>IF(AND('Riesgos de Gestión'!$AF$51="Muy Baja",'Riesgos de Gestión'!$AH$51="Leve"),CONCATENATE("R8C",'Riesgos de Gestión'!$V$51),"")</f>
        <v/>
      </c>
      <c r="O53" s="61" t="str">
        <f>IF(AND('Riesgos de Gestión'!$AF$52="Muy Baja",'Riesgos de Gestión'!$AH$52="Leve"),CONCATENATE("R8C",'Riesgos de Gestión'!$V$52),"")</f>
        <v/>
      </c>
      <c r="P53" s="59" t="str">
        <f>IF(AND('Riesgos de Gestión'!$AF$47="Muy Baja",'Riesgos de Gestión'!$AH$47="Menor"),CONCATENATE("R8C",'Riesgos de Gestión'!$V$47),"")</f>
        <v/>
      </c>
      <c r="Q53" s="60" t="str">
        <f>IF(AND('Riesgos de Gestión'!$AF$48="Muy Baja",'Riesgos de Gestión'!$AH$48="Menor"),CONCATENATE("R8C",'Riesgos de Gestión'!$V$48),"")</f>
        <v/>
      </c>
      <c r="R53" s="60" t="str">
        <f>IF(AND('Riesgos de Gestión'!$AF$49="Muy Baja",'Riesgos de Gestión'!$AH$49="Menor"),CONCATENATE("R8C",'Riesgos de Gestión'!$V$49),"")</f>
        <v/>
      </c>
      <c r="S53" s="60" t="str">
        <f>IF(AND('Riesgos de Gestión'!$AF$50="Muy Baja",'Riesgos de Gestión'!$AH$50="Menor"),CONCATENATE("R8C",'Riesgos de Gestión'!$V$50),"")</f>
        <v/>
      </c>
      <c r="T53" s="60" t="str">
        <f>IF(AND('Riesgos de Gestión'!$AF$51="Muy Baja",'Riesgos de Gestión'!$AH$51="Menor"),CONCATENATE("R8C",'Riesgos de Gestión'!$V$51),"")</f>
        <v/>
      </c>
      <c r="U53" s="61" t="str">
        <f>IF(AND('Riesgos de Gestión'!$AF$52="Muy Baja",'Riesgos de Gestión'!$AH$52="Menor"),CONCATENATE("R8C",'Riesgos de Gestión'!$V$52),"")</f>
        <v/>
      </c>
      <c r="V53" s="50" t="str">
        <f>IF(AND('Riesgos de Gestión'!$AF$47="Muy Baja",'Riesgos de Gestión'!$AH$47="Moderado"),CONCATENATE("R8C",'Riesgos de Gestión'!$V$47),"")</f>
        <v/>
      </c>
      <c r="W53" s="51" t="str">
        <f>IF(AND('Riesgos de Gestión'!$AF$48="Muy Baja",'Riesgos de Gestión'!$AH$48="Moderado"),CONCATENATE("R8C",'Riesgos de Gestión'!$V$48),"")</f>
        <v/>
      </c>
      <c r="X53" s="51" t="str">
        <f>IF(AND('Riesgos de Gestión'!$AF$49="Muy Baja",'Riesgos de Gestión'!$AH$49="Moderado"),CONCATENATE("R8C",'Riesgos de Gestión'!$V$49),"")</f>
        <v/>
      </c>
      <c r="Y53" s="51" t="str">
        <f>IF(AND('Riesgos de Gestión'!$AF$50="Muy Baja",'Riesgos de Gestión'!$AH$50="Moderado"),CONCATENATE("R8C",'Riesgos de Gestión'!$V$50),"")</f>
        <v/>
      </c>
      <c r="Z53" s="51" t="str">
        <f>IF(AND('Riesgos de Gestión'!$AF$51="Muy Baja",'Riesgos de Gestión'!$AH$51="Moderado"),CONCATENATE("R8C",'Riesgos de Gestión'!$V$51),"")</f>
        <v/>
      </c>
      <c r="AA53" s="52" t="str">
        <f>IF(AND('Riesgos de Gestión'!$AF$52="Muy Baja",'Riesgos de Gestión'!$AH$52="Moderado"),CONCATENATE("R8C",'Riesgos de Gestión'!$V$52),"")</f>
        <v/>
      </c>
      <c r="AB53" s="35" t="str">
        <f>IF(AND('Riesgos de Gestión'!$AF$47="Muy Baja",'Riesgos de Gestión'!$AH$47="Mayor"),CONCATENATE("R8C",'Riesgos de Gestión'!$V$47),"")</f>
        <v/>
      </c>
      <c r="AC53" s="36" t="str">
        <f>IF(AND('Riesgos de Gestión'!$AF$48="Muy Baja",'Riesgos de Gestión'!$AH$48="Mayor"),CONCATENATE("R8C",'Riesgos de Gestión'!$V$48),"")</f>
        <v/>
      </c>
      <c r="AD53" s="36" t="str">
        <f>IF(AND('Riesgos de Gestión'!$AF$49="Muy Baja",'Riesgos de Gestión'!$AH$49="Mayor"),CONCATENATE("R8C",'Riesgos de Gestión'!$V$49),"")</f>
        <v/>
      </c>
      <c r="AE53" s="36" t="str">
        <f>IF(AND('Riesgos de Gestión'!$AF$50="Muy Baja",'Riesgos de Gestión'!$AH$50="Mayor"),CONCATENATE("R8C",'Riesgos de Gestión'!$V$50),"")</f>
        <v/>
      </c>
      <c r="AF53" s="36" t="str">
        <f>IF(AND('Riesgos de Gestión'!$AF$51="Muy Baja",'Riesgos de Gestión'!$AH$51="Mayor"),CONCATENATE("R8C",'Riesgos de Gestión'!$V$51),"")</f>
        <v/>
      </c>
      <c r="AG53" s="37" t="str">
        <f>IF(AND('Riesgos de Gestión'!$AF$52="Muy Baja",'Riesgos de Gestión'!$AH$52="Mayor"),CONCATENATE("R8C",'Riesgos de Gestión'!$V$52),"")</f>
        <v/>
      </c>
      <c r="AH53" s="38" t="str">
        <f>IF(AND('Riesgos de Gestión'!$AF$47="Muy Baja",'Riesgos de Gestión'!$AH$47="Catastrófico"),CONCATENATE("R8C",'Riesgos de Gestión'!$V$47),"")</f>
        <v/>
      </c>
      <c r="AI53" s="39" t="str">
        <f>IF(AND('Riesgos de Gestión'!$AF$48="Muy Baja",'Riesgos de Gestión'!$AH$48="Catastrófico"),CONCATENATE("R8C",'Riesgos de Gestión'!$V$48),"")</f>
        <v/>
      </c>
      <c r="AJ53" s="39" t="str">
        <f>IF(AND('Riesgos de Gestión'!$AF$49="Muy Baja",'Riesgos de Gestión'!$AH$49="Catastrófico"),CONCATENATE("R8C",'Riesgos de Gestión'!$V$49),"")</f>
        <v/>
      </c>
      <c r="AK53" s="39" t="str">
        <f>IF(AND('Riesgos de Gestión'!$AF$50="Muy Baja",'Riesgos de Gestión'!$AH$50="Catastrófico"),CONCATENATE("R8C",'Riesgos de Gestión'!$V$50),"")</f>
        <v/>
      </c>
      <c r="AL53" s="39" t="str">
        <f>IF(AND('Riesgos de Gestión'!$AF$51="Muy Baja",'Riesgos de Gestión'!$AH$51="Catastrófico"),CONCATENATE("R8C",'Riesgos de Gestión'!$V$51),"")</f>
        <v/>
      </c>
      <c r="AM53" s="40" t="str">
        <f>IF(AND('Riesgos de Gestión'!$AF$52="Muy Baja",'Riesgos de Gestión'!$AH$52="Catastrófico"),CONCATENATE("R8C",'Riesgos de Gestión'!$V$52),"")</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33"/>
      <c r="C54" s="433"/>
      <c r="D54" s="434"/>
      <c r="E54" s="474"/>
      <c r="F54" s="475"/>
      <c r="G54" s="475"/>
      <c r="H54" s="475"/>
      <c r="I54" s="476"/>
      <c r="J54" s="59" t="str">
        <f>IF(AND('Riesgos de Gestión'!$AF$53="Muy Baja",'Riesgos de Gestión'!$AH$53="Leve"),CONCATENATE("R9C",'Riesgos de Gestión'!$V$53),"")</f>
        <v/>
      </c>
      <c r="K54" s="60" t="str">
        <f>IF(AND('Riesgos de Gestión'!$AF$54="Muy Baja",'Riesgos de Gestión'!$AH$54="Leve"),CONCATENATE("R9C",'Riesgos de Gestión'!$V$54),"")</f>
        <v/>
      </c>
      <c r="L54" s="60" t="str">
        <f>IF(AND('Riesgos de Gestión'!$AF$55="Muy Baja",'Riesgos de Gestión'!$AH$55="Leve"),CONCATENATE("R9C",'Riesgos de Gestión'!$V$55),"")</f>
        <v/>
      </c>
      <c r="M54" s="60" t="str">
        <f>IF(AND('Riesgos de Gestión'!$AF$56="Muy Baja",'Riesgos de Gestión'!$AH$56="Leve"),CONCATENATE("R9C",'Riesgos de Gestión'!$V$56),"")</f>
        <v/>
      </c>
      <c r="N54" s="60" t="str">
        <f>IF(AND('Riesgos de Gestión'!$AF$57="Muy Baja",'Riesgos de Gestión'!$AH$57="Leve"),CONCATENATE("R9C",'Riesgos de Gestión'!$V$57),"")</f>
        <v/>
      </c>
      <c r="O54" s="61" t="str">
        <f>IF(AND('Riesgos de Gestión'!$AF$58="Muy Baja",'Riesgos de Gestión'!$AH$58="Leve"),CONCATENATE("R9C",'Riesgos de Gestión'!$V$58),"")</f>
        <v/>
      </c>
      <c r="P54" s="59" t="str">
        <f>IF(AND('Riesgos de Gestión'!$AF$53="Muy Baja",'Riesgos de Gestión'!$AH$53="Menor"),CONCATENATE("R9C",'Riesgos de Gestión'!$V$53),"")</f>
        <v/>
      </c>
      <c r="Q54" s="60" t="str">
        <f>IF(AND('Riesgos de Gestión'!$AF$54="Muy Baja",'Riesgos de Gestión'!$AH$54="Menor"),CONCATENATE("R9C",'Riesgos de Gestión'!$V$54),"")</f>
        <v/>
      </c>
      <c r="R54" s="60" t="str">
        <f>IF(AND('Riesgos de Gestión'!$AF$55="Muy Baja",'Riesgos de Gestión'!$AH$55="Menor"),CONCATENATE("R9C",'Riesgos de Gestión'!$V$55),"")</f>
        <v/>
      </c>
      <c r="S54" s="60" t="str">
        <f>IF(AND('Riesgos de Gestión'!$AF$56="Muy Baja",'Riesgos de Gestión'!$AH$56="Menor"),CONCATENATE("R9C",'Riesgos de Gestión'!$V$56),"")</f>
        <v/>
      </c>
      <c r="T54" s="60" t="str">
        <f>IF(AND('Riesgos de Gestión'!$AF$57="Muy Baja",'Riesgos de Gestión'!$AH$57="Menor"),CONCATENATE("R9C",'Riesgos de Gestión'!$V$57),"")</f>
        <v/>
      </c>
      <c r="U54" s="61" t="str">
        <f>IF(AND('Riesgos de Gestión'!$AF$58="Muy Baja",'Riesgos de Gestión'!$AH$58="Menor"),CONCATENATE("R9C",'Riesgos de Gestión'!$V$58),"")</f>
        <v/>
      </c>
      <c r="V54" s="50" t="str">
        <f>IF(AND('Riesgos de Gestión'!$AF$53="Muy Baja",'Riesgos de Gestión'!$AH$53="Moderado"),CONCATENATE("R9C",'Riesgos de Gestión'!$V$53),"")</f>
        <v/>
      </c>
      <c r="W54" s="51" t="str">
        <f>IF(AND('Riesgos de Gestión'!$AF$54="Muy Baja",'Riesgos de Gestión'!$AH$54="Moderado"),CONCATENATE("R9C",'Riesgos de Gestión'!$V$54),"")</f>
        <v/>
      </c>
      <c r="X54" s="51" t="str">
        <f>IF(AND('Riesgos de Gestión'!$AF$55="Muy Baja",'Riesgos de Gestión'!$AH$55="Moderado"),CONCATENATE("R9C",'Riesgos de Gestión'!$V$55),"")</f>
        <v/>
      </c>
      <c r="Y54" s="51" t="str">
        <f>IF(AND('Riesgos de Gestión'!$AF$56="Muy Baja",'Riesgos de Gestión'!$AH$56="Moderado"),CONCATENATE("R9C",'Riesgos de Gestión'!$V$56),"")</f>
        <v/>
      </c>
      <c r="Z54" s="51" t="str">
        <f>IF(AND('Riesgos de Gestión'!$AF$57="Muy Baja",'Riesgos de Gestión'!$AH$57="Moderado"),CONCATENATE("R9C",'Riesgos de Gestión'!$V$57),"")</f>
        <v/>
      </c>
      <c r="AA54" s="52" t="str">
        <f>IF(AND('Riesgos de Gestión'!$AF$58="Muy Baja",'Riesgos de Gestión'!$AH$58="Moderado"),CONCATENATE("R9C",'Riesgos de Gestión'!$V$58),"")</f>
        <v/>
      </c>
      <c r="AB54" s="35" t="str">
        <f>IF(AND('Riesgos de Gestión'!$AF$53="Muy Baja",'Riesgos de Gestión'!$AH$53="Mayor"),CONCATENATE("R9C",'Riesgos de Gestión'!$V$53),"")</f>
        <v/>
      </c>
      <c r="AC54" s="36" t="str">
        <f>IF(AND('Riesgos de Gestión'!$AF$54="Muy Baja",'Riesgos de Gestión'!$AH$54="Mayor"),CONCATENATE("R9C",'Riesgos de Gestión'!$V$54),"")</f>
        <v/>
      </c>
      <c r="AD54" s="36" t="str">
        <f>IF(AND('Riesgos de Gestión'!$AF$55="Muy Baja",'Riesgos de Gestión'!$AH$55="Mayor"),CONCATENATE("R9C",'Riesgos de Gestión'!$V$55),"")</f>
        <v/>
      </c>
      <c r="AE54" s="36" t="str">
        <f>IF(AND('Riesgos de Gestión'!$AF$56="Muy Baja",'Riesgos de Gestión'!$AH$56="Mayor"),CONCATENATE("R9C",'Riesgos de Gestión'!$V$56),"")</f>
        <v/>
      </c>
      <c r="AF54" s="36" t="str">
        <f>IF(AND('Riesgos de Gestión'!$AF$57="Muy Baja",'Riesgos de Gestión'!$AH$57="Mayor"),CONCATENATE("R9C",'Riesgos de Gestión'!$V$57),"")</f>
        <v/>
      </c>
      <c r="AG54" s="37" t="str">
        <f>IF(AND('Riesgos de Gestión'!$AF$58="Muy Baja",'Riesgos de Gestión'!$AH$58="Mayor"),CONCATENATE("R9C",'Riesgos de Gestión'!$V$58),"")</f>
        <v/>
      </c>
      <c r="AH54" s="38" t="str">
        <f>IF(AND('Riesgos de Gestión'!$AF$53="Muy Baja",'Riesgos de Gestión'!$AH$53="Catastrófico"),CONCATENATE("R9C",'Riesgos de Gestión'!$V$53),"")</f>
        <v/>
      </c>
      <c r="AI54" s="39" t="str">
        <f>IF(AND('Riesgos de Gestión'!$AF$54="Muy Baja",'Riesgos de Gestión'!$AH$54="Catastrófico"),CONCATENATE("R9C",'Riesgos de Gestión'!$V$54),"")</f>
        <v/>
      </c>
      <c r="AJ54" s="39" t="str">
        <f>IF(AND('Riesgos de Gestión'!$AF$55="Muy Baja",'Riesgos de Gestión'!$AH$55="Catastrófico"),CONCATENATE("R9C",'Riesgos de Gestión'!$V$55),"")</f>
        <v/>
      </c>
      <c r="AK54" s="39" t="str">
        <f>IF(AND('Riesgos de Gestión'!$AF$56="Muy Baja",'Riesgos de Gestión'!$AH$56="Catastrófico"),CONCATENATE("R9C",'Riesgos de Gestión'!$V$56),"")</f>
        <v/>
      </c>
      <c r="AL54" s="39" t="str">
        <f>IF(AND('Riesgos de Gestión'!$AF$57="Muy Baja",'Riesgos de Gestión'!$AH$57="Catastrófico"),CONCATENATE("R9C",'Riesgos de Gestión'!$V$57),"")</f>
        <v/>
      </c>
      <c r="AM54" s="40" t="str">
        <f>IF(AND('Riesgos de Gestión'!$AF$58="Muy Baja",'Riesgos de Gestión'!$AH$58="Catastrófico"),CONCATENATE("R9C",'Riesgos de Gestión'!$V$58),"")</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33"/>
      <c r="C55" s="433"/>
      <c r="D55" s="434"/>
      <c r="E55" s="477"/>
      <c r="F55" s="478"/>
      <c r="G55" s="478"/>
      <c r="H55" s="478"/>
      <c r="I55" s="479"/>
      <c r="J55" s="62" t="str">
        <f>IF(AND('Riesgos de Gestión'!$AF$59="Muy Baja",'Riesgos de Gestión'!$AH$59="Leve"),CONCATENATE("R10C",'Riesgos de Gestión'!$V$59),"")</f>
        <v/>
      </c>
      <c r="K55" s="63" t="str">
        <f>IF(AND('Riesgos de Gestión'!$AF$60="Muy Baja",'Riesgos de Gestión'!$AH$60="Leve"),CONCATENATE("R10C",'Riesgos de Gestión'!$V$60),"")</f>
        <v/>
      </c>
      <c r="L55" s="63" t="str">
        <f>IF(AND('Riesgos de Gestión'!$AF$61="Muy Baja",'Riesgos de Gestión'!$AH$61="Leve"),CONCATENATE("R10C",'Riesgos de Gestión'!$V$61),"")</f>
        <v/>
      </c>
      <c r="M55" s="63" t="str">
        <f>IF(AND('Riesgos de Gestión'!$AF$62="Muy Baja",'Riesgos de Gestión'!$AH$62="Leve"),CONCATENATE("R10C",'Riesgos de Gestión'!$V$62),"")</f>
        <v/>
      </c>
      <c r="N55" s="63" t="str">
        <f>IF(AND('Riesgos de Gestión'!$AF$63="Muy Baja",'Riesgos de Gestión'!$AH$63="Leve"),CONCATENATE("R10C",'Riesgos de Gestión'!$V$63),"")</f>
        <v/>
      </c>
      <c r="O55" s="64" t="str">
        <f>IF(AND('Riesgos de Gestión'!$AF$64="Muy Baja",'Riesgos de Gestión'!$AH$64="Leve"),CONCATENATE("R10C",'Riesgos de Gestión'!$V$64),"")</f>
        <v/>
      </c>
      <c r="P55" s="62" t="str">
        <f>IF(AND('Riesgos de Gestión'!$AF$59="Muy Baja",'Riesgos de Gestión'!$AH$59="Menor"),CONCATENATE("R10C",'Riesgos de Gestión'!$V$59),"")</f>
        <v/>
      </c>
      <c r="Q55" s="63" t="str">
        <f>IF(AND('Riesgos de Gestión'!$AF$60="Muy Baja",'Riesgos de Gestión'!$AH$60="Menor"),CONCATENATE("R10C",'Riesgos de Gestión'!$V$60),"")</f>
        <v/>
      </c>
      <c r="R55" s="63" t="str">
        <f>IF(AND('Riesgos de Gestión'!$AF$61="Muy Baja",'Riesgos de Gestión'!$AH$61="Menor"),CONCATENATE("R10C",'Riesgos de Gestión'!$V$61),"")</f>
        <v/>
      </c>
      <c r="S55" s="63" t="str">
        <f>IF(AND('Riesgos de Gestión'!$AF$62="Muy Baja",'Riesgos de Gestión'!$AH$62="Menor"),CONCATENATE("R10C",'Riesgos de Gestión'!$V$62),"")</f>
        <v/>
      </c>
      <c r="T55" s="63" t="str">
        <f>IF(AND('Riesgos de Gestión'!$AF$63="Muy Baja",'Riesgos de Gestión'!$AH$63="Menor"),CONCATENATE("R10C",'Riesgos de Gestión'!$V$63),"")</f>
        <v/>
      </c>
      <c r="U55" s="64" t="str">
        <f>IF(AND('Riesgos de Gestión'!$AF$64="Muy Baja",'Riesgos de Gestión'!$AH$64="Menor"),CONCATENATE("R10C",'Riesgos de Gestión'!$V$64),"")</f>
        <v/>
      </c>
      <c r="V55" s="53" t="str">
        <f>IF(AND('Riesgos de Gestión'!$AF$59="Muy Baja",'Riesgos de Gestión'!$AH$59="Moderado"),CONCATENATE("R10C",'Riesgos de Gestión'!$V$59),"")</f>
        <v/>
      </c>
      <c r="W55" s="54" t="str">
        <f>IF(AND('Riesgos de Gestión'!$AF$60="Muy Baja",'Riesgos de Gestión'!$AH$60="Moderado"),CONCATENATE("R10C",'Riesgos de Gestión'!$V$60),"")</f>
        <v/>
      </c>
      <c r="X55" s="54" t="str">
        <f>IF(AND('Riesgos de Gestión'!$AF$61="Muy Baja",'Riesgos de Gestión'!$AH$61="Moderado"),CONCATENATE("R10C",'Riesgos de Gestión'!$V$61),"")</f>
        <v/>
      </c>
      <c r="Y55" s="54" t="str">
        <f>IF(AND('Riesgos de Gestión'!$AF$62="Muy Baja",'Riesgos de Gestión'!$AH$62="Moderado"),CONCATENATE("R10C",'Riesgos de Gestión'!$V$62),"")</f>
        <v/>
      </c>
      <c r="Z55" s="54" t="str">
        <f>IF(AND('Riesgos de Gestión'!$AF$63="Muy Baja",'Riesgos de Gestión'!$AH$63="Moderado"),CONCATENATE("R10C",'Riesgos de Gestión'!$V$63),"")</f>
        <v/>
      </c>
      <c r="AA55" s="55" t="str">
        <f>IF(AND('Riesgos de Gestión'!$AF$64="Muy Baja",'Riesgos de Gestión'!$AH$64="Moderado"),CONCATENATE("R10C",'Riesgos de Gestión'!$V$64),"")</f>
        <v/>
      </c>
      <c r="AB55" s="41" t="str">
        <f>IF(AND('Riesgos de Gestión'!$AF$59="Muy Baja",'Riesgos de Gestión'!$AH$59="Mayor"),CONCATENATE("R10C",'Riesgos de Gestión'!$V$59),"")</f>
        <v/>
      </c>
      <c r="AC55" s="42" t="str">
        <f>IF(AND('Riesgos de Gestión'!$AF$60="Muy Baja",'Riesgos de Gestión'!$AH$60="Mayor"),CONCATENATE("R10C",'Riesgos de Gestión'!$V$60),"")</f>
        <v/>
      </c>
      <c r="AD55" s="42" t="str">
        <f>IF(AND('Riesgos de Gestión'!$AF$61="Muy Baja",'Riesgos de Gestión'!$AH$61="Mayor"),CONCATENATE("R10C",'Riesgos de Gestión'!$V$61),"")</f>
        <v/>
      </c>
      <c r="AE55" s="42" t="str">
        <f>IF(AND('Riesgos de Gestión'!$AF$62="Muy Baja",'Riesgos de Gestión'!$AH$62="Mayor"),CONCATENATE("R10C",'Riesgos de Gestión'!$V$62),"")</f>
        <v/>
      </c>
      <c r="AF55" s="42" t="str">
        <f>IF(AND('Riesgos de Gestión'!$AF$63="Muy Baja",'Riesgos de Gestión'!$AH$63="Mayor"),CONCATENATE("R10C",'Riesgos de Gestión'!$V$63),"")</f>
        <v/>
      </c>
      <c r="AG55" s="43" t="str">
        <f>IF(AND('Riesgos de Gestión'!$AF$64="Muy Baja",'Riesgos de Gestión'!$AH$64="Mayor"),CONCATENATE("R10C",'Riesgos de Gestión'!$V$64),"")</f>
        <v/>
      </c>
      <c r="AH55" s="44" t="str">
        <f>IF(AND('Riesgos de Gestión'!$AF$59="Muy Baja",'Riesgos de Gestión'!$AH$59="Catastrófico"),CONCATENATE("R10C",'Riesgos de Gestión'!$V$59),"")</f>
        <v/>
      </c>
      <c r="AI55" s="45" t="str">
        <f>IF(AND('Riesgos de Gestión'!$AF$60="Muy Baja",'Riesgos de Gestión'!$AH$60="Catastrófico"),CONCATENATE("R10C",'Riesgos de Gestión'!$V$60),"")</f>
        <v/>
      </c>
      <c r="AJ55" s="45" t="str">
        <f>IF(AND('Riesgos de Gestión'!$AF$61="Muy Baja",'Riesgos de Gestión'!$AH$61="Catastrófico"),CONCATENATE("R10C",'Riesgos de Gestión'!$V$61),"")</f>
        <v/>
      </c>
      <c r="AK55" s="45" t="str">
        <f>IF(AND('Riesgos de Gestión'!$AF$62="Muy Baja",'Riesgos de Gestión'!$AH$62="Catastrófico"),CONCATENATE("R10C",'Riesgos de Gestión'!$V$62),"")</f>
        <v/>
      </c>
      <c r="AL55" s="45" t="str">
        <f>IF(AND('Riesgos de Gestión'!$AF$63="Muy Baja",'Riesgos de Gestión'!$AH$63="Catastrófico"),CONCATENATE("R10C",'Riesgos de Gestión'!$V$63),"")</f>
        <v/>
      </c>
      <c r="AM55" s="46" t="str">
        <f>IF(AND('Riesgos de Gestión'!$AF$64="Muy Baja",'Riesgos de Gestión'!$AH$64="Catastrófico"),CONCATENATE("R10C",'Riesgos de Gestión'!$V$64),"")</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71" t="s">
        <v>274</v>
      </c>
      <c r="K56" s="472"/>
      <c r="L56" s="472"/>
      <c r="M56" s="472"/>
      <c r="N56" s="472"/>
      <c r="O56" s="473"/>
      <c r="P56" s="471" t="s">
        <v>275</v>
      </c>
      <c r="Q56" s="472"/>
      <c r="R56" s="472"/>
      <c r="S56" s="472"/>
      <c r="T56" s="472"/>
      <c r="U56" s="473"/>
      <c r="V56" s="471" t="s">
        <v>276</v>
      </c>
      <c r="W56" s="472"/>
      <c r="X56" s="472"/>
      <c r="Y56" s="472"/>
      <c r="Z56" s="472"/>
      <c r="AA56" s="473"/>
      <c r="AB56" s="471" t="s">
        <v>277</v>
      </c>
      <c r="AC56" s="480"/>
      <c r="AD56" s="472"/>
      <c r="AE56" s="472"/>
      <c r="AF56" s="472"/>
      <c r="AG56" s="473"/>
      <c r="AH56" s="471" t="s">
        <v>278</v>
      </c>
      <c r="AI56" s="472"/>
      <c r="AJ56" s="472"/>
      <c r="AK56" s="472"/>
      <c r="AL56" s="472"/>
      <c r="AM56" s="473"/>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74"/>
      <c r="K57" s="475"/>
      <c r="L57" s="475"/>
      <c r="M57" s="475"/>
      <c r="N57" s="475"/>
      <c r="O57" s="476"/>
      <c r="P57" s="474"/>
      <c r="Q57" s="475"/>
      <c r="R57" s="475"/>
      <c r="S57" s="475"/>
      <c r="T57" s="475"/>
      <c r="U57" s="476"/>
      <c r="V57" s="474"/>
      <c r="W57" s="475"/>
      <c r="X57" s="475"/>
      <c r="Y57" s="475"/>
      <c r="Z57" s="475"/>
      <c r="AA57" s="476"/>
      <c r="AB57" s="474"/>
      <c r="AC57" s="475"/>
      <c r="AD57" s="475"/>
      <c r="AE57" s="475"/>
      <c r="AF57" s="475"/>
      <c r="AG57" s="476"/>
      <c r="AH57" s="474"/>
      <c r="AI57" s="475"/>
      <c r="AJ57" s="475"/>
      <c r="AK57" s="475"/>
      <c r="AL57" s="475"/>
      <c r="AM57" s="47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74"/>
      <c r="K58" s="475"/>
      <c r="L58" s="475"/>
      <c r="M58" s="475"/>
      <c r="N58" s="475"/>
      <c r="O58" s="476"/>
      <c r="P58" s="474"/>
      <c r="Q58" s="475"/>
      <c r="R58" s="475"/>
      <c r="S58" s="475"/>
      <c r="T58" s="475"/>
      <c r="U58" s="476"/>
      <c r="V58" s="474"/>
      <c r="W58" s="475"/>
      <c r="X58" s="475"/>
      <c r="Y58" s="475"/>
      <c r="Z58" s="475"/>
      <c r="AA58" s="476"/>
      <c r="AB58" s="474"/>
      <c r="AC58" s="475"/>
      <c r="AD58" s="475"/>
      <c r="AE58" s="475"/>
      <c r="AF58" s="475"/>
      <c r="AG58" s="476"/>
      <c r="AH58" s="474"/>
      <c r="AI58" s="475"/>
      <c r="AJ58" s="475"/>
      <c r="AK58" s="475"/>
      <c r="AL58" s="475"/>
      <c r="AM58" s="47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74"/>
      <c r="K59" s="475"/>
      <c r="L59" s="475"/>
      <c r="M59" s="475"/>
      <c r="N59" s="475"/>
      <c r="O59" s="476"/>
      <c r="P59" s="474"/>
      <c r="Q59" s="475"/>
      <c r="R59" s="475"/>
      <c r="S59" s="475"/>
      <c r="T59" s="475"/>
      <c r="U59" s="476"/>
      <c r="V59" s="474"/>
      <c r="W59" s="475"/>
      <c r="X59" s="475"/>
      <c r="Y59" s="475"/>
      <c r="Z59" s="475"/>
      <c r="AA59" s="476"/>
      <c r="AB59" s="474"/>
      <c r="AC59" s="475"/>
      <c r="AD59" s="475"/>
      <c r="AE59" s="475"/>
      <c r="AF59" s="475"/>
      <c r="AG59" s="476"/>
      <c r="AH59" s="474"/>
      <c r="AI59" s="475"/>
      <c r="AJ59" s="475"/>
      <c r="AK59" s="475"/>
      <c r="AL59" s="475"/>
      <c r="AM59" s="47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74"/>
      <c r="K60" s="475"/>
      <c r="L60" s="475"/>
      <c r="M60" s="475"/>
      <c r="N60" s="475"/>
      <c r="O60" s="476"/>
      <c r="P60" s="474"/>
      <c r="Q60" s="475"/>
      <c r="R60" s="475"/>
      <c r="S60" s="475"/>
      <c r="T60" s="475"/>
      <c r="U60" s="476"/>
      <c r="V60" s="474"/>
      <c r="W60" s="475"/>
      <c r="X60" s="475"/>
      <c r="Y60" s="475"/>
      <c r="Z60" s="475"/>
      <c r="AA60" s="476"/>
      <c r="AB60" s="474"/>
      <c r="AC60" s="475"/>
      <c r="AD60" s="475"/>
      <c r="AE60" s="475"/>
      <c r="AF60" s="475"/>
      <c r="AG60" s="476"/>
      <c r="AH60" s="474"/>
      <c r="AI60" s="475"/>
      <c r="AJ60" s="475"/>
      <c r="AK60" s="475"/>
      <c r="AL60" s="475"/>
      <c r="AM60" s="47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77"/>
      <c r="K61" s="478"/>
      <c r="L61" s="478"/>
      <c r="M61" s="478"/>
      <c r="N61" s="478"/>
      <c r="O61" s="479"/>
      <c r="P61" s="477"/>
      <c r="Q61" s="478"/>
      <c r="R61" s="478"/>
      <c r="S61" s="478"/>
      <c r="T61" s="478"/>
      <c r="U61" s="479"/>
      <c r="V61" s="477"/>
      <c r="W61" s="478"/>
      <c r="X61" s="478"/>
      <c r="Y61" s="478"/>
      <c r="Z61" s="478"/>
      <c r="AA61" s="479"/>
      <c r="AB61" s="477"/>
      <c r="AC61" s="478"/>
      <c r="AD61" s="478"/>
      <c r="AE61" s="478"/>
      <c r="AF61" s="478"/>
      <c r="AG61" s="479"/>
      <c r="AH61" s="477"/>
      <c r="AI61" s="478"/>
      <c r="AJ61" s="478"/>
      <c r="AK61" s="478"/>
      <c r="AL61" s="478"/>
      <c r="AM61" s="479"/>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4D1F-9FDD-463F-84AD-24712E22B4F0}">
  <sheetPr>
    <tabColor rgb="FF002060"/>
  </sheetPr>
  <dimension ref="A1:JL71"/>
  <sheetViews>
    <sheetView topLeftCell="A9" zoomScale="50" zoomScaleNormal="50" zoomScaleSheetLayoutView="40" zoomScalePageLayoutView="60" workbookViewId="0">
      <selection activeCell="A13" sqref="A13:A14"/>
    </sheetView>
  </sheetViews>
  <sheetFormatPr baseColWidth="10" defaultColWidth="11.42578125" defaultRowHeight="15" x14ac:dyDescent="0.2"/>
  <cols>
    <col min="1" max="1" width="6.5703125" style="217" customWidth="1"/>
    <col min="2" max="2" width="16" style="217" customWidth="1"/>
    <col min="3" max="3" width="19.140625" style="217" customWidth="1"/>
    <col min="4" max="4" width="25.28515625" style="217" customWidth="1"/>
    <col min="5" max="5" width="40.140625" style="217" customWidth="1"/>
    <col min="6" max="6" width="17.7109375" style="197" customWidth="1"/>
    <col min="7" max="7" width="16" style="197" customWidth="1"/>
    <col min="8" max="8" width="24.28515625" style="197" customWidth="1"/>
    <col min="9" max="10" width="28.42578125" style="197" customWidth="1"/>
    <col min="11" max="11" width="24.28515625" style="197" customWidth="1"/>
    <col min="12" max="12" width="19.42578125" style="197" customWidth="1"/>
    <col min="13" max="13" width="20.5703125" style="197" customWidth="1"/>
    <col min="14" max="14" width="14.7109375" style="218" customWidth="1"/>
    <col min="15" max="15" width="16.7109375" style="197" customWidth="1"/>
    <col min="16" max="16" width="10.42578125" style="197" hidden="1" customWidth="1"/>
    <col min="17" max="17" width="12.85546875" style="197" customWidth="1"/>
    <col min="18" max="18" width="35.85546875" style="197" hidden="1" customWidth="1"/>
    <col min="19" max="19" width="17.140625" style="197" customWidth="1"/>
    <col min="20" max="20" width="17.5703125" style="197" hidden="1" customWidth="1"/>
    <col min="21" max="21" width="15" style="197" customWidth="1"/>
    <col min="22" max="22" width="16" style="197" customWidth="1"/>
    <col min="23" max="23" width="57.7109375" style="197" customWidth="1"/>
    <col min="24" max="24" width="26.85546875" style="197" hidden="1" customWidth="1"/>
    <col min="25" max="25" width="5.85546875" style="197" customWidth="1"/>
    <col min="26" max="26" width="6.85546875" style="197" customWidth="1"/>
    <col min="27" max="27" width="5" style="197" hidden="1" customWidth="1"/>
    <col min="28" max="28" width="5.5703125" style="197" customWidth="1"/>
    <col min="29" max="29" width="7.140625" style="197" customWidth="1"/>
    <col min="30" max="30" width="6.7109375" style="197" customWidth="1"/>
    <col min="31" max="31" width="7.5703125" style="197" hidden="1" customWidth="1"/>
    <col min="32" max="32" width="8.5703125" style="197" customWidth="1"/>
    <col min="33" max="37" width="10.85546875" style="197" customWidth="1"/>
    <col min="38" max="38" width="15.140625" style="216" customWidth="1"/>
    <col min="39" max="39" width="23" style="197" customWidth="1"/>
    <col min="40" max="40" width="18.85546875" style="197" customWidth="1"/>
    <col min="41" max="41" width="21.5703125" style="197" customWidth="1"/>
    <col min="42" max="42" width="22.42578125" style="197" customWidth="1"/>
    <col min="43" max="43" width="16.42578125" style="197" customWidth="1"/>
    <col min="44" max="44" width="20.5703125" style="197" customWidth="1"/>
    <col min="45" max="16384" width="11.42578125" style="197"/>
  </cols>
  <sheetData>
    <row r="1" spans="1:272" s="200" customFormat="1" ht="24" customHeight="1" x14ac:dyDescent="0.3">
      <c r="A1" s="376"/>
      <c r="B1" s="377"/>
      <c r="C1" s="522"/>
      <c r="D1" s="525" t="s">
        <v>208</v>
      </c>
      <c r="E1" s="526"/>
      <c r="F1" s="526"/>
      <c r="G1" s="526"/>
      <c r="H1" s="526"/>
      <c r="I1" s="526"/>
      <c r="J1" s="526"/>
      <c r="K1" s="526"/>
      <c r="L1" s="526"/>
      <c r="M1" s="526"/>
      <c r="N1" s="526"/>
      <c r="O1" s="526"/>
      <c r="P1" s="526"/>
      <c r="Q1" s="526"/>
      <c r="R1" s="526"/>
      <c r="S1" s="527"/>
      <c r="T1" s="251"/>
      <c r="U1" s="252"/>
      <c r="V1" s="252"/>
      <c r="W1" s="252"/>
      <c r="X1" s="349"/>
      <c r="Y1" s="349"/>
      <c r="Z1" s="349"/>
      <c r="AA1" s="349"/>
      <c r="AB1" s="349"/>
      <c r="AC1" s="349"/>
      <c r="AD1" s="349"/>
      <c r="AE1" s="349"/>
      <c r="AF1" s="349"/>
      <c r="AG1" s="349"/>
      <c r="AH1" s="349"/>
      <c r="AI1" s="349"/>
      <c r="AJ1" s="349"/>
      <c r="AK1" s="349"/>
      <c r="AL1" s="349"/>
      <c r="AM1" s="349"/>
      <c r="AN1" s="349"/>
      <c r="AO1" s="349"/>
      <c r="AP1" s="349"/>
      <c r="AQ1" s="349"/>
      <c r="AR1" s="34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row>
    <row r="2" spans="1:272" s="200" customFormat="1" ht="24" customHeight="1" thickBot="1" x14ac:dyDescent="0.35">
      <c r="A2" s="379"/>
      <c r="B2" s="380"/>
      <c r="C2" s="523"/>
      <c r="D2" s="528"/>
      <c r="E2" s="529"/>
      <c r="F2" s="529"/>
      <c r="G2" s="529"/>
      <c r="H2" s="529"/>
      <c r="I2" s="529"/>
      <c r="J2" s="529"/>
      <c r="K2" s="529"/>
      <c r="L2" s="529"/>
      <c r="M2" s="529"/>
      <c r="N2" s="529"/>
      <c r="O2" s="529"/>
      <c r="P2" s="529"/>
      <c r="Q2" s="529"/>
      <c r="R2" s="529"/>
      <c r="S2" s="530"/>
      <c r="T2" s="258"/>
      <c r="U2" s="252"/>
      <c r="V2" s="252"/>
      <c r="W2" s="252"/>
      <c r="X2" s="349"/>
      <c r="Y2" s="349"/>
      <c r="Z2" s="349"/>
      <c r="AA2" s="349"/>
      <c r="AB2" s="349"/>
      <c r="AC2" s="349"/>
      <c r="AD2" s="349"/>
      <c r="AE2" s="349"/>
      <c r="AF2" s="349"/>
      <c r="AG2" s="349"/>
      <c r="AH2" s="349"/>
      <c r="AI2" s="349"/>
      <c r="AJ2" s="349"/>
      <c r="AK2" s="349"/>
      <c r="AL2" s="349"/>
      <c r="AM2" s="349"/>
      <c r="AN2" s="349"/>
      <c r="AO2" s="349"/>
      <c r="AP2" s="349"/>
      <c r="AQ2" s="349"/>
      <c r="AR2" s="34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row>
    <row r="3" spans="1:272" s="200" customFormat="1" ht="24" customHeight="1" x14ac:dyDescent="0.3">
      <c r="A3" s="379"/>
      <c r="B3" s="380"/>
      <c r="C3" s="523"/>
      <c r="D3" s="531" t="s">
        <v>209</v>
      </c>
      <c r="E3" s="532"/>
      <c r="F3" s="532"/>
      <c r="G3" s="532"/>
      <c r="H3" s="532"/>
      <c r="I3" s="533"/>
      <c r="J3" s="534" t="s">
        <v>210</v>
      </c>
      <c r="K3" s="532"/>
      <c r="L3" s="532"/>
      <c r="M3" s="532"/>
      <c r="N3" s="532"/>
      <c r="O3" s="532"/>
      <c r="P3" s="532"/>
      <c r="Q3" s="532"/>
      <c r="R3" s="532"/>
      <c r="S3" s="533"/>
      <c r="T3" s="259"/>
      <c r="U3" s="253"/>
      <c r="V3" s="253"/>
      <c r="W3" s="252"/>
      <c r="X3" s="350"/>
      <c r="Y3" s="350"/>
      <c r="Z3" s="350"/>
      <c r="AA3" s="350"/>
      <c r="AB3" s="350"/>
      <c r="AC3" s="350"/>
      <c r="AD3" s="350"/>
      <c r="AE3" s="350"/>
      <c r="AF3" s="350"/>
      <c r="AG3" s="350"/>
      <c r="AH3" s="350"/>
      <c r="AI3" s="350"/>
      <c r="AJ3" s="350"/>
      <c r="AK3" s="350"/>
      <c r="AL3" s="350"/>
      <c r="AM3" s="350"/>
      <c r="AN3" s="350"/>
      <c r="AO3" s="350"/>
      <c r="AP3" s="350"/>
      <c r="AQ3" s="350"/>
      <c r="AR3" s="350"/>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row>
    <row r="4" spans="1:272" s="200" customFormat="1" ht="24" customHeight="1" thickBot="1" x14ac:dyDescent="0.35">
      <c r="A4" s="382"/>
      <c r="B4" s="383"/>
      <c r="C4" s="524"/>
      <c r="D4" s="535" t="s">
        <v>422</v>
      </c>
      <c r="E4" s="536"/>
      <c r="F4" s="536"/>
      <c r="G4" s="536"/>
      <c r="H4" s="536"/>
      <c r="I4" s="536"/>
      <c r="J4" s="536"/>
      <c r="K4" s="536"/>
      <c r="L4" s="536"/>
      <c r="M4" s="536"/>
      <c r="N4" s="536"/>
      <c r="O4" s="536"/>
      <c r="P4" s="536"/>
      <c r="Q4" s="536"/>
      <c r="R4" s="536"/>
      <c r="S4" s="537"/>
      <c r="T4" s="258"/>
      <c r="U4" s="252"/>
      <c r="V4" s="252"/>
      <c r="W4" s="252"/>
      <c r="X4" s="350"/>
      <c r="Y4" s="350"/>
      <c r="Z4" s="350"/>
      <c r="AA4" s="350"/>
      <c r="AB4" s="350"/>
      <c r="AC4" s="350"/>
      <c r="AD4" s="350"/>
      <c r="AE4" s="350"/>
      <c r="AF4" s="350"/>
      <c r="AG4" s="350"/>
      <c r="AH4" s="350"/>
      <c r="AI4" s="350"/>
      <c r="AJ4" s="350"/>
      <c r="AK4" s="350"/>
      <c r="AL4" s="350"/>
      <c r="AM4" s="350"/>
      <c r="AN4" s="350"/>
      <c r="AO4" s="350"/>
      <c r="AP4" s="350"/>
      <c r="AQ4" s="350"/>
      <c r="AR4" s="350"/>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row>
    <row r="5" spans="1:272" ht="15.75" thickBot="1" x14ac:dyDescent="0.25">
      <c r="A5" s="201"/>
      <c r="B5" s="202"/>
      <c r="C5" s="201"/>
      <c r="D5" s="201"/>
      <c r="E5" s="201"/>
      <c r="F5" s="203"/>
      <c r="G5" s="203"/>
      <c r="H5" s="203"/>
      <c r="I5" s="203"/>
      <c r="J5" s="203"/>
      <c r="K5" s="203"/>
      <c r="L5" s="203"/>
      <c r="M5" s="203"/>
      <c r="N5" s="204"/>
      <c r="O5" s="203"/>
      <c r="P5" s="203"/>
      <c r="Q5" s="203"/>
      <c r="R5" s="203"/>
      <c r="S5" s="203"/>
      <c r="T5" s="203"/>
      <c r="U5" s="203"/>
      <c r="V5" s="203"/>
      <c r="W5" s="203"/>
      <c r="X5" s="203"/>
      <c r="Y5" s="203"/>
      <c r="Z5" s="203"/>
      <c r="AA5" s="203"/>
      <c r="AB5" s="203"/>
      <c r="AC5" s="203"/>
      <c r="AD5" s="203"/>
      <c r="AE5" s="203"/>
      <c r="AF5" s="203"/>
      <c r="AG5" s="203"/>
      <c r="AH5" s="203"/>
      <c r="AI5" s="203"/>
      <c r="AJ5" s="203"/>
      <c r="AK5" s="203"/>
      <c r="AL5" s="254"/>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row>
    <row r="6" spans="1:272" ht="27.75" customHeight="1" thickBot="1" x14ac:dyDescent="0.25">
      <c r="A6" s="351" t="s">
        <v>211</v>
      </c>
      <c r="B6" s="352"/>
      <c r="C6" s="358" t="s">
        <v>87</v>
      </c>
      <c r="D6" s="359"/>
      <c r="E6" s="359"/>
      <c r="F6" s="359"/>
      <c r="G6" s="359"/>
      <c r="H6" s="359"/>
      <c r="I6" s="359"/>
      <c r="J6" s="359"/>
      <c r="K6" s="359"/>
      <c r="L6" s="359"/>
      <c r="M6" s="359"/>
      <c r="N6" s="359"/>
      <c r="O6" s="359"/>
      <c r="P6" s="359"/>
      <c r="Q6" s="359"/>
      <c r="R6" s="359"/>
      <c r="S6" s="359"/>
      <c r="T6" s="360"/>
      <c r="U6" s="260"/>
      <c r="V6" s="260"/>
      <c r="W6" s="357"/>
      <c r="X6" s="357"/>
      <c r="Y6" s="357"/>
      <c r="Z6" s="348"/>
      <c r="AA6" s="348"/>
      <c r="AB6" s="348"/>
      <c r="AC6" s="348"/>
      <c r="AD6" s="348"/>
      <c r="AE6" s="348"/>
      <c r="AF6" s="348"/>
      <c r="AG6" s="348"/>
      <c r="AH6" s="348"/>
      <c r="AI6" s="348"/>
      <c r="AJ6" s="348"/>
      <c r="AK6" s="348"/>
      <c r="AL6" s="348"/>
      <c r="AM6" s="348"/>
      <c r="AN6" s="348"/>
      <c r="AO6" s="348"/>
      <c r="AP6" s="348"/>
      <c r="AQ6" s="348"/>
      <c r="AR6" s="348"/>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row>
    <row r="7" spans="1:272" ht="36.75" customHeight="1" thickBot="1" x14ac:dyDescent="0.3">
      <c r="A7" s="353" t="s">
        <v>212</v>
      </c>
      <c r="B7" s="354"/>
      <c r="C7" s="361" t="s">
        <v>426</v>
      </c>
      <c r="D7" s="362"/>
      <c r="E7" s="362"/>
      <c r="F7" s="362"/>
      <c r="G7" s="362"/>
      <c r="H7" s="362"/>
      <c r="I7" s="362"/>
      <c r="J7" s="362"/>
      <c r="K7" s="362"/>
      <c r="L7" s="362"/>
      <c r="M7" s="362"/>
      <c r="N7" s="362"/>
      <c r="O7" s="362"/>
      <c r="P7" s="362"/>
      <c r="Q7" s="362"/>
      <c r="R7" s="362"/>
      <c r="S7" s="362"/>
      <c r="T7" s="363"/>
      <c r="U7" s="256"/>
      <c r="V7" s="256"/>
      <c r="W7" s="257"/>
      <c r="X7" s="257"/>
      <c r="Y7" s="257"/>
      <c r="Z7" s="348"/>
      <c r="AA7" s="348"/>
      <c r="AB7" s="348"/>
      <c r="AC7" s="348"/>
      <c r="AD7" s="348"/>
      <c r="AE7" s="348"/>
      <c r="AF7" s="348"/>
      <c r="AG7" s="348"/>
      <c r="AH7" s="348"/>
      <c r="AI7" s="348"/>
      <c r="AJ7" s="348"/>
      <c r="AK7" s="348"/>
      <c r="AL7" s="348"/>
      <c r="AM7" s="348"/>
      <c r="AN7" s="348"/>
      <c r="AO7" s="348"/>
      <c r="AP7" s="348"/>
      <c r="AQ7" s="348"/>
      <c r="AR7" s="348"/>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row>
    <row r="8" spans="1:272" ht="30" customHeight="1" thickBot="1" x14ac:dyDescent="0.3">
      <c r="A8" s="355" t="s">
        <v>213</v>
      </c>
      <c r="B8" s="356"/>
      <c r="C8" s="361" t="s">
        <v>427</v>
      </c>
      <c r="D8" s="362"/>
      <c r="E8" s="362"/>
      <c r="F8" s="362"/>
      <c r="G8" s="362"/>
      <c r="H8" s="362"/>
      <c r="I8" s="362"/>
      <c r="J8" s="362"/>
      <c r="K8" s="362"/>
      <c r="L8" s="362"/>
      <c r="M8" s="362"/>
      <c r="N8" s="362"/>
      <c r="O8" s="362"/>
      <c r="P8" s="362"/>
      <c r="Q8" s="362"/>
      <c r="R8" s="362"/>
      <c r="S8" s="362"/>
      <c r="T8" s="363"/>
      <c r="U8" s="256"/>
      <c r="V8" s="256"/>
      <c r="W8" s="257"/>
      <c r="X8" s="257"/>
      <c r="Y8" s="257"/>
      <c r="Z8" s="348"/>
      <c r="AA8" s="348"/>
      <c r="AB8" s="348"/>
      <c r="AC8" s="348"/>
      <c r="AD8" s="348"/>
      <c r="AE8" s="348"/>
      <c r="AF8" s="348"/>
      <c r="AG8" s="348"/>
      <c r="AH8" s="348"/>
      <c r="AI8" s="348"/>
      <c r="AJ8" s="348"/>
      <c r="AK8" s="348"/>
      <c r="AL8" s="348"/>
      <c r="AM8" s="348"/>
      <c r="AN8" s="348"/>
      <c r="AO8" s="348"/>
      <c r="AP8" s="348"/>
      <c r="AQ8" s="348"/>
      <c r="AR8" s="348"/>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row>
    <row r="9" spans="1:272" ht="12" customHeight="1" x14ac:dyDescent="0.25">
      <c r="A9" s="205"/>
      <c r="B9" s="205"/>
      <c r="C9" s="206"/>
      <c r="D9" s="206"/>
      <c r="E9" s="206"/>
      <c r="F9" s="206"/>
      <c r="G9" s="206"/>
      <c r="H9" s="206"/>
      <c r="I9" s="206"/>
      <c r="J9" s="206"/>
      <c r="K9" s="206"/>
      <c r="L9" s="206"/>
      <c r="M9" s="206"/>
      <c r="N9" s="206"/>
      <c r="O9" s="206"/>
      <c r="P9" s="206"/>
      <c r="Q9" s="206"/>
      <c r="R9" s="206"/>
      <c r="S9" s="206"/>
      <c r="T9" s="206"/>
      <c r="U9" s="206"/>
      <c r="V9" s="206"/>
      <c r="W9" s="207"/>
      <c r="X9" s="207"/>
      <c r="Y9" s="207"/>
      <c r="Z9" s="208"/>
      <c r="AA9" s="208"/>
      <c r="AB9" s="208"/>
      <c r="AC9" s="208"/>
      <c r="AD9" s="208"/>
      <c r="AE9" s="208"/>
      <c r="AF9" s="208"/>
      <c r="AG9" s="208"/>
      <c r="AH9" s="208"/>
      <c r="AI9" s="208"/>
      <c r="AJ9" s="208"/>
      <c r="AK9" s="208"/>
      <c r="AL9" s="208"/>
      <c r="AM9" s="208"/>
      <c r="AN9" s="208"/>
      <c r="AO9" s="208"/>
      <c r="AP9" s="208"/>
      <c r="AQ9" s="208"/>
      <c r="AR9" s="208"/>
    </row>
    <row r="10" spans="1:272" ht="39" customHeight="1" x14ac:dyDescent="0.2">
      <c r="A10" s="364" t="s">
        <v>214</v>
      </c>
      <c r="B10" s="365"/>
      <c r="C10" s="365"/>
      <c r="D10" s="365"/>
      <c r="E10" s="365"/>
      <c r="F10" s="366"/>
      <c r="G10" s="328" t="s">
        <v>215</v>
      </c>
      <c r="H10" s="329"/>
      <c r="I10" s="329"/>
      <c r="J10" s="329"/>
      <c r="K10" s="330"/>
      <c r="L10" s="314" t="s">
        <v>216</v>
      </c>
      <c r="M10" s="315"/>
      <c r="N10" s="223"/>
      <c r="O10" s="223"/>
      <c r="P10" s="326" t="s">
        <v>217</v>
      </c>
      <c r="Q10" s="326"/>
      <c r="R10" s="326"/>
      <c r="S10" s="326"/>
      <c r="T10" s="326"/>
      <c r="U10" s="326"/>
      <c r="V10" s="326"/>
      <c r="W10" s="326" t="s">
        <v>218</v>
      </c>
      <c r="X10" s="326"/>
      <c r="Y10" s="326"/>
      <c r="Z10" s="326"/>
      <c r="AA10" s="326"/>
      <c r="AB10" s="326"/>
      <c r="AC10" s="326"/>
      <c r="AD10" s="326"/>
      <c r="AE10" s="326"/>
      <c r="AF10" s="316" t="s">
        <v>219</v>
      </c>
      <c r="AG10" s="317"/>
      <c r="AH10" s="317"/>
      <c r="AI10" s="317"/>
      <c r="AJ10" s="318"/>
      <c r="AK10" s="316" t="s">
        <v>423</v>
      </c>
      <c r="AL10" s="317"/>
      <c r="AM10" s="317"/>
      <c r="AN10" s="317"/>
      <c r="AO10" s="318"/>
      <c r="AP10" s="316" t="s">
        <v>424</v>
      </c>
      <c r="AQ10" s="317"/>
      <c r="AR10" s="318"/>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row>
    <row r="11" spans="1:272" ht="26.25" customHeight="1" x14ac:dyDescent="0.2">
      <c r="A11" s="338" t="s">
        <v>222</v>
      </c>
      <c r="B11" s="339" t="s">
        <v>15</v>
      </c>
      <c r="C11" s="340" t="s">
        <v>17</v>
      </c>
      <c r="D11" s="340" t="s">
        <v>19</v>
      </c>
      <c r="E11" s="339" t="s">
        <v>21</v>
      </c>
      <c r="F11" s="340" t="s">
        <v>23</v>
      </c>
      <c r="G11" s="341" t="s">
        <v>124</v>
      </c>
      <c r="H11" s="341" t="s">
        <v>280</v>
      </c>
      <c r="I11" s="341" t="s">
        <v>224</v>
      </c>
      <c r="J11" s="341" t="s">
        <v>225</v>
      </c>
      <c r="K11" s="341" t="s">
        <v>226</v>
      </c>
      <c r="L11" s="314"/>
      <c r="M11" s="315"/>
      <c r="N11" s="312" t="s">
        <v>227</v>
      </c>
      <c r="O11" s="312" t="s">
        <v>228</v>
      </c>
      <c r="P11" s="336" t="s">
        <v>229</v>
      </c>
      <c r="Q11" s="312" t="s">
        <v>230</v>
      </c>
      <c r="R11" s="312" t="s">
        <v>231</v>
      </c>
      <c r="S11" s="312" t="s">
        <v>232</v>
      </c>
      <c r="T11" s="336" t="s">
        <v>229</v>
      </c>
      <c r="U11" s="312" t="s">
        <v>29</v>
      </c>
      <c r="V11" s="324" t="s">
        <v>233</v>
      </c>
      <c r="W11" s="312" t="s">
        <v>31</v>
      </c>
      <c r="X11" s="312" t="s">
        <v>33</v>
      </c>
      <c r="Y11" s="312" t="s">
        <v>234</v>
      </c>
      <c r="Z11" s="312"/>
      <c r="AA11" s="312"/>
      <c r="AB11" s="312"/>
      <c r="AC11" s="312"/>
      <c r="AD11" s="312"/>
      <c r="AE11" s="324" t="s">
        <v>235</v>
      </c>
      <c r="AF11" s="324" t="s">
        <v>236</v>
      </c>
      <c r="AG11" s="324" t="s">
        <v>229</v>
      </c>
      <c r="AH11" s="324" t="s">
        <v>237</v>
      </c>
      <c r="AI11" s="324" t="s">
        <v>229</v>
      </c>
      <c r="AJ11" s="324" t="s">
        <v>238</v>
      </c>
      <c r="AK11" s="324" t="s">
        <v>49</v>
      </c>
      <c r="AL11" s="312" t="s">
        <v>239</v>
      </c>
      <c r="AM11" s="312" t="s">
        <v>240</v>
      </c>
      <c r="AN11" s="312" t="s">
        <v>241</v>
      </c>
      <c r="AO11" s="312" t="s">
        <v>242</v>
      </c>
      <c r="AP11" s="312" t="s">
        <v>239</v>
      </c>
      <c r="AQ11" s="312" t="s">
        <v>241</v>
      </c>
      <c r="AR11" s="312" t="s">
        <v>240</v>
      </c>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row>
    <row r="12" spans="1:272" s="212" customFormat="1" ht="73.5" customHeight="1" x14ac:dyDescent="0.25">
      <c r="A12" s="338"/>
      <c r="B12" s="339"/>
      <c r="C12" s="340"/>
      <c r="D12" s="340"/>
      <c r="E12" s="339"/>
      <c r="F12" s="340"/>
      <c r="G12" s="342"/>
      <c r="H12" s="342"/>
      <c r="I12" s="342"/>
      <c r="J12" s="342"/>
      <c r="K12" s="342"/>
      <c r="L12" s="249" t="s">
        <v>425</v>
      </c>
      <c r="M12" s="249" t="s">
        <v>246</v>
      </c>
      <c r="N12" s="312"/>
      <c r="O12" s="312"/>
      <c r="P12" s="336"/>
      <c r="Q12" s="336"/>
      <c r="R12" s="312"/>
      <c r="S12" s="336"/>
      <c r="T12" s="336"/>
      <c r="U12" s="312"/>
      <c r="V12" s="324"/>
      <c r="W12" s="312"/>
      <c r="X12" s="312"/>
      <c r="Y12" s="209" t="s">
        <v>247</v>
      </c>
      <c r="Z12" s="209" t="s">
        <v>248</v>
      </c>
      <c r="AA12" s="209" t="s">
        <v>249</v>
      </c>
      <c r="AB12" s="209" t="s">
        <v>250</v>
      </c>
      <c r="AC12" s="209" t="s">
        <v>251</v>
      </c>
      <c r="AD12" s="209" t="s">
        <v>252</v>
      </c>
      <c r="AE12" s="324"/>
      <c r="AF12" s="324"/>
      <c r="AG12" s="324"/>
      <c r="AH12" s="324"/>
      <c r="AI12" s="324"/>
      <c r="AJ12" s="324"/>
      <c r="AK12" s="324"/>
      <c r="AL12" s="312"/>
      <c r="AM12" s="312"/>
      <c r="AN12" s="312"/>
      <c r="AO12" s="312"/>
      <c r="AP12" s="312"/>
      <c r="AQ12" s="312"/>
      <c r="AR12" s="312"/>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c r="IW12" s="211"/>
      <c r="IX12" s="211"/>
      <c r="IY12" s="211"/>
      <c r="IZ12" s="211"/>
      <c r="JA12" s="211"/>
      <c r="JB12" s="211"/>
      <c r="JC12" s="211"/>
      <c r="JD12" s="211"/>
      <c r="JE12" s="211"/>
      <c r="JF12" s="211"/>
      <c r="JG12" s="211"/>
      <c r="JH12" s="211"/>
      <c r="JI12" s="211"/>
      <c r="JJ12" s="211"/>
      <c r="JK12" s="211"/>
      <c r="JL12" s="211"/>
    </row>
    <row r="13" spans="1:272" s="214" customFormat="1" ht="222.75" customHeight="1" x14ac:dyDescent="0.25">
      <c r="A13" s="337">
        <v>1</v>
      </c>
      <c r="B13" s="331" t="s">
        <v>120</v>
      </c>
      <c r="C13" s="520" t="s">
        <v>447</v>
      </c>
      <c r="D13" s="520" t="s">
        <v>448</v>
      </c>
      <c r="E13" s="332" t="s">
        <v>449</v>
      </c>
      <c r="F13" s="331" t="s">
        <v>149</v>
      </c>
      <c r="G13" s="319" t="s">
        <v>130</v>
      </c>
      <c r="H13" s="319" t="s">
        <v>463</v>
      </c>
      <c r="I13" s="319" t="s">
        <v>476</v>
      </c>
      <c r="J13" s="319" t="s">
        <v>478</v>
      </c>
      <c r="K13" s="319" t="s">
        <v>477</v>
      </c>
      <c r="L13" s="319" t="s">
        <v>131</v>
      </c>
      <c r="M13" s="319" t="s">
        <v>143</v>
      </c>
      <c r="N13" s="327">
        <v>200</v>
      </c>
      <c r="O13" s="323" t="str">
        <f>IF(N13&lt;=0,"",IF(N13&lt;=2,"Muy Baja",IF(N13&lt;=24,"Baja",IF(N13&lt;=500,"Media",IF(N13&lt;=5000,"Alta","Muy Alta")))))</f>
        <v>Media</v>
      </c>
      <c r="P13" s="322">
        <f>IF(O13="","",IF(O13="Muy Baja",0.2,IF(O13="Baja",0.4,IF(O13="Media",0.6,IF(O13="Alta",0.8,IF(O13="Muy Alta",1,))))))</f>
        <v>0.6</v>
      </c>
      <c r="Q13" s="313" t="s">
        <v>253</v>
      </c>
      <c r="R13" s="322"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23" t="str">
        <f>IF(OR(R13='Tabla Impacto'!$C$12,R13='Tabla Impacto'!$D$12),"Leve",IF(OR(R13='Tabla Impacto'!$C$13,R13='Tabla Impacto'!$D$13),"Menor",IF(OR(R13='Tabla Impacto'!$C$14,R13='Tabla Impacto'!$D$14),"Moderado",IF(OR(R13='Tabla Impacto'!$C$15,R13='Tabla Impacto'!$D$15),"Mayor",IF(OR(R13='Tabla Impacto'!$C$16,R13='Tabla Impacto'!$D$16),"Catastrófico","")))))</f>
        <v>Moderado</v>
      </c>
      <c r="T13" s="322">
        <f>IF(S13="","",IF(S13="Leve",0.2,IF(S13="Menor",0.4,IF(S13="Moderado",0.6,IF(S13="Mayor",0.8,IF(S13="Catastrófico",1,))))))</f>
        <v>0.6</v>
      </c>
      <c r="U13" s="321"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3">
        <v>1</v>
      </c>
      <c r="W13" s="239" t="s">
        <v>452</v>
      </c>
      <c r="X13" s="188" t="str">
        <f t="shared" ref="X13:X14" si="0">IF(OR(Y13="Preventivo",Y13="Detectivo"),"Probabilidad",IF(Y13="Correctivo","Impacto",""))</f>
        <v>Probabilidad</v>
      </c>
      <c r="Y13" s="189" t="s">
        <v>254</v>
      </c>
      <c r="Z13" s="189" t="s">
        <v>255</v>
      </c>
      <c r="AA13" s="190" t="str">
        <f>IF(AND(Y13="Preventivo",Z13="Automático"),"50%",IF(AND(Y13="Preventivo",Z13="Manual"),"40%",IF(AND(Y13="Detectivo",Z13="Automático"),"40%",IF(AND(Y13="Detectivo",Z13="Manual"),"30%",IF(AND(Y13="Correctivo",Z13="Automático"),"35%",IF(AND(Y13="Correctivo",Z13="Manual"),"25%",""))))))</f>
        <v>40%</v>
      </c>
      <c r="AB13" s="189" t="s">
        <v>256</v>
      </c>
      <c r="AC13" s="189" t="s">
        <v>257</v>
      </c>
      <c r="AD13" s="189" t="s">
        <v>258</v>
      </c>
      <c r="AE13" s="191">
        <f>IFERROR(IF(X13="Probabilidad",(P13-(+P13*AA13)),IF(X13="Impacto",P13,"")),"")</f>
        <v>0.36</v>
      </c>
      <c r="AF13" s="192" t="str">
        <f>IFERROR(IF(AE13="","",IF(AE13&lt;=0.2,"Muy Baja",IF(AE13&lt;=0.4,"Baja",IF(AE13&lt;=0.6,"Media",IF(AE13&lt;=0.8,"Alta","Muy Alta"))))),"")</f>
        <v>Baja</v>
      </c>
      <c r="AG13" s="190">
        <f>+AE13</f>
        <v>0.36</v>
      </c>
      <c r="AH13" s="192" t="str">
        <f>IFERROR(IF(AI13="","",IF(AI13&lt;=0.2,"Leve",IF(AI13&lt;=0.4,"Menor",IF(AI13&lt;=0.6,"Moderado",IF(AI13&lt;=0.8,"Mayor","Catastrófico"))))),"")</f>
        <v>Moderado</v>
      </c>
      <c r="AI13" s="190">
        <f>IFERROR(IF(X13="Impacto",(T13-(+T13*AA13)),IF(X13="Probabilidad",T13,"")),"")</f>
        <v>0.6</v>
      </c>
      <c r="AJ13" s="193"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4" t="s">
        <v>123</v>
      </c>
      <c r="AL13" s="185" t="s">
        <v>450</v>
      </c>
      <c r="AM13" s="185" t="s">
        <v>451</v>
      </c>
      <c r="AN13" s="195" t="s">
        <v>456</v>
      </c>
      <c r="AO13" s="261" t="s">
        <v>430</v>
      </c>
      <c r="AP13" s="331" t="s">
        <v>484</v>
      </c>
      <c r="AQ13" s="331" t="s">
        <v>485</v>
      </c>
      <c r="AR13" s="331" t="s">
        <v>432</v>
      </c>
    </row>
    <row r="14" spans="1:272" ht="240" customHeight="1" x14ac:dyDescent="0.2">
      <c r="A14" s="337"/>
      <c r="B14" s="331"/>
      <c r="C14" s="521"/>
      <c r="D14" s="521"/>
      <c r="E14" s="332"/>
      <c r="F14" s="331"/>
      <c r="G14" s="320"/>
      <c r="H14" s="325"/>
      <c r="I14" s="320"/>
      <c r="J14" s="320"/>
      <c r="K14" s="320"/>
      <c r="L14" s="320"/>
      <c r="M14" s="320"/>
      <c r="N14" s="327"/>
      <c r="O14" s="323"/>
      <c r="P14" s="322"/>
      <c r="Q14" s="313"/>
      <c r="R14" s="322">
        <f>IF(NOT(ISERROR(MATCH(Q14,_xlfn.ANCHORARRAY(E21),0))),P23&amp;"Por favor no seleccionar los criterios de impacto",Q14)</f>
        <v>0</v>
      </c>
      <c r="S14" s="323"/>
      <c r="T14" s="322"/>
      <c r="U14" s="321"/>
      <c r="V14" s="213">
        <v>2</v>
      </c>
      <c r="W14" s="239" t="s">
        <v>454</v>
      </c>
      <c r="X14" s="188" t="str">
        <f t="shared" si="0"/>
        <v>Probabilidad</v>
      </c>
      <c r="Y14" s="189" t="s">
        <v>254</v>
      </c>
      <c r="Z14" s="189" t="s">
        <v>255</v>
      </c>
      <c r="AA14" s="190" t="str">
        <f t="shared" ref="AA14" si="1">IF(AND(Y14="Preventivo",Z14="Automático"),"50%",IF(AND(Y14="Preventivo",Z14="Manual"),"40%",IF(AND(Y14="Detectivo",Z14="Automático"),"40%",IF(AND(Y14="Detectivo",Z14="Manual"),"30%",IF(AND(Y14="Correctivo",Z14="Automático"),"35%",IF(AND(Y14="Correctivo",Z14="Manual"),"25%",""))))))</f>
        <v>40%</v>
      </c>
      <c r="AB14" s="189" t="s">
        <v>256</v>
      </c>
      <c r="AC14" s="189" t="s">
        <v>257</v>
      </c>
      <c r="AD14" s="189" t="s">
        <v>258</v>
      </c>
      <c r="AE14" s="191">
        <f>IFERROR(IF(AND(X13="Probabilidad",X14="Probabilidad"),(AG13-(+AG13*AA14)),IF(X14="Probabilidad",(P13-(+P13*AA14)),IF(X14="Impacto",AG13,""))),"")</f>
        <v>0.216</v>
      </c>
      <c r="AF14" s="192" t="str">
        <f t="shared" ref="AF14:AF68" si="2">IFERROR(IF(AE14="","",IF(AE14&lt;=0.2,"Muy Baja",IF(AE14&lt;=0.4,"Baja",IF(AE14&lt;=0.6,"Media",IF(AE14&lt;=0.8,"Alta","Muy Alta"))))),"")</f>
        <v>Baja</v>
      </c>
      <c r="AG14" s="190">
        <f t="shared" ref="AG14" si="3">+AE14</f>
        <v>0.216</v>
      </c>
      <c r="AH14" s="192" t="str">
        <f t="shared" ref="AH14:AH68" si="4">IFERROR(IF(AI14="","",IF(AI14&lt;=0.2,"Leve",IF(AI14&lt;=0.4,"Menor",IF(AI14&lt;=0.6,"Moderado",IF(AI14&lt;=0.8,"Mayor","Catastrófico"))))),"")</f>
        <v>Moderado</v>
      </c>
      <c r="AI14" s="190">
        <f>IFERROR(IF(AND(X13="Impacto",X14="Impacto"),(AI13-(+AI13*AA14)),IF(X14="Impacto",($T$13-(+$T$13*AA14)),IF(X14="Probabilidad",AI13,""))),"")</f>
        <v>0.6</v>
      </c>
      <c r="AJ14" s="193" t="str">
        <f t="shared" ref="AJ14"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4" t="s">
        <v>123</v>
      </c>
      <c r="AL14" s="185" t="s">
        <v>453</v>
      </c>
      <c r="AM14" s="185" t="s">
        <v>455</v>
      </c>
      <c r="AN14" s="185" t="s">
        <v>457</v>
      </c>
      <c r="AO14" s="261" t="s">
        <v>458</v>
      </c>
      <c r="AP14" s="331"/>
      <c r="AQ14" s="331"/>
      <c r="AR14" s="331"/>
    </row>
    <row r="15" spans="1:272" ht="37.5" customHeight="1" x14ac:dyDescent="0.2">
      <c r="A15" s="337">
        <v>2</v>
      </c>
      <c r="B15" s="331"/>
      <c r="C15" s="331"/>
      <c r="D15" s="331"/>
      <c r="E15" s="332"/>
      <c r="F15" s="331"/>
      <c r="G15" s="319"/>
      <c r="H15" s="319"/>
      <c r="I15" s="319"/>
      <c r="J15" s="319"/>
      <c r="K15" s="319"/>
      <c r="L15" s="319"/>
      <c r="M15" s="319"/>
      <c r="N15" s="327"/>
      <c r="O15" s="323" t="str">
        <f>IF(N15&lt;=0,"",IF(N15&lt;=2,"Muy Baja",IF(N15&lt;=24,"Baja",IF(N15&lt;=500,"Media",IF(N15&lt;=5000,"Alta","Muy Alta")))))</f>
        <v/>
      </c>
      <c r="P15" s="322" t="str">
        <f>IF(O15="","",IF(O15="Muy Baja",0.2,IF(O15="Baja",0.4,IF(O15="Media",0.6,IF(O15="Alta",0.8,IF(O15="Muy Alta",1,))))))</f>
        <v/>
      </c>
      <c r="Q15" s="313"/>
      <c r="R15" s="322">
        <f>IF(NOT(ISERROR(MATCH(Q15,'Tabla Impacto'!$B$222:$B$224,0))),'Tabla Impacto'!$F$224&amp;"Por favor no seleccionar los criterios de impacto(Afectación Económica o presupuestal y Pérdida Reputacional)",Q15)</f>
        <v>0</v>
      </c>
      <c r="S15" s="323" t="str">
        <f>IF(OR(R15='Tabla Impacto'!$C$12,R15='Tabla Impacto'!$D$12),"Leve",IF(OR(R15='Tabla Impacto'!$C$13,R15='Tabla Impacto'!$D$13),"Menor",IF(OR(R15='Tabla Impacto'!$C$14,R15='Tabla Impacto'!$D$14),"Moderado",IF(OR(R15='Tabla Impacto'!$C$15,R15='Tabla Impacto'!$D$15),"Mayor",IF(OR(R15='Tabla Impacto'!$C$16,R15='Tabla Impacto'!$D$16),"Catastrófico","")))))</f>
        <v/>
      </c>
      <c r="T15" s="322" t="str">
        <f>IF(S15="","",IF(S15="Leve",0.2,IF(S15="Menor",0.4,IF(S15="Moderado",0.6,IF(S15="Mayor",0.8,IF(S15="Catastrófico",1,))))))</f>
        <v/>
      </c>
      <c r="U15" s="321" t="str">
        <f>IF(OR(AND(O15="Muy Baja",S15="Leve"),AND(O15="Muy Baja",S15="Menor"),AND(O15="Baja",S15="Leve")),"Bajo",IF(OR(AND(O15="Muy baja",S15="Moderado"),AND(O15="Baja",S15="Menor"),AND(O15="Baja",S15="Moderado"),AND(O15="Media",S15="Leve"),AND(O15="Media",S15="Menor"),AND(O15="Media",S15="Moderado"),AND(O15="Alta",S15="Leve"),AND(O15="Alta",S15="Menor")),"Moderado",IF(OR(AND(O15="Muy Baja",S15="Mayor"),AND(O15="Baja",S15="Mayor"),AND(O15="Media",S15="Mayor"),AND(O15="Alta",S15="Moderado"),AND(O15="Alta",S15="Mayor"),AND(O15="Muy Alta",S15="Leve"),AND(O15="Muy Alta",S15="Menor"),AND(O15="Muy Alta",S15="Moderado"),AND(O15="Muy Alta",S15="Mayor")),"Alto",IF(OR(AND(O15="Muy Baja",S15="Catastrófico"),AND(O15="Baja",S15="Catastrófico"),AND(O15="Media",S15="Catastrófico"),AND(O15="Alta",S15="Catastrófico"),AND(O15="Muy Alta",S15="Catastrófico")),"Extremo",""))))</f>
        <v/>
      </c>
      <c r="V15" s="213">
        <v>1</v>
      </c>
      <c r="W15" s="186"/>
      <c r="X15" s="188" t="str">
        <f>IF(OR(Y15="Preventivo",Y15="Detectivo"),"Probabilidad",IF(Y15="Correctivo","Impacto",""))</f>
        <v/>
      </c>
      <c r="Y15" s="189"/>
      <c r="Z15" s="189"/>
      <c r="AA15" s="190" t="str">
        <f>IF(AND(Y15="Preventivo",Z15="Automático"),"50%",IF(AND(Y15="Preventivo",Z15="Manual"),"40%",IF(AND(Y15="Detectivo",Z15="Automático"),"40%",IF(AND(Y15="Detectivo",Z15="Manual"),"30%",IF(AND(Y15="Correctivo",Z15="Automático"),"35%",IF(AND(Y15="Correctivo",Z15="Manual"),"25%",""))))))</f>
        <v/>
      </c>
      <c r="AB15" s="189"/>
      <c r="AC15" s="189"/>
      <c r="AD15" s="189"/>
      <c r="AE15" s="191" t="str">
        <f>IFERROR(IF(X15="Probabilidad",(P15-(+P15*AA15)),IF(X15="Impacto",P15,"")),"")</f>
        <v/>
      </c>
      <c r="AF15" s="192" t="str">
        <f>IFERROR(IF(AE15="","",IF(AE15&lt;=0.2,"Muy Baja",IF(AE15&lt;=0.4,"Baja",IF(AE15&lt;=0.6,"Media",IF(AE15&lt;=0.8,"Alta","Muy Alta"))))),"")</f>
        <v/>
      </c>
      <c r="AG15" s="190" t="str">
        <f>+AE15</f>
        <v/>
      </c>
      <c r="AH15" s="192" t="str">
        <f>IFERROR(IF(AI15="","",IF(AI15&lt;=0.2,"Leve",IF(AI15&lt;=0.4,"Menor",IF(AI15&lt;=0.6,"Moderado",IF(AI15&lt;=0.8,"Mayor","Catastrófico"))))),"")</f>
        <v/>
      </c>
      <c r="AI15" s="190" t="str">
        <f t="shared" ref="AI15" si="6">IFERROR(IF(X15="Impacto",(T15-(+T15*AA15)),IF(X15="Probabilidad",T15,"")),"")</f>
        <v/>
      </c>
      <c r="AJ15" s="193" t="str">
        <f>IFERROR(IF(OR(AND(AF15="Muy Baja",AH15="Leve"),AND(AF15="Muy Baja",AH15="Menor"),AND(AF15="Baja",AH15="Leve")),"Bajo",IF(OR(AND(AF15="Muy baja",AH15="Moderado"),AND(AF15="Baja",AH15="Menor"),AND(AF15="Baja",AH15="Moderado"),AND(AF15="Media",AH15="Leve"),AND(AF15="Media",AH15="Menor"),AND(AF15="Media",AH15="Moderado"),AND(AF15="Alta",AH15="Leve"),AND(AF15="Alta",AH15="Menor")),"Moderado",IF(OR(AND(AF15="Muy Baja",AH15="Mayor"),AND(AF15="Baja",AH15="Mayor"),AND(AF15="Media",AH15="Mayor"),AND(AF15="Alta",AH15="Moderado"),AND(AF15="Alta",AH15="Mayor"),AND(AF15="Muy Alta",AH15="Leve"),AND(AF15="Muy Alta",AH15="Menor"),AND(AF15="Muy Alta",AH15="Moderado"),AND(AF15="Muy Alta",AH15="Mayor")),"Alto",IF(OR(AND(AF15="Muy Baja",AH15="Catastrófico"),AND(AF15="Baja",AH15="Catastrófico"),AND(AF15="Media",AH15="Catastrófico"),AND(AF15="Alta",AH15="Catastrófico"),AND(AF15="Muy Alta",AH15="Catastrófico")),"Extremo","")))),"")</f>
        <v/>
      </c>
      <c r="AK15" s="194"/>
      <c r="AL15" s="185"/>
      <c r="AM15" s="195"/>
      <c r="AN15" s="195"/>
      <c r="AO15" s="196"/>
      <c r="AP15" s="327"/>
      <c r="AQ15" s="327"/>
      <c r="AR15" s="327"/>
    </row>
    <row r="16" spans="1:272" ht="37.5" customHeight="1" x14ac:dyDescent="0.2">
      <c r="A16" s="337"/>
      <c r="B16" s="331"/>
      <c r="C16" s="331"/>
      <c r="D16" s="331"/>
      <c r="E16" s="332"/>
      <c r="F16" s="331"/>
      <c r="G16" s="320"/>
      <c r="H16" s="320"/>
      <c r="I16" s="320"/>
      <c r="J16" s="320"/>
      <c r="K16" s="320"/>
      <c r="L16" s="320"/>
      <c r="M16" s="320"/>
      <c r="N16" s="327"/>
      <c r="O16" s="323"/>
      <c r="P16" s="322"/>
      <c r="Q16" s="313"/>
      <c r="R16" s="322">
        <f>IF(NOT(ISERROR(MATCH(Q16,_xlfn.ANCHORARRAY(E27),0))),P29&amp;"Por favor no seleccionar los criterios de impacto",Q16)</f>
        <v>0</v>
      </c>
      <c r="S16" s="323"/>
      <c r="T16" s="322"/>
      <c r="U16" s="321"/>
      <c r="V16" s="213">
        <v>2</v>
      </c>
      <c r="W16" s="186"/>
      <c r="X16" s="188" t="str">
        <f>IF(OR(Y16="Preventivo",Y16="Detectivo"),"Probabilidad",IF(Y16="Correctivo","Impacto",""))</f>
        <v/>
      </c>
      <c r="Y16" s="189"/>
      <c r="Z16" s="189"/>
      <c r="AA16" s="190" t="str">
        <f t="shared" ref="AA16:AA20" si="7">IF(AND(Y16="Preventivo",Z16="Automático"),"50%",IF(AND(Y16="Preventivo",Z16="Manual"),"40%",IF(AND(Y16="Detectivo",Z16="Automático"),"40%",IF(AND(Y16="Detectivo",Z16="Manual"),"30%",IF(AND(Y16="Correctivo",Z16="Automático"),"35%",IF(AND(Y16="Correctivo",Z16="Manual"),"25%",""))))))</f>
        <v/>
      </c>
      <c r="AB16" s="189"/>
      <c r="AC16" s="189"/>
      <c r="AD16" s="189"/>
      <c r="AE16" s="191" t="str">
        <f>IFERROR(IF(AND(X15="Probabilidad",X16="Probabilidad"),(AG15-(+AG15*AA16)),IF(X16="Probabilidad",(P15-(+P15*AA16)),IF(X16="Impacto",AG15,""))),"")</f>
        <v/>
      </c>
      <c r="AF16" s="192" t="str">
        <f t="shared" si="2"/>
        <v/>
      </c>
      <c r="AG16" s="190" t="str">
        <f t="shared" ref="AG16:AG20" si="8">+AE16</f>
        <v/>
      </c>
      <c r="AH16" s="192" t="str">
        <f t="shared" si="4"/>
        <v/>
      </c>
      <c r="AI16" s="190" t="str">
        <f t="shared" ref="AI16" si="9">IFERROR(IF(AND(X15="Impacto",X16="Impacto"),(AI15-(+AI15*AA16)),IF(X16="Impacto",($T$13-(+$T$13*AA16)),IF(X16="Probabilidad",AI15,""))),"")</f>
        <v/>
      </c>
      <c r="AJ16" s="193" t="str">
        <f t="shared" ref="AJ16:AJ17" si="10">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4"/>
      <c r="AL16" s="185"/>
      <c r="AM16" s="195"/>
      <c r="AN16" s="185"/>
      <c r="AO16" s="196"/>
      <c r="AP16" s="327"/>
      <c r="AQ16" s="327"/>
      <c r="AR16" s="327"/>
    </row>
    <row r="17" spans="1:44" ht="37.5" customHeight="1" x14ac:dyDescent="0.2">
      <c r="A17" s="337"/>
      <c r="B17" s="331"/>
      <c r="C17" s="331"/>
      <c r="D17" s="331"/>
      <c r="E17" s="332"/>
      <c r="F17" s="331"/>
      <c r="G17" s="320"/>
      <c r="H17" s="320"/>
      <c r="I17" s="320"/>
      <c r="J17" s="320"/>
      <c r="K17" s="320"/>
      <c r="L17" s="320"/>
      <c r="M17" s="320"/>
      <c r="N17" s="327"/>
      <c r="O17" s="323"/>
      <c r="P17" s="322"/>
      <c r="Q17" s="313"/>
      <c r="R17" s="322">
        <f>IF(NOT(ISERROR(MATCH(Q17,_xlfn.ANCHORARRAY(E28),0))),P30&amp;"Por favor no seleccionar los criterios de impacto",Q17)</f>
        <v>0</v>
      </c>
      <c r="S17" s="323"/>
      <c r="T17" s="322"/>
      <c r="U17" s="321"/>
      <c r="V17" s="213">
        <v>3</v>
      </c>
      <c r="W17" s="187"/>
      <c r="X17" s="188" t="str">
        <f>IF(OR(Y17="Preventivo",Y17="Detectivo"),"Probabilidad",IF(Y17="Correctivo","Impacto",""))</f>
        <v/>
      </c>
      <c r="Y17" s="189"/>
      <c r="Z17" s="189"/>
      <c r="AA17" s="190" t="str">
        <f t="shared" si="7"/>
        <v/>
      </c>
      <c r="AB17" s="189"/>
      <c r="AC17" s="189"/>
      <c r="AD17" s="189"/>
      <c r="AE17" s="191" t="str">
        <f>IFERROR(IF(AND(X16="Probabilidad",X17="Probabilidad"),(AG16-(+AG16*AA17)),IF(AND(X16="Impacto",X17="Probabilidad"),(AG15-(+AG15*AA17)),IF(X17="Impacto",AG16,""))),"")</f>
        <v/>
      </c>
      <c r="AF17" s="192" t="str">
        <f t="shared" si="2"/>
        <v/>
      </c>
      <c r="AG17" s="190" t="str">
        <f t="shared" si="8"/>
        <v/>
      </c>
      <c r="AH17" s="192" t="str">
        <f t="shared" si="4"/>
        <v/>
      </c>
      <c r="AI17" s="190" t="str">
        <f t="shared" ref="AI17:AI68" si="11">IFERROR(IF(AND(X16="Impacto",X17="Impacto"),(AI16-(+AI16*AA17)),IF(AND(X16="Probabilidad",X17="Impacto"),(AI15-(+AI15*AA17)),IF(X17="Probabilidad",AI16,""))),"")</f>
        <v/>
      </c>
      <c r="AJ17" s="193" t="str">
        <f t="shared" si="10"/>
        <v/>
      </c>
      <c r="AK17" s="194"/>
      <c r="AL17" s="185"/>
      <c r="AM17" s="195"/>
      <c r="AN17" s="195"/>
      <c r="AO17" s="196"/>
      <c r="AP17" s="327"/>
      <c r="AQ17" s="327"/>
      <c r="AR17" s="327"/>
    </row>
    <row r="18" spans="1:44" ht="37.5" customHeight="1" x14ac:dyDescent="0.2">
      <c r="A18" s="337"/>
      <c r="B18" s="331"/>
      <c r="C18" s="331"/>
      <c r="D18" s="331"/>
      <c r="E18" s="332"/>
      <c r="F18" s="331"/>
      <c r="G18" s="320"/>
      <c r="H18" s="320"/>
      <c r="I18" s="320"/>
      <c r="J18" s="320"/>
      <c r="K18" s="320"/>
      <c r="L18" s="320"/>
      <c r="M18" s="320"/>
      <c r="N18" s="327"/>
      <c r="O18" s="323"/>
      <c r="P18" s="322"/>
      <c r="Q18" s="313"/>
      <c r="R18" s="322">
        <f>IF(NOT(ISERROR(MATCH(Q18,_xlfn.ANCHORARRAY(E29),0))),P31&amp;"Por favor no seleccionar los criterios de impacto",Q18)</f>
        <v>0</v>
      </c>
      <c r="S18" s="323"/>
      <c r="T18" s="322"/>
      <c r="U18" s="321"/>
      <c r="V18" s="213">
        <v>4</v>
      </c>
      <c r="W18" s="186"/>
      <c r="X18" s="188" t="str">
        <f t="shared" ref="X18:X20" si="12">IF(OR(Y18="Preventivo",Y18="Detectivo"),"Probabilidad",IF(Y18="Correctivo","Impacto",""))</f>
        <v/>
      </c>
      <c r="Y18" s="189"/>
      <c r="Z18" s="189"/>
      <c r="AA18" s="190" t="str">
        <f t="shared" si="7"/>
        <v/>
      </c>
      <c r="AB18" s="189"/>
      <c r="AC18" s="189"/>
      <c r="AD18" s="189"/>
      <c r="AE18" s="191" t="str">
        <f t="shared" ref="AE18:AE20" si="13">IFERROR(IF(AND(X17="Probabilidad",X18="Probabilidad"),(AG17-(+AG17*AA18)),IF(AND(X17="Impacto",X18="Probabilidad"),(AG16-(+AG16*AA18)),IF(X18="Impacto",AG17,""))),"")</f>
        <v/>
      </c>
      <c r="AF18" s="192" t="str">
        <f t="shared" si="2"/>
        <v/>
      </c>
      <c r="AG18" s="190" t="str">
        <f t="shared" si="8"/>
        <v/>
      </c>
      <c r="AH18" s="192" t="str">
        <f t="shared" si="4"/>
        <v/>
      </c>
      <c r="AI18" s="190" t="str">
        <f t="shared" si="11"/>
        <v/>
      </c>
      <c r="AJ18" s="193" t="str">
        <f>IFERROR(IF(OR(AND(AF18="Muy Baja",AH18="Leve"),AND(AF18="Muy Baja",AH18="Menor"),AND(AF18="Baja",AH18="Leve")),"Bajo",IF(OR(AND(AF18="Muy baja",AH18="Moderado"),AND(AF18="Baja",AH18="Menor"),AND(AF18="Baja",AH18="Moderado"),AND(AF18="Media",AH18="Leve"),AND(AF18="Media",AH18="Menor"),AND(AF18="Media",AH18="Moderado"),AND(AF18="Alta",AH18="Leve"),AND(AF18="Alta",AH18="Menor")),"Moderado",IF(OR(AND(AF18="Muy Baja",AH18="Mayor"),AND(AF18="Baja",AH18="Mayor"),AND(AF18="Media",AH18="Mayor"),AND(AF18="Alta",AH18="Moderado"),AND(AF18="Alta",AH18="Mayor"),AND(AF18="Muy Alta",AH18="Leve"),AND(AF18="Muy Alta",AH18="Menor"),AND(AF18="Muy Alta",AH18="Moderado"),AND(AF18="Muy Alta",AH18="Mayor")),"Alto",IF(OR(AND(AF18="Muy Baja",AH18="Catastrófico"),AND(AF18="Baja",AH18="Catastrófico"),AND(AF18="Media",AH18="Catastrófico"),AND(AF18="Alta",AH18="Catastrófico"),AND(AF18="Muy Alta",AH18="Catastrófico")),"Extremo","")))),"")</f>
        <v/>
      </c>
      <c r="AK18" s="194"/>
      <c r="AL18" s="185"/>
      <c r="AM18" s="195"/>
      <c r="AN18" s="195"/>
      <c r="AO18" s="196"/>
      <c r="AP18" s="327"/>
      <c r="AQ18" s="327"/>
      <c r="AR18" s="327"/>
    </row>
    <row r="19" spans="1:44" ht="37.5" customHeight="1" x14ac:dyDescent="0.2">
      <c r="A19" s="337"/>
      <c r="B19" s="331"/>
      <c r="C19" s="331"/>
      <c r="D19" s="331"/>
      <c r="E19" s="332"/>
      <c r="F19" s="331"/>
      <c r="G19" s="320"/>
      <c r="H19" s="320"/>
      <c r="I19" s="320"/>
      <c r="J19" s="320"/>
      <c r="K19" s="320"/>
      <c r="L19" s="320"/>
      <c r="M19" s="320"/>
      <c r="N19" s="327"/>
      <c r="O19" s="323"/>
      <c r="P19" s="322"/>
      <c r="Q19" s="313"/>
      <c r="R19" s="322">
        <f>IF(NOT(ISERROR(MATCH(Q19,_xlfn.ANCHORARRAY(E30),0))),P32&amp;"Por favor no seleccionar los criterios de impacto",Q19)</f>
        <v>0</v>
      </c>
      <c r="S19" s="323"/>
      <c r="T19" s="322"/>
      <c r="U19" s="321"/>
      <c r="V19" s="213">
        <v>5</v>
      </c>
      <c r="W19" s="186"/>
      <c r="X19" s="188" t="str">
        <f t="shared" si="12"/>
        <v/>
      </c>
      <c r="Y19" s="189"/>
      <c r="Z19" s="189"/>
      <c r="AA19" s="190" t="str">
        <f t="shared" si="7"/>
        <v/>
      </c>
      <c r="AB19" s="189"/>
      <c r="AC19" s="189"/>
      <c r="AD19" s="189"/>
      <c r="AE19" s="191" t="str">
        <f t="shared" si="13"/>
        <v/>
      </c>
      <c r="AF19" s="192" t="str">
        <f t="shared" si="2"/>
        <v/>
      </c>
      <c r="AG19" s="190" t="str">
        <f t="shared" si="8"/>
        <v/>
      </c>
      <c r="AH19" s="192" t="str">
        <f t="shared" si="4"/>
        <v/>
      </c>
      <c r="AI19" s="190" t="str">
        <f t="shared" si="11"/>
        <v/>
      </c>
      <c r="AJ19" s="193" t="str">
        <f t="shared" ref="AJ19:AJ20" si="14">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4"/>
      <c r="AL19" s="185"/>
      <c r="AM19" s="195"/>
      <c r="AN19" s="195"/>
      <c r="AO19" s="196"/>
      <c r="AP19" s="327"/>
      <c r="AQ19" s="327"/>
      <c r="AR19" s="327"/>
    </row>
    <row r="20" spans="1:44" ht="37.5" customHeight="1" x14ac:dyDescent="0.2">
      <c r="A20" s="337"/>
      <c r="B20" s="331"/>
      <c r="C20" s="331"/>
      <c r="D20" s="331"/>
      <c r="E20" s="332"/>
      <c r="F20" s="331"/>
      <c r="G20" s="325"/>
      <c r="H20" s="325"/>
      <c r="I20" s="325"/>
      <c r="J20" s="325"/>
      <c r="K20" s="325"/>
      <c r="L20" s="325"/>
      <c r="M20" s="325"/>
      <c r="N20" s="327"/>
      <c r="O20" s="323"/>
      <c r="P20" s="322"/>
      <c r="Q20" s="313"/>
      <c r="R20" s="322">
        <f>IF(NOT(ISERROR(MATCH(Q20,_xlfn.ANCHORARRAY(E31),0))),P33&amp;"Por favor no seleccionar los criterios de impacto",Q20)</f>
        <v>0</v>
      </c>
      <c r="S20" s="323"/>
      <c r="T20" s="322"/>
      <c r="U20" s="321"/>
      <c r="V20" s="213">
        <v>6</v>
      </c>
      <c r="W20" s="186"/>
      <c r="X20" s="188" t="str">
        <f t="shared" si="12"/>
        <v/>
      </c>
      <c r="Y20" s="189"/>
      <c r="Z20" s="189"/>
      <c r="AA20" s="190" t="str">
        <f t="shared" si="7"/>
        <v/>
      </c>
      <c r="AB20" s="189"/>
      <c r="AC20" s="189"/>
      <c r="AD20" s="189"/>
      <c r="AE20" s="191" t="str">
        <f t="shared" si="13"/>
        <v/>
      </c>
      <c r="AF20" s="192" t="str">
        <f t="shared" si="2"/>
        <v/>
      </c>
      <c r="AG20" s="190" t="str">
        <f t="shared" si="8"/>
        <v/>
      </c>
      <c r="AH20" s="192" t="str">
        <f t="shared" si="4"/>
        <v/>
      </c>
      <c r="AI20" s="190" t="str">
        <f t="shared" si="11"/>
        <v/>
      </c>
      <c r="AJ20" s="193" t="str">
        <f t="shared" si="14"/>
        <v/>
      </c>
      <c r="AK20" s="194"/>
      <c r="AL20" s="185"/>
      <c r="AM20" s="195"/>
      <c r="AN20" s="195"/>
      <c r="AO20" s="196"/>
      <c r="AP20" s="327"/>
      <c r="AQ20" s="327"/>
      <c r="AR20" s="327"/>
    </row>
    <row r="21" spans="1:44" ht="37.5" customHeight="1" x14ac:dyDescent="0.2">
      <c r="A21" s="337">
        <v>3</v>
      </c>
      <c r="B21" s="331"/>
      <c r="C21" s="331"/>
      <c r="D21" s="331"/>
      <c r="E21" s="332"/>
      <c r="F21" s="331"/>
      <c r="G21" s="319"/>
      <c r="H21" s="319"/>
      <c r="I21" s="319"/>
      <c r="J21" s="319"/>
      <c r="K21" s="319"/>
      <c r="L21" s="319"/>
      <c r="M21" s="319"/>
      <c r="N21" s="327"/>
      <c r="O21" s="323" t="str">
        <f>IF(N21&lt;=0,"",IF(N21&lt;=2,"Muy Baja",IF(N21&lt;=24,"Baja",IF(N21&lt;=500,"Media",IF(N21&lt;=5000,"Alta","Muy Alta")))))</f>
        <v/>
      </c>
      <c r="P21" s="322" t="str">
        <f>IF(O21="","",IF(O21="Muy Baja",0.2,IF(O21="Baja",0.4,IF(O21="Media",0.6,IF(O21="Alta",0.8,IF(O21="Muy Alta",1,))))))</f>
        <v/>
      </c>
      <c r="Q21" s="313"/>
      <c r="R21" s="322">
        <f>IF(NOT(ISERROR(MATCH(Q21,'Tabla Impacto'!$B$222:$B$224,0))),'Tabla Impacto'!$F$224&amp;"Por favor no seleccionar los criterios de impacto(Afectación Económica o presupuestal y Pérdida Reputacional)",Q21)</f>
        <v>0</v>
      </c>
      <c r="S21" s="323" t="str">
        <f>IF(OR(R21='Tabla Impacto'!$C$12,R21='Tabla Impacto'!$D$12),"Leve",IF(OR(R21='Tabla Impacto'!$C$13,R21='Tabla Impacto'!$D$13),"Menor",IF(OR(R21='Tabla Impacto'!$C$14,R21='Tabla Impacto'!$D$14),"Moderado",IF(OR(R21='Tabla Impacto'!$C$15,R21='Tabla Impacto'!$D$15),"Mayor",IF(OR(R21='Tabla Impacto'!$C$16,R21='Tabla Impacto'!$D$16),"Catastrófico","")))))</f>
        <v/>
      </c>
      <c r="T21" s="322" t="str">
        <f>IF(S21="","",IF(S21="Leve",0.2,IF(S21="Menor",0.4,IF(S21="Moderado",0.6,IF(S21="Mayor",0.8,IF(S21="Catastrófico",1,))))))</f>
        <v/>
      </c>
      <c r="U21" s="321" t="str">
        <f>IF(OR(AND(O21="Muy Baja",S21="Leve"),AND(O21="Muy Baja",S21="Menor"),AND(O21="Baja",S21="Leve")),"Bajo",IF(OR(AND(O21="Muy baja",S21="Moderado"),AND(O21="Baja",S21="Menor"),AND(O21="Baja",S21="Moderado"),AND(O21="Media",S21="Leve"),AND(O21="Media",S21="Menor"),AND(O21="Media",S21="Moderado"),AND(O21="Alta",S21="Leve"),AND(O21="Alta",S21="Menor")),"Moderado",IF(OR(AND(O21="Muy Baja",S21="Mayor"),AND(O21="Baja",S21="Mayor"),AND(O21="Media",S21="Mayor"),AND(O21="Alta",S21="Moderado"),AND(O21="Alta",S21="Mayor"),AND(O21="Muy Alta",S21="Leve"),AND(O21="Muy Alta",S21="Menor"),AND(O21="Muy Alta",S21="Moderado"),AND(O21="Muy Alta",S21="Mayor")),"Alto",IF(OR(AND(O21="Muy Baja",S21="Catastrófico"),AND(O21="Baja",S21="Catastrófico"),AND(O21="Media",S21="Catastrófico"),AND(O21="Alta",S21="Catastrófico"),AND(O21="Muy Alta",S21="Catastrófico")),"Extremo",""))))</f>
        <v/>
      </c>
      <c r="V21" s="213">
        <v>1</v>
      </c>
      <c r="W21" s="186"/>
      <c r="X21" s="188" t="str">
        <f>IF(OR(Y21="Preventivo",Y21="Detectivo"),"Probabilidad",IF(Y21="Correctivo","Impacto",""))</f>
        <v/>
      </c>
      <c r="Y21" s="189"/>
      <c r="Z21" s="189"/>
      <c r="AA21" s="190" t="str">
        <f>IF(AND(Y21="Preventivo",Z21="Automático"),"50%",IF(AND(Y21="Preventivo",Z21="Manual"),"40%",IF(AND(Y21="Detectivo",Z21="Automático"),"40%",IF(AND(Y21="Detectivo",Z21="Manual"),"30%",IF(AND(Y21="Correctivo",Z21="Automático"),"35%",IF(AND(Y21="Correctivo",Z21="Manual"),"25%",""))))))</f>
        <v/>
      </c>
      <c r="AB21" s="189"/>
      <c r="AC21" s="189"/>
      <c r="AD21" s="189"/>
      <c r="AE21" s="191" t="str">
        <f>IFERROR(IF(X21="Probabilidad",(P21-(+P21*AA21)),IF(X21="Impacto",P21,"")),"")</f>
        <v/>
      </c>
      <c r="AF21" s="192" t="str">
        <f>IFERROR(IF(AE21="","",IF(AE21&lt;=0.2,"Muy Baja",IF(AE21&lt;=0.4,"Baja",IF(AE21&lt;=0.6,"Media",IF(AE21&lt;=0.8,"Alta","Muy Alta"))))),"")</f>
        <v/>
      </c>
      <c r="AG21" s="190" t="str">
        <f>+AE21</f>
        <v/>
      </c>
      <c r="AH21" s="192" t="str">
        <f>IFERROR(IF(AI21="","",IF(AI21&lt;=0.2,"Leve",IF(AI21&lt;=0.4,"Menor",IF(AI21&lt;=0.6,"Moderado",IF(AI21&lt;=0.8,"Mayor","Catastrófico"))))),"")</f>
        <v/>
      </c>
      <c r="AI21" s="190" t="str">
        <f t="shared" ref="AI21" si="15">IFERROR(IF(X21="Impacto",(T21-(+T21*AA21)),IF(X21="Probabilidad",T21,"")),"")</f>
        <v/>
      </c>
      <c r="AJ21" s="193" t="str">
        <f>IFERROR(IF(OR(AND(AF21="Muy Baja",AH21="Leve"),AND(AF21="Muy Baja",AH21="Menor"),AND(AF21="Baja",AH21="Leve")),"Bajo",IF(OR(AND(AF21="Muy baja",AH21="Moderado"),AND(AF21="Baja",AH21="Menor"),AND(AF21="Baja",AH21="Moderado"),AND(AF21="Media",AH21="Leve"),AND(AF21="Media",AH21="Menor"),AND(AF21="Media",AH21="Moderado"),AND(AF21="Alta",AH21="Leve"),AND(AF21="Alta",AH21="Menor")),"Moderado",IF(OR(AND(AF21="Muy Baja",AH21="Mayor"),AND(AF21="Baja",AH21="Mayor"),AND(AF21="Media",AH21="Mayor"),AND(AF21="Alta",AH21="Moderado"),AND(AF21="Alta",AH21="Mayor"),AND(AF21="Muy Alta",AH21="Leve"),AND(AF21="Muy Alta",AH21="Menor"),AND(AF21="Muy Alta",AH21="Moderado"),AND(AF21="Muy Alta",AH21="Mayor")),"Alto",IF(OR(AND(AF21="Muy Baja",AH21="Catastrófico"),AND(AF21="Baja",AH21="Catastrófico"),AND(AF21="Media",AH21="Catastrófico"),AND(AF21="Alta",AH21="Catastrófico"),AND(AF21="Muy Alta",AH21="Catastrófico")),"Extremo","")))),"")</f>
        <v/>
      </c>
      <c r="AK21" s="194"/>
      <c r="AL21" s="185"/>
      <c r="AM21" s="195"/>
      <c r="AN21" s="195"/>
      <c r="AO21" s="196"/>
      <c r="AP21" s="327"/>
      <c r="AQ21" s="327"/>
      <c r="AR21" s="327"/>
    </row>
    <row r="22" spans="1:44" ht="37.5" customHeight="1" x14ac:dyDescent="0.2">
      <c r="A22" s="337"/>
      <c r="B22" s="331"/>
      <c r="C22" s="331"/>
      <c r="D22" s="331"/>
      <c r="E22" s="332"/>
      <c r="F22" s="331"/>
      <c r="G22" s="320"/>
      <c r="H22" s="320"/>
      <c r="I22" s="320"/>
      <c r="J22" s="320"/>
      <c r="K22" s="320"/>
      <c r="L22" s="320"/>
      <c r="M22" s="320"/>
      <c r="N22" s="327"/>
      <c r="O22" s="323"/>
      <c r="P22" s="322"/>
      <c r="Q22" s="313"/>
      <c r="R22" s="322">
        <f>IF(NOT(ISERROR(MATCH(Q22,_xlfn.ANCHORARRAY(E33),0))),P35&amp;"Por favor no seleccionar los criterios de impacto",Q22)</f>
        <v>0</v>
      </c>
      <c r="S22" s="323"/>
      <c r="T22" s="322"/>
      <c r="U22" s="321"/>
      <c r="V22" s="213">
        <v>2</v>
      </c>
      <c r="W22" s="186"/>
      <c r="X22" s="188" t="str">
        <f>IF(OR(Y22="Preventivo",Y22="Detectivo"),"Probabilidad",IF(Y22="Correctivo","Impacto",""))</f>
        <v/>
      </c>
      <c r="Y22" s="189"/>
      <c r="Z22" s="189"/>
      <c r="AA22" s="190" t="str">
        <f t="shared" ref="AA22:AA26" si="16">IF(AND(Y22="Preventivo",Z22="Automático"),"50%",IF(AND(Y22="Preventivo",Z22="Manual"),"40%",IF(AND(Y22="Detectivo",Z22="Automático"),"40%",IF(AND(Y22="Detectivo",Z22="Manual"),"30%",IF(AND(Y22="Correctivo",Z22="Automático"),"35%",IF(AND(Y22="Correctivo",Z22="Manual"),"25%",""))))))</f>
        <v/>
      </c>
      <c r="AB22" s="189"/>
      <c r="AC22" s="189"/>
      <c r="AD22" s="189"/>
      <c r="AE22" s="191" t="str">
        <f>IFERROR(IF(AND(X21="Probabilidad",X22="Probabilidad"),(AG21-(+AG21*AA22)),IF(X22="Probabilidad",(P21-(+P21*AA22)),IF(X22="Impacto",AG21,""))),"")</f>
        <v/>
      </c>
      <c r="AF22" s="192" t="str">
        <f t="shared" si="2"/>
        <v/>
      </c>
      <c r="AG22" s="190" t="str">
        <f t="shared" ref="AG22:AG26" si="17">+AE22</f>
        <v/>
      </c>
      <c r="AH22" s="192" t="str">
        <f t="shared" si="4"/>
        <v/>
      </c>
      <c r="AI22" s="190" t="str">
        <f t="shared" ref="AI22" si="18">IFERROR(IF(AND(X21="Impacto",X22="Impacto"),(AI21-(+AI21*AA22)),IF(X22="Impacto",($T$13-(+$T$13*AA22)),IF(X22="Probabilidad",AI21,""))),"")</f>
        <v/>
      </c>
      <c r="AJ22" s="193" t="str">
        <f t="shared" ref="AJ22:AJ23" si="19">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4"/>
      <c r="AL22" s="185"/>
      <c r="AM22" s="195"/>
      <c r="AN22" s="195"/>
      <c r="AO22" s="196"/>
      <c r="AP22" s="327"/>
      <c r="AQ22" s="327"/>
      <c r="AR22" s="327"/>
    </row>
    <row r="23" spans="1:44" ht="37.5" customHeight="1" x14ac:dyDescent="0.2">
      <c r="A23" s="337"/>
      <c r="B23" s="331"/>
      <c r="C23" s="331"/>
      <c r="D23" s="331"/>
      <c r="E23" s="332"/>
      <c r="F23" s="331"/>
      <c r="G23" s="320"/>
      <c r="H23" s="320"/>
      <c r="I23" s="320"/>
      <c r="J23" s="320"/>
      <c r="K23" s="320"/>
      <c r="L23" s="320"/>
      <c r="M23" s="320"/>
      <c r="N23" s="327"/>
      <c r="O23" s="323"/>
      <c r="P23" s="322"/>
      <c r="Q23" s="313"/>
      <c r="R23" s="322">
        <f>IF(NOT(ISERROR(MATCH(Q23,_xlfn.ANCHORARRAY(E34),0))),P36&amp;"Por favor no seleccionar los criterios de impacto",Q23)</f>
        <v>0</v>
      </c>
      <c r="S23" s="323"/>
      <c r="T23" s="322"/>
      <c r="U23" s="321"/>
      <c r="V23" s="213">
        <v>3</v>
      </c>
      <c r="W23" s="186"/>
      <c r="X23" s="188" t="str">
        <f>IF(OR(Y23="Preventivo",Y23="Detectivo"),"Probabilidad",IF(Y23="Correctivo","Impacto",""))</f>
        <v/>
      </c>
      <c r="Y23" s="189"/>
      <c r="Z23" s="189"/>
      <c r="AA23" s="190" t="str">
        <f t="shared" si="16"/>
        <v/>
      </c>
      <c r="AB23" s="189"/>
      <c r="AC23" s="189"/>
      <c r="AD23" s="189"/>
      <c r="AE23" s="191" t="str">
        <f>IFERROR(IF(AND(X22="Probabilidad",X23="Probabilidad"),(AG22-(+AG22*AA23)),IF(AND(X22="Impacto",X23="Probabilidad"),(AG21-(+AG21*AA23)),IF(X23="Impacto",AG22,""))),"")</f>
        <v/>
      </c>
      <c r="AF23" s="192" t="str">
        <f t="shared" si="2"/>
        <v/>
      </c>
      <c r="AG23" s="190" t="str">
        <f t="shared" si="17"/>
        <v/>
      </c>
      <c r="AH23" s="192" t="str">
        <f t="shared" si="4"/>
        <v/>
      </c>
      <c r="AI23" s="190" t="str">
        <f t="shared" ref="AI23" si="20">IFERROR(IF(AND(X22="Impacto",X23="Impacto"),(AI22-(+AI22*AA23)),IF(AND(X22="Probabilidad",X23="Impacto"),(AI21-(+AI21*AA23)),IF(X23="Probabilidad",AI22,""))),"")</f>
        <v/>
      </c>
      <c r="AJ23" s="193" t="str">
        <f t="shared" si="19"/>
        <v/>
      </c>
      <c r="AK23" s="194"/>
      <c r="AL23" s="185"/>
      <c r="AM23" s="195"/>
      <c r="AN23" s="195"/>
      <c r="AO23" s="196"/>
      <c r="AP23" s="327"/>
      <c r="AQ23" s="327"/>
      <c r="AR23" s="327"/>
    </row>
    <row r="24" spans="1:44" ht="37.5" customHeight="1" x14ac:dyDescent="0.2">
      <c r="A24" s="337"/>
      <c r="B24" s="331"/>
      <c r="C24" s="331"/>
      <c r="D24" s="331"/>
      <c r="E24" s="332"/>
      <c r="F24" s="331"/>
      <c r="G24" s="320"/>
      <c r="H24" s="320"/>
      <c r="I24" s="320"/>
      <c r="J24" s="320"/>
      <c r="K24" s="320"/>
      <c r="L24" s="320"/>
      <c r="M24" s="320"/>
      <c r="N24" s="327"/>
      <c r="O24" s="323"/>
      <c r="P24" s="322"/>
      <c r="Q24" s="313"/>
      <c r="R24" s="322">
        <f>IF(NOT(ISERROR(MATCH(Q24,_xlfn.ANCHORARRAY(E35),0))),P37&amp;"Por favor no seleccionar los criterios de impacto",Q24)</f>
        <v>0</v>
      </c>
      <c r="S24" s="323"/>
      <c r="T24" s="322"/>
      <c r="U24" s="321"/>
      <c r="V24" s="213">
        <v>4</v>
      </c>
      <c r="W24" s="186"/>
      <c r="X24" s="188" t="str">
        <f t="shared" ref="X24:X26" si="21">IF(OR(Y24="Preventivo",Y24="Detectivo"),"Probabilidad",IF(Y24="Correctivo","Impacto",""))</f>
        <v/>
      </c>
      <c r="Y24" s="189"/>
      <c r="Z24" s="189"/>
      <c r="AA24" s="190" t="str">
        <f t="shared" si="16"/>
        <v/>
      </c>
      <c r="AB24" s="189"/>
      <c r="AC24" s="189"/>
      <c r="AD24" s="189"/>
      <c r="AE24" s="191" t="str">
        <f t="shared" ref="AE24:AE26" si="22">IFERROR(IF(AND(X23="Probabilidad",X24="Probabilidad"),(AG23-(+AG23*AA24)),IF(AND(X23="Impacto",X24="Probabilidad"),(AG22-(+AG22*AA24)),IF(X24="Impacto",AG23,""))),"")</f>
        <v/>
      </c>
      <c r="AF24" s="192" t="str">
        <f t="shared" si="2"/>
        <v/>
      </c>
      <c r="AG24" s="190" t="str">
        <f t="shared" si="17"/>
        <v/>
      </c>
      <c r="AH24" s="192" t="str">
        <f t="shared" si="4"/>
        <v/>
      </c>
      <c r="AI24" s="190" t="str">
        <f t="shared" si="11"/>
        <v/>
      </c>
      <c r="AJ24" s="193" t="str">
        <f>IFERROR(IF(OR(AND(AF24="Muy Baja",AH24="Leve"),AND(AF24="Muy Baja",AH24="Menor"),AND(AF24="Baja",AH24="Leve")),"Bajo",IF(OR(AND(AF24="Muy baja",AH24="Moderado"),AND(AF24="Baja",AH24="Menor"),AND(AF24="Baja",AH24="Moderado"),AND(AF24="Media",AH24="Leve"),AND(AF24="Media",AH24="Menor"),AND(AF24="Media",AH24="Moderado"),AND(AF24="Alta",AH24="Leve"),AND(AF24="Alta",AH24="Menor")),"Moderado",IF(OR(AND(AF24="Muy Baja",AH24="Mayor"),AND(AF24="Baja",AH24="Mayor"),AND(AF24="Media",AH24="Mayor"),AND(AF24="Alta",AH24="Moderado"),AND(AF24="Alta",AH24="Mayor"),AND(AF24="Muy Alta",AH24="Leve"),AND(AF24="Muy Alta",AH24="Menor"),AND(AF24="Muy Alta",AH24="Moderado"),AND(AF24="Muy Alta",AH24="Mayor")),"Alto",IF(OR(AND(AF24="Muy Baja",AH24="Catastrófico"),AND(AF24="Baja",AH24="Catastrófico"),AND(AF24="Media",AH24="Catastrófico"),AND(AF24="Alta",AH24="Catastrófico"),AND(AF24="Muy Alta",AH24="Catastrófico")),"Extremo","")))),"")</f>
        <v/>
      </c>
      <c r="AK24" s="194"/>
      <c r="AL24" s="185"/>
      <c r="AM24" s="195"/>
      <c r="AN24" s="195"/>
      <c r="AO24" s="196"/>
      <c r="AP24" s="327"/>
      <c r="AQ24" s="327"/>
      <c r="AR24" s="327"/>
    </row>
    <row r="25" spans="1:44" ht="37.5" customHeight="1" x14ac:dyDescent="0.2">
      <c r="A25" s="337"/>
      <c r="B25" s="331"/>
      <c r="C25" s="331"/>
      <c r="D25" s="331"/>
      <c r="E25" s="332"/>
      <c r="F25" s="331"/>
      <c r="G25" s="320"/>
      <c r="H25" s="320"/>
      <c r="I25" s="320"/>
      <c r="J25" s="320"/>
      <c r="K25" s="320"/>
      <c r="L25" s="320"/>
      <c r="M25" s="320"/>
      <c r="N25" s="327"/>
      <c r="O25" s="323"/>
      <c r="P25" s="322"/>
      <c r="Q25" s="313"/>
      <c r="R25" s="322">
        <f>IF(NOT(ISERROR(MATCH(Q25,_xlfn.ANCHORARRAY(E36),0))),P38&amp;"Por favor no seleccionar los criterios de impacto",Q25)</f>
        <v>0</v>
      </c>
      <c r="S25" s="323"/>
      <c r="T25" s="322"/>
      <c r="U25" s="321"/>
      <c r="V25" s="213">
        <v>5</v>
      </c>
      <c r="W25" s="186"/>
      <c r="X25" s="188" t="str">
        <f t="shared" si="21"/>
        <v/>
      </c>
      <c r="Y25" s="189"/>
      <c r="Z25" s="189"/>
      <c r="AA25" s="190" t="str">
        <f t="shared" si="16"/>
        <v/>
      </c>
      <c r="AB25" s="189"/>
      <c r="AC25" s="189"/>
      <c r="AD25" s="189"/>
      <c r="AE25" s="191" t="str">
        <f t="shared" si="22"/>
        <v/>
      </c>
      <c r="AF25" s="192" t="str">
        <f t="shared" si="2"/>
        <v/>
      </c>
      <c r="AG25" s="190" t="str">
        <f t="shared" si="17"/>
        <v/>
      </c>
      <c r="AH25" s="192" t="str">
        <f t="shared" si="4"/>
        <v/>
      </c>
      <c r="AI25" s="190" t="str">
        <f t="shared" si="11"/>
        <v/>
      </c>
      <c r="AJ25" s="193" t="str">
        <f t="shared" ref="AJ25:AJ26" si="23">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4"/>
      <c r="AL25" s="185"/>
      <c r="AM25" s="195"/>
      <c r="AN25" s="195"/>
      <c r="AO25" s="196"/>
      <c r="AP25" s="327"/>
      <c r="AQ25" s="327"/>
      <c r="AR25" s="327"/>
    </row>
    <row r="26" spans="1:44" ht="37.5" customHeight="1" x14ac:dyDescent="0.2">
      <c r="A26" s="337"/>
      <c r="B26" s="331"/>
      <c r="C26" s="331"/>
      <c r="D26" s="331"/>
      <c r="E26" s="332"/>
      <c r="F26" s="331"/>
      <c r="G26" s="325"/>
      <c r="H26" s="325"/>
      <c r="I26" s="325"/>
      <c r="J26" s="325"/>
      <c r="K26" s="325"/>
      <c r="L26" s="325"/>
      <c r="M26" s="325"/>
      <c r="N26" s="327"/>
      <c r="O26" s="323"/>
      <c r="P26" s="322"/>
      <c r="Q26" s="313"/>
      <c r="R26" s="322">
        <f>IF(NOT(ISERROR(MATCH(Q26,_xlfn.ANCHORARRAY(E37),0))),P39&amp;"Por favor no seleccionar los criterios de impacto",Q26)</f>
        <v>0</v>
      </c>
      <c r="S26" s="323"/>
      <c r="T26" s="322"/>
      <c r="U26" s="321"/>
      <c r="V26" s="213">
        <v>6</v>
      </c>
      <c r="W26" s="186"/>
      <c r="X26" s="188" t="str">
        <f t="shared" si="21"/>
        <v/>
      </c>
      <c r="Y26" s="189"/>
      <c r="Z26" s="189"/>
      <c r="AA26" s="190" t="str">
        <f t="shared" si="16"/>
        <v/>
      </c>
      <c r="AB26" s="189"/>
      <c r="AC26" s="189"/>
      <c r="AD26" s="189"/>
      <c r="AE26" s="191" t="str">
        <f t="shared" si="22"/>
        <v/>
      </c>
      <c r="AF26" s="192" t="str">
        <f t="shared" si="2"/>
        <v/>
      </c>
      <c r="AG26" s="190" t="str">
        <f t="shared" si="17"/>
        <v/>
      </c>
      <c r="AH26" s="192" t="str">
        <f t="shared" si="4"/>
        <v/>
      </c>
      <c r="AI26" s="190" t="str">
        <f t="shared" si="11"/>
        <v/>
      </c>
      <c r="AJ26" s="193" t="str">
        <f t="shared" si="23"/>
        <v/>
      </c>
      <c r="AK26" s="194"/>
      <c r="AL26" s="185"/>
      <c r="AM26" s="195"/>
      <c r="AN26" s="195"/>
      <c r="AO26" s="196"/>
      <c r="AP26" s="327"/>
      <c r="AQ26" s="327"/>
      <c r="AR26" s="327"/>
    </row>
    <row r="27" spans="1:44" ht="37.5" customHeight="1" x14ac:dyDescent="0.2">
      <c r="A27" s="337">
        <v>4</v>
      </c>
      <c r="B27" s="331"/>
      <c r="C27" s="331"/>
      <c r="D27" s="331"/>
      <c r="E27" s="331"/>
      <c r="F27" s="331"/>
      <c r="G27" s="319"/>
      <c r="H27" s="319"/>
      <c r="I27" s="319"/>
      <c r="J27" s="319"/>
      <c r="K27" s="319"/>
      <c r="L27" s="319"/>
      <c r="M27" s="319"/>
      <c r="N27" s="327"/>
      <c r="O27" s="323" t="str">
        <f>IF(N27&lt;=0,"",IF(N27&lt;=2,"Muy Baja",IF(N27&lt;=24,"Baja",IF(N27&lt;=500,"Media",IF(N27&lt;=5000,"Alta","Muy Alta")))))</f>
        <v/>
      </c>
      <c r="P27" s="322" t="str">
        <f>IF(O27="","",IF(O27="Muy Baja",0.2,IF(O27="Baja",0.4,IF(O27="Media",0.6,IF(O27="Alta",0.8,IF(O27="Muy Alta",1,))))))</f>
        <v/>
      </c>
      <c r="Q27" s="313"/>
      <c r="R27" s="322">
        <f>IF(NOT(ISERROR(MATCH(Q27,'Tabla Impacto'!$B$222:$B$224,0))),'Tabla Impacto'!$F$224&amp;"Por favor no seleccionar los criterios de impacto(Afectación Económica o presupuestal y Pérdida Reputacional)",Q27)</f>
        <v>0</v>
      </c>
      <c r="S27" s="323" t="str">
        <f>IF(OR(R27='Tabla Impacto'!$C$12,R27='Tabla Impacto'!$D$12),"Leve",IF(OR(R27='Tabla Impacto'!$C$13,R27='Tabla Impacto'!$D$13),"Menor",IF(OR(R27='Tabla Impacto'!$C$14,R27='Tabla Impacto'!$D$14),"Moderado",IF(OR(R27='Tabla Impacto'!$C$15,R27='Tabla Impacto'!$D$15),"Mayor",IF(OR(R27='Tabla Impacto'!$C$16,R27='Tabla Impacto'!$D$16),"Catastrófico","")))))</f>
        <v/>
      </c>
      <c r="T27" s="322" t="str">
        <f>IF(S27="","",IF(S27="Leve",0.2,IF(S27="Menor",0.4,IF(S27="Moderado",0.6,IF(S27="Mayor",0.8,IF(S27="Catastrófico",1,))))))</f>
        <v/>
      </c>
      <c r="U27" s="321" t="str">
        <f>IF(OR(AND(O27="Muy Baja",S27="Leve"),AND(O27="Muy Baja",S27="Menor"),AND(O27="Baja",S27="Leve")),"Bajo",IF(OR(AND(O27="Muy baja",S27="Moderado"),AND(O27="Baja",S27="Menor"),AND(O27="Baja",S27="Moderado"),AND(O27="Media",S27="Leve"),AND(O27="Media",S27="Menor"),AND(O27="Media",S27="Moderado"),AND(O27="Alta",S27="Leve"),AND(O27="Alta",S27="Menor")),"Moderado",IF(OR(AND(O27="Muy Baja",S27="Mayor"),AND(O27="Baja",S27="Mayor"),AND(O27="Media",S27="Mayor"),AND(O27="Alta",S27="Moderado"),AND(O27="Alta",S27="Mayor"),AND(O27="Muy Alta",S27="Leve"),AND(O27="Muy Alta",S27="Menor"),AND(O27="Muy Alta",S27="Moderado"),AND(O27="Muy Alta",S27="Mayor")),"Alto",IF(OR(AND(O27="Muy Baja",S27="Catastrófico"),AND(O27="Baja",S27="Catastrófico"),AND(O27="Media",S27="Catastrófico"),AND(O27="Alta",S27="Catastrófico"),AND(O27="Muy Alta",S27="Catastrófico")),"Extremo",""))))</f>
        <v/>
      </c>
      <c r="V27" s="213">
        <v>1</v>
      </c>
      <c r="W27" s="186"/>
      <c r="X27" s="188" t="str">
        <f>IF(OR(Y27="Preventivo",Y27="Detectivo"),"Probabilidad",IF(Y27="Correctivo","Impacto",""))</f>
        <v/>
      </c>
      <c r="Y27" s="189"/>
      <c r="Z27" s="189"/>
      <c r="AA27" s="190" t="str">
        <f>IF(AND(Y27="Preventivo",Z27="Automático"),"50%",IF(AND(Y27="Preventivo",Z27="Manual"),"40%",IF(AND(Y27="Detectivo",Z27="Automático"),"40%",IF(AND(Y27="Detectivo",Z27="Manual"),"30%",IF(AND(Y27="Correctivo",Z27="Automático"),"35%",IF(AND(Y27="Correctivo",Z27="Manual"),"25%",""))))))</f>
        <v/>
      </c>
      <c r="AB27" s="189"/>
      <c r="AC27" s="189"/>
      <c r="AD27" s="189"/>
      <c r="AE27" s="191" t="str">
        <f>IFERROR(IF(X27="Probabilidad",(P27-(+P27*AA27)),IF(X27="Impacto",P27,"")),"")</f>
        <v/>
      </c>
      <c r="AF27" s="192" t="str">
        <f>IFERROR(IF(AE27="","",IF(AE27&lt;=0.2,"Muy Baja",IF(AE27&lt;=0.4,"Baja",IF(AE27&lt;=0.6,"Media",IF(AE27&lt;=0.8,"Alta","Muy Alta"))))),"")</f>
        <v/>
      </c>
      <c r="AG27" s="190" t="str">
        <f>+AE27</f>
        <v/>
      </c>
      <c r="AH27" s="192" t="str">
        <f>IFERROR(IF(AI27="","",IF(AI27&lt;=0.2,"Leve",IF(AI27&lt;=0.4,"Menor",IF(AI27&lt;=0.6,"Moderado",IF(AI27&lt;=0.8,"Mayor","Catastrófico"))))),"")</f>
        <v/>
      </c>
      <c r="AI27" s="190" t="str">
        <f t="shared" ref="AI27" si="24">IFERROR(IF(X27="Impacto",(T27-(+T27*AA27)),IF(X27="Probabilidad",T27,"")),"")</f>
        <v/>
      </c>
      <c r="AJ27" s="193" t="str">
        <f>IFERROR(IF(OR(AND(AF27="Muy Baja",AH27="Leve"),AND(AF27="Muy Baja",AH27="Menor"),AND(AF27="Baja",AH27="Leve")),"Bajo",IF(OR(AND(AF27="Muy baja",AH27="Moderado"),AND(AF27="Baja",AH27="Menor"),AND(AF27="Baja",AH27="Moderado"),AND(AF27="Media",AH27="Leve"),AND(AF27="Media",AH27="Menor"),AND(AF27="Media",AH27="Moderado"),AND(AF27="Alta",AH27="Leve"),AND(AF27="Alta",AH27="Menor")),"Moderado",IF(OR(AND(AF27="Muy Baja",AH27="Mayor"),AND(AF27="Baja",AH27="Mayor"),AND(AF27="Media",AH27="Mayor"),AND(AF27="Alta",AH27="Moderado"),AND(AF27="Alta",AH27="Mayor"),AND(AF27="Muy Alta",AH27="Leve"),AND(AF27="Muy Alta",AH27="Menor"),AND(AF27="Muy Alta",AH27="Moderado"),AND(AF27="Muy Alta",AH27="Mayor")),"Alto",IF(OR(AND(AF27="Muy Baja",AH27="Catastrófico"),AND(AF27="Baja",AH27="Catastrófico"),AND(AF27="Media",AH27="Catastrófico"),AND(AF27="Alta",AH27="Catastrófico"),AND(AF27="Muy Alta",AH27="Catastrófico")),"Extremo","")))),"")</f>
        <v/>
      </c>
      <c r="AK27" s="194"/>
      <c r="AL27" s="185"/>
      <c r="AM27" s="195"/>
      <c r="AN27" s="195"/>
      <c r="AO27" s="196"/>
      <c r="AP27" s="327"/>
      <c r="AQ27" s="327"/>
      <c r="AR27" s="327"/>
    </row>
    <row r="28" spans="1:44" ht="37.5" customHeight="1" x14ac:dyDescent="0.2">
      <c r="A28" s="337"/>
      <c r="B28" s="331"/>
      <c r="C28" s="331"/>
      <c r="D28" s="331"/>
      <c r="E28" s="331"/>
      <c r="F28" s="331"/>
      <c r="G28" s="320"/>
      <c r="H28" s="320"/>
      <c r="I28" s="320"/>
      <c r="J28" s="320"/>
      <c r="K28" s="320"/>
      <c r="L28" s="320"/>
      <c r="M28" s="320"/>
      <c r="N28" s="327"/>
      <c r="O28" s="323"/>
      <c r="P28" s="322"/>
      <c r="Q28" s="313"/>
      <c r="R28" s="322">
        <f>IF(NOT(ISERROR(MATCH(Q28,_xlfn.ANCHORARRAY(E39),0))),P41&amp;"Por favor no seleccionar los criterios de impacto",Q28)</f>
        <v>0</v>
      </c>
      <c r="S28" s="323"/>
      <c r="T28" s="322"/>
      <c r="U28" s="321"/>
      <c r="V28" s="213">
        <v>2</v>
      </c>
      <c r="W28" s="186"/>
      <c r="X28" s="188" t="str">
        <f>IF(OR(Y28="Preventivo",Y28="Detectivo"),"Probabilidad",IF(Y28="Correctivo","Impacto",""))</f>
        <v/>
      </c>
      <c r="Y28" s="189"/>
      <c r="Z28" s="189"/>
      <c r="AA28" s="190" t="str">
        <f t="shared" ref="AA28:AA32" si="25">IF(AND(Y28="Preventivo",Z28="Automático"),"50%",IF(AND(Y28="Preventivo",Z28="Manual"),"40%",IF(AND(Y28="Detectivo",Z28="Automático"),"40%",IF(AND(Y28="Detectivo",Z28="Manual"),"30%",IF(AND(Y28="Correctivo",Z28="Automático"),"35%",IF(AND(Y28="Correctivo",Z28="Manual"),"25%",""))))))</f>
        <v/>
      </c>
      <c r="AB28" s="189"/>
      <c r="AC28" s="189"/>
      <c r="AD28" s="189"/>
      <c r="AE28" s="191" t="str">
        <f>IFERROR(IF(AND(X27="Probabilidad",X28="Probabilidad"),(AG27-(+AG27*AA28)),IF(X28="Probabilidad",(P27-(+P27*AA28)),IF(X28="Impacto",AG27,""))),"")</f>
        <v/>
      </c>
      <c r="AF28" s="192" t="str">
        <f t="shared" si="2"/>
        <v/>
      </c>
      <c r="AG28" s="190" t="str">
        <f t="shared" ref="AG28:AG32" si="26">+AE28</f>
        <v/>
      </c>
      <c r="AH28" s="192" t="str">
        <f t="shared" si="4"/>
        <v/>
      </c>
      <c r="AI28" s="190" t="str">
        <f t="shared" ref="AI28" si="27">IFERROR(IF(AND(X27="Impacto",X28="Impacto"),(AI27-(+AI27*AA28)),IF(X28="Impacto",($T$13-(+$T$13*AA28)),IF(X28="Probabilidad",AI27,""))),"")</f>
        <v/>
      </c>
      <c r="AJ28" s="193" t="str">
        <f t="shared" ref="AJ28:AJ29" si="28">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4"/>
      <c r="AL28" s="185"/>
      <c r="AM28" s="195"/>
      <c r="AN28" s="195"/>
      <c r="AO28" s="196"/>
      <c r="AP28" s="327"/>
      <c r="AQ28" s="327"/>
      <c r="AR28" s="327"/>
    </row>
    <row r="29" spans="1:44" ht="37.5" customHeight="1" x14ac:dyDescent="0.2">
      <c r="A29" s="337"/>
      <c r="B29" s="331"/>
      <c r="C29" s="331"/>
      <c r="D29" s="331"/>
      <c r="E29" s="331"/>
      <c r="F29" s="331"/>
      <c r="G29" s="320"/>
      <c r="H29" s="320"/>
      <c r="I29" s="320"/>
      <c r="J29" s="320"/>
      <c r="K29" s="320"/>
      <c r="L29" s="320"/>
      <c r="M29" s="320"/>
      <c r="N29" s="327"/>
      <c r="O29" s="323"/>
      <c r="P29" s="322"/>
      <c r="Q29" s="313"/>
      <c r="R29" s="322">
        <f>IF(NOT(ISERROR(MATCH(Q29,_xlfn.ANCHORARRAY(E40),0))),P42&amp;"Por favor no seleccionar los criterios de impacto",Q29)</f>
        <v>0</v>
      </c>
      <c r="S29" s="323"/>
      <c r="T29" s="322"/>
      <c r="U29" s="321"/>
      <c r="V29" s="213">
        <v>3</v>
      </c>
      <c r="W29" s="187"/>
      <c r="X29" s="188" t="str">
        <f>IF(OR(Y29="Preventivo",Y29="Detectivo"),"Probabilidad",IF(Y29="Correctivo","Impacto",""))</f>
        <v/>
      </c>
      <c r="Y29" s="189"/>
      <c r="Z29" s="189"/>
      <c r="AA29" s="190" t="str">
        <f t="shared" si="25"/>
        <v/>
      </c>
      <c r="AB29" s="189"/>
      <c r="AC29" s="189"/>
      <c r="AD29" s="189"/>
      <c r="AE29" s="191" t="str">
        <f>IFERROR(IF(AND(X28="Probabilidad",X29="Probabilidad"),(AG28-(+AG28*AA29)),IF(AND(X28="Impacto",X29="Probabilidad"),(AG27-(+AG27*AA29)),IF(X29="Impacto",AG28,""))),"")</f>
        <v/>
      </c>
      <c r="AF29" s="192" t="str">
        <f t="shared" si="2"/>
        <v/>
      </c>
      <c r="AG29" s="190" t="str">
        <f t="shared" si="26"/>
        <v/>
      </c>
      <c r="AH29" s="192" t="str">
        <f t="shared" si="4"/>
        <v/>
      </c>
      <c r="AI29" s="190" t="str">
        <f t="shared" ref="AI29" si="29">IFERROR(IF(AND(X28="Impacto",X29="Impacto"),(AI28-(+AI28*AA29)),IF(AND(X28="Probabilidad",X29="Impacto"),(AI27-(+AI27*AA29)),IF(X29="Probabilidad",AI28,""))),"")</f>
        <v/>
      </c>
      <c r="AJ29" s="193" t="str">
        <f t="shared" si="28"/>
        <v/>
      </c>
      <c r="AK29" s="194"/>
      <c r="AL29" s="185"/>
      <c r="AM29" s="195"/>
      <c r="AN29" s="195"/>
      <c r="AO29" s="196"/>
      <c r="AP29" s="327"/>
      <c r="AQ29" s="327"/>
      <c r="AR29" s="327"/>
    </row>
    <row r="30" spans="1:44" ht="37.5" customHeight="1" x14ac:dyDescent="0.2">
      <c r="A30" s="337"/>
      <c r="B30" s="331"/>
      <c r="C30" s="331"/>
      <c r="D30" s="331"/>
      <c r="E30" s="331"/>
      <c r="F30" s="331"/>
      <c r="G30" s="320"/>
      <c r="H30" s="320"/>
      <c r="I30" s="320"/>
      <c r="J30" s="320"/>
      <c r="K30" s="320"/>
      <c r="L30" s="320"/>
      <c r="M30" s="320"/>
      <c r="N30" s="327"/>
      <c r="O30" s="323"/>
      <c r="P30" s="322"/>
      <c r="Q30" s="313"/>
      <c r="R30" s="322">
        <f>IF(NOT(ISERROR(MATCH(Q30,_xlfn.ANCHORARRAY(E41),0))),P43&amp;"Por favor no seleccionar los criterios de impacto",Q30)</f>
        <v>0</v>
      </c>
      <c r="S30" s="323"/>
      <c r="T30" s="322"/>
      <c r="U30" s="321"/>
      <c r="V30" s="213">
        <v>4</v>
      </c>
      <c r="W30" s="186"/>
      <c r="X30" s="188" t="str">
        <f t="shared" ref="X30:X32" si="30">IF(OR(Y30="Preventivo",Y30="Detectivo"),"Probabilidad",IF(Y30="Correctivo","Impacto",""))</f>
        <v/>
      </c>
      <c r="Y30" s="189"/>
      <c r="Z30" s="189"/>
      <c r="AA30" s="190" t="str">
        <f t="shared" si="25"/>
        <v/>
      </c>
      <c r="AB30" s="189"/>
      <c r="AC30" s="189"/>
      <c r="AD30" s="189"/>
      <c r="AE30" s="191" t="str">
        <f t="shared" ref="AE30:AE32" si="31">IFERROR(IF(AND(X29="Probabilidad",X30="Probabilidad"),(AG29-(+AG29*AA30)),IF(AND(X29="Impacto",X30="Probabilidad"),(AG28-(+AG28*AA30)),IF(X30="Impacto",AG29,""))),"")</f>
        <v/>
      </c>
      <c r="AF30" s="192" t="str">
        <f t="shared" si="2"/>
        <v/>
      </c>
      <c r="AG30" s="190" t="str">
        <f t="shared" si="26"/>
        <v/>
      </c>
      <c r="AH30" s="192" t="str">
        <f t="shared" si="4"/>
        <v/>
      </c>
      <c r="AI30" s="190" t="str">
        <f t="shared" si="11"/>
        <v/>
      </c>
      <c r="AJ30" s="193" t="str">
        <f>IFERROR(IF(OR(AND(AF30="Muy Baja",AH30="Leve"),AND(AF30="Muy Baja",AH30="Menor"),AND(AF30="Baja",AH30="Leve")),"Bajo",IF(OR(AND(AF30="Muy baja",AH30="Moderado"),AND(AF30="Baja",AH30="Menor"),AND(AF30="Baja",AH30="Moderado"),AND(AF30="Media",AH30="Leve"),AND(AF30="Media",AH30="Menor"),AND(AF30="Media",AH30="Moderado"),AND(AF30="Alta",AH30="Leve"),AND(AF30="Alta",AH30="Menor")),"Moderado",IF(OR(AND(AF30="Muy Baja",AH30="Mayor"),AND(AF30="Baja",AH30="Mayor"),AND(AF30="Media",AH30="Mayor"),AND(AF30="Alta",AH30="Moderado"),AND(AF30="Alta",AH30="Mayor"),AND(AF30="Muy Alta",AH30="Leve"),AND(AF30="Muy Alta",AH30="Menor"),AND(AF30="Muy Alta",AH30="Moderado"),AND(AF30="Muy Alta",AH30="Mayor")),"Alto",IF(OR(AND(AF30="Muy Baja",AH30="Catastrófico"),AND(AF30="Baja",AH30="Catastrófico"),AND(AF30="Media",AH30="Catastrófico"),AND(AF30="Alta",AH30="Catastrófico"),AND(AF30="Muy Alta",AH30="Catastrófico")),"Extremo","")))),"")</f>
        <v/>
      </c>
      <c r="AK30" s="194"/>
      <c r="AL30" s="185"/>
      <c r="AM30" s="195"/>
      <c r="AN30" s="195"/>
      <c r="AO30" s="196"/>
      <c r="AP30" s="327"/>
      <c r="AQ30" s="327"/>
      <c r="AR30" s="327"/>
    </row>
    <row r="31" spans="1:44" ht="37.5" customHeight="1" x14ac:dyDescent="0.2">
      <c r="A31" s="337"/>
      <c r="B31" s="331"/>
      <c r="C31" s="331"/>
      <c r="D31" s="331"/>
      <c r="E31" s="331"/>
      <c r="F31" s="331"/>
      <c r="G31" s="320"/>
      <c r="H31" s="320"/>
      <c r="I31" s="320"/>
      <c r="J31" s="320"/>
      <c r="K31" s="320"/>
      <c r="L31" s="320"/>
      <c r="M31" s="320"/>
      <c r="N31" s="327"/>
      <c r="O31" s="323"/>
      <c r="P31" s="322"/>
      <c r="Q31" s="313"/>
      <c r="R31" s="322">
        <f>IF(NOT(ISERROR(MATCH(Q31,_xlfn.ANCHORARRAY(E42),0))),P44&amp;"Por favor no seleccionar los criterios de impacto",Q31)</f>
        <v>0</v>
      </c>
      <c r="S31" s="323"/>
      <c r="T31" s="322"/>
      <c r="U31" s="321"/>
      <c r="V31" s="213">
        <v>5</v>
      </c>
      <c r="W31" s="186"/>
      <c r="X31" s="188" t="str">
        <f t="shared" si="30"/>
        <v/>
      </c>
      <c r="Y31" s="189"/>
      <c r="Z31" s="189"/>
      <c r="AA31" s="190" t="str">
        <f t="shared" si="25"/>
        <v/>
      </c>
      <c r="AB31" s="189"/>
      <c r="AC31" s="189"/>
      <c r="AD31" s="189"/>
      <c r="AE31" s="191" t="str">
        <f t="shared" si="31"/>
        <v/>
      </c>
      <c r="AF31" s="192" t="str">
        <f>IFERROR(IF(AE31="","",IF(AE31&lt;=0.2,"Muy Baja",IF(AE31&lt;=0.4,"Baja",IF(AE31&lt;=0.6,"Media",IF(AE31&lt;=0.8,"Alta","Muy Alta"))))),"")</f>
        <v/>
      </c>
      <c r="AG31" s="190" t="str">
        <f t="shared" si="26"/>
        <v/>
      </c>
      <c r="AH31" s="192" t="str">
        <f t="shared" si="4"/>
        <v/>
      </c>
      <c r="AI31" s="190" t="str">
        <f t="shared" si="11"/>
        <v/>
      </c>
      <c r="AJ31" s="193" t="str">
        <f t="shared" ref="AJ31:AJ32" si="32">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4"/>
      <c r="AL31" s="185"/>
      <c r="AM31" s="195"/>
      <c r="AN31" s="195"/>
      <c r="AO31" s="196"/>
      <c r="AP31" s="327"/>
      <c r="AQ31" s="327"/>
      <c r="AR31" s="327"/>
    </row>
    <row r="32" spans="1:44" ht="37.5" customHeight="1" x14ac:dyDescent="0.2">
      <c r="A32" s="337"/>
      <c r="B32" s="331"/>
      <c r="C32" s="331"/>
      <c r="D32" s="331"/>
      <c r="E32" s="331"/>
      <c r="F32" s="331"/>
      <c r="G32" s="325"/>
      <c r="H32" s="325"/>
      <c r="I32" s="325"/>
      <c r="J32" s="325"/>
      <c r="K32" s="325"/>
      <c r="L32" s="325"/>
      <c r="M32" s="325"/>
      <c r="N32" s="327"/>
      <c r="O32" s="323"/>
      <c r="P32" s="322"/>
      <c r="Q32" s="313"/>
      <c r="R32" s="322">
        <f>IF(NOT(ISERROR(MATCH(Q32,_xlfn.ANCHORARRAY(E43),0))),P45&amp;"Por favor no seleccionar los criterios de impacto",Q32)</f>
        <v>0</v>
      </c>
      <c r="S32" s="323"/>
      <c r="T32" s="322"/>
      <c r="U32" s="321"/>
      <c r="V32" s="213">
        <v>6</v>
      </c>
      <c r="W32" s="186"/>
      <c r="X32" s="188" t="str">
        <f t="shared" si="30"/>
        <v/>
      </c>
      <c r="Y32" s="189"/>
      <c r="Z32" s="189"/>
      <c r="AA32" s="190" t="str">
        <f t="shared" si="25"/>
        <v/>
      </c>
      <c r="AB32" s="189"/>
      <c r="AC32" s="189"/>
      <c r="AD32" s="189"/>
      <c r="AE32" s="191" t="str">
        <f t="shared" si="31"/>
        <v/>
      </c>
      <c r="AF32" s="192" t="str">
        <f t="shared" si="2"/>
        <v/>
      </c>
      <c r="AG32" s="190" t="str">
        <f t="shared" si="26"/>
        <v/>
      </c>
      <c r="AH32" s="192" t="str">
        <f t="shared" si="4"/>
        <v/>
      </c>
      <c r="AI32" s="190" t="str">
        <f t="shared" si="11"/>
        <v/>
      </c>
      <c r="AJ32" s="193" t="str">
        <f t="shared" si="32"/>
        <v/>
      </c>
      <c r="AK32" s="194"/>
      <c r="AL32" s="185"/>
      <c r="AM32" s="195"/>
      <c r="AN32" s="195"/>
      <c r="AO32" s="196"/>
      <c r="AP32" s="327"/>
      <c r="AQ32" s="327"/>
      <c r="AR32" s="327"/>
    </row>
    <row r="33" spans="1:44" ht="37.5" customHeight="1" x14ac:dyDescent="0.2">
      <c r="A33" s="337">
        <v>5</v>
      </c>
      <c r="B33" s="331"/>
      <c r="C33" s="331"/>
      <c r="D33" s="331"/>
      <c r="E33" s="331"/>
      <c r="F33" s="331"/>
      <c r="G33" s="319"/>
      <c r="H33" s="319"/>
      <c r="I33" s="319"/>
      <c r="J33" s="319"/>
      <c r="K33" s="319"/>
      <c r="L33" s="319"/>
      <c r="M33" s="319"/>
      <c r="N33" s="327"/>
      <c r="O33" s="323" t="str">
        <f>IF(N33&lt;=0,"",IF(N33&lt;=2,"Muy Baja",IF(N33&lt;=24,"Baja",IF(N33&lt;=500,"Media",IF(N33&lt;=5000,"Alta","Muy Alta")))))</f>
        <v/>
      </c>
      <c r="P33" s="322" t="str">
        <f>IF(O33="","",IF(O33="Muy Baja",0.2,IF(O33="Baja",0.4,IF(O33="Media",0.6,IF(O33="Alta",0.8,IF(O33="Muy Alta",1,))))))</f>
        <v/>
      </c>
      <c r="Q33" s="313"/>
      <c r="R33" s="322">
        <f>IF(NOT(ISERROR(MATCH(Q33,'Tabla Impacto'!$B$222:$B$224,0))),'Tabla Impacto'!$F$224&amp;"Por favor no seleccionar los criterios de impacto(Afectación Económica o presupuestal y Pérdida Reputacional)",Q33)</f>
        <v>0</v>
      </c>
      <c r="S33" s="323" t="str">
        <f>IF(OR(R33='Tabla Impacto'!$C$12,R33='Tabla Impacto'!$D$12),"Leve",IF(OR(R33='Tabla Impacto'!$C$13,R33='Tabla Impacto'!$D$13),"Menor",IF(OR(R33='Tabla Impacto'!$C$14,R33='Tabla Impacto'!$D$14),"Moderado",IF(OR(R33='Tabla Impacto'!$C$15,R33='Tabla Impacto'!$D$15),"Mayor",IF(OR(R33='Tabla Impacto'!$C$16,R33='Tabla Impacto'!$D$16),"Catastrófico","")))))</f>
        <v/>
      </c>
      <c r="T33" s="322" t="str">
        <f>IF(S33="","",IF(S33="Leve",0.2,IF(S33="Menor",0.4,IF(S33="Moderado",0.6,IF(S33="Mayor",0.8,IF(S33="Catastrófico",1,))))))</f>
        <v/>
      </c>
      <c r="U33" s="321" t="str">
        <f>IF(OR(AND(O33="Muy Baja",S33="Leve"),AND(O33="Muy Baja",S33="Menor"),AND(O33="Baja",S33="Leve")),"Bajo",IF(OR(AND(O33="Muy baja",S33="Moderado"),AND(O33="Baja",S33="Menor"),AND(O33="Baja",S33="Moderado"),AND(O33="Media",S33="Leve"),AND(O33="Media",S33="Menor"),AND(O33="Media",S33="Moderado"),AND(O33="Alta",S33="Leve"),AND(O33="Alta",S33="Menor")),"Moderado",IF(OR(AND(O33="Muy Baja",S33="Mayor"),AND(O33="Baja",S33="Mayor"),AND(O33="Media",S33="Mayor"),AND(O33="Alta",S33="Moderado"),AND(O33="Alta",S33="Mayor"),AND(O33="Muy Alta",S33="Leve"),AND(O33="Muy Alta",S33="Menor"),AND(O33="Muy Alta",S33="Moderado"),AND(O33="Muy Alta",S33="Mayor")),"Alto",IF(OR(AND(O33="Muy Baja",S33="Catastrófico"),AND(O33="Baja",S33="Catastrófico"),AND(O33="Media",S33="Catastrófico"),AND(O33="Alta",S33="Catastrófico"),AND(O33="Muy Alta",S33="Catastrófico")),"Extremo",""))))</f>
        <v/>
      </c>
      <c r="V33" s="213">
        <v>1</v>
      </c>
      <c r="W33" s="186"/>
      <c r="X33" s="188" t="str">
        <f>IF(OR(Y33="Preventivo",Y33="Detectivo"),"Probabilidad",IF(Y33="Correctivo","Impacto",""))</f>
        <v/>
      </c>
      <c r="Y33" s="189"/>
      <c r="Z33" s="189"/>
      <c r="AA33" s="190" t="str">
        <f>IF(AND(Y33="Preventivo",Z33="Automático"),"50%",IF(AND(Y33="Preventivo",Z33="Manual"),"40%",IF(AND(Y33="Detectivo",Z33="Automático"),"40%",IF(AND(Y33="Detectivo",Z33="Manual"),"30%",IF(AND(Y33="Correctivo",Z33="Automático"),"35%",IF(AND(Y33="Correctivo",Z33="Manual"),"25%",""))))))</f>
        <v/>
      </c>
      <c r="AB33" s="189"/>
      <c r="AC33" s="189"/>
      <c r="AD33" s="189"/>
      <c r="AE33" s="191" t="str">
        <f>IFERROR(IF(X33="Probabilidad",(P33-(+P33*AA33)),IF(X33="Impacto",P33,"")),"")</f>
        <v/>
      </c>
      <c r="AF33" s="192" t="str">
        <f>IFERROR(IF(AE33="","",IF(AE33&lt;=0.2,"Muy Baja",IF(AE33&lt;=0.4,"Baja",IF(AE33&lt;=0.6,"Media",IF(AE33&lt;=0.8,"Alta","Muy Alta"))))),"")</f>
        <v/>
      </c>
      <c r="AG33" s="190" t="str">
        <f>+AE33</f>
        <v/>
      </c>
      <c r="AH33" s="192" t="str">
        <f>IFERROR(IF(AI33="","",IF(AI33&lt;=0.2,"Leve",IF(AI33&lt;=0.4,"Menor",IF(AI33&lt;=0.6,"Moderado",IF(AI33&lt;=0.8,"Mayor","Catastrófico"))))),"")</f>
        <v/>
      </c>
      <c r="AI33" s="190" t="str">
        <f t="shared" ref="AI33" si="33">IFERROR(IF(X33="Impacto",(T33-(+T33*AA33)),IF(X33="Probabilidad",T33,"")),"")</f>
        <v/>
      </c>
      <c r="AJ33" s="193" t="str">
        <f>IFERROR(IF(OR(AND(AF33="Muy Baja",AH33="Leve"),AND(AF33="Muy Baja",AH33="Menor"),AND(AF33="Baja",AH33="Leve")),"Bajo",IF(OR(AND(AF33="Muy baja",AH33="Moderado"),AND(AF33="Baja",AH33="Menor"),AND(AF33="Baja",AH33="Moderado"),AND(AF33="Media",AH33="Leve"),AND(AF33="Media",AH33="Menor"),AND(AF33="Media",AH33="Moderado"),AND(AF33="Alta",AH33="Leve"),AND(AF33="Alta",AH33="Menor")),"Moderado",IF(OR(AND(AF33="Muy Baja",AH33="Mayor"),AND(AF33="Baja",AH33="Mayor"),AND(AF33="Media",AH33="Mayor"),AND(AF33="Alta",AH33="Moderado"),AND(AF33="Alta",AH33="Mayor"),AND(AF33="Muy Alta",AH33="Leve"),AND(AF33="Muy Alta",AH33="Menor"),AND(AF33="Muy Alta",AH33="Moderado"),AND(AF33="Muy Alta",AH33="Mayor")),"Alto",IF(OR(AND(AF33="Muy Baja",AH33="Catastrófico"),AND(AF33="Baja",AH33="Catastrófico"),AND(AF33="Media",AH33="Catastrófico"),AND(AF33="Alta",AH33="Catastrófico"),AND(AF33="Muy Alta",AH33="Catastrófico")),"Extremo","")))),"")</f>
        <v/>
      </c>
      <c r="AK33" s="194"/>
      <c r="AL33" s="185"/>
      <c r="AM33" s="195"/>
      <c r="AN33" s="195"/>
      <c r="AO33" s="196"/>
      <c r="AP33" s="327"/>
      <c r="AQ33" s="327"/>
      <c r="AR33" s="327"/>
    </row>
    <row r="34" spans="1:44" ht="37.5" customHeight="1" x14ac:dyDescent="0.2">
      <c r="A34" s="337"/>
      <c r="B34" s="331"/>
      <c r="C34" s="331"/>
      <c r="D34" s="331"/>
      <c r="E34" s="331"/>
      <c r="F34" s="331"/>
      <c r="G34" s="320"/>
      <c r="H34" s="320"/>
      <c r="I34" s="320"/>
      <c r="J34" s="320"/>
      <c r="K34" s="320"/>
      <c r="L34" s="320"/>
      <c r="M34" s="320"/>
      <c r="N34" s="327"/>
      <c r="O34" s="323"/>
      <c r="P34" s="322"/>
      <c r="Q34" s="313"/>
      <c r="R34" s="322">
        <f>IF(NOT(ISERROR(MATCH(Q34,_xlfn.ANCHORARRAY(E45),0))),P47&amp;"Por favor no seleccionar los criterios de impacto",Q34)</f>
        <v>0</v>
      </c>
      <c r="S34" s="323"/>
      <c r="T34" s="322"/>
      <c r="U34" s="321"/>
      <c r="V34" s="213">
        <v>2</v>
      </c>
      <c r="W34" s="186"/>
      <c r="X34" s="188" t="str">
        <f>IF(OR(Y34="Preventivo",Y34="Detectivo"),"Probabilidad",IF(Y34="Correctivo","Impacto",""))</f>
        <v/>
      </c>
      <c r="Y34" s="189"/>
      <c r="Z34" s="189"/>
      <c r="AA34" s="190" t="str">
        <f t="shared" ref="AA34:AA38" si="34">IF(AND(Y34="Preventivo",Z34="Automático"),"50%",IF(AND(Y34="Preventivo",Z34="Manual"),"40%",IF(AND(Y34="Detectivo",Z34="Automático"),"40%",IF(AND(Y34="Detectivo",Z34="Manual"),"30%",IF(AND(Y34="Correctivo",Z34="Automático"),"35%",IF(AND(Y34="Correctivo",Z34="Manual"),"25%",""))))))</f>
        <v/>
      </c>
      <c r="AB34" s="189"/>
      <c r="AC34" s="189"/>
      <c r="AD34" s="189"/>
      <c r="AE34" s="191" t="str">
        <f>IFERROR(IF(AND(X33="Probabilidad",X34="Probabilidad"),(AG33-(+AG33*AA34)),IF(X34="Probabilidad",(P33-(+P33*AA34)),IF(X34="Impacto",AG33,""))),"")</f>
        <v/>
      </c>
      <c r="AF34" s="192" t="str">
        <f t="shared" si="2"/>
        <v/>
      </c>
      <c r="AG34" s="190" t="str">
        <f t="shared" ref="AG34:AG38" si="35">+AE34</f>
        <v/>
      </c>
      <c r="AH34" s="192" t="str">
        <f t="shared" si="4"/>
        <v/>
      </c>
      <c r="AI34" s="190" t="str">
        <f t="shared" ref="AI34" si="36">IFERROR(IF(AND(X33="Impacto",X34="Impacto"),(AI33-(+AI33*AA34)),IF(X34="Impacto",($T$13-(+$T$13*AA34)),IF(X34="Probabilidad",AI33,""))),"")</f>
        <v/>
      </c>
      <c r="AJ34" s="193" t="str">
        <f t="shared" ref="AJ34:AJ35" si="37">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4"/>
      <c r="AL34" s="185"/>
      <c r="AM34" s="195"/>
      <c r="AN34" s="195"/>
      <c r="AO34" s="196"/>
      <c r="AP34" s="327"/>
      <c r="AQ34" s="327"/>
      <c r="AR34" s="327"/>
    </row>
    <row r="35" spans="1:44" ht="37.5" customHeight="1" x14ac:dyDescent="0.2">
      <c r="A35" s="337"/>
      <c r="B35" s="331"/>
      <c r="C35" s="331"/>
      <c r="D35" s="331"/>
      <c r="E35" s="331"/>
      <c r="F35" s="331"/>
      <c r="G35" s="320"/>
      <c r="H35" s="320"/>
      <c r="I35" s="320"/>
      <c r="J35" s="320"/>
      <c r="K35" s="320"/>
      <c r="L35" s="320"/>
      <c r="M35" s="320"/>
      <c r="N35" s="327"/>
      <c r="O35" s="323"/>
      <c r="P35" s="322"/>
      <c r="Q35" s="313"/>
      <c r="R35" s="322">
        <f>IF(NOT(ISERROR(MATCH(Q35,_xlfn.ANCHORARRAY(E46),0))),P48&amp;"Por favor no seleccionar los criterios de impacto",Q35)</f>
        <v>0</v>
      </c>
      <c r="S35" s="323"/>
      <c r="T35" s="322"/>
      <c r="U35" s="321"/>
      <c r="V35" s="213">
        <v>3</v>
      </c>
      <c r="W35" s="187"/>
      <c r="X35" s="188" t="str">
        <f>IF(OR(Y35="Preventivo",Y35="Detectivo"),"Probabilidad",IF(Y35="Correctivo","Impacto",""))</f>
        <v/>
      </c>
      <c r="Y35" s="189"/>
      <c r="Z35" s="189"/>
      <c r="AA35" s="190" t="str">
        <f t="shared" si="34"/>
        <v/>
      </c>
      <c r="AB35" s="189"/>
      <c r="AC35" s="189"/>
      <c r="AD35" s="189"/>
      <c r="AE35" s="191" t="str">
        <f>IFERROR(IF(AND(X34="Probabilidad",X35="Probabilidad"),(AG34-(+AG34*AA35)),IF(AND(X34="Impacto",X35="Probabilidad"),(AG33-(+AG33*AA35)),IF(X35="Impacto",AG34,""))),"")</f>
        <v/>
      </c>
      <c r="AF35" s="192" t="str">
        <f t="shared" si="2"/>
        <v/>
      </c>
      <c r="AG35" s="190" t="str">
        <f t="shared" si="35"/>
        <v/>
      </c>
      <c r="AH35" s="192" t="str">
        <f t="shared" si="4"/>
        <v/>
      </c>
      <c r="AI35" s="190" t="str">
        <f t="shared" ref="AI35" si="38">IFERROR(IF(AND(X34="Impacto",X35="Impacto"),(AI34-(+AI34*AA35)),IF(AND(X34="Probabilidad",X35="Impacto"),(AI33-(+AI33*AA35)),IF(X35="Probabilidad",AI34,""))),"")</f>
        <v/>
      </c>
      <c r="AJ35" s="193" t="str">
        <f t="shared" si="37"/>
        <v/>
      </c>
      <c r="AK35" s="194"/>
      <c r="AL35" s="185"/>
      <c r="AM35" s="195"/>
      <c r="AN35" s="195"/>
      <c r="AO35" s="196"/>
      <c r="AP35" s="327"/>
      <c r="AQ35" s="327"/>
      <c r="AR35" s="327"/>
    </row>
    <row r="36" spans="1:44" ht="37.5" customHeight="1" x14ac:dyDescent="0.2">
      <c r="A36" s="337"/>
      <c r="B36" s="331"/>
      <c r="C36" s="331"/>
      <c r="D36" s="331"/>
      <c r="E36" s="331"/>
      <c r="F36" s="331"/>
      <c r="G36" s="320"/>
      <c r="H36" s="320"/>
      <c r="I36" s="320"/>
      <c r="J36" s="320"/>
      <c r="K36" s="320"/>
      <c r="L36" s="320"/>
      <c r="M36" s="320"/>
      <c r="N36" s="327"/>
      <c r="O36" s="323"/>
      <c r="P36" s="322"/>
      <c r="Q36" s="313"/>
      <c r="R36" s="322">
        <f>IF(NOT(ISERROR(MATCH(Q36,_xlfn.ANCHORARRAY(E47),0))),P49&amp;"Por favor no seleccionar los criterios de impacto",Q36)</f>
        <v>0</v>
      </c>
      <c r="S36" s="323"/>
      <c r="T36" s="322"/>
      <c r="U36" s="321"/>
      <c r="V36" s="213">
        <v>4</v>
      </c>
      <c r="W36" s="186"/>
      <c r="X36" s="188" t="str">
        <f t="shared" ref="X36:X38" si="39">IF(OR(Y36="Preventivo",Y36="Detectivo"),"Probabilidad",IF(Y36="Correctivo","Impacto",""))</f>
        <v/>
      </c>
      <c r="Y36" s="189"/>
      <c r="Z36" s="189"/>
      <c r="AA36" s="190" t="str">
        <f t="shared" si="34"/>
        <v/>
      </c>
      <c r="AB36" s="189"/>
      <c r="AC36" s="189"/>
      <c r="AD36" s="189"/>
      <c r="AE36" s="191" t="str">
        <f t="shared" ref="AE36:AE38" si="40">IFERROR(IF(AND(X35="Probabilidad",X36="Probabilidad"),(AG35-(+AG35*AA36)),IF(AND(X35="Impacto",X36="Probabilidad"),(AG34-(+AG34*AA36)),IF(X36="Impacto",AG35,""))),"")</f>
        <v/>
      </c>
      <c r="AF36" s="192" t="str">
        <f t="shared" si="2"/>
        <v/>
      </c>
      <c r="AG36" s="190" t="str">
        <f t="shared" si="35"/>
        <v/>
      </c>
      <c r="AH36" s="192" t="str">
        <f t="shared" si="4"/>
        <v/>
      </c>
      <c r="AI36" s="190" t="str">
        <f t="shared" si="11"/>
        <v/>
      </c>
      <c r="AJ36" s="193" t="str">
        <f>IFERROR(IF(OR(AND(AF36="Muy Baja",AH36="Leve"),AND(AF36="Muy Baja",AH36="Menor"),AND(AF36="Baja",AH36="Leve")),"Bajo",IF(OR(AND(AF36="Muy baja",AH36="Moderado"),AND(AF36="Baja",AH36="Menor"),AND(AF36="Baja",AH36="Moderado"),AND(AF36="Media",AH36="Leve"),AND(AF36="Media",AH36="Menor"),AND(AF36="Media",AH36="Moderado"),AND(AF36="Alta",AH36="Leve"),AND(AF36="Alta",AH36="Menor")),"Moderado",IF(OR(AND(AF36="Muy Baja",AH36="Mayor"),AND(AF36="Baja",AH36="Mayor"),AND(AF36="Media",AH36="Mayor"),AND(AF36="Alta",AH36="Moderado"),AND(AF36="Alta",AH36="Mayor"),AND(AF36="Muy Alta",AH36="Leve"),AND(AF36="Muy Alta",AH36="Menor"),AND(AF36="Muy Alta",AH36="Moderado"),AND(AF36="Muy Alta",AH36="Mayor")),"Alto",IF(OR(AND(AF36="Muy Baja",AH36="Catastrófico"),AND(AF36="Baja",AH36="Catastrófico"),AND(AF36="Media",AH36="Catastrófico"),AND(AF36="Alta",AH36="Catastrófico"),AND(AF36="Muy Alta",AH36="Catastrófico")),"Extremo","")))),"")</f>
        <v/>
      </c>
      <c r="AK36" s="194"/>
      <c r="AL36" s="185"/>
      <c r="AM36" s="195"/>
      <c r="AN36" s="195"/>
      <c r="AO36" s="196"/>
      <c r="AP36" s="327"/>
      <c r="AQ36" s="327"/>
      <c r="AR36" s="327"/>
    </row>
    <row r="37" spans="1:44" ht="37.5" customHeight="1" x14ac:dyDescent="0.2">
      <c r="A37" s="337"/>
      <c r="B37" s="331"/>
      <c r="C37" s="331"/>
      <c r="D37" s="331"/>
      <c r="E37" s="331"/>
      <c r="F37" s="331"/>
      <c r="G37" s="320"/>
      <c r="H37" s="320"/>
      <c r="I37" s="320"/>
      <c r="J37" s="320"/>
      <c r="K37" s="320"/>
      <c r="L37" s="320"/>
      <c r="M37" s="320"/>
      <c r="N37" s="327"/>
      <c r="O37" s="323"/>
      <c r="P37" s="322"/>
      <c r="Q37" s="313"/>
      <c r="R37" s="322">
        <f>IF(NOT(ISERROR(MATCH(Q37,_xlfn.ANCHORARRAY(E48),0))),P50&amp;"Por favor no seleccionar los criterios de impacto",Q37)</f>
        <v>0</v>
      </c>
      <c r="S37" s="323"/>
      <c r="T37" s="322"/>
      <c r="U37" s="321"/>
      <c r="V37" s="213">
        <v>5</v>
      </c>
      <c r="W37" s="186"/>
      <c r="X37" s="188" t="str">
        <f t="shared" si="39"/>
        <v/>
      </c>
      <c r="Y37" s="189"/>
      <c r="Z37" s="189"/>
      <c r="AA37" s="190" t="str">
        <f t="shared" si="34"/>
        <v/>
      </c>
      <c r="AB37" s="189"/>
      <c r="AC37" s="189"/>
      <c r="AD37" s="189"/>
      <c r="AE37" s="191" t="str">
        <f t="shared" si="40"/>
        <v/>
      </c>
      <c r="AF37" s="192" t="str">
        <f t="shared" si="2"/>
        <v/>
      </c>
      <c r="AG37" s="190" t="str">
        <f t="shared" si="35"/>
        <v/>
      </c>
      <c r="AH37" s="192" t="str">
        <f t="shared" si="4"/>
        <v/>
      </c>
      <c r="AI37" s="190" t="str">
        <f t="shared" si="11"/>
        <v/>
      </c>
      <c r="AJ37" s="193" t="str">
        <f t="shared" ref="AJ37:AJ38" si="41">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4"/>
      <c r="AL37" s="185"/>
      <c r="AM37" s="195"/>
      <c r="AN37" s="195"/>
      <c r="AO37" s="196"/>
      <c r="AP37" s="327"/>
      <c r="AQ37" s="327"/>
      <c r="AR37" s="327"/>
    </row>
    <row r="38" spans="1:44" ht="37.5" customHeight="1" x14ac:dyDescent="0.2">
      <c r="A38" s="337"/>
      <c r="B38" s="331"/>
      <c r="C38" s="331"/>
      <c r="D38" s="331"/>
      <c r="E38" s="331"/>
      <c r="F38" s="331"/>
      <c r="G38" s="325"/>
      <c r="H38" s="325"/>
      <c r="I38" s="325"/>
      <c r="J38" s="325"/>
      <c r="K38" s="325"/>
      <c r="L38" s="325"/>
      <c r="M38" s="325"/>
      <c r="N38" s="327"/>
      <c r="O38" s="323"/>
      <c r="P38" s="322"/>
      <c r="Q38" s="313"/>
      <c r="R38" s="322">
        <f>IF(NOT(ISERROR(MATCH(Q38,_xlfn.ANCHORARRAY(E49),0))),P51&amp;"Por favor no seleccionar los criterios de impacto",Q38)</f>
        <v>0</v>
      </c>
      <c r="S38" s="323"/>
      <c r="T38" s="322"/>
      <c r="U38" s="321"/>
      <c r="V38" s="213">
        <v>6</v>
      </c>
      <c r="W38" s="186"/>
      <c r="X38" s="188" t="str">
        <f t="shared" si="39"/>
        <v/>
      </c>
      <c r="Y38" s="189"/>
      <c r="Z38" s="189"/>
      <c r="AA38" s="190" t="str">
        <f t="shared" si="34"/>
        <v/>
      </c>
      <c r="AB38" s="189"/>
      <c r="AC38" s="189"/>
      <c r="AD38" s="189"/>
      <c r="AE38" s="191" t="str">
        <f t="shared" si="40"/>
        <v/>
      </c>
      <c r="AF38" s="192" t="str">
        <f t="shared" si="2"/>
        <v/>
      </c>
      <c r="AG38" s="190" t="str">
        <f t="shared" si="35"/>
        <v/>
      </c>
      <c r="AH38" s="192" t="str">
        <f t="shared" si="4"/>
        <v/>
      </c>
      <c r="AI38" s="190" t="str">
        <f t="shared" si="11"/>
        <v/>
      </c>
      <c r="AJ38" s="193" t="str">
        <f t="shared" si="41"/>
        <v/>
      </c>
      <c r="AK38" s="194"/>
      <c r="AL38" s="185"/>
      <c r="AM38" s="195"/>
      <c r="AN38" s="195"/>
      <c r="AO38" s="196"/>
      <c r="AP38" s="327"/>
      <c r="AQ38" s="327"/>
      <c r="AR38" s="327"/>
    </row>
    <row r="39" spans="1:44" ht="37.5" customHeight="1" x14ac:dyDescent="0.2">
      <c r="A39" s="337">
        <v>6</v>
      </c>
      <c r="B39" s="331"/>
      <c r="C39" s="331"/>
      <c r="D39" s="331"/>
      <c r="E39" s="319"/>
      <c r="F39" s="331"/>
      <c r="G39" s="319"/>
      <c r="H39" s="319"/>
      <c r="I39" s="319"/>
      <c r="J39" s="319"/>
      <c r="K39" s="319"/>
      <c r="L39" s="319"/>
      <c r="M39" s="319"/>
      <c r="N39" s="327"/>
      <c r="O39" s="323" t="str">
        <f>IF(N39&lt;=0,"",IF(N39&lt;=2,"Muy Baja",IF(N39&lt;=24,"Baja",IF(N39&lt;=500,"Media",IF(N39&lt;=5000,"Alta","Muy Alta")))))</f>
        <v/>
      </c>
      <c r="P39" s="322" t="str">
        <f>IF(O39="","",IF(O39="Muy Baja",0.2,IF(O39="Baja",0.4,IF(O39="Media",0.6,IF(O39="Alta",0.8,IF(O39="Muy Alta",1,))))))</f>
        <v/>
      </c>
      <c r="Q39" s="313"/>
      <c r="R39" s="322">
        <f>IF(NOT(ISERROR(MATCH(Q39,'Tabla Impacto'!$B$222:$B$224,0))),'Tabla Impacto'!$F$224&amp;"Por favor no seleccionar los criterios de impacto(Afectación Económica o presupuestal y Pérdida Reputacional)",Q39)</f>
        <v>0</v>
      </c>
      <c r="S39" s="323" t="str">
        <f>IF(OR(R39='Tabla Impacto'!$C$12,R39='Tabla Impacto'!$D$12),"Leve",IF(OR(R39='Tabla Impacto'!$C$13,R39='Tabla Impacto'!$D$13),"Menor",IF(OR(R39='Tabla Impacto'!$C$14,R39='Tabla Impacto'!$D$14),"Moderado",IF(OR(R39='Tabla Impacto'!$C$15,R39='Tabla Impacto'!$D$15),"Mayor",IF(OR(R39='Tabla Impacto'!$C$16,R39='Tabla Impacto'!$D$16),"Catastrófico","")))))</f>
        <v/>
      </c>
      <c r="T39" s="322" t="str">
        <f>IF(S39="","",IF(S39="Leve",0.2,IF(S39="Menor",0.4,IF(S39="Moderado",0.6,IF(S39="Mayor",0.8,IF(S39="Catastrófico",1,))))))</f>
        <v/>
      </c>
      <c r="U39" s="321" t="str">
        <f>IF(OR(AND(O39="Muy Baja",S39="Leve"),AND(O39="Muy Baja",S39="Menor"),AND(O39="Baja",S39="Leve")),"Bajo",IF(OR(AND(O39="Muy baja",S39="Moderado"),AND(O39="Baja",S39="Menor"),AND(O39="Baja",S39="Moderado"),AND(O39="Media",S39="Leve"),AND(O39="Media",S39="Menor"),AND(O39="Media",S39="Moderado"),AND(O39="Alta",S39="Leve"),AND(O39="Alta",S39="Menor")),"Moderado",IF(OR(AND(O39="Muy Baja",S39="Mayor"),AND(O39="Baja",S39="Mayor"),AND(O39="Media",S39="Mayor"),AND(O39="Alta",S39="Moderado"),AND(O39="Alta",S39="Mayor"),AND(O39="Muy Alta",S39="Leve"),AND(O39="Muy Alta",S39="Menor"),AND(O39="Muy Alta",S39="Moderado"),AND(O39="Muy Alta",S39="Mayor")),"Alto",IF(OR(AND(O39="Muy Baja",S39="Catastrófico"),AND(O39="Baja",S39="Catastrófico"),AND(O39="Media",S39="Catastrófico"),AND(O39="Alta",S39="Catastrófico"),AND(O39="Muy Alta",S39="Catastrófico")),"Extremo",""))))</f>
        <v/>
      </c>
      <c r="V39" s="213">
        <v>1</v>
      </c>
      <c r="W39" s="186"/>
      <c r="X39" s="188" t="str">
        <f>IF(OR(Y39="Preventivo",Y39="Detectivo"),"Probabilidad",IF(Y39="Correctivo","Impacto",""))</f>
        <v/>
      </c>
      <c r="Y39" s="189"/>
      <c r="Z39" s="189"/>
      <c r="AA39" s="190" t="str">
        <f>IF(AND(Y39="Preventivo",Z39="Automático"),"50%",IF(AND(Y39="Preventivo",Z39="Manual"),"40%",IF(AND(Y39="Detectivo",Z39="Automático"),"40%",IF(AND(Y39="Detectivo",Z39="Manual"),"30%",IF(AND(Y39="Correctivo",Z39="Automático"),"35%",IF(AND(Y39="Correctivo",Z39="Manual"),"25%",""))))))</f>
        <v/>
      </c>
      <c r="AB39" s="189"/>
      <c r="AC39" s="189"/>
      <c r="AD39" s="189"/>
      <c r="AE39" s="191" t="str">
        <f>IFERROR(IF(X39="Probabilidad",(P39-(+P39*AA39)),IF(X39="Impacto",P39,"")),"")</f>
        <v/>
      </c>
      <c r="AF39" s="192" t="str">
        <f>IFERROR(IF(AE39="","",IF(AE39&lt;=0.2,"Muy Baja",IF(AE39&lt;=0.4,"Baja",IF(AE39&lt;=0.6,"Media",IF(AE39&lt;=0.8,"Alta","Muy Alta"))))),"")</f>
        <v/>
      </c>
      <c r="AG39" s="190" t="str">
        <f>+AE39</f>
        <v/>
      </c>
      <c r="AH39" s="192" t="str">
        <f>IFERROR(IF(AI39="","",IF(AI39&lt;=0.2,"Leve",IF(AI39&lt;=0.4,"Menor",IF(AI39&lt;=0.6,"Moderado",IF(AI39&lt;=0.8,"Mayor","Catastrófico"))))),"")</f>
        <v/>
      </c>
      <c r="AI39" s="190" t="str">
        <f t="shared" ref="AI39" si="42">IFERROR(IF(X39="Impacto",(T39-(+T39*AA39)),IF(X39="Probabilidad",T39,"")),"")</f>
        <v/>
      </c>
      <c r="AJ39" s="193" t="str">
        <f>IFERROR(IF(OR(AND(AF39="Muy Baja",AH39="Leve"),AND(AF39="Muy Baja",AH39="Menor"),AND(AF39="Baja",AH39="Leve")),"Bajo",IF(OR(AND(AF39="Muy baja",AH39="Moderado"),AND(AF39="Baja",AH39="Menor"),AND(AF39="Baja",AH39="Moderado"),AND(AF39="Media",AH39="Leve"),AND(AF39="Media",AH39="Menor"),AND(AF39="Media",AH39="Moderado"),AND(AF39="Alta",AH39="Leve"),AND(AF39="Alta",AH39="Menor")),"Moderado",IF(OR(AND(AF39="Muy Baja",AH39="Mayor"),AND(AF39="Baja",AH39="Mayor"),AND(AF39="Media",AH39="Mayor"),AND(AF39="Alta",AH39="Moderado"),AND(AF39="Alta",AH39="Mayor"),AND(AF39="Muy Alta",AH39="Leve"),AND(AF39="Muy Alta",AH39="Menor"),AND(AF39="Muy Alta",AH39="Moderado"),AND(AF39="Muy Alta",AH39="Mayor")),"Alto",IF(OR(AND(AF39="Muy Baja",AH39="Catastrófico"),AND(AF39="Baja",AH39="Catastrófico"),AND(AF39="Media",AH39="Catastrófico"),AND(AF39="Alta",AH39="Catastrófico"),AND(AF39="Muy Alta",AH39="Catastrófico")),"Extremo","")))),"")</f>
        <v/>
      </c>
      <c r="AK39" s="189"/>
      <c r="AL39" s="185"/>
      <c r="AM39" s="195"/>
      <c r="AN39" s="195"/>
      <c r="AO39" s="196"/>
      <c r="AP39" s="327"/>
      <c r="AQ39" s="327"/>
      <c r="AR39" s="327"/>
    </row>
    <row r="40" spans="1:44" ht="37.5" customHeight="1" x14ac:dyDescent="0.2">
      <c r="A40" s="337"/>
      <c r="B40" s="331"/>
      <c r="C40" s="331"/>
      <c r="D40" s="331"/>
      <c r="E40" s="320"/>
      <c r="F40" s="331"/>
      <c r="G40" s="320"/>
      <c r="H40" s="320"/>
      <c r="I40" s="320"/>
      <c r="J40" s="320"/>
      <c r="K40" s="320"/>
      <c r="L40" s="320"/>
      <c r="M40" s="320"/>
      <c r="N40" s="327"/>
      <c r="O40" s="323"/>
      <c r="P40" s="322"/>
      <c r="Q40" s="313"/>
      <c r="R40" s="322">
        <f>IF(NOT(ISERROR(MATCH(Q40,_xlfn.ANCHORARRAY(E51),0))),P53&amp;"Por favor no seleccionar los criterios de impacto",Q40)</f>
        <v>0</v>
      </c>
      <c r="S40" s="323"/>
      <c r="T40" s="322"/>
      <c r="U40" s="321"/>
      <c r="V40" s="213">
        <v>2</v>
      </c>
      <c r="W40" s="186"/>
      <c r="X40" s="188" t="str">
        <f>IF(OR(Y40="Preventivo",Y40="Detectivo"),"Probabilidad",IF(Y40="Correctivo","Impacto",""))</f>
        <v/>
      </c>
      <c r="Y40" s="189"/>
      <c r="Z40" s="189"/>
      <c r="AA40" s="190" t="str">
        <f t="shared" ref="AA40:AA44" si="43">IF(AND(Y40="Preventivo",Z40="Automático"),"50%",IF(AND(Y40="Preventivo",Z40="Manual"),"40%",IF(AND(Y40="Detectivo",Z40="Automático"),"40%",IF(AND(Y40="Detectivo",Z40="Manual"),"30%",IF(AND(Y40="Correctivo",Z40="Automático"),"35%",IF(AND(Y40="Correctivo",Z40="Manual"),"25%",""))))))</f>
        <v/>
      </c>
      <c r="AB40" s="189"/>
      <c r="AC40" s="189"/>
      <c r="AD40" s="189"/>
      <c r="AE40" s="191" t="str">
        <f>IFERROR(IF(AND(X39="Probabilidad",X40="Probabilidad"),(AG39-(+AG39*AA40)),IF(X40="Probabilidad",(P39-(+P39*AA40)),IF(X40="Impacto",AG39,""))),"")</f>
        <v/>
      </c>
      <c r="AF40" s="192" t="str">
        <f t="shared" si="2"/>
        <v/>
      </c>
      <c r="AG40" s="190" t="str">
        <f t="shared" ref="AG40:AG44" si="44">+AE40</f>
        <v/>
      </c>
      <c r="AH40" s="192" t="str">
        <f t="shared" si="4"/>
        <v/>
      </c>
      <c r="AI40" s="190" t="str">
        <f t="shared" ref="AI40" si="45">IFERROR(IF(AND(X39="Impacto",X40="Impacto"),(AI39-(+AI39*AA40)),IF(X40="Impacto",($T$13-(+$T$13*AA40)),IF(X40="Probabilidad",AI39,""))),"")</f>
        <v/>
      </c>
      <c r="AJ40" s="193" t="str">
        <f t="shared" ref="AJ40:AJ41" si="46">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4"/>
      <c r="AL40" s="185"/>
      <c r="AM40" s="195"/>
      <c r="AN40" s="195"/>
      <c r="AO40" s="196"/>
      <c r="AP40" s="327"/>
      <c r="AQ40" s="327"/>
      <c r="AR40" s="327"/>
    </row>
    <row r="41" spans="1:44" ht="37.5" customHeight="1" x14ac:dyDescent="0.2">
      <c r="A41" s="337"/>
      <c r="B41" s="331"/>
      <c r="C41" s="331"/>
      <c r="D41" s="331"/>
      <c r="E41" s="320"/>
      <c r="F41" s="331"/>
      <c r="G41" s="320"/>
      <c r="H41" s="320"/>
      <c r="I41" s="320"/>
      <c r="J41" s="320"/>
      <c r="K41" s="320"/>
      <c r="L41" s="320"/>
      <c r="M41" s="320"/>
      <c r="N41" s="327"/>
      <c r="O41" s="323"/>
      <c r="P41" s="322"/>
      <c r="Q41" s="313"/>
      <c r="R41" s="322">
        <f>IF(NOT(ISERROR(MATCH(Q41,_xlfn.ANCHORARRAY(E52),0))),P54&amp;"Por favor no seleccionar los criterios de impacto",Q41)</f>
        <v>0</v>
      </c>
      <c r="S41" s="323"/>
      <c r="T41" s="322"/>
      <c r="U41" s="321"/>
      <c r="V41" s="213">
        <v>3</v>
      </c>
      <c r="W41" s="187"/>
      <c r="X41" s="188" t="str">
        <f>IF(OR(Y41="Preventivo",Y41="Detectivo"),"Probabilidad",IF(Y41="Correctivo","Impacto",""))</f>
        <v/>
      </c>
      <c r="Y41" s="189"/>
      <c r="Z41" s="189"/>
      <c r="AA41" s="190" t="str">
        <f t="shared" si="43"/>
        <v/>
      </c>
      <c r="AB41" s="189"/>
      <c r="AC41" s="189"/>
      <c r="AD41" s="189"/>
      <c r="AE41" s="191" t="str">
        <f>IFERROR(IF(AND(X40="Probabilidad",X41="Probabilidad"),(AG40-(+AG40*AA41)),IF(AND(X40="Impacto",X41="Probabilidad"),(AG39-(+AG39*AA41)),IF(X41="Impacto",AG40,""))),"")</f>
        <v/>
      </c>
      <c r="AF41" s="192" t="str">
        <f t="shared" si="2"/>
        <v/>
      </c>
      <c r="AG41" s="190" t="str">
        <f t="shared" si="44"/>
        <v/>
      </c>
      <c r="AH41" s="192" t="str">
        <f t="shared" si="4"/>
        <v/>
      </c>
      <c r="AI41" s="190" t="str">
        <f t="shared" ref="AI41" si="47">IFERROR(IF(AND(X40="Impacto",X41="Impacto"),(AI40-(+AI40*AA41)),IF(AND(X40="Probabilidad",X41="Impacto"),(AI39-(+AI39*AA41)),IF(X41="Probabilidad",AI40,""))),"")</f>
        <v/>
      </c>
      <c r="AJ41" s="193" t="str">
        <f t="shared" si="46"/>
        <v/>
      </c>
      <c r="AK41" s="194"/>
      <c r="AL41" s="185"/>
      <c r="AM41" s="195"/>
      <c r="AN41" s="195"/>
      <c r="AO41" s="196"/>
      <c r="AP41" s="327"/>
      <c r="AQ41" s="327"/>
      <c r="AR41" s="327"/>
    </row>
    <row r="42" spans="1:44" ht="37.5" customHeight="1" x14ac:dyDescent="0.2">
      <c r="A42" s="337"/>
      <c r="B42" s="331"/>
      <c r="C42" s="331"/>
      <c r="D42" s="331"/>
      <c r="E42" s="320"/>
      <c r="F42" s="331"/>
      <c r="G42" s="320"/>
      <c r="H42" s="320"/>
      <c r="I42" s="320"/>
      <c r="J42" s="320"/>
      <c r="K42" s="320"/>
      <c r="L42" s="320"/>
      <c r="M42" s="320"/>
      <c r="N42" s="327"/>
      <c r="O42" s="323"/>
      <c r="P42" s="322"/>
      <c r="Q42" s="313"/>
      <c r="R42" s="322">
        <f>IF(NOT(ISERROR(MATCH(Q42,_xlfn.ANCHORARRAY(E53),0))),P55&amp;"Por favor no seleccionar los criterios de impacto",Q42)</f>
        <v>0</v>
      </c>
      <c r="S42" s="323"/>
      <c r="T42" s="322"/>
      <c r="U42" s="321"/>
      <c r="V42" s="213">
        <v>4</v>
      </c>
      <c r="W42" s="186"/>
      <c r="X42" s="188" t="str">
        <f t="shared" ref="X42:X44" si="48">IF(OR(Y42="Preventivo",Y42="Detectivo"),"Probabilidad",IF(Y42="Correctivo","Impacto",""))</f>
        <v/>
      </c>
      <c r="Y42" s="189"/>
      <c r="Z42" s="189"/>
      <c r="AA42" s="190" t="str">
        <f t="shared" si="43"/>
        <v/>
      </c>
      <c r="AB42" s="189"/>
      <c r="AC42" s="189"/>
      <c r="AD42" s="189"/>
      <c r="AE42" s="191" t="str">
        <f t="shared" ref="AE42:AE44" si="49">IFERROR(IF(AND(X41="Probabilidad",X42="Probabilidad"),(AG41-(+AG41*AA42)),IF(AND(X41="Impacto",X42="Probabilidad"),(AG40-(+AG40*AA42)),IF(X42="Impacto",AG41,""))),"")</f>
        <v/>
      </c>
      <c r="AF42" s="192" t="str">
        <f t="shared" si="2"/>
        <v/>
      </c>
      <c r="AG42" s="190" t="str">
        <f t="shared" si="44"/>
        <v/>
      </c>
      <c r="AH42" s="192" t="str">
        <f t="shared" si="4"/>
        <v/>
      </c>
      <c r="AI42" s="190" t="str">
        <f t="shared" si="11"/>
        <v/>
      </c>
      <c r="AJ42" s="193" t="str">
        <f>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4"/>
      <c r="AL42" s="185"/>
      <c r="AM42" s="195"/>
      <c r="AN42" s="195"/>
      <c r="AO42" s="196"/>
      <c r="AP42" s="327"/>
      <c r="AQ42" s="327"/>
      <c r="AR42" s="327"/>
    </row>
    <row r="43" spans="1:44" ht="37.5" customHeight="1" x14ac:dyDescent="0.2">
      <c r="A43" s="337"/>
      <c r="B43" s="331"/>
      <c r="C43" s="331"/>
      <c r="D43" s="331"/>
      <c r="E43" s="320"/>
      <c r="F43" s="331"/>
      <c r="G43" s="320"/>
      <c r="H43" s="320"/>
      <c r="I43" s="320"/>
      <c r="J43" s="320"/>
      <c r="K43" s="320"/>
      <c r="L43" s="320"/>
      <c r="M43" s="320"/>
      <c r="N43" s="327"/>
      <c r="O43" s="323"/>
      <c r="P43" s="322"/>
      <c r="Q43" s="313"/>
      <c r="R43" s="322">
        <f>IF(NOT(ISERROR(MATCH(Q43,_xlfn.ANCHORARRAY(E54),0))),P56&amp;"Por favor no seleccionar los criterios de impacto",Q43)</f>
        <v>0</v>
      </c>
      <c r="S43" s="323"/>
      <c r="T43" s="322"/>
      <c r="U43" s="321"/>
      <c r="V43" s="213">
        <v>5</v>
      </c>
      <c r="W43" s="186"/>
      <c r="X43" s="188" t="str">
        <f t="shared" si="48"/>
        <v/>
      </c>
      <c r="Y43" s="189"/>
      <c r="Z43" s="189"/>
      <c r="AA43" s="190" t="str">
        <f t="shared" si="43"/>
        <v/>
      </c>
      <c r="AB43" s="189"/>
      <c r="AC43" s="189"/>
      <c r="AD43" s="189"/>
      <c r="AE43" s="191" t="str">
        <f t="shared" si="49"/>
        <v/>
      </c>
      <c r="AF43" s="192" t="str">
        <f t="shared" si="2"/>
        <v/>
      </c>
      <c r="AG43" s="190" t="str">
        <f t="shared" si="44"/>
        <v/>
      </c>
      <c r="AH43" s="192" t="str">
        <f t="shared" si="4"/>
        <v/>
      </c>
      <c r="AI43" s="190" t="str">
        <f t="shared" si="11"/>
        <v/>
      </c>
      <c r="AJ43" s="193" t="str">
        <f t="shared" ref="AJ43" si="50">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4"/>
      <c r="AL43" s="185"/>
      <c r="AM43" s="195"/>
      <c r="AN43" s="195"/>
      <c r="AO43" s="196"/>
      <c r="AP43" s="327"/>
      <c r="AQ43" s="327"/>
      <c r="AR43" s="327"/>
    </row>
    <row r="44" spans="1:44" ht="37.5" customHeight="1" x14ac:dyDescent="0.2">
      <c r="A44" s="337"/>
      <c r="B44" s="331"/>
      <c r="C44" s="331"/>
      <c r="D44" s="331"/>
      <c r="E44" s="325"/>
      <c r="F44" s="331"/>
      <c r="G44" s="325"/>
      <c r="H44" s="325"/>
      <c r="I44" s="325"/>
      <c r="J44" s="325"/>
      <c r="K44" s="325"/>
      <c r="L44" s="325"/>
      <c r="M44" s="325"/>
      <c r="N44" s="327"/>
      <c r="O44" s="323"/>
      <c r="P44" s="322"/>
      <c r="Q44" s="313"/>
      <c r="R44" s="322">
        <f>IF(NOT(ISERROR(MATCH(Q44,_xlfn.ANCHORARRAY(E55),0))),P57&amp;"Por favor no seleccionar los criterios de impacto",Q44)</f>
        <v>0</v>
      </c>
      <c r="S44" s="323"/>
      <c r="T44" s="322"/>
      <c r="U44" s="321"/>
      <c r="V44" s="213">
        <v>6</v>
      </c>
      <c r="W44" s="186"/>
      <c r="X44" s="188" t="str">
        <f t="shared" si="48"/>
        <v/>
      </c>
      <c r="Y44" s="189"/>
      <c r="Z44" s="189"/>
      <c r="AA44" s="190" t="str">
        <f t="shared" si="43"/>
        <v/>
      </c>
      <c r="AB44" s="189"/>
      <c r="AC44" s="189"/>
      <c r="AD44" s="189"/>
      <c r="AE44" s="191" t="str">
        <f t="shared" si="49"/>
        <v/>
      </c>
      <c r="AF44" s="192" t="str">
        <f t="shared" si="2"/>
        <v/>
      </c>
      <c r="AG44" s="190" t="str">
        <f t="shared" si="44"/>
        <v/>
      </c>
      <c r="AH44" s="192" t="str">
        <f>IFERROR(IF(AI44="","",IF(AI44&lt;=0.2,"Leve",IF(AI44&lt;=0.4,"Menor",IF(AI44&lt;=0.6,"Moderado",IF(AI44&lt;=0.8,"Mayor","Catastrófico"))))),"")</f>
        <v/>
      </c>
      <c r="AI44" s="190" t="str">
        <f t="shared" si="11"/>
        <v/>
      </c>
      <c r="AJ44" s="193" t="str">
        <f>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4"/>
      <c r="AL44" s="185"/>
      <c r="AM44" s="195"/>
      <c r="AN44" s="195"/>
      <c r="AO44" s="196"/>
      <c r="AP44" s="327"/>
      <c r="AQ44" s="327"/>
      <c r="AR44" s="327"/>
    </row>
    <row r="45" spans="1:44" ht="37.5" customHeight="1" x14ac:dyDescent="0.2">
      <c r="A45" s="337">
        <v>7</v>
      </c>
      <c r="B45" s="331"/>
      <c r="C45" s="331"/>
      <c r="D45" s="345"/>
      <c r="E45" s="331"/>
      <c r="F45" s="331"/>
      <c r="G45" s="319"/>
      <c r="H45" s="319"/>
      <c r="I45" s="319"/>
      <c r="J45" s="319"/>
      <c r="K45" s="319"/>
      <c r="L45" s="319"/>
      <c r="M45" s="319"/>
      <c r="N45" s="327"/>
      <c r="O45" s="323" t="str">
        <f>IF(N45&lt;=0,"",IF(N45&lt;=2,"Muy Baja",IF(N45&lt;=24,"Baja",IF(N45&lt;=500,"Media",IF(N45&lt;=5000,"Alta","Muy Alta")))))</f>
        <v/>
      </c>
      <c r="P45" s="322" t="str">
        <f>IF(O45="","",IF(O45="Muy Baja",0.2,IF(O45="Baja",0.4,IF(O45="Media",0.6,IF(O45="Alta",0.8,IF(O45="Muy Alta",1,))))))</f>
        <v/>
      </c>
      <c r="Q45" s="313"/>
      <c r="R45" s="322">
        <f>IF(NOT(ISERROR(MATCH(Q45,'Tabla Impacto'!$B$222:$B$224,0))),'Tabla Impacto'!$F$224&amp;"Por favor no seleccionar los criterios de impacto(Afectación Económica o presupuestal y Pérdida Reputacional)",Q45)</f>
        <v>0</v>
      </c>
      <c r="S45" s="323" t="str">
        <f>IF(OR(R45='Tabla Impacto'!$C$12,R45='Tabla Impacto'!$D$12),"Leve",IF(OR(R45='Tabla Impacto'!$C$13,R45='Tabla Impacto'!$D$13),"Menor",IF(OR(R45='Tabla Impacto'!$C$14,R45='Tabla Impacto'!$D$14),"Moderado",IF(OR(R45='Tabla Impacto'!$C$15,R45='Tabla Impacto'!$D$15),"Mayor",IF(OR(R45='Tabla Impacto'!$C$16,R45='Tabla Impacto'!$D$16),"Catastrófico","")))))</f>
        <v/>
      </c>
      <c r="T45" s="322" t="str">
        <f>IF(S45="","",IF(S45="Leve",0.2,IF(S45="Menor",0.4,IF(S45="Moderado",0.6,IF(S45="Mayor",0.8,IF(S45="Catastrófico",1,))))))</f>
        <v/>
      </c>
      <c r="U45" s="321" t="str">
        <f>IF(OR(AND(O45="Muy Baja",S45="Leve"),AND(O45="Muy Baja",S45="Menor"),AND(O45="Baja",S45="Leve")),"Bajo",IF(OR(AND(O45="Muy baja",S45="Moderado"),AND(O45="Baja",S45="Menor"),AND(O45="Baja",S45="Moderado"),AND(O45="Media",S45="Leve"),AND(O45="Media",S45="Menor"),AND(O45="Media",S45="Moderado"),AND(O45="Alta",S45="Leve"),AND(O45="Alta",S45="Menor")),"Moderado",IF(OR(AND(O45="Muy Baja",S45="Mayor"),AND(O45="Baja",S45="Mayor"),AND(O45="Media",S45="Mayor"),AND(O45="Alta",S45="Moderado"),AND(O45="Alta",S45="Mayor"),AND(O45="Muy Alta",S45="Leve"),AND(O45="Muy Alta",S45="Menor"),AND(O45="Muy Alta",S45="Moderado"),AND(O45="Muy Alta",S45="Mayor")),"Alto",IF(OR(AND(O45="Muy Baja",S45="Catastrófico"),AND(O45="Baja",S45="Catastrófico"),AND(O45="Media",S45="Catastrófico"),AND(O45="Alta",S45="Catastrófico"),AND(O45="Muy Alta",S45="Catastrófico")),"Extremo",""))))</f>
        <v/>
      </c>
      <c r="V45" s="213">
        <v>1</v>
      </c>
      <c r="W45" s="198"/>
      <c r="X45" s="188" t="str">
        <f>IF(OR(Y45="Preventivo",Y45="Detectivo"),"Probabilidad",IF(Y45="Correctivo","Impacto",""))</f>
        <v/>
      </c>
      <c r="Y45" s="189"/>
      <c r="Z45" s="189"/>
      <c r="AA45" s="190" t="str">
        <f>IF(AND(Y45="Preventivo",Z45="Automático"),"50%",IF(AND(Y45="Preventivo",Z45="Manual"),"40%",IF(AND(Y45="Detectivo",Z45="Automático"),"40%",IF(AND(Y45="Detectivo",Z45="Manual"),"30%",IF(AND(Y45="Correctivo",Z45="Automático"),"35%",IF(AND(Y45="Correctivo",Z45="Manual"),"25%",""))))))</f>
        <v/>
      </c>
      <c r="AB45" s="189"/>
      <c r="AC45" s="189"/>
      <c r="AD45" s="189"/>
      <c r="AE45" s="191" t="str">
        <f>IFERROR(IF(X45="Probabilidad",(P45-(+P45*AA45)),IF(X45="Impacto",P45,"")),"")</f>
        <v/>
      </c>
      <c r="AF45" s="192" t="str">
        <f>IFERROR(IF(AE45="","",IF(AE45&lt;=0.2,"Muy Baja",IF(AE45&lt;=0.4,"Baja",IF(AE45&lt;=0.6,"Media",IF(AE45&lt;=0.8,"Alta","Muy Alta"))))),"")</f>
        <v/>
      </c>
      <c r="AG45" s="190" t="str">
        <f>+AE45</f>
        <v/>
      </c>
      <c r="AH45" s="192" t="str">
        <f>IFERROR(IF(AI45="","",IF(AI45&lt;=0.2,"Leve",IF(AI45&lt;=0.4,"Menor",IF(AI45&lt;=0.6,"Moderado",IF(AI45&lt;=0.8,"Mayor","Catastrófico"))))),"")</f>
        <v/>
      </c>
      <c r="AI45" s="190" t="str">
        <f t="shared" ref="AI45" si="51">IFERROR(IF(X45="Impacto",(T45-(+T45*AA45)),IF(X45="Probabilidad",T45,"")),"")</f>
        <v/>
      </c>
      <c r="AJ45" s="193" t="str">
        <f>IFERROR(IF(OR(AND(AF45="Muy Baja",AH45="Leve"),AND(AF45="Muy Baja",AH45="Menor"),AND(AF45="Baja",AH45="Leve")),"Bajo",IF(OR(AND(AF45="Muy baja",AH45="Moderado"),AND(AF45="Baja",AH45="Menor"),AND(AF45="Baja",AH45="Moderado"),AND(AF45="Media",AH45="Leve"),AND(AF45="Media",AH45="Menor"),AND(AF45="Media",AH45="Moderado"),AND(AF45="Alta",AH45="Leve"),AND(AF45="Alta",AH45="Menor")),"Moderado",IF(OR(AND(AF45="Muy Baja",AH45="Mayor"),AND(AF45="Baja",AH45="Mayor"),AND(AF45="Media",AH45="Mayor"),AND(AF45="Alta",AH45="Moderado"),AND(AF45="Alta",AH45="Mayor"),AND(AF45="Muy Alta",AH45="Leve"),AND(AF45="Muy Alta",AH45="Menor"),AND(AF45="Muy Alta",AH45="Moderado"),AND(AF45="Muy Alta",AH45="Mayor")),"Alto",IF(OR(AND(AF45="Muy Baja",AH45="Catastrófico"),AND(AF45="Baja",AH45="Catastrófico"),AND(AF45="Media",AH45="Catastrófico"),AND(AF45="Alta",AH45="Catastrófico"),AND(AF45="Muy Alta",AH45="Catastrófico")),"Extremo","")))),"")</f>
        <v/>
      </c>
      <c r="AK45" s="194"/>
      <c r="AL45" s="185"/>
      <c r="AM45" s="195"/>
      <c r="AN45" s="195"/>
      <c r="AO45" s="196"/>
      <c r="AP45" s="327"/>
      <c r="AQ45" s="327"/>
      <c r="AR45" s="327"/>
    </row>
    <row r="46" spans="1:44" ht="37.5" customHeight="1" x14ac:dyDescent="0.2">
      <c r="A46" s="337"/>
      <c r="B46" s="331"/>
      <c r="C46" s="331"/>
      <c r="D46" s="345"/>
      <c r="E46" s="331"/>
      <c r="F46" s="331"/>
      <c r="G46" s="320"/>
      <c r="H46" s="320"/>
      <c r="I46" s="320"/>
      <c r="J46" s="320"/>
      <c r="K46" s="320"/>
      <c r="L46" s="320"/>
      <c r="M46" s="320"/>
      <c r="N46" s="327"/>
      <c r="O46" s="323"/>
      <c r="P46" s="322"/>
      <c r="Q46" s="313"/>
      <c r="R46" s="322">
        <f>IF(NOT(ISERROR(MATCH(Q46,_xlfn.ANCHORARRAY(E57),0))),P59&amp;"Por favor no seleccionar los criterios de impacto",Q46)</f>
        <v>0</v>
      </c>
      <c r="S46" s="323"/>
      <c r="T46" s="322"/>
      <c r="U46" s="321"/>
      <c r="V46" s="213">
        <v>2</v>
      </c>
      <c r="W46" s="186"/>
      <c r="X46" s="188" t="str">
        <f>IF(OR(Y46="Preventivo",Y46="Detectivo"),"Probabilidad",IF(Y46="Correctivo","Impacto",""))</f>
        <v/>
      </c>
      <c r="Y46" s="189"/>
      <c r="Z46" s="189"/>
      <c r="AA46" s="190" t="str">
        <f t="shared" ref="AA46:AA50" si="52">IF(AND(Y46="Preventivo",Z46="Automático"),"50%",IF(AND(Y46="Preventivo",Z46="Manual"),"40%",IF(AND(Y46="Detectivo",Z46="Automático"),"40%",IF(AND(Y46="Detectivo",Z46="Manual"),"30%",IF(AND(Y46="Correctivo",Z46="Automático"),"35%",IF(AND(Y46="Correctivo",Z46="Manual"),"25%",""))))))</f>
        <v/>
      </c>
      <c r="AB46" s="189"/>
      <c r="AC46" s="189"/>
      <c r="AD46" s="189"/>
      <c r="AE46" s="191" t="str">
        <f>IFERROR(IF(AND(X45="Probabilidad",X46="Probabilidad"),(AG45-(+AG45*AA46)),IF(X46="Probabilidad",(P45-(+P45*AA46)),IF(X46="Impacto",AG45,""))),"")</f>
        <v/>
      </c>
      <c r="AF46" s="192" t="str">
        <f t="shared" si="2"/>
        <v/>
      </c>
      <c r="AG46" s="190" t="str">
        <f t="shared" ref="AG46:AG50" si="53">+AE46</f>
        <v/>
      </c>
      <c r="AH46" s="192" t="str">
        <f t="shared" si="4"/>
        <v/>
      </c>
      <c r="AI46" s="190" t="str">
        <f t="shared" ref="AI46" si="54">IFERROR(IF(AND(X45="Impacto",X46="Impacto"),(AI45-(+AI45*AA46)),IF(X46="Impacto",($T$13-(+$T$13*AA46)),IF(X46="Probabilidad",AI45,""))),"")</f>
        <v/>
      </c>
      <c r="AJ46" s="193" t="str">
        <f t="shared" ref="AJ46:AJ47" si="55">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4"/>
      <c r="AL46" s="185"/>
      <c r="AM46" s="195"/>
      <c r="AN46" s="195"/>
      <c r="AO46" s="196"/>
      <c r="AP46" s="327"/>
      <c r="AQ46" s="327"/>
      <c r="AR46" s="327"/>
    </row>
    <row r="47" spans="1:44" ht="37.5" customHeight="1" x14ac:dyDescent="0.2">
      <c r="A47" s="337"/>
      <c r="B47" s="331"/>
      <c r="C47" s="331"/>
      <c r="D47" s="345"/>
      <c r="E47" s="331"/>
      <c r="F47" s="331"/>
      <c r="G47" s="320"/>
      <c r="H47" s="320"/>
      <c r="I47" s="320"/>
      <c r="J47" s="320"/>
      <c r="K47" s="320"/>
      <c r="L47" s="320"/>
      <c r="M47" s="320"/>
      <c r="N47" s="327"/>
      <c r="O47" s="323"/>
      <c r="P47" s="322"/>
      <c r="Q47" s="313"/>
      <c r="R47" s="322">
        <f>IF(NOT(ISERROR(MATCH(Q47,_xlfn.ANCHORARRAY(E58),0))),P60&amp;"Por favor no seleccionar los criterios de impacto",Q47)</f>
        <v>0</v>
      </c>
      <c r="S47" s="323"/>
      <c r="T47" s="322"/>
      <c r="U47" s="321"/>
      <c r="V47" s="213">
        <v>3</v>
      </c>
      <c r="W47" s="187"/>
      <c r="X47" s="188" t="str">
        <f>IF(OR(Y47="Preventivo",Y47="Detectivo"),"Probabilidad",IF(Y47="Correctivo","Impacto",""))</f>
        <v/>
      </c>
      <c r="Y47" s="189"/>
      <c r="Z47" s="189"/>
      <c r="AA47" s="190" t="str">
        <f t="shared" si="52"/>
        <v/>
      </c>
      <c r="AB47" s="189"/>
      <c r="AC47" s="189"/>
      <c r="AD47" s="189"/>
      <c r="AE47" s="191" t="str">
        <f>IFERROR(IF(AND(X46="Probabilidad",X47="Probabilidad"),(AG46-(+AG46*AA47)),IF(AND(X46="Impacto",X47="Probabilidad"),(AG45-(+AG45*AA47)),IF(X47="Impacto",AG46,""))),"")</f>
        <v/>
      </c>
      <c r="AF47" s="192" t="str">
        <f t="shared" si="2"/>
        <v/>
      </c>
      <c r="AG47" s="190" t="str">
        <f t="shared" si="53"/>
        <v/>
      </c>
      <c r="AH47" s="192" t="str">
        <f t="shared" si="4"/>
        <v/>
      </c>
      <c r="AI47" s="190" t="str">
        <f t="shared" ref="AI47" si="56">IFERROR(IF(AND(X46="Impacto",X47="Impacto"),(AI46-(+AI46*AA47)),IF(AND(X46="Probabilidad",X47="Impacto"),(AI45-(+AI45*AA47)),IF(X47="Probabilidad",AI46,""))),"")</f>
        <v/>
      </c>
      <c r="AJ47" s="193" t="str">
        <f t="shared" si="55"/>
        <v/>
      </c>
      <c r="AK47" s="194"/>
      <c r="AL47" s="185"/>
      <c r="AM47" s="195"/>
      <c r="AN47" s="195"/>
      <c r="AO47" s="196"/>
      <c r="AP47" s="327"/>
      <c r="AQ47" s="327"/>
      <c r="AR47" s="327"/>
    </row>
    <row r="48" spans="1:44" ht="37.5" customHeight="1" x14ac:dyDescent="0.2">
      <c r="A48" s="337"/>
      <c r="B48" s="331"/>
      <c r="C48" s="331"/>
      <c r="D48" s="345"/>
      <c r="E48" s="331"/>
      <c r="F48" s="331"/>
      <c r="G48" s="320"/>
      <c r="H48" s="320"/>
      <c r="I48" s="320"/>
      <c r="J48" s="320"/>
      <c r="K48" s="320"/>
      <c r="L48" s="320"/>
      <c r="M48" s="320"/>
      <c r="N48" s="327"/>
      <c r="O48" s="323"/>
      <c r="P48" s="322"/>
      <c r="Q48" s="313"/>
      <c r="R48" s="322">
        <f>IF(NOT(ISERROR(MATCH(Q48,_xlfn.ANCHORARRAY(E59),0))),P61&amp;"Por favor no seleccionar los criterios de impacto",Q48)</f>
        <v>0</v>
      </c>
      <c r="S48" s="323"/>
      <c r="T48" s="322"/>
      <c r="U48" s="321"/>
      <c r="V48" s="213">
        <v>4</v>
      </c>
      <c r="W48" s="186"/>
      <c r="X48" s="188" t="str">
        <f t="shared" ref="X48:X50" si="57">IF(OR(Y48="Preventivo",Y48="Detectivo"),"Probabilidad",IF(Y48="Correctivo","Impacto",""))</f>
        <v/>
      </c>
      <c r="Y48" s="189"/>
      <c r="Z48" s="189"/>
      <c r="AA48" s="190" t="str">
        <f t="shared" si="52"/>
        <v/>
      </c>
      <c r="AB48" s="189"/>
      <c r="AC48" s="189"/>
      <c r="AD48" s="189"/>
      <c r="AE48" s="191" t="str">
        <f t="shared" ref="AE48:AE50" si="58">IFERROR(IF(AND(X47="Probabilidad",X48="Probabilidad"),(AG47-(+AG47*AA48)),IF(AND(X47="Impacto",X48="Probabilidad"),(AG46-(+AG46*AA48)),IF(X48="Impacto",AG47,""))),"")</f>
        <v/>
      </c>
      <c r="AF48" s="192" t="str">
        <f t="shared" si="2"/>
        <v/>
      </c>
      <c r="AG48" s="190" t="str">
        <f t="shared" si="53"/>
        <v/>
      </c>
      <c r="AH48" s="192" t="str">
        <f t="shared" si="4"/>
        <v/>
      </c>
      <c r="AI48" s="190" t="str">
        <f t="shared" si="11"/>
        <v/>
      </c>
      <c r="AJ48" s="193"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4"/>
      <c r="AL48" s="185"/>
      <c r="AM48" s="195"/>
      <c r="AN48" s="195"/>
      <c r="AO48" s="196"/>
      <c r="AP48" s="327"/>
      <c r="AQ48" s="327"/>
      <c r="AR48" s="327"/>
    </row>
    <row r="49" spans="1:44" ht="37.5" customHeight="1" x14ac:dyDescent="0.2">
      <c r="A49" s="337"/>
      <c r="B49" s="331"/>
      <c r="C49" s="331"/>
      <c r="D49" s="345"/>
      <c r="E49" s="331"/>
      <c r="F49" s="331"/>
      <c r="G49" s="320"/>
      <c r="H49" s="320"/>
      <c r="I49" s="320"/>
      <c r="J49" s="320"/>
      <c r="K49" s="320"/>
      <c r="L49" s="320"/>
      <c r="M49" s="320"/>
      <c r="N49" s="327"/>
      <c r="O49" s="323"/>
      <c r="P49" s="322"/>
      <c r="Q49" s="313"/>
      <c r="R49" s="322">
        <f>IF(NOT(ISERROR(MATCH(Q49,_xlfn.ANCHORARRAY(E60),0))),P62&amp;"Por favor no seleccionar los criterios de impacto",Q49)</f>
        <v>0</v>
      </c>
      <c r="S49" s="323"/>
      <c r="T49" s="322"/>
      <c r="U49" s="321"/>
      <c r="V49" s="213">
        <v>5</v>
      </c>
      <c r="W49" s="186"/>
      <c r="X49" s="188" t="str">
        <f t="shared" si="57"/>
        <v/>
      </c>
      <c r="Y49" s="189"/>
      <c r="Z49" s="189"/>
      <c r="AA49" s="190" t="str">
        <f t="shared" si="52"/>
        <v/>
      </c>
      <c r="AB49" s="189"/>
      <c r="AC49" s="189"/>
      <c r="AD49" s="189"/>
      <c r="AE49" s="191" t="str">
        <f t="shared" si="58"/>
        <v/>
      </c>
      <c r="AF49" s="192" t="str">
        <f t="shared" si="2"/>
        <v/>
      </c>
      <c r="AG49" s="190" t="str">
        <f t="shared" si="53"/>
        <v/>
      </c>
      <c r="AH49" s="192" t="str">
        <f t="shared" si="4"/>
        <v/>
      </c>
      <c r="AI49" s="190" t="str">
        <f t="shared" si="11"/>
        <v/>
      </c>
      <c r="AJ49" s="193" t="str">
        <f t="shared" ref="AJ49:AJ50" si="59">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4"/>
      <c r="AL49" s="185"/>
      <c r="AM49" s="195"/>
      <c r="AN49" s="195"/>
      <c r="AO49" s="196"/>
      <c r="AP49" s="327"/>
      <c r="AQ49" s="327"/>
      <c r="AR49" s="327"/>
    </row>
    <row r="50" spans="1:44" ht="37.5" customHeight="1" x14ac:dyDescent="0.2">
      <c r="A50" s="337"/>
      <c r="B50" s="331"/>
      <c r="C50" s="331"/>
      <c r="D50" s="345"/>
      <c r="E50" s="331"/>
      <c r="F50" s="331"/>
      <c r="G50" s="325"/>
      <c r="H50" s="325"/>
      <c r="I50" s="325"/>
      <c r="J50" s="325"/>
      <c r="K50" s="325"/>
      <c r="L50" s="325"/>
      <c r="M50" s="325"/>
      <c r="N50" s="327"/>
      <c r="O50" s="323"/>
      <c r="P50" s="322"/>
      <c r="Q50" s="313"/>
      <c r="R50" s="322">
        <f>IF(NOT(ISERROR(MATCH(Q50,_xlfn.ANCHORARRAY(E61),0))),P63&amp;"Por favor no seleccionar los criterios de impacto",Q50)</f>
        <v>0</v>
      </c>
      <c r="S50" s="323"/>
      <c r="T50" s="322"/>
      <c r="U50" s="321"/>
      <c r="V50" s="213">
        <v>6</v>
      </c>
      <c r="W50" s="186"/>
      <c r="X50" s="188" t="str">
        <f t="shared" si="57"/>
        <v/>
      </c>
      <c r="Y50" s="189"/>
      <c r="Z50" s="189"/>
      <c r="AA50" s="190" t="str">
        <f t="shared" si="52"/>
        <v/>
      </c>
      <c r="AB50" s="189"/>
      <c r="AC50" s="189"/>
      <c r="AD50" s="189"/>
      <c r="AE50" s="191" t="str">
        <f t="shared" si="58"/>
        <v/>
      </c>
      <c r="AF50" s="192" t="str">
        <f t="shared" si="2"/>
        <v/>
      </c>
      <c r="AG50" s="190" t="str">
        <f t="shared" si="53"/>
        <v/>
      </c>
      <c r="AH50" s="192" t="str">
        <f t="shared" si="4"/>
        <v/>
      </c>
      <c r="AI50" s="190" t="str">
        <f t="shared" si="11"/>
        <v/>
      </c>
      <c r="AJ50" s="193" t="str">
        <f t="shared" si="59"/>
        <v/>
      </c>
      <c r="AK50" s="194"/>
      <c r="AL50" s="185"/>
      <c r="AM50" s="195"/>
      <c r="AN50" s="195"/>
      <c r="AO50" s="196"/>
      <c r="AP50" s="327"/>
      <c r="AQ50" s="327"/>
      <c r="AR50" s="327"/>
    </row>
    <row r="51" spans="1:44" ht="37.5" customHeight="1" x14ac:dyDescent="0.2">
      <c r="A51" s="337">
        <v>8</v>
      </c>
      <c r="B51" s="331"/>
      <c r="C51" s="331"/>
      <c r="D51" s="331"/>
      <c r="E51" s="331"/>
      <c r="F51" s="331"/>
      <c r="G51" s="319"/>
      <c r="H51" s="319"/>
      <c r="I51" s="319"/>
      <c r="J51" s="319"/>
      <c r="K51" s="319"/>
      <c r="L51" s="319"/>
      <c r="M51" s="319"/>
      <c r="N51" s="327"/>
      <c r="O51" s="323" t="str">
        <f>IF(N51&lt;=0,"",IF(N51&lt;=2,"Muy Baja",IF(N51&lt;=24,"Baja",IF(N51&lt;=500,"Media",IF(N51&lt;=5000,"Alta","Muy Alta")))))</f>
        <v/>
      </c>
      <c r="P51" s="322" t="str">
        <f>IF(O51="","",IF(O51="Muy Baja",0.2,IF(O51="Baja",0.4,IF(O51="Media",0.6,IF(O51="Alta",0.8,IF(O51="Muy Alta",1,))))))</f>
        <v/>
      </c>
      <c r="Q51" s="313"/>
      <c r="R51" s="322">
        <f>IF(NOT(ISERROR(MATCH(Q51,'Tabla Impacto'!$B$222:$B$224,0))),'Tabla Impacto'!$F$224&amp;"Por favor no seleccionar los criterios de impacto(Afectación Económica o presupuestal y Pérdida Reputacional)",Q51)</f>
        <v>0</v>
      </c>
      <c r="S51" s="323" t="str">
        <f>IF(OR(R51='Tabla Impacto'!$C$12,R51='Tabla Impacto'!$D$12),"Leve",IF(OR(R51='Tabla Impacto'!$C$13,R51='Tabla Impacto'!$D$13),"Menor",IF(OR(R51='Tabla Impacto'!$C$14,R51='Tabla Impacto'!$D$14),"Moderado",IF(OR(R51='Tabla Impacto'!$C$15,R51='Tabla Impacto'!$D$15),"Mayor",IF(OR(R51='Tabla Impacto'!$C$16,R51='Tabla Impacto'!$D$16),"Catastrófico","")))))</f>
        <v/>
      </c>
      <c r="T51" s="322" t="str">
        <f>IF(S51="","",IF(S51="Leve",0.2,IF(S51="Menor",0.4,IF(S51="Moderado",0.6,IF(S51="Mayor",0.8,IF(S51="Catastrófico",1,))))))</f>
        <v/>
      </c>
      <c r="U51" s="321" t="str">
        <f>IF(OR(AND(O51="Muy Baja",S51="Leve"),AND(O51="Muy Baja",S51="Menor"),AND(O51="Baja",S51="Leve")),"Bajo",IF(OR(AND(O51="Muy baja",S51="Moderado"),AND(O51="Baja",S51="Menor"),AND(O51="Baja",S51="Moderado"),AND(O51="Media",S51="Leve"),AND(O51="Media",S51="Menor"),AND(O51="Media",S51="Moderado"),AND(O51="Alta",S51="Leve"),AND(O51="Alta",S51="Menor")),"Moderado",IF(OR(AND(O51="Muy Baja",S51="Mayor"),AND(O51="Baja",S51="Mayor"),AND(O51="Media",S51="Mayor"),AND(O51="Alta",S51="Moderado"),AND(O51="Alta",S51="Mayor"),AND(O51="Muy Alta",S51="Leve"),AND(O51="Muy Alta",S51="Menor"),AND(O51="Muy Alta",S51="Moderado"),AND(O51="Muy Alta",S51="Mayor")),"Alto",IF(OR(AND(O51="Muy Baja",S51="Catastrófico"),AND(O51="Baja",S51="Catastrófico"),AND(O51="Media",S51="Catastrófico"),AND(O51="Alta",S51="Catastrófico"),AND(O51="Muy Alta",S51="Catastrófico")),"Extremo",""))))</f>
        <v/>
      </c>
      <c r="V51" s="213">
        <v>1</v>
      </c>
      <c r="W51" s="186"/>
      <c r="X51" s="188" t="str">
        <f>IF(OR(Y51="Preventivo",Y51="Detectivo"),"Probabilidad",IF(Y51="Correctivo","Impacto",""))</f>
        <v/>
      </c>
      <c r="Y51" s="189"/>
      <c r="Z51" s="189"/>
      <c r="AA51" s="190" t="str">
        <f>IF(AND(Y51="Preventivo",Z51="Automático"),"50%",IF(AND(Y51="Preventivo",Z51="Manual"),"40%",IF(AND(Y51="Detectivo",Z51="Automático"),"40%",IF(AND(Y51="Detectivo",Z51="Manual"),"30%",IF(AND(Y51="Correctivo",Z51="Automático"),"35%",IF(AND(Y51="Correctivo",Z51="Manual"),"25%",""))))))</f>
        <v/>
      </c>
      <c r="AB51" s="189"/>
      <c r="AC51" s="189"/>
      <c r="AD51" s="189"/>
      <c r="AE51" s="191" t="str">
        <f>IFERROR(IF(X51="Probabilidad",(P51-(+P51*AA51)),IF(X51="Impacto",P51,"")),"")</f>
        <v/>
      </c>
      <c r="AF51" s="192" t="str">
        <f>IFERROR(IF(AE51="","",IF(AE51&lt;=0.2,"Muy Baja",IF(AE51&lt;=0.4,"Baja",IF(AE51&lt;=0.6,"Media",IF(AE51&lt;=0.8,"Alta","Muy Alta"))))),"")</f>
        <v/>
      </c>
      <c r="AG51" s="190" t="str">
        <f>+AE51</f>
        <v/>
      </c>
      <c r="AH51" s="192" t="str">
        <f>IFERROR(IF(AI51="","",IF(AI51&lt;=0.2,"Leve",IF(AI51&lt;=0.4,"Menor",IF(AI51&lt;=0.6,"Moderado",IF(AI51&lt;=0.8,"Mayor","Catastrófico"))))),"")</f>
        <v/>
      </c>
      <c r="AI51" s="190" t="str">
        <f t="shared" ref="AI51" si="60">IFERROR(IF(X51="Impacto",(T51-(+T51*AA51)),IF(X51="Probabilidad",T51,"")),"")</f>
        <v/>
      </c>
      <c r="AJ51" s="193" t="str">
        <f>IFERROR(IF(OR(AND(AF51="Muy Baja",AH51="Leve"),AND(AF51="Muy Baja",AH51="Menor"),AND(AF51="Baja",AH51="Leve")),"Bajo",IF(OR(AND(AF51="Muy baja",AH51="Moderado"),AND(AF51="Baja",AH51="Menor"),AND(AF51="Baja",AH51="Moderado"),AND(AF51="Media",AH51="Leve"),AND(AF51="Media",AH51="Menor"),AND(AF51="Media",AH51="Moderado"),AND(AF51="Alta",AH51="Leve"),AND(AF51="Alta",AH51="Menor")),"Moderado",IF(OR(AND(AF51="Muy Baja",AH51="Mayor"),AND(AF51="Baja",AH51="Mayor"),AND(AF51="Media",AH51="Mayor"),AND(AF51="Alta",AH51="Moderado"),AND(AF51="Alta",AH51="Mayor"),AND(AF51="Muy Alta",AH51="Leve"),AND(AF51="Muy Alta",AH51="Menor"),AND(AF51="Muy Alta",AH51="Moderado"),AND(AF51="Muy Alta",AH51="Mayor")),"Alto",IF(OR(AND(AF51="Muy Baja",AH51="Catastrófico"),AND(AF51="Baja",AH51="Catastrófico"),AND(AF51="Media",AH51="Catastrófico"),AND(AF51="Alta",AH51="Catastrófico"),AND(AF51="Muy Alta",AH51="Catastrófico")),"Extremo","")))),"")</f>
        <v/>
      </c>
      <c r="AK51" s="194"/>
      <c r="AL51" s="185"/>
      <c r="AM51" s="195"/>
      <c r="AN51" s="195"/>
      <c r="AO51" s="196"/>
      <c r="AP51" s="327"/>
      <c r="AQ51" s="327"/>
      <c r="AR51" s="327"/>
    </row>
    <row r="52" spans="1:44" ht="37.5" customHeight="1" x14ac:dyDescent="0.2">
      <c r="A52" s="337"/>
      <c r="B52" s="331"/>
      <c r="C52" s="331"/>
      <c r="D52" s="331"/>
      <c r="E52" s="331"/>
      <c r="F52" s="331"/>
      <c r="G52" s="320"/>
      <c r="H52" s="320"/>
      <c r="I52" s="320"/>
      <c r="J52" s="320"/>
      <c r="K52" s="320"/>
      <c r="L52" s="320"/>
      <c r="M52" s="320"/>
      <c r="N52" s="327"/>
      <c r="O52" s="323"/>
      <c r="P52" s="322"/>
      <c r="Q52" s="313"/>
      <c r="R52" s="322">
        <f>IF(NOT(ISERROR(MATCH(Q52,_xlfn.ANCHORARRAY(E63),0))),P65&amp;"Por favor no seleccionar los criterios de impacto",Q52)</f>
        <v>0</v>
      </c>
      <c r="S52" s="323"/>
      <c r="T52" s="322"/>
      <c r="U52" s="321"/>
      <c r="V52" s="213">
        <v>2</v>
      </c>
      <c r="W52" s="186"/>
      <c r="X52" s="188" t="str">
        <f>IF(OR(Y52="Preventivo",Y52="Detectivo"),"Probabilidad",IF(Y52="Correctivo","Impacto",""))</f>
        <v/>
      </c>
      <c r="Y52" s="189"/>
      <c r="Z52" s="189"/>
      <c r="AA52" s="190" t="str">
        <f t="shared" ref="AA52:AA56" si="61">IF(AND(Y52="Preventivo",Z52="Automático"),"50%",IF(AND(Y52="Preventivo",Z52="Manual"),"40%",IF(AND(Y52="Detectivo",Z52="Automático"),"40%",IF(AND(Y52="Detectivo",Z52="Manual"),"30%",IF(AND(Y52="Correctivo",Z52="Automático"),"35%",IF(AND(Y52="Correctivo",Z52="Manual"),"25%",""))))))</f>
        <v/>
      </c>
      <c r="AB52" s="189"/>
      <c r="AC52" s="189"/>
      <c r="AD52" s="189"/>
      <c r="AE52" s="191" t="str">
        <f>IFERROR(IF(AND(X51="Probabilidad",X52="Probabilidad"),(AG51-(+AG51*AA52)),IF(X52="Probabilidad",(P51-(+P51*AA52)),IF(X52="Impacto",AG51,""))),"")</f>
        <v/>
      </c>
      <c r="AF52" s="192" t="str">
        <f t="shared" si="2"/>
        <v/>
      </c>
      <c r="AG52" s="190" t="str">
        <f t="shared" ref="AG52:AG56" si="62">+AE52</f>
        <v/>
      </c>
      <c r="AH52" s="192" t="str">
        <f t="shared" si="4"/>
        <v/>
      </c>
      <c r="AI52" s="190" t="str">
        <f t="shared" ref="AI52" si="63">IFERROR(IF(AND(X51="Impacto",X52="Impacto"),(AI51-(+AI51*AA52)),IF(X52="Impacto",($T$13-(+$T$13*AA52)),IF(X52="Probabilidad",AI51,""))),"")</f>
        <v/>
      </c>
      <c r="AJ52" s="193" t="str">
        <f t="shared" ref="AJ52:AJ53" si="64">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4"/>
      <c r="AL52" s="185"/>
      <c r="AM52" s="195"/>
      <c r="AN52" s="195"/>
      <c r="AO52" s="196"/>
      <c r="AP52" s="327"/>
      <c r="AQ52" s="327"/>
      <c r="AR52" s="327"/>
    </row>
    <row r="53" spans="1:44" ht="37.5" customHeight="1" x14ac:dyDescent="0.2">
      <c r="A53" s="337"/>
      <c r="B53" s="331"/>
      <c r="C53" s="331"/>
      <c r="D53" s="331"/>
      <c r="E53" s="331"/>
      <c r="F53" s="331"/>
      <c r="G53" s="320"/>
      <c r="H53" s="320"/>
      <c r="I53" s="320"/>
      <c r="J53" s="320"/>
      <c r="K53" s="320"/>
      <c r="L53" s="320"/>
      <c r="M53" s="320"/>
      <c r="N53" s="327"/>
      <c r="O53" s="323"/>
      <c r="P53" s="322"/>
      <c r="Q53" s="313"/>
      <c r="R53" s="322">
        <f>IF(NOT(ISERROR(MATCH(Q53,_xlfn.ANCHORARRAY(E64),0))),P66&amp;"Por favor no seleccionar los criterios de impacto",Q53)</f>
        <v>0</v>
      </c>
      <c r="S53" s="323"/>
      <c r="T53" s="322"/>
      <c r="U53" s="321"/>
      <c r="V53" s="213">
        <v>3</v>
      </c>
      <c r="W53" s="187"/>
      <c r="X53" s="188" t="str">
        <f>IF(OR(Y53="Preventivo",Y53="Detectivo"),"Probabilidad",IF(Y53="Correctivo","Impacto",""))</f>
        <v/>
      </c>
      <c r="Y53" s="189"/>
      <c r="Z53" s="189"/>
      <c r="AA53" s="190" t="str">
        <f t="shared" si="61"/>
        <v/>
      </c>
      <c r="AB53" s="189"/>
      <c r="AC53" s="189"/>
      <c r="AD53" s="189"/>
      <c r="AE53" s="191" t="str">
        <f>IFERROR(IF(AND(X52="Probabilidad",X53="Probabilidad"),(AG52-(+AG52*AA53)),IF(AND(X52="Impacto",X53="Probabilidad"),(AG51-(+AG51*AA53)),IF(X53="Impacto",AG52,""))),"")</f>
        <v/>
      </c>
      <c r="AF53" s="192" t="str">
        <f t="shared" si="2"/>
        <v/>
      </c>
      <c r="AG53" s="190" t="str">
        <f t="shared" si="62"/>
        <v/>
      </c>
      <c r="AH53" s="192" t="str">
        <f t="shared" si="4"/>
        <v/>
      </c>
      <c r="AI53" s="190" t="str">
        <f t="shared" ref="AI53" si="65">IFERROR(IF(AND(X52="Impacto",X53="Impacto"),(AI52-(+AI52*AA53)),IF(AND(X52="Probabilidad",X53="Impacto"),(AI51-(+AI51*AA53)),IF(X53="Probabilidad",AI52,""))),"")</f>
        <v/>
      </c>
      <c r="AJ53" s="193" t="str">
        <f t="shared" si="64"/>
        <v/>
      </c>
      <c r="AK53" s="194"/>
      <c r="AL53" s="185"/>
      <c r="AM53" s="195"/>
      <c r="AN53" s="195"/>
      <c r="AO53" s="196"/>
      <c r="AP53" s="327"/>
      <c r="AQ53" s="327"/>
      <c r="AR53" s="327"/>
    </row>
    <row r="54" spans="1:44" ht="37.5" customHeight="1" x14ac:dyDescent="0.2">
      <c r="A54" s="337"/>
      <c r="B54" s="331"/>
      <c r="C54" s="331"/>
      <c r="D54" s="331"/>
      <c r="E54" s="331"/>
      <c r="F54" s="331"/>
      <c r="G54" s="320"/>
      <c r="H54" s="320"/>
      <c r="I54" s="320"/>
      <c r="J54" s="320"/>
      <c r="K54" s="320"/>
      <c r="L54" s="320"/>
      <c r="M54" s="320"/>
      <c r="N54" s="327"/>
      <c r="O54" s="323"/>
      <c r="P54" s="322"/>
      <c r="Q54" s="313"/>
      <c r="R54" s="322">
        <f>IF(NOT(ISERROR(MATCH(Q54,_xlfn.ANCHORARRAY(E65),0))),P67&amp;"Por favor no seleccionar los criterios de impacto",Q54)</f>
        <v>0</v>
      </c>
      <c r="S54" s="323"/>
      <c r="T54" s="322"/>
      <c r="U54" s="321"/>
      <c r="V54" s="213">
        <v>4</v>
      </c>
      <c r="W54" s="186"/>
      <c r="X54" s="188" t="str">
        <f t="shared" ref="X54:X56" si="66">IF(OR(Y54="Preventivo",Y54="Detectivo"),"Probabilidad",IF(Y54="Correctivo","Impacto",""))</f>
        <v/>
      </c>
      <c r="Y54" s="189"/>
      <c r="Z54" s="189"/>
      <c r="AA54" s="190" t="str">
        <f t="shared" si="61"/>
        <v/>
      </c>
      <c r="AB54" s="189"/>
      <c r="AC54" s="189"/>
      <c r="AD54" s="189"/>
      <c r="AE54" s="191" t="str">
        <f t="shared" ref="AE54:AE56" si="67">IFERROR(IF(AND(X53="Probabilidad",X54="Probabilidad"),(AG53-(+AG53*AA54)),IF(AND(X53="Impacto",X54="Probabilidad"),(AG52-(+AG52*AA54)),IF(X54="Impacto",AG53,""))),"")</f>
        <v/>
      </c>
      <c r="AF54" s="192" t="str">
        <f t="shared" si="2"/>
        <v/>
      </c>
      <c r="AG54" s="190" t="str">
        <f t="shared" si="62"/>
        <v/>
      </c>
      <c r="AH54" s="192" t="str">
        <f t="shared" si="4"/>
        <v/>
      </c>
      <c r="AI54" s="190" t="str">
        <f t="shared" si="11"/>
        <v/>
      </c>
      <c r="AJ54" s="193" t="str">
        <f>IFERROR(IF(OR(AND(AF54="Muy Baja",AH54="Leve"),AND(AF54="Muy Baja",AH54="Menor"),AND(AF54="Baja",AH54="Leve")),"Bajo",IF(OR(AND(AF54="Muy baja",AH54="Moderado"),AND(AF54="Baja",AH54="Menor"),AND(AF54="Baja",AH54="Moderado"),AND(AF54="Media",AH54="Leve"),AND(AF54="Media",AH54="Menor"),AND(AF54="Media",AH54="Moderado"),AND(AF54="Alta",AH54="Leve"),AND(AF54="Alta",AH54="Menor")),"Moderado",IF(OR(AND(AF54="Muy Baja",AH54="Mayor"),AND(AF54="Baja",AH54="Mayor"),AND(AF54="Media",AH54="Mayor"),AND(AF54="Alta",AH54="Moderado"),AND(AF54="Alta",AH54="Mayor"),AND(AF54="Muy Alta",AH54="Leve"),AND(AF54="Muy Alta",AH54="Menor"),AND(AF54="Muy Alta",AH54="Moderado"),AND(AF54="Muy Alta",AH54="Mayor")),"Alto",IF(OR(AND(AF54="Muy Baja",AH54="Catastrófico"),AND(AF54="Baja",AH54="Catastrófico"),AND(AF54="Media",AH54="Catastrófico"),AND(AF54="Alta",AH54="Catastrófico"),AND(AF54="Muy Alta",AH54="Catastrófico")),"Extremo","")))),"")</f>
        <v/>
      </c>
      <c r="AK54" s="194"/>
      <c r="AL54" s="185"/>
      <c r="AM54" s="195"/>
      <c r="AN54" s="195"/>
      <c r="AO54" s="196"/>
      <c r="AP54" s="327"/>
      <c r="AQ54" s="327"/>
      <c r="AR54" s="327"/>
    </row>
    <row r="55" spans="1:44" ht="37.5" customHeight="1" x14ac:dyDescent="0.2">
      <c r="A55" s="337"/>
      <c r="B55" s="331"/>
      <c r="C55" s="331"/>
      <c r="D55" s="331"/>
      <c r="E55" s="331"/>
      <c r="F55" s="331"/>
      <c r="G55" s="320"/>
      <c r="H55" s="320"/>
      <c r="I55" s="320"/>
      <c r="J55" s="320"/>
      <c r="K55" s="320"/>
      <c r="L55" s="320"/>
      <c r="M55" s="320"/>
      <c r="N55" s="327"/>
      <c r="O55" s="323"/>
      <c r="P55" s="322"/>
      <c r="Q55" s="313"/>
      <c r="R55" s="322">
        <f>IF(NOT(ISERROR(MATCH(Q55,_xlfn.ANCHORARRAY(E66),0))),P68&amp;"Por favor no seleccionar los criterios de impacto",Q55)</f>
        <v>0</v>
      </c>
      <c r="S55" s="323"/>
      <c r="T55" s="322"/>
      <c r="U55" s="321"/>
      <c r="V55" s="213">
        <v>5</v>
      </c>
      <c r="W55" s="186"/>
      <c r="X55" s="188" t="str">
        <f t="shared" si="66"/>
        <v/>
      </c>
      <c r="Y55" s="189"/>
      <c r="Z55" s="189"/>
      <c r="AA55" s="190" t="str">
        <f t="shared" si="61"/>
        <v/>
      </c>
      <c r="AB55" s="189"/>
      <c r="AC55" s="189"/>
      <c r="AD55" s="189"/>
      <c r="AE55" s="191" t="str">
        <f t="shared" si="67"/>
        <v/>
      </c>
      <c r="AF55" s="192" t="str">
        <f t="shared" si="2"/>
        <v/>
      </c>
      <c r="AG55" s="190" t="str">
        <f t="shared" si="62"/>
        <v/>
      </c>
      <c r="AH55" s="192" t="str">
        <f t="shared" si="4"/>
        <v/>
      </c>
      <c r="AI55" s="190" t="str">
        <f t="shared" si="11"/>
        <v/>
      </c>
      <c r="AJ55" s="193" t="str">
        <f t="shared" ref="AJ55:AJ56" si="68">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4"/>
      <c r="AL55" s="185"/>
      <c r="AM55" s="195"/>
      <c r="AN55" s="195"/>
      <c r="AO55" s="196"/>
      <c r="AP55" s="327"/>
      <c r="AQ55" s="327"/>
      <c r="AR55" s="327"/>
    </row>
    <row r="56" spans="1:44" ht="37.5" customHeight="1" x14ac:dyDescent="0.2">
      <c r="A56" s="337"/>
      <c r="B56" s="331"/>
      <c r="C56" s="331"/>
      <c r="D56" s="331"/>
      <c r="E56" s="331"/>
      <c r="F56" s="331"/>
      <c r="G56" s="325"/>
      <c r="H56" s="325"/>
      <c r="I56" s="325"/>
      <c r="J56" s="325"/>
      <c r="K56" s="325"/>
      <c r="L56" s="325"/>
      <c r="M56" s="325"/>
      <c r="N56" s="327"/>
      <c r="O56" s="323"/>
      <c r="P56" s="322"/>
      <c r="Q56" s="313"/>
      <c r="R56" s="322">
        <f>IF(NOT(ISERROR(MATCH(Q56,_xlfn.ANCHORARRAY(E67),0))),Q69&amp;"Por favor no seleccionar los criterios de impacto",Q56)</f>
        <v>0</v>
      </c>
      <c r="S56" s="323"/>
      <c r="T56" s="322"/>
      <c r="U56" s="321"/>
      <c r="V56" s="213">
        <v>6</v>
      </c>
      <c r="W56" s="186"/>
      <c r="X56" s="188" t="str">
        <f t="shared" si="66"/>
        <v/>
      </c>
      <c r="Y56" s="189"/>
      <c r="Z56" s="189"/>
      <c r="AA56" s="190" t="str">
        <f t="shared" si="61"/>
        <v/>
      </c>
      <c r="AB56" s="189"/>
      <c r="AC56" s="189"/>
      <c r="AD56" s="189"/>
      <c r="AE56" s="191" t="str">
        <f t="shared" si="67"/>
        <v/>
      </c>
      <c r="AF56" s="192" t="str">
        <f t="shared" si="2"/>
        <v/>
      </c>
      <c r="AG56" s="190" t="str">
        <f t="shared" si="62"/>
        <v/>
      </c>
      <c r="AH56" s="192" t="str">
        <f t="shared" si="4"/>
        <v/>
      </c>
      <c r="AI56" s="190" t="str">
        <f t="shared" si="11"/>
        <v/>
      </c>
      <c r="AJ56" s="193" t="str">
        <f t="shared" si="68"/>
        <v/>
      </c>
      <c r="AK56" s="194"/>
      <c r="AL56" s="185"/>
      <c r="AM56" s="195"/>
      <c r="AN56" s="195"/>
      <c r="AO56" s="196"/>
      <c r="AP56" s="327"/>
      <c r="AQ56" s="327"/>
      <c r="AR56" s="327"/>
    </row>
    <row r="57" spans="1:44" ht="37.5" customHeight="1" x14ac:dyDescent="0.2">
      <c r="A57" s="337">
        <v>9</v>
      </c>
      <c r="B57" s="331"/>
      <c r="C57" s="331"/>
      <c r="D57" s="331"/>
      <c r="E57" s="331"/>
      <c r="F57" s="331"/>
      <c r="G57" s="319"/>
      <c r="H57" s="319"/>
      <c r="I57" s="220"/>
      <c r="J57" s="220"/>
      <c r="K57" s="220"/>
      <c r="L57" s="319"/>
      <c r="M57" s="319"/>
      <c r="N57" s="327"/>
      <c r="O57" s="323" t="str">
        <f>IF(N57&lt;=0,"",IF(N57&lt;=2,"Muy Baja",IF(N57&lt;=24,"Baja",IF(N57&lt;=500,"Media",IF(N57&lt;=5000,"Alta","Muy Alta")))))</f>
        <v/>
      </c>
      <c r="P57" s="322" t="str">
        <f>IF(O57="","",IF(O57="Muy Baja",0.2,IF(O57="Baja",0.4,IF(O57="Media",0.6,IF(O57="Alta",0.8,IF(O57="Muy Alta",1,))))))</f>
        <v/>
      </c>
      <c r="Q57" s="313"/>
      <c r="R57" s="322">
        <f>IF(NOT(ISERROR(MATCH(Q57,'Tabla Impacto'!$B$222:$B$224,0))),'Tabla Impacto'!$F$224&amp;"Por favor no seleccionar los criterios de impacto(Afectación Económica o presupuestal y Pérdida Reputacional)",Q57)</f>
        <v>0</v>
      </c>
      <c r="S57" s="323" t="str">
        <f>IF(OR(R57='Tabla Impacto'!$C$12,R57='Tabla Impacto'!$D$12),"Leve",IF(OR(R57='Tabla Impacto'!$C$13,R57='Tabla Impacto'!$D$13),"Menor",IF(OR(R57='Tabla Impacto'!$C$14,R57='Tabla Impacto'!$D$14),"Moderado",IF(OR(R57='Tabla Impacto'!$C$15,R57='Tabla Impacto'!$D$15),"Mayor",IF(OR(R57='Tabla Impacto'!$C$16,R57='Tabla Impacto'!$D$16),"Catastrófico","")))))</f>
        <v/>
      </c>
      <c r="T57" s="322" t="str">
        <f>IF(S57="","",IF(S57="Leve",0.2,IF(S57="Menor",0.4,IF(S57="Moderado",0.6,IF(S57="Mayor",0.8,IF(S57="Catastrófico",1,))))))</f>
        <v/>
      </c>
      <c r="U57" s="321" t="str">
        <f>IF(OR(AND(O57="Muy Baja",S57="Leve"),AND(O57="Muy Baja",S57="Menor"),AND(O57="Baja",S57="Leve")),"Bajo",IF(OR(AND(O57="Muy baja",S57="Moderado"),AND(O57="Baja",S57="Menor"),AND(O57="Baja",S57="Moderado"),AND(O57="Media",S57="Leve"),AND(O57="Media",S57="Menor"),AND(O57="Media",S57="Moderado"),AND(O57="Alta",S57="Leve"),AND(O57="Alta",S57="Menor")),"Moderado",IF(OR(AND(O57="Muy Baja",S57="Mayor"),AND(O57="Baja",S57="Mayor"),AND(O57="Media",S57="Mayor"),AND(O57="Alta",S57="Moderado"),AND(O57="Alta",S57="Mayor"),AND(O57="Muy Alta",S57="Leve"),AND(O57="Muy Alta",S57="Menor"),AND(O57="Muy Alta",S57="Moderado"),AND(O57="Muy Alta",S57="Mayor")),"Alto",IF(OR(AND(O57="Muy Baja",S57="Catastrófico"),AND(O57="Baja",S57="Catastrófico"),AND(O57="Media",S57="Catastrófico"),AND(O57="Alta",S57="Catastrófico"),AND(O57="Muy Alta",S57="Catastrófico")),"Extremo",""))))</f>
        <v/>
      </c>
      <c r="V57" s="213">
        <v>1</v>
      </c>
      <c r="W57" s="186"/>
      <c r="X57" s="188" t="str">
        <f>IF(OR(Y57="Preventivo",Y57="Detectivo"),"Probabilidad",IF(Y57="Correctivo","Impacto",""))</f>
        <v/>
      </c>
      <c r="Y57" s="189"/>
      <c r="Z57" s="189"/>
      <c r="AA57" s="190" t="str">
        <f>IF(AND(Y57="Preventivo",Z57="Automático"),"50%",IF(AND(Y57="Preventivo",Z57="Manual"),"40%",IF(AND(Y57="Detectivo",Z57="Automático"),"40%",IF(AND(Y57="Detectivo",Z57="Manual"),"30%",IF(AND(Y57="Correctivo",Z57="Automático"),"35%",IF(AND(Y57="Correctivo",Z57="Manual"),"25%",""))))))</f>
        <v/>
      </c>
      <c r="AB57" s="189"/>
      <c r="AC57" s="189"/>
      <c r="AD57" s="189"/>
      <c r="AE57" s="191" t="str">
        <f>IFERROR(IF(X57="Probabilidad",(P57-(+P57*AA57)),IF(X57="Impacto",P57,"")),"")</f>
        <v/>
      </c>
      <c r="AF57" s="192" t="str">
        <f>IFERROR(IF(AE57="","",IF(AE57&lt;=0.2,"Muy Baja",IF(AE57&lt;=0.4,"Baja",IF(AE57&lt;=0.6,"Media",IF(AE57&lt;=0.8,"Alta","Muy Alta"))))),"")</f>
        <v/>
      </c>
      <c r="AG57" s="190" t="str">
        <f>+AE57</f>
        <v/>
      </c>
      <c r="AH57" s="192" t="str">
        <f>IFERROR(IF(AI57="","",IF(AI57&lt;=0.2,"Leve",IF(AI57&lt;=0.4,"Menor",IF(AI57&lt;=0.6,"Moderado",IF(AI57&lt;=0.8,"Mayor","Catastrófico"))))),"")</f>
        <v/>
      </c>
      <c r="AI57" s="190" t="str">
        <f t="shared" ref="AI57" si="69">IFERROR(IF(X57="Impacto",(T57-(+T57*AA57)),IF(X57="Probabilidad",T57,"")),"")</f>
        <v/>
      </c>
      <c r="AJ57" s="193" t="str">
        <f>IFERROR(IF(OR(AND(AF57="Muy Baja",AH57="Leve"),AND(AF57="Muy Baja",AH57="Menor"),AND(AF57="Baja",AH57="Leve")),"Bajo",IF(OR(AND(AF57="Muy baja",AH57="Moderado"),AND(AF57="Baja",AH57="Menor"),AND(AF57="Baja",AH57="Moderado"),AND(AF57="Media",AH57="Leve"),AND(AF57="Media",AH57="Menor"),AND(AF57="Media",AH57="Moderado"),AND(AF57="Alta",AH57="Leve"),AND(AF57="Alta",AH57="Menor")),"Moderado",IF(OR(AND(AF57="Muy Baja",AH57="Mayor"),AND(AF57="Baja",AH57="Mayor"),AND(AF57="Media",AH57="Mayor"),AND(AF57="Alta",AH57="Moderado"),AND(AF57="Alta",AH57="Mayor"),AND(AF57="Muy Alta",AH57="Leve"),AND(AF57="Muy Alta",AH57="Menor"),AND(AF57="Muy Alta",AH57="Moderado"),AND(AF57="Muy Alta",AH57="Mayor")),"Alto",IF(OR(AND(AF57="Muy Baja",AH57="Catastrófico"),AND(AF57="Baja",AH57="Catastrófico"),AND(AF57="Media",AH57="Catastrófico"),AND(AF57="Alta",AH57="Catastrófico"),AND(AF57="Muy Alta",AH57="Catastrófico")),"Extremo","")))),"")</f>
        <v/>
      </c>
      <c r="AK57" s="194"/>
      <c r="AL57" s="185"/>
      <c r="AM57" s="195"/>
      <c r="AN57" s="195"/>
      <c r="AO57" s="196"/>
      <c r="AP57" s="327"/>
      <c r="AQ57" s="327"/>
      <c r="AR57" s="327"/>
    </row>
    <row r="58" spans="1:44" ht="37.5" customHeight="1" x14ac:dyDescent="0.2">
      <c r="A58" s="337"/>
      <c r="B58" s="331"/>
      <c r="C58" s="331"/>
      <c r="D58" s="331"/>
      <c r="E58" s="331"/>
      <c r="F58" s="331"/>
      <c r="G58" s="320"/>
      <c r="H58" s="320"/>
      <c r="I58" s="221"/>
      <c r="J58" s="221"/>
      <c r="K58" s="221"/>
      <c r="L58" s="320"/>
      <c r="M58" s="320"/>
      <c r="N58" s="327"/>
      <c r="O58" s="323"/>
      <c r="P58" s="322"/>
      <c r="Q58" s="313"/>
      <c r="R58" s="322">
        <f>IF(NOT(ISERROR(MATCH(Q58,_xlfn.ANCHORARRAY(F69),0))),Q71&amp;"Por favor no seleccionar los criterios de impacto",Q58)</f>
        <v>0</v>
      </c>
      <c r="S58" s="323"/>
      <c r="T58" s="322"/>
      <c r="U58" s="321"/>
      <c r="V58" s="213">
        <v>2</v>
      </c>
      <c r="W58" s="186"/>
      <c r="X58" s="188" t="str">
        <f>IF(OR(Y58="Preventivo",Y58="Detectivo"),"Probabilidad",IF(Y58="Correctivo","Impacto",""))</f>
        <v/>
      </c>
      <c r="Y58" s="189"/>
      <c r="Z58" s="189"/>
      <c r="AA58" s="190" t="str">
        <f t="shared" ref="AA58:AA62" si="70">IF(AND(Y58="Preventivo",Z58="Automático"),"50%",IF(AND(Y58="Preventivo",Z58="Manual"),"40%",IF(AND(Y58="Detectivo",Z58="Automático"),"40%",IF(AND(Y58="Detectivo",Z58="Manual"),"30%",IF(AND(Y58="Correctivo",Z58="Automático"),"35%",IF(AND(Y58="Correctivo",Z58="Manual"),"25%",""))))))</f>
        <v/>
      </c>
      <c r="AB58" s="189"/>
      <c r="AC58" s="189"/>
      <c r="AD58" s="189"/>
      <c r="AE58" s="191" t="str">
        <f>IFERROR(IF(AND(X57="Probabilidad",X58="Probabilidad"),(AG57-(+AG57*AA58)),IF(X58="Probabilidad",(P57-(+P57*AA58)),IF(X58="Impacto",AG57,""))),"")</f>
        <v/>
      </c>
      <c r="AF58" s="192" t="str">
        <f t="shared" si="2"/>
        <v/>
      </c>
      <c r="AG58" s="190" t="str">
        <f t="shared" ref="AG58:AG62" si="71">+AE58</f>
        <v/>
      </c>
      <c r="AH58" s="192" t="str">
        <f t="shared" si="4"/>
        <v/>
      </c>
      <c r="AI58" s="190" t="str">
        <f t="shared" ref="AI58" si="72">IFERROR(IF(AND(X57="Impacto",X58="Impacto"),(AI57-(+AI57*AA58)),IF(X58="Impacto",($T$13-(+$T$13*AA58)),IF(X58="Probabilidad",AI57,""))),"")</f>
        <v/>
      </c>
      <c r="AJ58" s="193" t="str">
        <f t="shared" ref="AJ58:AJ59" si="73">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4"/>
      <c r="AL58" s="185"/>
      <c r="AM58" s="195"/>
      <c r="AN58" s="195"/>
      <c r="AO58" s="196"/>
      <c r="AP58" s="327"/>
      <c r="AQ58" s="327"/>
      <c r="AR58" s="327"/>
    </row>
    <row r="59" spans="1:44" ht="37.5" customHeight="1" x14ac:dyDescent="0.2">
      <c r="A59" s="337"/>
      <c r="B59" s="331"/>
      <c r="C59" s="331"/>
      <c r="D59" s="331"/>
      <c r="E59" s="331"/>
      <c r="F59" s="331"/>
      <c r="G59" s="320"/>
      <c r="H59" s="320"/>
      <c r="I59" s="221"/>
      <c r="J59" s="221"/>
      <c r="K59" s="221"/>
      <c r="L59" s="320"/>
      <c r="M59" s="320"/>
      <c r="N59" s="327"/>
      <c r="O59" s="323"/>
      <c r="P59" s="322"/>
      <c r="Q59" s="313"/>
      <c r="R59" s="322">
        <f>IF(NOT(ISERROR(MATCH(Q59,_xlfn.ANCHORARRAY(F70),0))),Q72&amp;"Por favor no seleccionar los criterios de impacto",Q59)</f>
        <v>0</v>
      </c>
      <c r="S59" s="323"/>
      <c r="T59" s="322"/>
      <c r="U59" s="321"/>
      <c r="V59" s="213">
        <v>3</v>
      </c>
      <c r="W59" s="186"/>
      <c r="X59" s="188" t="str">
        <f>IF(OR(Y59="Preventivo",Y59="Detectivo"),"Probabilidad",IF(Y59="Correctivo","Impacto",""))</f>
        <v/>
      </c>
      <c r="Y59" s="189"/>
      <c r="Z59" s="189"/>
      <c r="AA59" s="190" t="str">
        <f t="shared" si="70"/>
        <v/>
      </c>
      <c r="AB59" s="189"/>
      <c r="AC59" s="189"/>
      <c r="AD59" s="189"/>
      <c r="AE59" s="191" t="str">
        <f>IFERROR(IF(AND(X58="Probabilidad",X59="Probabilidad"),(AG58-(+AG58*AA59)),IF(AND(X58="Impacto",X59="Probabilidad"),(AG57-(+AG57*AA59)),IF(X59="Impacto",AG58,""))),"")</f>
        <v/>
      </c>
      <c r="AF59" s="192" t="str">
        <f t="shared" si="2"/>
        <v/>
      </c>
      <c r="AG59" s="190" t="str">
        <f t="shared" si="71"/>
        <v/>
      </c>
      <c r="AH59" s="192" t="str">
        <f t="shared" si="4"/>
        <v/>
      </c>
      <c r="AI59" s="190" t="str">
        <f t="shared" ref="AI59" si="74">IFERROR(IF(AND(X58="Impacto",X59="Impacto"),(AI58-(+AI58*AA59)),IF(AND(X58="Probabilidad",X59="Impacto"),(AI57-(+AI57*AA59)),IF(X59="Probabilidad",AI58,""))),"")</f>
        <v/>
      </c>
      <c r="AJ59" s="193" t="str">
        <f t="shared" si="73"/>
        <v/>
      </c>
      <c r="AK59" s="194"/>
      <c r="AL59" s="185"/>
      <c r="AM59" s="195"/>
      <c r="AN59" s="195"/>
      <c r="AO59" s="196"/>
      <c r="AP59" s="327"/>
      <c r="AQ59" s="327"/>
      <c r="AR59" s="327"/>
    </row>
    <row r="60" spans="1:44" ht="37.5" customHeight="1" x14ac:dyDescent="0.2">
      <c r="A60" s="337"/>
      <c r="B60" s="331"/>
      <c r="C60" s="331"/>
      <c r="D60" s="331"/>
      <c r="E60" s="331"/>
      <c r="F60" s="331"/>
      <c r="G60" s="320"/>
      <c r="H60" s="320"/>
      <c r="I60" s="221"/>
      <c r="J60" s="221"/>
      <c r="K60" s="221"/>
      <c r="L60" s="320"/>
      <c r="M60" s="320"/>
      <c r="N60" s="327"/>
      <c r="O60" s="323"/>
      <c r="P60" s="322"/>
      <c r="Q60" s="313"/>
      <c r="R60" s="322">
        <f>IF(NOT(ISERROR(MATCH(Q60,_xlfn.ANCHORARRAY(F71),0))),Q73&amp;"Por favor no seleccionar los criterios de impacto",Q60)</f>
        <v>0</v>
      </c>
      <c r="S60" s="323"/>
      <c r="T60" s="322"/>
      <c r="U60" s="321"/>
      <c r="V60" s="213">
        <v>4</v>
      </c>
      <c r="W60" s="186"/>
      <c r="X60" s="188" t="str">
        <f t="shared" ref="X60:X62" si="75">IF(OR(Y60="Preventivo",Y60="Detectivo"),"Probabilidad",IF(Y60="Correctivo","Impacto",""))</f>
        <v/>
      </c>
      <c r="Y60" s="189"/>
      <c r="Z60" s="189"/>
      <c r="AA60" s="190" t="str">
        <f t="shared" si="70"/>
        <v/>
      </c>
      <c r="AB60" s="189"/>
      <c r="AC60" s="189"/>
      <c r="AD60" s="189"/>
      <c r="AE60" s="191" t="str">
        <f t="shared" ref="AE60:AE62" si="76">IFERROR(IF(AND(X59="Probabilidad",X60="Probabilidad"),(AG59-(+AG59*AA60)),IF(AND(X59="Impacto",X60="Probabilidad"),(AG58-(+AG58*AA60)),IF(X60="Impacto",AG59,""))),"")</f>
        <v/>
      </c>
      <c r="AF60" s="192" t="str">
        <f t="shared" si="2"/>
        <v/>
      </c>
      <c r="AG60" s="190" t="str">
        <f t="shared" si="71"/>
        <v/>
      </c>
      <c r="AH60" s="192" t="str">
        <f t="shared" si="4"/>
        <v/>
      </c>
      <c r="AI60" s="190" t="str">
        <f t="shared" si="11"/>
        <v/>
      </c>
      <c r="AJ60" s="193" t="str">
        <f>IFERROR(IF(OR(AND(AF60="Muy Baja",AH60="Leve"),AND(AF60="Muy Baja",AH60="Menor"),AND(AF60="Baja",AH60="Leve")),"Bajo",IF(OR(AND(AF60="Muy baja",AH60="Moderado"),AND(AF60="Baja",AH60="Menor"),AND(AF60="Baja",AH60="Moderado"),AND(AF60="Media",AH60="Leve"),AND(AF60="Media",AH60="Menor"),AND(AF60="Media",AH60="Moderado"),AND(AF60="Alta",AH60="Leve"),AND(AF60="Alta",AH60="Menor")),"Moderado",IF(OR(AND(AF60="Muy Baja",AH60="Mayor"),AND(AF60="Baja",AH60="Mayor"),AND(AF60="Media",AH60="Mayor"),AND(AF60="Alta",AH60="Moderado"),AND(AF60="Alta",AH60="Mayor"),AND(AF60="Muy Alta",AH60="Leve"),AND(AF60="Muy Alta",AH60="Menor"),AND(AF60="Muy Alta",AH60="Moderado"),AND(AF60="Muy Alta",AH60="Mayor")),"Alto",IF(OR(AND(AF60="Muy Baja",AH60="Catastrófico"),AND(AF60="Baja",AH60="Catastrófico"),AND(AF60="Media",AH60="Catastrófico"),AND(AF60="Alta",AH60="Catastrófico"),AND(AF60="Muy Alta",AH60="Catastrófico")),"Extremo","")))),"")</f>
        <v/>
      </c>
      <c r="AK60" s="194"/>
      <c r="AL60" s="185"/>
      <c r="AM60" s="195"/>
      <c r="AN60" s="195"/>
      <c r="AO60" s="196"/>
      <c r="AP60" s="327"/>
      <c r="AQ60" s="327"/>
      <c r="AR60" s="327"/>
    </row>
    <row r="61" spans="1:44" ht="37.5" customHeight="1" x14ac:dyDescent="0.2">
      <c r="A61" s="337"/>
      <c r="B61" s="331"/>
      <c r="C61" s="331"/>
      <c r="D61" s="331"/>
      <c r="E61" s="331"/>
      <c r="F61" s="331"/>
      <c r="G61" s="320"/>
      <c r="H61" s="320"/>
      <c r="I61" s="221"/>
      <c r="J61" s="221"/>
      <c r="K61" s="221"/>
      <c r="L61" s="320"/>
      <c r="M61" s="320"/>
      <c r="N61" s="327"/>
      <c r="O61" s="323"/>
      <c r="P61" s="322"/>
      <c r="Q61" s="313"/>
      <c r="R61" s="322">
        <f>IF(NOT(ISERROR(MATCH(Q61,_xlfn.ANCHORARRAY(F72),0))),Q74&amp;"Por favor no seleccionar los criterios de impacto",Q61)</f>
        <v>0</v>
      </c>
      <c r="S61" s="323"/>
      <c r="T61" s="322"/>
      <c r="U61" s="321"/>
      <c r="V61" s="213">
        <v>5</v>
      </c>
      <c r="W61" s="186"/>
      <c r="X61" s="188" t="str">
        <f t="shared" si="75"/>
        <v/>
      </c>
      <c r="Y61" s="189"/>
      <c r="Z61" s="189"/>
      <c r="AA61" s="190" t="str">
        <f t="shared" si="70"/>
        <v/>
      </c>
      <c r="AB61" s="189"/>
      <c r="AC61" s="189"/>
      <c r="AD61" s="189"/>
      <c r="AE61" s="191" t="str">
        <f t="shared" si="76"/>
        <v/>
      </c>
      <c r="AF61" s="192" t="str">
        <f t="shared" si="2"/>
        <v/>
      </c>
      <c r="AG61" s="190" t="str">
        <f t="shared" si="71"/>
        <v/>
      </c>
      <c r="AH61" s="192" t="str">
        <f t="shared" si="4"/>
        <v/>
      </c>
      <c r="AI61" s="190" t="str">
        <f t="shared" si="11"/>
        <v/>
      </c>
      <c r="AJ61" s="193" t="str">
        <f t="shared" ref="AJ61:AJ62" si="77">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4"/>
      <c r="AL61" s="185"/>
      <c r="AM61" s="195"/>
      <c r="AN61" s="195"/>
      <c r="AO61" s="196"/>
      <c r="AP61" s="327"/>
      <c r="AQ61" s="327"/>
      <c r="AR61" s="327"/>
    </row>
    <row r="62" spans="1:44" ht="37.5" customHeight="1" x14ac:dyDescent="0.2">
      <c r="A62" s="337"/>
      <c r="B62" s="331"/>
      <c r="C62" s="331"/>
      <c r="D62" s="331"/>
      <c r="E62" s="331"/>
      <c r="F62" s="331"/>
      <c r="G62" s="325"/>
      <c r="H62" s="325"/>
      <c r="I62" s="222"/>
      <c r="J62" s="222"/>
      <c r="K62" s="222"/>
      <c r="L62" s="325"/>
      <c r="M62" s="325"/>
      <c r="N62" s="327"/>
      <c r="O62" s="323"/>
      <c r="P62" s="322"/>
      <c r="Q62" s="313"/>
      <c r="R62" s="322">
        <f>IF(NOT(ISERROR(MATCH(Q62,_xlfn.ANCHORARRAY(F73),0))),Q75&amp;"Por favor no seleccionar los criterios de impacto",Q62)</f>
        <v>0</v>
      </c>
      <c r="S62" s="323"/>
      <c r="T62" s="322"/>
      <c r="U62" s="321"/>
      <c r="V62" s="213">
        <v>6</v>
      </c>
      <c r="W62" s="186"/>
      <c r="X62" s="188" t="str">
        <f t="shared" si="75"/>
        <v/>
      </c>
      <c r="Y62" s="189"/>
      <c r="Z62" s="189"/>
      <c r="AA62" s="190" t="str">
        <f t="shared" si="70"/>
        <v/>
      </c>
      <c r="AB62" s="189"/>
      <c r="AC62" s="189"/>
      <c r="AD62" s="189"/>
      <c r="AE62" s="191" t="str">
        <f t="shared" si="76"/>
        <v/>
      </c>
      <c r="AF62" s="192" t="str">
        <f t="shared" si="2"/>
        <v/>
      </c>
      <c r="AG62" s="190" t="str">
        <f t="shared" si="71"/>
        <v/>
      </c>
      <c r="AH62" s="192" t="str">
        <f t="shared" si="4"/>
        <v/>
      </c>
      <c r="AI62" s="190" t="str">
        <f t="shared" si="11"/>
        <v/>
      </c>
      <c r="AJ62" s="193" t="str">
        <f t="shared" si="77"/>
        <v/>
      </c>
      <c r="AK62" s="194"/>
      <c r="AL62" s="185"/>
      <c r="AM62" s="195"/>
      <c r="AN62" s="195"/>
      <c r="AO62" s="196"/>
      <c r="AP62" s="327"/>
      <c r="AQ62" s="327"/>
      <c r="AR62" s="327"/>
    </row>
    <row r="63" spans="1:44" ht="37.5" customHeight="1" x14ac:dyDescent="0.2">
      <c r="A63" s="337">
        <v>10</v>
      </c>
      <c r="B63" s="331"/>
      <c r="C63" s="331"/>
      <c r="D63" s="331"/>
      <c r="E63" s="331"/>
      <c r="F63" s="331"/>
      <c r="G63" s="319"/>
      <c r="H63" s="319"/>
      <c r="I63" s="220"/>
      <c r="J63" s="220"/>
      <c r="K63" s="220"/>
      <c r="L63" s="319"/>
      <c r="M63" s="319"/>
      <c r="N63" s="327"/>
      <c r="O63" s="323" t="str">
        <f>IF(N63&lt;=0,"",IF(N63&lt;=2,"Muy Baja",IF(N63&lt;=24,"Baja",IF(N63&lt;=500,"Media",IF(N63&lt;=5000,"Alta","Muy Alta")))))</f>
        <v/>
      </c>
      <c r="P63" s="322" t="str">
        <f>IF(O63="","",IF(O63="Muy Baja",0.2,IF(O63="Baja",0.4,IF(O63="Media",0.6,IF(O63="Alta",0.8,IF(O63="Muy Alta",1,))))))</f>
        <v/>
      </c>
      <c r="Q63" s="313"/>
      <c r="R63" s="322">
        <f>IF(NOT(ISERROR(MATCH(Q63,'Tabla Impacto'!$B$222:$B$224,0))),'Tabla Impacto'!$F$224&amp;"Por favor no seleccionar los criterios de impacto(Afectación Económica o presupuestal y Pérdida Reputacional)",Q63)</f>
        <v>0</v>
      </c>
      <c r="S63" s="323" t="str">
        <f>IF(OR(R63='Tabla Impacto'!$C$12,R63='Tabla Impacto'!$D$12),"Leve",IF(OR(R63='Tabla Impacto'!$C$13,R63='Tabla Impacto'!$D$13),"Menor",IF(OR(R63='Tabla Impacto'!$C$14,R63='Tabla Impacto'!$D$14),"Moderado",IF(OR(R63='Tabla Impacto'!$C$15,R63='Tabla Impacto'!$D$15),"Mayor",IF(OR(R63='Tabla Impacto'!$C$16,R63='Tabla Impacto'!$D$16),"Catastrófico","")))))</f>
        <v/>
      </c>
      <c r="T63" s="322" t="str">
        <f>IF(S63="","",IF(S63="Leve",0.2,IF(S63="Menor",0.4,IF(S63="Moderado",0.6,IF(S63="Mayor",0.8,IF(S63="Catastrófico",1,))))))</f>
        <v/>
      </c>
      <c r="U63" s="321" t="str">
        <f>IF(OR(AND(O63="Muy Baja",S63="Leve"),AND(O63="Muy Baja",S63="Menor"),AND(O63="Baja",S63="Leve")),"Bajo",IF(OR(AND(O63="Muy baja",S63="Moderado"),AND(O63="Baja",S63="Menor"),AND(O63="Baja",S63="Moderado"),AND(O63="Media",S63="Leve"),AND(O63="Media",S63="Menor"),AND(O63="Media",S63="Moderado"),AND(O63="Alta",S63="Leve"),AND(O63="Alta",S63="Menor")),"Moderado",IF(OR(AND(O63="Muy Baja",S63="Mayor"),AND(O63="Baja",S63="Mayor"),AND(O63="Media",S63="Mayor"),AND(O63="Alta",S63="Moderado"),AND(O63="Alta",S63="Mayor"),AND(O63="Muy Alta",S63="Leve"),AND(O63="Muy Alta",S63="Menor"),AND(O63="Muy Alta",S63="Moderado"),AND(O63="Muy Alta",S63="Mayor")),"Alto",IF(OR(AND(O63="Muy Baja",S63="Catastrófico"),AND(O63="Baja",S63="Catastrófico"),AND(O63="Media",S63="Catastrófico"),AND(O63="Alta",S63="Catastrófico"),AND(O63="Muy Alta",S63="Catastrófico")),"Extremo",""))))</f>
        <v/>
      </c>
      <c r="V63" s="213">
        <v>1</v>
      </c>
      <c r="W63" s="186"/>
      <c r="X63" s="188" t="str">
        <f>IF(OR(Y63="Preventivo",Y63="Detectivo"),"Probabilidad",IF(Y63="Correctivo","Impacto",""))</f>
        <v/>
      </c>
      <c r="Y63" s="189"/>
      <c r="Z63" s="189"/>
      <c r="AA63" s="190" t="str">
        <f>IF(AND(Y63="Preventivo",Z63="Automático"),"50%",IF(AND(Y63="Preventivo",Z63="Manual"),"40%",IF(AND(Y63="Detectivo",Z63="Automático"),"40%",IF(AND(Y63="Detectivo",Z63="Manual"),"30%",IF(AND(Y63="Correctivo",Z63="Automático"),"35%",IF(AND(Y63="Correctivo",Z63="Manual"),"25%",""))))))</f>
        <v/>
      </c>
      <c r="AB63" s="189"/>
      <c r="AC63" s="189"/>
      <c r="AD63" s="189"/>
      <c r="AE63" s="191" t="str">
        <f>IFERROR(IF(X63="Probabilidad",(P63-(+P63*AA63)),IF(X63="Impacto",P63,"")),"")</f>
        <v/>
      </c>
      <c r="AF63" s="192" t="str">
        <f>IFERROR(IF(AE63="","",IF(AE63&lt;=0.2,"Muy Baja",IF(AE63&lt;=0.4,"Baja",IF(AE63&lt;=0.6,"Media",IF(AE63&lt;=0.8,"Alta","Muy Alta"))))),"")</f>
        <v/>
      </c>
      <c r="AG63" s="190" t="str">
        <f>+AE63</f>
        <v/>
      </c>
      <c r="AH63" s="192" t="str">
        <f>IFERROR(IF(AI63="","",IF(AI63&lt;=0.2,"Leve",IF(AI63&lt;=0.4,"Menor",IF(AI63&lt;=0.6,"Moderado",IF(AI63&lt;=0.8,"Mayor","Catastrófico"))))),"")</f>
        <v/>
      </c>
      <c r="AI63" s="190" t="str">
        <f t="shared" ref="AI63" si="78">IFERROR(IF(X63="Impacto",(T63-(+T63*AA63)),IF(X63="Probabilidad",T63,"")),"")</f>
        <v/>
      </c>
      <c r="AJ63" s="193" t="str">
        <f>IFERROR(IF(OR(AND(AF63="Muy Baja",AH63="Leve"),AND(AF63="Muy Baja",AH63="Menor"),AND(AF63="Baja",AH63="Leve")),"Bajo",IF(OR(AND(AF63="Muy baja",AH63="Moderado"),AND(AF63="Baja",AH63="Menor"),AND(AF63="Baja",AH63="Moderado"),AND(AF63="Media",AH63="Leve"),AND(AF63="Media",AH63="Menor"),AND(AF63="Media",AH63="Moderado"),AND(AF63="Alta",AH63="Leve"),AND(AF63="Alta",AH63="Menor")),"Moderado",IF(OR(AND(AF63="Muy Baja",AH63="Mayor"),AND(AF63="Baja",AH63="Mayor"),AND(AF63="Media",AH63="Mayor"),AND(AF63="Alta",AH63="Moderado"),AND(AF63="Alta",AH63="Mayor"),AND(AF63="Muy Alta",AH63="Leve"),AND(AF63="Muy Alta",AH63="Menor"),AND(AF63="Muy Alta",AH63="Moderado"),AND(AF63="Muy Alta",AH63="Mayor")),"Alto",IF(OR(AND(AF63="Muy Baja",AH63="Catastrófico"),AND(AF63="Baja",AH63="Catastrófico"),AND(AF63="Media",AH63="Catastrófico"),AND(AF63="Alta",AH63="Catastrófico"),AND(AF63="Muy Alta",AH63="Catastrófico")),"Extremo","")))),"")</f>
        <v/>
      </c>
      <c r="AK63" s="194"/>
      <c r="AL63" s="185"/>
      <c r="AM63" s="195"/>
      <c r="AN63" s="195"/>
      <c r="AO63" s="196"/>
      <c r="AP63" s="327"/>
      <c r="AQ63" s="327"/>
      <c r="AR63" s="327"/>
    </row>
    <row r="64" spans="1:44" ht="37.5" customHeight="1" x14ac:dyDescent="0.2">
      <c r="A64" s="337"/>
      <c r="B64" s="331"/>
      <c r="C64" s="331"/>
      <c r="D64" s="331"/>
      <c r="E64" s="331"/>
      <c r="F64" s="331"/>
      <c r="G64" s="320"/>
      <c r="H64" s="320"/>
      <c r="I64" s="221"/>
      <c r="J64" s="221"/>
      <c r="K64" s="221"/>
      <c r="L64" s="320"/>
      <c r="M64" s="320"/>
      <c r="N64" s="327"/>
      <c r="O64" s="323"/>
      <c r="P64" s="322"/>
      <c r="Q64" s="313"/>
      <c r="R64" s="322">
        <f>IF(NOT(ISERROR(MATCH(Q64,_xlfn.ANCHORARRAY(F75),0))),Q77&amp;"Por favor no seleccionar los criterios de impacto",Q64)</f>
        <v>0</v>
      </c>
      <c r="S64" s="323"/>
      <c r="T64" s="322"/>
      <c r="U64" s="321"/>
      <c r="V64" s="213">
        <v>2</v>
      </c>
      <c r="W64" s="186"/>
      <c r="X64" s="188" t="str">
        <f>IF(OR(Y64="Preventivo",Y64="Detectivo"),"Probabilidad",IF(Y64="Correctivo","Impacto",""))</f>
        <v/>
      </c>
      <c r="Y64" s="189"/>
      <c r="Z64" s="189"/>
      <c r="AA64" s="190" t="str">
        <f t="shared" ref="AA64:AA68" si="79">IF(AND(Y64="Preventivo",Z64="Automático"),"50%",IF(AND(Y64="Preventivo",Z64="Manual"),"40%",IF(AND(Y64="Detectivo",Z64="Automático"),"40%",IF(AND(Y64="Detectivo",Z64="Manual"),"30%",IF(AND(Y64="Correctivo",Z64="Automático"),"35%",IF(AND(Y64="Correctivo",Z64="Manual"),"25%",""))))))</f>
        <v/>
      </c>
      <c r="AB64" s="189"/>
      <c r="AC64" s="189"/>
      <c r="AD64" s="189"/>
      <c r="AE64" s="191" t="str">
        <f>IFERROR(IF(AND(X63="Probabilidad",X64="Probabilidad"),(AG63-(+AG63*AA64)),IF(X64="Probabilidad",(P63-(+P63*AA64)),IF(X64="Impacto",AG63,""))),"")</f>
        <v/>
      </c>
      <c r="AF64" s="192" t="str">
        <f t="shared" si="2"/>
        <v/>
      </c>
      <c r="AG64" s="190" t="str">
        <f t="shared" ref="AG64:AG68" si="80">+AE64</f>
        <v/>
      </c>
      <c r="AH64" s="192" t="str">
        <f t="shared" si="4"/>
        <v/>
      </c>
      <c r="AI64" s="190" t="str">
        <f t="shared" ref="AI64" si="81">IFERROR(IF(AND(X63="Impacto",X64="Impacto"),(AI63-(+AI63*AA64)),IF(X64="Impacto",($T$13-(+$T$13*AA64)),IF(X64="Probabilidad",AI63,""))),"")</f>
        <v/>
      </c>
      <c r="AJ64" s="193" t="str">
        <f t="shared" ref="AJ64:AJ65" si="82">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4"/>
      <c r="AL64" s="185"/>
      <c r="AM64" s="195"/>
      <c r="AN64" s="195"/>
      <c r="AO64" s="196"/>
      <c r="AP64" s="327"/>
      <c r="AQ64" s="327"/>
      <c r="AR64" s="327"/>
    </row>
    <row r="65" spans="1:44" ht="37.5" customHeight="1" x14ac:dyDescent="0.2">
      <c r="A65" s="337"/>
      <c r="B65" s="331"/>
      <c r="C65" s="331"/>
      <c r="D65" s="331"/>
      <c r="E65" s="331"/>
      <c r="F65" s="331"/>
      <c r="G65" s="320"/>
      <c r="H65" s="320"/>
      <c r="I65" s="221"/>
      <c r="J65" s="221"/>
      <c r="K65" s="221"/>
      <c r="L65" s="320"/>
      <c r="M65" s="320"/>
      <c r="N65" s="327"/>
      <c r="O65" s="323"/>
      <c r="P65" s="322"/>
      <c r="Q65" s="313"/>
      <c r="R65" s="322">
        <f>IF(NOT(ISERROR(MATCH(Q65,_xlfn.ANCHORARRAY(F76),0))),Q78&amp;"Por favor no seleccionar los criterios de impacto",Q65)</f>
        <v>0</v>
      </c>
      <c r="S65" s="323"/>
      <c r="T65" s="322"/>
      <c r="U65" s="321"/>
      <c r="V65" s="213">
        <v>3</v>
      </c>
      <c r="W65" s="186"/>
      <c r="X65" s="188" t="str">
        <f>IF(OR(Y65="Preventivo",Y65="Detectivo"),"Probabilidad",IF(Y65="Correctivo","Impacto",""))</f>
        <v/>
      </c>
      <c r="Y65" s="189"/>
      <c r="Z65" s="189"/>
      <c r="AA65" s="190" t="str">
        <f t="shared" si="79"/>
        <v/>
      </c>
      <c r="AB65" s="189"/>
      <c r="AC65" s="189"/>
      <c r="AD65" s="189"/>
      <c r="AE65" s="191" t="str">
        <f>IFERROR(IF(AND(X64="Probabilidad",X65="Probabilidad"),(AG64-(+AG64*AA65)),IF(AND(X64="Impacto",X65="Probabilidad"),(AG63-(+AG63*AA65)),IF(X65="Impacto",AG64,""))),"")</f>
        <v/>
      </c>
      <c r="AF65" s="192" t="str">
        <f t="shared" si="2"/>
        <v/>
      </c>
      <c r="AG65" s="190" t="str">
        <f t="shared" si="80"/>
        <v/>
      </c>
      <c r="AH65" s="192" t="str">
        <f t="shared" si="4"/>
        <v/>
      </c>
      <c r="AI65" s="190" t="str">
        <f t="shared" ref="AI65" si="83">IFERROR(IF(AND(X64="Impacto",X65="Impacto"),(AI64-(+AI64*AA65)),IF(AND(X64="Probabilidad",X65="Impacto"),(AI63-(+AI63*AA65)),IF(X65="Probabilidad",AI64,""))),"")</f>
        <v/>
      </c>
      <c r="AJ65" s="193" t="str">
        <f t="shared" si="82"/>
        <v/>
      </c>
      <c r="AK65" s="194"/>
      <c r="AL65" s="185"/>
      <c r="AM65" s="195"/>
      <c r="AN65" s="195"/>
      <c r="AO65" s="196"/>
      <c r="AP65" s="327"/>
      <c r="AQ65" s="327"/>
      <c r="AR65" s="327"/>
    </row>
    <row r="66" spans="1:44" ht="37.5" customHeight="1" x14ac:dyDescent="0.2">
      <c r="A66" s="337"/>
      <c r="B66" s="331"/>
      <c r="C66" s="331"/>
      <c r="D66" s="331"/>
      <c r="E66" s="331"/>
      <c r="F66" s="331"/>
      <c r="G66" s="320"/>
      <c r="H66" s="320"/>
      <c r="I66" s="221"/>
      <c r="J66" s="221"/>
      <c r="K66" s="221"/>
      <c r="L66" s="320"/>
      <c r="M66" s="320"/>
      <c r="N66" s="327"/>
      <c r="O66" s="323"/>
      <c r="P66" s="322"/>
      <c r="Q66" s="313"/>
      <c r="R66" s="322">
        <f>IF(NOT(ISERROR(MATCH(Q66,_xlfn.ANCHORARRAY(F77),0))),Q79&amp;"Por favor no seleccionar los criterios de impacto",Q66)</f>
        <v>0</v>
      </c>
      <c r="S66" s="323"/>
      <c r="T66" s="322"/>
      <c r="U66" s="321"/>
      <c r="V66" s="213">
        <v>4</v>
      </c>
      <c r="W66" s="186"/>
      <c r="X66" s="188" t="str">
        <f t="shared" ref="X66:X68" si="84">IF(OR(Y66="Preventivo",Y66="Detectivo"),"Probabilidad",IF(Y66="Correctivo","Impacto",""))</f>
        <v/>
      </c>
      <c r="Y66" s="189"/>
      <c r="Z66" s="189"/>
      <c r="AA66" s="190" t="str">
        <f t="shared" si="79"/>
        <v/>
      </c>
      <c r="AB66" s="189"/>
      <c r="AC66" s="189"/>
      <c r="AD66" s="189"/>
      <c r="AE66" s="191" t="str">
        <f t="shared" ref="AE66:AE68" si="85">IFERROR(IF(AND(X65="Probabilidad",X66="Probabilidad"),(AG65-(+AG65*AA66)),IF(AND(X65="Impacto",X66="Probabilidad"),(AG64-(+AG64*AA66)),IF(X66="Impacto",AG65,""))),"")</f>
        <v/>
      </c>
      <c r="AF66" s="192" t="str">
        <f t="shared" si="2"/>
        <v/>
      </c>
      <c r="AG66" s="190" t="str">
        <f t="shared" si="80"/>
        <v/>
      </c>
      <c r="AH66" s="192" t="str">
        <f t="shared" si="4"/>
        <v/>
      </c>
      <c r="AI66" s="190" t="str">
        <f t="shared" si="11"/>
        <v/>
      </c>
      <c r="AJ66" s="193" t="str">
        <f>IFERROR(IF(OR(AND(AF66="Muy Baja",AH66="Leve"),AND(AF66="Muy Baja",AH66="Menor"),AND(AF66="Baja",AH66="Leve")),"Bajo",IF(OR(AND(AF66="Muy baja",AH66="Moderado"),AND(AF66="Baja",AH66="Menor"),AND(AF66="Baja",AH66="Moderado"),AND(AF66="Media",AH66="Leve"),AND(AF66="Media",AH66="Menor"),AND(AF66="Media",AH66="Moderado"),AND(AF66="Alta",AH66="Leve"),AND(AF66="Alta",AH66="Menor")),"Moderado",IF(OR(AND(AF66="Muy Baja",AH66="Mayor"),AND(AF66="Baja",AH66="Mayor"),AND(AF66="Media",AH66="Mayor"),AND(AF66="Alta",AH66="Moderado"),AND(AF66="Alta",AH66="Mayor"),AND(AF66="Muy Alta",AH66="Leve"),AND(AF66="Muy Alta",AH66="Menor"),AND(AF66="Muy Alta",AH66="Moderado"),AND(AF66="Muy Alta",AH66="Mayor")),"Alto",IF(OR(AND(AF66="Muy Baja",AH66="Catastrófico"),AND(AF66="Baja",AH66="Catastrófico"),AND(AF66="Media",AH66="Catastrófico"),AND(AF66="Alta",AH66="Catastrófico"),AND(AF66="Muy Alta",AH66="Catastrófico")),"Extremo","")))),"")</f>
        <v/>
      </c>
      <c r="AK66" s="194"/>
      <c r="AL66" s="185"/>
      <c r="AM66" s="195"/>
      <c r="AN66" s="195"/>
      <c r="AO66" s="196"/>
      <c r="AP66" s="327"/>
      <c r="AQ66" s="327"/>
      <c r="AR66" s="327"/>
    </row>
    <row r="67" spans="1:44" ht="37.5" customHeight="1" x14ac:dyDescent="0.2">
      <c r="A67" s="337"/>
      <c r="B67" s="331"/>
      <c r="C67" s="331"/>
      <c r="D67" s="331"/>
      <c r="E67" s="331"/>
      <c r="F67" s="331"/>
      <c r="G67" s="320"/>
      <c r="H67" s="320"/>
      <c r="I67" s="221"/>
      <c r="J67" s="221"/>
      <c r="K67" s="221"/>
      <c r="L67" s="320"/>
      <c r="M67" s="320"/>
      <c r="N67" s="327"/>
      <c r="O67" s="323"/>
      <c r="P67" s="322"/>
      <c r="Q67" s="313"/>
      <c r="R67" s="322">
        <f>IF(NOT(ISERROR(MATCH(Q67,_xlfn.ANCHORARRAY(F78),0))),Q80&amp;"Por favor no seleccionar los criterios de impacto",Q67)</f>
        <v>0</v>
      </c>
      <c r="S67" s="323"/>
      <c r="T67" s="322"/>
      <c r="U67" s="321"/>
      <c r="V67" s="213">
        <v>5</v>
      </c>
      <c r="W67" s="186"/>
      <c r="X67" s="188" t="str">
        <f t="shared" si="84"/>
        <v/>
      </c>
      <c r="Y67" s="189"/>
      <c r="Z67" s="189"/>
      <c r="AA67" s="190" t="str">
        <f t="shared" si="79"/>
        <v/>
      </c>
      <c r="AB67" s="189"/>
      <c r="AC67" s="189"/>
      <c r="AD67" s="189"/>
      <c r="AE67" s="191" t="str">
        <f t="shared" si="85"/>
        <v/>
      </c>
      <c r="AF67" s="192" t="str">
        <f t="shared" si="2"/>
        <v/>
      </c>
      <c r="AG67" s="190" t="str">
        <f t="shared" si="80"/>
        <v/>
      </c>
      <c r="AH67" s="192" t="str">
        <f t="shared" si="4"/>
        <v/>
      </c>
      <c r="AI67" s="190" t="str">
        <f t="shared" si="11"/>
        <v/>
      </c>
      <c r="AJ67" s="193" t="str">
        <f t="shared" ref="AJ67:AJ68" si="86">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4"/>
      <c r="AL67" s="185"/>
      <c r="AM67" s="195"/>
      <c r="AN67" s="195"/>
      <c r="AO67" s="196"/>
      <c r="AP67" s="327"/>
      <c r="AQ67" s="327"/>
      <c r="AR67" s="327"/>
    </row>
    <row r="68" spans="1:44" ht="37.5" customHeight="1" x14ac:dyDescent="0.2">
      <c r="A68" s="337"/>
      <c r="B68" s="331"/>
      <c r="C68" s="331"/>
      <c r="D68" s="331"/>
      <c r="E68" s="331"/>
      <c r="F68" s="331"/>
      <c r="G68" s="325"/>
      <c r="H68" s="325"/>
      <c r="I68" s="222"/>
      <c r="J68" s="222"/>
      <c r="K68" s="222"/>
      <c r="L68" s="325"/>
      <c r="M68" s="325"/>
      <c r="N68" s="327"/>
      <c r="O68" s="323"/>
      <c r="P68" s="322"/>
      <c r="Q68" s="313"/>
      <c r="R68" s="322">
        <f>IF(NOT(ISERROR(MATCH(Q68,_xlfn.ANCHORARRAY(F79),0))),Q81&amp;"Por favor no seleccionar los criterios de impacto",Q68)</f>
        <v>0</v>
      </c>
      <c r="S68" s="323"/>
      <c r="T68" s="322"/>
      <c r="U68" s="321"/>
      <c r="V68" s="213">
        <v>6</v>
      </c>
      <c r="W68" s="186"/>
      <c r="X68" s="188" t="str">
        <f t="shared" si="84"/>
        <v/>
      </c>
      <c r="Y68" s="189"/>
      <c r="Z68" s="189"/>
      <c r="AA68" s="190" t="str">
        <f t="shared" si="79"/>
        <v/>
      </c>
      <c r="AB68" s="189"/>
      <c r="AC68" s="189"/>
      <c r="AD68" s="189"/>
      <c r="AE68" s="191" t="str">
        <f t="shared" si="85"/>
        <v/>
      </c>
      <c r="AF68" s="192" t="str">
        <f t="shared" si="2"/>
        <v/>
      </c>
      <c r="AG68" s="190" t="str">
        <f t="shared" si="80"/>
        <v/>
      </c>
      <c r="AH68" s="192" t="str">
        <f t="shared" si="4"/>
        <v/>
      </c>
      <c r="AI68" s="190" t="str">
        <f t="shared" si="11"/>
        <v/>
      </c>
      <c r="AJ68" s="193" t="str">
        <f t="shared" si="86"/>
        <v/>
      </c>
      <c r="AK68" s="194"/>
      <c r="AL68" s="185"/>
      <c r="AM68" s="195"/>
      <c r="AN68" s="195"/>
      <c r="AO68" s="196"/>
      <c r="AP68" s="327"/>
      <c r="AQ68" s="327"/>
      <c r="AR68" s="327"/>
    </row>
    <row r="69" spans="1:44" ht="49.5" customHeight="1" x14ac:dyDescent="0.2">
      <c r="A69" s="215"/>
      <c r="B69" s="346" t="s">
        <v>261</v>
      </c>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row>
    <row r="71" spans="1:44" ht="15.75" x14ac:dyDescent="0.2">
      <c r="A71" s="197"/>
      <c r="B71" s="205" t="s">
        <v>262</v>
      </c>
      <c r="C71" s="197"/>
      <c r="D71" s="197"/>
      <c r="E71" s="197"/>
      <c r="N71" s="197"/>
    </row>
  </sheetData>
  <dataConsolidate/>
  <mergeCells count="299">
    <mergeCell ref="A6:B6"/>
    <mergeCell ref="W6:Y6"/>
    <mergeCell ref="Z6:AR6"/>
    <mergeCell ref="A7:B7"/>
    <mergeCell ref="Z7:AR7"/>
    <mergeCell ref="A1:C4"/>
    <mergeCell ref="X1:AR2"/>
    <mergeCell ref="X3:AL3"/>
    <mergeCell ref="AM3:AR3"/>
    <mergeCell ref="X4:AR4"/>
    <mergeCell ref="D1:S2"/>
    <mergeCell ref="D3:I3"/>
    <mergeCell ref="J3:S3"/>
    <mergeCell ref="D4:S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4"/>
    <mergeCell ref="AP13:AP14"/>
    <mergeCell ref="AQ13:AQ14"/>
    <mergeCell ref="AR11:AR12"/>
    <mergeCell ref="A13:A14"/>
    <mergeCell ref="B13:B14"/>
    <mergeCell ref="C13:C14"/>
    <mergeCell ref="D13:D14"/>
    <mergeCell ref="E13:E14"/>
    <mergeCell ref="F13:F14"/>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4"/>
    <mergeCell ref="M13:M14"/>
    <mergeCell ref="N13:N14"/>
    <mergeCell ref="O13:O14"/>
    <mergeCell ref="P13:P14"/>
    <mergeCell ref="Q13:Q14"/>
    <mergeCell ref="R13:R14"/>
    <mergeCell ref="G15:G20"/>
    <mergeCell ref="H15:H20"/>
    <mergeCell ref="I15:I20"/>
    <mergeCell ref="J15:J20"/>
    <mergeCell ref="K15:K20"/>
    <mergeCell ref="L15:L20"/>
    <mergeCell ref="AP15:AP20"/>
    <mergeCell ref="AQ15:AQ20"/>
    <mergeCell ref="AR15:AR20"/>
    <mergeCell ref="G13:G14"/>
    <mergeCell ref="H13:H14"/>
    <mergeCell ref="I13:I14"/>
    <mergeCell ref="J13:J14"/>
    <mergeCell ref="K13:K14"/>
    <mergeCell ref="L13:L14"/>
    <mergeCell ref="S13:S14"/>
    <mergeCell ref="T13:T14"/>
    <mergeCell ref="A15:A20"/>
    <mergeCell ref="B15:B20"/>
    <mergeCell ref="C15:C20"/>
    <mergeCell ref="D15:D20"/>
    <mergeCell ref="E15:E20"/>
    <mergeCell ref="F15:F20"/>
    <mergeCell ref="S15:S20"/>
    <mergeCell ref="T15:T20"/>
    <mergeCell ref="U15:U20"/>
    <mergeCell ref="M15:M20"/>
    <mergeCell ref="N15:N20"/>
    <mergeCell ref="O15:O20"/>
    <mergeCell ref="P15:P20"/>
    <mergeCell ref="Q15:Q20"/>
    <mergeCell ref="R15:R20"/>
    <mergeCell ref="G21:G26"/>
    <mergeCell ref="H21:H26"/>
    <mergeCell ref="I21:I26"/>
    <mergeCell ref="J21:J26"/>
    <mergeCell ref="K21:K26"/>
    <mergeCell ref="L21:L26"/>
    <mergeCell ref="A21:A26"/>
    <mergeCell ref="B21:B26"/>
    <mergeCell ref="C21:C26"/>
    <mergeCell ref="D21:D26"/>
    <mergeCell ref="E21:E26"/>
    <mergeCell ref="F21:F26"/>
    <mergeCell ref="S21:S26"/>
    <mergeCell ref="T21:T26"/>
    <mergeCell ref="U21:U26"/>
    <mergeCell ref="AP21:AP26"/>
    <mergeCell ref="AQ21:AQ26"/>
    <mergeCell ref="AR21:AR26"/>
    <mergeCell ref="M21:M26"/>
    <mergeCell ref="N21:N26"/>
    <mergeCell ref="O21:O26"/>
    <mergeCell ref="P21:P26"/>
    <mergeCell ref="Q21:Q26"/>
    <mergeCell ref="R21:R26"/>
    <mergeCell ref="G27:G32"/>
    <mergeCell ref="H27:H32"/>
    <mergeCell ref="I27:I32"/>
    <mergeCell ref="J27:J32"/>
    <mergeCell ref="K27:K32"/>
    <mergeCell ref="L27:L32"/>
    <mergeCell ref="A27:A32"/>
    <mergeCell ref="B27:B32"/>
    <mergeCell ref="C27:C32"/>
    <mergeCell ref="D27:D32"/>
    <mergeCell ref="E27:E32"/>
    <mergeCell ref="F27:F32"/>
    <mergeCell ref="S27:S32"/>
    <mergeCell ref="T27:T32"/>
    <mergeCell ref="U27:U32"/>
    <mergeCell ref="AP27:AP32"/>
    <mergeCell ref="AQ27:AQ32"/>
    <mergeCell ref="AR27:AR32"/>
    <mergeCell ref="M27:M32"/>
    <mergeCell ref="N27:N32"/>
    <mergeCell ref="O27:O32"/>
    <mergeCell ref="P27:P32"/>
    <mergeCell ref="Q27:Q32"/>
    <mergeCell ref="R27:R32"/>
    <mergeCell ref="G33:G38"/>
    <mergeCell ref="H33:H38"/>
    <mergeCell ref="I33:I38"/>
    <mergeCell ref="J33:J38"/>
    <mergeCell ref="K33:K38"/>
    <mergeCell ref="L33:L38"/>
    <mergeCell ref="A33:A38"/>
    <mergeCell ref="B33:B38"/>
    <mergeCell ref="C33:C38"/>
    <mergeCell ref="D33:D38"/>
    <mergeCell ref="E33:E38"/>
    <mergeCell ref="F33:F38"/>
    <mergeCell ref="S33:S38"/>
    <mergeCell ref="T33:T38"/>
    <mergeCell ref="U33:U38"/>
    <mergeCell ref="AP33:AP38"/>
    <mergeCell ref="AQ33:AQ38"/>
    <mergeCell ref="AR33:AR38"/>
    <mergeCell ref="M33:M38"/>
    <mergeCell ref="N33:N38"/>
    <mergeCell ref="O33:O38"/>
    <mergeCell ref="P33:P38"/>
    <mergeCell ref="Q33:Q38"/>
    <mergeCell ref="R33:R38"/>
    <mergeCell ref="G39:G44"/>
    <mergeCell ref="H39:H44"/>
    <mergeCell ref="I39:I44"/>
    <mergeCell ref="J39:J44"/>
    <mergeCell ref="K39:K44"/>
    <mergeCell ref="L39:L44"/>
    <mergeCell ref="A39:A44"/>
    <mergeCell ref="B39:B44"/>
    <mergeCell ref="C39:C44"/>
    <mergeCell ref="D39:D44"/>
    <mergeCell ref="E39:E44"/>
    <mergeCell ref="F39:F44"/>
    <mergeCell ref="S39:S44"/>
    <mergeCell ref="T39:T44"/>
    <mergeCell ref="U39:U44"/>
    <mergeCell ref="AP39:AP44"/>
    <mergeCell ref="AQ39:AQ44"/>
    <mergeCell ref="AR39:AR44"/>
    <mergeCell ref="M39:M44"/>
    <mergeCell ref="N39:N44"/>
    <mergeCell ref="O39:O44"/>
    <mergeCell ref="P39:P44"/>
    <mergeCell ref="Q39:Q44"/>
    <mergeCell ref="R39:R44"/>
    <mergeCell ref="G45:G50"/>
    <mergeCell ref="H45:H50"/>
    <mergeCell ref="I45:I50"/>
    <mergeCell ref="J45:J50"/>
    <mergeCell ref="K45:K50"/>
    <mergeCell ref="L45:L50"/>
    <mergeCell ref="A45:A50"/>
    <mergeCell ref="B45:B50"/>
    <mergeCell ref="C45:C50"/>
    <mergeCell ref="D45:D50"/>
    <mergeCell ref="E45:E50"/>
    <mergeCell ref="F45:F50"/>
    <mergeCell ref="S45:S50"/>
    <mergeCell ref="T45:T50"/>
    <mergeCell ref="U45:U50"/>
    <mergeCell ref="AP45:AP50"/>
    <mergeCell ref="AQ45:AQ50"/>
    <mergeCell ref="AR45:AR50"/>
    <mergeCell ref="M45:M50"/>
    <mergeCell ref="N45:N50"/>
    <mergeCell ref="O45:O50"/>
    <mergeCell ref="P45:P50"/>
    <mergeCell ref="Q45:Q50"/>
    <mergeCell ref="R45:R50"/>
    <mergeCell ref="G51:G56"/>
    <mergeCell ref="H51:H56"/>
    <mergeCell ref="I51:I56"/>
    <mergeCell ref="J51:J56"/>
    <mergeCell ref="K51:K56"/>
    <mergeCell ref="L51:L56"/>
    <mergeCell ref="A51:A56"/>
    <mergeCell ref="B51:B56"/>
    <mergeCell ref="C51:C56"/>
    <mergeCell ref="D51:D56"/>
    <mergeCell ref="E51:E56"/>
    <mergeCell ref="F51:F56"/>
    <mergeCell ref="T51:T56"/>
    <mergeCell ref="U51:U56"/>
    <mergeCell ref="AP51:AP56"/>
    <mergeCell ref="AQ51:AQ56"/>
    <mergeCell ref="AR51:AR56"/>
    <mergeCell ref="M51:M56"/>
    <mergeCell ref="N51:N56"/>
    <mergeCell ref="O51:O56"/>
    <mergeCell ref="P51:P56"/>
    <mergeCell ref="Q51:Q56"/>
    <mergeCell ref="R51:R56"/>
    <mergeCell ref="A63:A68"/>
    <mergeCell ref="B63:B68"/>
    <mergeCell ref="C63:C68"/>
    <mergeCell ref="D63:D68"/>
    <mergeCell ref="E63:E68"/>
    <mergeCell ref="F63:F68"/>
    <mergeCell ref="G63:G68"/>
    <mergeCell ref="P57:P62"/>
    <mergeCell ref="Q57:Q62"/>
    <mergeCell ref="G57:G62"/>
    <mergeCell ref="H57:H62"/>
    <mergeCell ref="L57:L62"/>
    <mergeCell ref="M57:M62"/>
    <mergeCell ref="N57:N62"/>
    <mergeCell ref="O57:O62"/>
    <mergeCell ref="A57:A62"/>
    <mergeCell ref="B57:B62"/>
    <mergeCell ref="C57:C62"/>
    <mergeCell ref="D57:D62"/>
    <mergeCell ref="E57:E62"/>
    <mergeCell ref="F57:F62"/>
    <mergeCell ref="AQ63:AQ68"/>
    <mergeCell ref="AR63:AR68"/>
    <mergeCell ref="B69:AP69"/>
    <mergeCell ref="L10:M11"/>
    <mergeCell ref="Q63:Q68"/>
    <mergeCell ref="R63:R68"/>
    <mergeCell ref="S63:S68"/>
    <mergeCell ref="T63:T68"/>
    <mergeCell ref="U63:U68"/>
    <mergeCell ref="AP63:AP68"/>
    <mergeCell ref="H63:H68"/>
    <mergeCell ref="L63:L68"/>
    <mergeCell ref="M63:M68"/>
    <mergeCell ref="N63:N68"/>
    <mergeCell ref="O63:O68"/>
    <mergeCell ref="P63:P68"/>
    <mergeCell ref="AP57:AP62"/>
    <mergeCell ref="AQ57:AQ62"/>
    <mergeCell ref="AR57:AR62"/>
    <mergeCell ref="R57:R62"/>
    <mergeCell ref="S57:S62"/>
    <mergeCell ref="T57:T62"/>
    <mergeCell ref="U57:U62"/>
    <mergeCell ref="S51:S56"/>
  </mergeCells>
  <conditionalFormatting sqref="O13 O15">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5 S21 S27 S33 S39 S45 S51 S57 S63">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4">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4">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4">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57">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5">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5:AF20">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5:AH20">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5:AJ20">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1">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1">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1:AF26">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1:AH26">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1:AJ26">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27">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27">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27:AF32">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27:AH32">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27:AJ32">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3">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3">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3:AF38">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3:AH38">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3:AJ38">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39">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39">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39:AF44">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39:AH44">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39:AJ44">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5">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5">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5:AF50">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5:AH50">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5:AJ50">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1">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1:AF56">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1:AH56">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1:AJ56">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57">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57:AF62">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57:AH62">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57:AJ62">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3">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3">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3:AF68">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3:AH68">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3:AJ68">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68">
    <cfRule type="containsText" dxfId="244" priority="6" operator="containsText" text="❌">
      <formula>NOT(ISERROR(SEARCH("❌",R13)))</formula>
    </cfRule>
  </conditionalFormatting>
  <conditionalFormatting sqref="O51">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26"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AA2E5EA3-1692-46F4-901A-D93807733420}">
          <x14:formula1>
            <xm:f>Intructivo!$C$300:$C$316</xm:f>
          </x14:formula1>
          <xm:sqref>U6:V6 C6</xm:sqref>
        </x14:dataValidation>
        <x14:dataValidation type="custom" allowBlank="1" showInputMessage="1" showErrorMessage="1" error="Recuerde que las acciones se generan bajo la medida de mitigar el riesgo" xr:uid="{3A1535EF-A4E0-4446-B8FF-E932552AAE11}">
          <x14:formula1>
            <xm:f>IF(OR(#REF!=Listas!$B$2,#REF!=Listas!$B$3,#REF!=Listas!$B$4),ISBLANK(#REF!),ISTEXT(#REF!))</xm:f>
          </x14:formula1>
          <xm:sqref>AP15:AR15 AP63:AR63 AP57:AR57 AP51:AR51 AP45:AR45 AP39:AR39 AP33:AR33 AP27:AR27 AP21:AR21</xm:sqref>
        </x14:dataValidation>
        <x14:dataValidation type="list" allowBlank="1" showInputMessage="1" showErrorMessage="1" xr:uid="{F658C02B-993D-424E-BB84-44117E492661}">
          <x14:formula1>
            <xm:f>Listas!$H$14:$H$18</xm:f>
          </x14:formula1>
          <xm:sqref>M13:M68</xm:sqref>
        </x14:dataValidation>
        <x14:dataValidation type="list" allowBlank="1" showInputMessage="1" showErrorMessage="1" xr:uid="{40312BE1-7798-450E-AF3E-05C67AC8BF93}">
          <x14:formula1>
            <xm:f>Listas!$H$8:$H$12</xm:f>
          </x14:formula1>
          <xm:sqref>L13:L68</xm:sqref>
        </x14:dataValidation>
        <x14:dataValidation type="list" allowBlank="1" showInputMessage="1" showErrorMessage="1" xr:uid="{03DE59EA-53B5-45A4-8E26-599EB4253647}">
          <x14:formula1>
            <xm:f>Listas!$F$8:$F$9</xm:f>
          </x14:formula1>
          <xm:sqref>G13:G68</xm:sqref>
        </x14:dataValidation>
        <x14:dataValidation type="list" allowBlank="1" showInputMessage="1" showErrorMessage="1" xr:uid="{4606DDEB-9F54-40BD-9BAC-47E32FED934C}">
          <x14:formula1>
            <xm:f>Listas!$B$17:$B$19</xm:f>
          </x14:formula1>
          <xm:sqref>F13:F68</xm:sqref>
        </x14:dataValidation>
        <x14:dataValidation type="custom" allowBlank="1" showInputMessage="1" showErrorMessage="1" error="Recuerde que las acciones se generan bajo la medida de mitigar el riesgo" xr:uid="{AA9175A0-CB05-4998-B8F8-10A451EF5F1C}">
          <x14:formula1>
            <xm:f>IF(OR(AK13=Listas!$B$2,AK13=Listas!$B$3,AK13=Listas!$B$4),ISBLANK(AK13),ISTEXT(AK13))</xm:f>
          </x14:formula1>
          <xm:sqref>AO13:AO68</xm:sqref>
        </x14:dataValidation>
        <x14:dataValidation type="custom" allowBlank="1" showInputMessage="1" showErrorMessage="1" error="Recuerde que las acciones se generan bajo la medida de mitigar el riesgo" xr:uid="{48EDACE9-40D2-48FB-8B67-F9268CF4FC6E}">
          <x14:formula1>
            <xm:f>IF(OR(AK13=Listas!$B$2,AK13=Listas!$B$3,AK13=Listas!$B$4),ISBLANK(AK13),ISTEXT(AK13))</xm:f>
          </x14:formula1>
          <xm:sqref>AM13:AN68</xm:sqref>
        </x14:dataValidation>
        <x14:dataValidation type="custom" allowBlank="1" showInputMessage="1" showErrorMessage="1" error="Recuerde que las acciones se generan bajo la medida de mitigar el riesgo" xr:uid="{6A45456E-39EC-4679-A0FE-E15BB6BF45C3}">
          <x14:formula1>
            <xm:f>IF(OR(AK13=Listas!$B$2,AK13=Listas!$B$3,AK13=Listas!$B$4),ISBLANK(AK13),ISTEXT(AK13))</xm:f>
          </x14:formula1>
          <xm:sqref>AL13:AL68</xm:sqref>
        </x14:dataValidation>
        <x14:dataValidation type="list" allowBlank="1" showInputMessage="1" showErrorMessage="1" xr:uid="{BA3C577B-DF51-41B8-800C-3C49B635B328}">
          <x14:formula1>
            <xm:f>Listas!$B$2:$B$5</xm:f>
          </x14:formula1>
          <xm:sqref>AK13:AK68</xm:sqref>
        </x14:dataValidation>
        <x14:dataValidation type="list" allowBlank="1" showInputMessage="1" showErrorMessage="1" xr:uid="{A7E97360-E878-482D-944B-FEFCE41EF2DD}">
          <x14:formula1>
            <xm:f>Listas!$E$2:$E$4</xm:f>
          </x14:formula1>
          <xm:sqref>B13:B68</xm:sqref>
        </x14:dataValidation>
        <x14:dataValidation type="list" allowBlank="1" showInputMessage="1" showErrorMessage="1" xr:uid="{81C7FE65-3E9A-49D2-8D53-7625D18167FA}">
          <x14:formula1>
            <xm:f>'Tabla Valoración controles'!$D$13:$D$14</xm:f>
          </x14:formula1>
          <xm:sqref>AD13:AD68</xm:sqref>
        </x14:dataValidation>
        <x14:dataValidation type="list" allowBlank="1" showInputMessage="1" showErrorMessage="1" xr:uid="{75D2C17F-7073-40C7-BC59-5A01C7A822CF}">
          <x14:formula1>
            <xm:f>'Tabla Valoración controles'!$D$11:$D$12</xm:f>
          </x14:formula1>
          <xm:sqref>AC13:AC68</xm:sqref>
        </x14:dataValidation>
        <x14:dataValidation type="list" allowBlank="1" showInputMessage="1" showErrorMessage="1" xr:uid="{015BB405-A86D-4571-9891-19202338A1E6}">
          <x14:formula1>
            <xm:f>'Tabla Valoración controles'!$D$9:$D$10</xm:f>
          </x14:formula1>
          <xm:sqref>AB13:AB68</xm:sqref>
        </x14:dataValidation>
        <x14:dataValidation type="list" allowBlank="1" showInputMessage="1" showErrorMessage="1" xr:uid="{64B71EBA-5AD1-4DF5-9300-D6F7874916B7}">
          <x14:formula1>
            <xm:f>'Tabla Valoración controles'!$D$7:$D$8</xm:f>
          </x14:formula1>
          <xm:sqref>Z13:Z68</xm:sqref>
        </x14:dataValidation>
        <x14:dataValidation type="list" allowBlank="1" showInputMessage="1" showErrorMessage="1" xr:uid="{EBBABF09-1E74-4DDE-947E-E544CB741FC0}">
          <x14:formula1>
            <xm:f>'Tabla Valoración controles'!$D$4:$D$6</xm:f>
          </x14:formula1>
          <xm:sqref>Y13:Y68</xm:sqref>
        </x14:dataValidation>
        <x14:dataValidation type="list" allowBlank="1" showInputMessage="1" showErrorMessage="1" xr:uid="{D541873E-5750-49B0-B960-2521B212E76B}">
          <x14:formula1>
            <xm:f>'Tabla Impacto'!$F$220:$F$222</xm:f>
          </x14:formula1>
          <xm:sqref>Q13:Q68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9"/>
  <sheetViews>
    <sheetView topLeftCell="A11" zoomScaleNormal="100" zoomScaleSheetLayoutView="90" workbookViewId="0">
      <selection activeCell="I9" sqref="I9"/>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39" t="s">
        <v>282</v>
      </c>
      <c r="C2" s="540"/>
      <c r="D2" s="540"/>
      <c r="E2" s="540"/>
      <c r="F2" s="541"/>
    </row>
    <row r="3" spans="2:6" ht="31.9" customHeight="1" x14ac:dyDescent="0.25">
      <c r="B3" s="542" t="s">
        <v>283</v>
      </c>
      <c r="C3" s="544" t="s">
        <v>284</v>
      </c>
      <c r="D3" s="544"/>
      <c r="E3" s="544" t="s">
        <v>285</v>
      </c>
      <c r="F3" s="546"/>
    </row>
    <row r="4" spans="2:6" ht="28.15" customHeight="1" thickBot="1" x14ac:dyDescent="0.3">
      <c r="B4" s="543"/>
      <c r="C4" s="545"/>
      <c r="D4" s="545"/>
      <c r="E4" s="157" t="s">
        <v>286</v>
      </c>
      <c r="F4" s="158" t="s">
        <v>287</v>
      </c>
    </row>
    <row r="5" spans="2:6" ht="23.25" customHeight="1" x14ac:dyDescent="0.25">
      <c r="B5" s="149">
        <v>1</v>
      </c>
      <c r="C5" s="547" t="s">
        <v>288</v>
      </c>
      <c r="D5" s="547"/>
      <c r="E5" s="177"/>
      <c r="F5" s="178" t="s">
        <v>459</v>
      </c>
    </row>
    <row r="6" spans="2:6" ht="33" customHeight="1" x14ac:dyDescent="0.25">
      <c r="B6" s="150">
        <v>2</v>
      </c>
      <c r="C6" s="538" t="s">
        <v>289</v>
      </c>
      <c r="D6" s="538"/>
      <c r="E6" s="179"/>
      <c r="F6" s="180" t="s">
        <v>459</v>
      </c>
    </row>
    <row r="7" spans="2:6" ht="39" customHeight="1" x14ac:dyDescent="0.25">
      <c r="B7" s="150">
        <v>3</v>
      </c>
      <c r="C7" s="538" t="s">
        <v>290</v>
      </c>
      <c r="D7" s="538"/>
      <c r="E7" s="179"/>
      <c r="F7" s="180" t="s">
        <v>459</v>
      </c>
    </row>
    <row r="8" spans="2:6" ht="24.75" customHeight="1" x14ac:dyDescent="0.25">
      <c r="B8" s="150">
        <v>4</v>
      </c>
      <c r="C8" s="538" t="s">
        <v>291</v>
      </c>
      <c r="D8" s="538"/>
      <c r="E8" s="179"/>
      <c r="F8" s="180" t="s">
        <v>459</v>
      </c>
    </row>
    <row r="9" spans="2:6" ht="23.25" customHeight="1" x14ac:dyDescent="0.25">
      <c r="B9" s="150">
        <v>5</v>
      </c>
      <c r="C9" s="538" t="s">
        <v>292</v>
      </c>
      <c r="D9" s="538"/>
      <c r="E9" s="179" t="s">
        <v>459</v>
      </c>
      <c r="F9" s="180"/>
    </row>
    <row r="10" spans="2:6" ht="23.25" customHeight="1" x14ac:dyDescent="0.25">
      <c r="B10" s="150">
        <v>6</v>
      </c>
      <c r="C10" s="538" t="s">
        <v>293</v>
      </c>
      <c r="D10" s="538"/>
      <c r="E10" s="179"/>
      <c r="F10" s="180" t="s">
        <v>459</v>
      </c>
    </row>
    <row r="11" spans="2:6" ht="23.25" customHeight="1" x14ac:dyDescent="0.25">
      <c r="B11" s="150">
        <v>7</v>
      </c>
      <c r="C11" s="538" t="s">
        <v>294</v>
      </c>
      <c r="D11" s="538"/>
      <c r="E11" s="179"/>
      <c r="F11" s="180" t="s">
        <v>459</v>
      </c>
    </row>
    <row r="12" spans="2:6" ht="25.5" customHeight="1" x14ac:dyDescent="0.25">
      <c r="B12" s="150">
        <v>8</v>
      </c>
      <c r="C12" s="538" t="s">
        <v>295</v>
      </c>
      <c r="D12" s="538"/>
      <c r="E12" s="151"/>
      <c r="F12" s="180" t="s">
        <v>459</v>
      </c>
    </row>
    <row r="13" spans="2:6" ht="23.25" customHeight="1" x14ac:dyDescent="0.25">
      <c r="B13" s="150">
        <v>9</v>
      </c>
      <c r="C13" s="538" t="s">
        <v>296</v>
      </c>
      <c r="D13" s="538"/>
      <c r="E13" s="151"/>
      <c r="F13" s="180" t="s">
        <v>459</v>
      </c>
    </row>
    <row r="14" spans="2:6" ht="23.25" customHeight="1" x14ac:dyDescent="0.25">
      <c r="B14" s="150">
        <v>10</v>
      </c>
      <c r="C14" s="538" t="s">
        <v>297</v>
      </c>
      <c r="D14" s="538"/>
      <c r="E14" s="179" t="s">
        <v>459</v>
      </c>
      <c r="F14" s="180"/>
    </row>
    <row r="15" spans="2:6" ht="23.25" customHeight="1" x14ac:dyDescent="0.25">
      <c r="B15" s="150">
        <v>11</v>
      </c>
      <c r="C15" s="538" t="s">
        <v>298</v>
      </c>
      <c r="D15" s="538"/>
      <c r="E15" s="179" t="s">
        <v>459</v>
      </c>
      <c r="F15" s="180"/>
    </row>
    <row r="16" spans="2:6" ht="23.25" customHeight="1" x14ac:dyDescent="0.25">
      <c r="B16" s="150">
        <v>12</v>
      </c>
      <c r="C16" s="538" t="s">
        <v>299</v>
      </c>
      <c r="D16" s="538"/>
      <c r="E16" s="179" t="s">
        <v>459</v>
      </c>
      <c r="F16" s="180"/>
    </row>
    <row r="17" spans="2:6" ht="23.25" customHeight="1" x14ac:dyDescent="0.25">
      <c r="B17" s="150">
        <v>13</v>
      </c>
      <c r="C17" s="538" t="s">
        <v>300</v>
      </c>
      <c r="D17" s="538"/>
      <c r="E17" s="179"/>
      <c r="F17" s="180" t="s">
        <v>459</v>
      </c>
    </row>
    <row r="18" spans="2:6" ht="23.25" customHeight="1" x14ac:dyDescent="0.25">
      <c r="B18" s="150">
        <v>14</v>
      </c>
      <c r="C18" s="538" t="s">
        <v>301</v>
      </c>
      <c r="D18" s="538"/>
      <c r="E18" s="179" t="s">
        <v>459</v>
      </c>
      <c r="F18" s="180"/>
    </row>
    <row r="19" spans="2:6" ht="23.25" customHeight="1" x14ac:dyDescent="0.25">
      <c r="B19" s="150">
        <v>15</v>
      </c>
      <c r="C19" s="538" t="s">
        <v>302</v>
      </c>
      <c r="D19" s="538"/>
      <c r="E19" s="151"/>
      <c r="F19" s="180" t="s">
        <v>459</v>
      </c>
    </row>
    <row r="20" spans="2:6" ht="23.25" customHeight="1" x14ac:dyDescent="0.25">
      <c r="B20" s="150">
        <v>16</v>
      </c>
      <c r="C20" s="538" t="s">
        <v>303</v>
      </c>
      <c r="D20" s="538"/>
      <c r="E20" s="151"/>
      <c r="F20" s="180" t="s">
        <v>459</v>
      </c>
    </row>
    <row r="21" spans="2:6" ht="23.25" customHeight="1" x14ac:dyDescent="0.25">
      <c r="B21" s="150">
        <v>17</v>
      </c>
      <c r="C21" s="538" t="s">
        <v>304</v>
      </c>
      <c r="D21" s="538"/>
      <c r="E21" s="151"/>
      <c r="F21" s="180" t="s">
        <v>459</v>
      </c>
    </row>
    <row r="22" spans="2:6" ht="23.25" customHeight="1" x14ac:dyDescent="0.25">
      <c r="B22" s="150">
        <v>18</v>
      </c>
      <c r="C22" s="552" t="s">
        <v>305</v>
      </c>
      <c r="D22" s="552"/>
      <c r="E22" s="151"/>
      <c r="F22" s="180" t="s">
        <v>459</v>
      </c>
    </row>
    <row r="23" spans="2:6" ht="23.25" customHeight="1" thickBot="1" x14ac:dyDescent="0.3">
      <c r="B23" s="150">
        <v>19</v>
      </c>
      <c r="C23" s="538" t="s">
        <v>306</v>
      </c>
      <c r="D23" s="538"/>
      <c r="E23" s="151"/>
      <c r="F23" s="180" t="s">
        <v>459</v>
      </c>
    </row>
    <row r="24" spans="2:6" ht="15.75" customHeight="1" thickBot="1" x14ac:dyDescent="0.3">
      <c r="B24" s="553" t="s">
        <v>307</v>
      </c>
      <c r="C24" s="548"/>
      <c r="D24" s="548"/>
      <c r="E24" s="548">
        <f>COUNTIF(E5:E23,"X")</f>
        <v>5</v>
      </c>
      <c r="F24" s="549"/>
    </row>
    <row r="25" spans="2:6" ht="45.75" customHeight="1" x14ac:dyDescent="0.25">
      <c r="B25" s="550" t="s">
        <v>308</v>
      </c>
      <c r="C25" s="550"/>
      <c r="D25" s="550"/>
      <c r="E25" s="550"/>
      <c r="F25" s="550"/>
    </row>
    <row r="26" spans="2:6" ht="9.75" customHeight="1" x14ac:dyDescent="0.25">
      <c r="B26" s="551"/>
      <c r="C26" s="551"/>
      <c r="D26" s="551"/>
      <c r="E26" s="551"/>
      <c r="F26" s="551"/>
    </row>
    <row r="27" spans="2:6" x14ac:dyDescent="0.25">
      <c r="B27" s="246"/>
    </row>
    <row r="28" spans="2:6" x14ac:dyDescent="0.25">
      <c r="B28" s="246"/>
    </row>
    <row r="29" spans="2:6" x14ac:dyDescent="0.25">
      <c r="B29" s="246"/>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BA93570D-29C7-4783-AE4A-8AF34B3C4F28}">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1E0E-4360-4EE4-8FCE-3C26F04C9F2C}">
  <sheetPr>
    <tabColor rgb="FF002060"/>
  </sheetPr>
  <dimension ref="A1:JP71"/>
  <sheetViews>
    <sheetView topLeftCell="P4" zoomScale="40" zoomScaleNormal="40" zoomScaleSheetLayoutView="50" zoomScalePageLayoutView="60" workbookViewId="0">
      <selection activeCell="S9" sqref="S9"/>
    </sheetView>
  </sheetViews>
  <sheetFormatPr baseColWidth="10" defaultColWidth="11.42578125" defaultRowHeight="15" x14ac:dyDescent="0.2"/>
  <cols>
    <col min="1" max="1" width="6.5703125" style="217" customWidth="1"/>
    <col min="2" max="2" width="16" style="217" customWidth="1"/>
    <col min="3" max="3" width="19.140625" style="217" customWidth="1"/>
    <col min="4" max="4" width="25.28515625" style="217" customWidth="1"/>
    <col min="5" max="5" width="40.140625" style="217" customWidth="1"/>
    <col min="6" max="10" width="17.7109375" style="197" customWidth="1"/>
    <col min="11" max="11" width="16" style="197" customWidth="1"/>
    <col min="12" max="12" width="24.28515625" style="197" customWidth="1"/>
    <col min="13" max="14" width="29.42578125" style="197" customWidth="1"/>
    <col min="15" max="15" width="24.28515625" style="197" customWidth="1"/>
    <col min="16" max="16" width="19.42578125" style="197" customWidth="1"/>
    <col min="17" max="17" width="20.5703125" style="197" customWidth="1"/>
    <col min="18" max="18" width="16.7109375" style="218" customWidth="1"/>
    <col min="19" max="19" width="16.7109375" style="197" customWidth="1"/>
    <col min="20" max="20" width="20.42578125" style="197" customWidth="1"/>
    <col min="21" max="21" width="12.85546875" style="197" customWidth="1"/>
    <col min="22" max="22" width="35.85546875" style="197" customWidth="1"/>
    <col min="23" max="23" width="30.5703125" style="197" customWidth="1"/>
    <col min="24" max="24" width="17.5703125" style="197" customWidth="1"/>
    <col min="25" max="25" width="15" style="197" customWidth="1"/>
    <col min="26" max="26" width="16" style="197" customWidth="1"/>
    <col min="27" max="27" width="51.5703125" style="197" customWidth="1"/>
    <col min="28" max="28" width="26.85546875" style="197" customWidth="1"/>
    <col min="29" max="29" width="5.85546875" style="197" customWidth="1"/>
    <col min="30" max="30" width="6.85546875" style="197" customWidth="1"/>
    <col min="31" max="31" width="5" style="197" customWidth="1"/>
    <col min="32" max="32" width="5.5703125" style="197" customWidth="1"/>
    <col min="33" max="33" width="7.140625" style="197" customWidth="1"/>
    <col min="34" max="34" width="6.7109375" style="197" customWidth="1"/>
    <col min="35" max="35" width="7.5703125" style="197" hidden="1" customWidth="1"/>
    <col min="36" max="36" width="8.5703125" style="197" customWidth="1"/>
    <col min="37" max="41" width="10.85546875" style="197" customWidth="1"/>
    <col min="42" max="42" width="10.85546875" style="216" customWidth="1"/>
    <col min="43" max="43" width="23" style="197" customWidth="1"/>
    <col min="44" max="44" width="18.85546875" style="197" customWidth="1"/>
    <col min="45" max="45" width="21.5703125" style="197" customWidth="1"/>
    <col min="46" max="46" width="22.42578125" style="197" customWidth="1"/>
    <col min="47" max="47" width="16.42578125" style="197" customWidth="1"/>
    <col min="48" max="48" width="20.5703125" style="197" customWidth="1"/>
    <col min="49" max="16384" width="11.42578125" style="197"/>
  </cols>
  <sheetData>
    <row r="1" spans="1:276" s="200" customFormat="1" ht="24" customHeight="1" x14ac:dyDescent="0.3">
      <c r="A1" s="376"/>
      <c r="B1" s="377"/>
      <c r="C1" s="522"/>
      <c r="D1" s="568" t="s">
        <v>208</v>
      </c>
      <c r="E1" s="568"/>
      <c r="F1" s="569"/>
      <c r="G1" s="569"/>
      <c r="H1" s="569"/>
      <c r="I1" s="569"/>
      <c r="J1" s="569"/>
      <c r="K1" s="569"/>
      <c r="L1" s="569"/>
      <c r="M1" s="569"/>
      <c r="N1" s="569"/>
      <c r="O1" s="569"/>
      <c r="P1" s="569"/>
      <c r="Q1" s="569"/>
      <c r="R1" s="569"/>
      <c r="S1" s="569"/>
      <c r="T1" s="569"/>
      <c r="U1" s="569"/>
      <c r="V1" s="569"/>
      <c r="W1" s="569"/>
      <c r="X1" s="569"/>
      <c r="Y1" s="569"/>
      <c r="Z1" s="570"/>
      <c r="AA1" s="252"/>
      <c r="AB1" s="349"/>
      <c r="AC1" s="349"/>
      <c r="AD1" s="349"/>
      <c r="AE1" s="349"/>
      <c r="AF1" s="349"/>
      <c r="AG1" s="349"/>
      <c r="AH1" s="349"/>
      <c r="AI1" s="349"/>
      <c r="AJ1" s="349"/>
      <c r="AK1" s="349"/>
      <c r="AL1" s="349"/>
      <c r="AM1" s="349"/>
      <c r="AN1" s="349"/>
      <c r="AO1" s="349"/>
      <c r="AP1" s="349"/>
      <c r="AQ1" s="349"/>
      <c r="AR1" s="349"/>
      <c r="AS1" s="349"/>
      <c r="AT1" s="349"/>
      <c r="AU1" s="349"/>
      <c r="AV1" s="34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row>
    <row r="2" spans="1:276" s="200" customFormat="1" ht="24" customHeight="1" thickBot="1" x14ac:dyDescent="0.35">
      <c r="A2" s="379"/>
      <c r="B2" s="380"/>
      <c r="C2" s="523"/>
      <c r="D2" s="571"/>
      <c r="E2" s="571"/>
      <c r="F2" s="572"/>
      <c r="G2" s="572"/>
      <c r="H2" s="572"/>
      <c r="I2" s="572"/>
      <c r="J2" s="572"/>
      <c r="K2" s="572"/>
      <c r="L2" s="572"/>
      <c r="M2" s="572"/>
      <c r="N2" s="572"/>
      <c r="O2" s="572"/>
      <c r="P2" s="572"/>
      <c r="Q2" s="572"/>
      <c r="R2" s="572"/>
      <c r="S2" s="572"/>
      <c r="T2" s="572"/>
      <c r="U2" s="572"/>
      <c r="V2" s="572"/>
      <c r="W2" s="572"/>
      <c r="X2" s="572"/>
      <c r="Y2" s="572"/>
      <c r="Z2" s="573"/>
      <c r="AA2" s="252"/>
      <c r="AB2" s="349"/>
      <c r="AC2" s="349"/>
      <c r="AD2" s="349"/>
      <c r="AE2" s="349"/>
      <c r="AF2" s="349"/>
      <c r="AG2" s="349"/>
      <c r="AH2" s="349"/>
      <c r="AI2" s="349"/>
      <c r="AJ2" s="349"/>
      <c r="AK2" s="349"/>
      <c r="AL2" s="349"/>
      <c r="AM2" s="349"/>
      <c r="AN2" s="349"/>
      <c r="AO2" s="349"/>
      <c r="AP2" s="349"/>
      <c r="AQ2" s="349"/>
      <c r="AR2" s="349"/>
      <c r="AS2" s="349"/>
      <c r="AT2" s="349"/>
      <c r="AU2" s="349"/>
      <c r="AV2" s="34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row>
    <row r="3" spans="1:276" s="200" customFormat="1" ht="24" customHeight="1" x14ac:dyDescent="0.3">
      <c r="A3" s="379"/>
      <c r="B3" s="380"/>
      <c r="C3" s="523"/>
      <c r="D3" s="574" t="s">
        <v>209</v>
      </c>
      <c r="E3" s="574"/>
      <c r="F3" s="575"/>
      <c r="G3" s="575"/>
      <c r="H3" s="575"/>
      <c r="I3" s="575"/>
      <c r="J3" s="575"/>
      <c r="K3" s="575"/>
      <c r="L3" s="575"/>
      <c r="M3" s="575"/>
      <c r="N3" s="575"/>
      <c r="O3" s="575"/>
      <c r="P3" s="575"/>
      <c r="Q3" s="575"/>
      <c r="R3" s="575"/>
      <c r="S3" s="575" t="s">
        <v>210</v>
      </c>
      <c r="T3" s="575"/>
      <c r="U3" s="575"/>
      <c r="V3" s="575"/>
      <c r="W3" s="575"/>
      <c r="X3" s="575"/>
      <c r="Y3" s="575"/>
      <c r="Z3" s="576"/>
      <c r="AA3" s="252"/>
      <c r="AB3" s="350"/>
      <c r="AC3" s="350"/>
      <c r="AD3" s="350"/>
      <c r="AE3" s="350"/>
      <c r="AF3" s="350"/>
      <c r="AG3" s="350"/>
      <c r="AH3" s="350"/>
      <c r="AI3" s="350"/>
      <c r="AJ3" s="350"/>
      <c r="AK3" s="350"/>
      <c r="AL3" s="350"/>
      <c r="AM3" s="350"/>
      <c r="AN3" s="350"/>
      <c r="AO3" s="350"/>
      <c r="AP3" s="350"/>
      <c r="AQ3" s="350"/>
      <c r="AR3" s="350"/>
      <c r="AS3" s="350"/>
      <c r="AT3" s="350"/>
      <c r="AU3" s="350"/>
      <c r="AV3" s="350"/>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row>
    <row r="4" spans="1:276" s="200" customFormat="1" ht="24" customHeight="1" thickBot="1" x14ac:dyDescent="0.35">
      <c r="A4" s="382"/>
      <c r="B4" s="383"/>
      <c r="C4" s="524"/>
      <c r="D4" s="537" t="s">
        <v>422</v>
      </c>
      <c r="E4" s="537"/>
      <c r="F4" s="577"/>
      <c r="G4" s="577"/>
      <c r="H4" s="577"/>
      <c r="I4" s="577"/>
      <c r="J4" s="577"/>
      <c r="K4" s="577"/>
      <c r="L4" s="577"/>
      <c r="M4" s="577"/>
      <c r="N4" s="577"/>
      <c r="O4" s="577"/>
      <c r="P4" s="577"/>
      <c r="Q4" s="577"/>
      <c r="R4" s="577"/>
      <c r="S4" s="577"/>
      <c r="T4" s="577"/>
      <c r="U4" s="577"/>
      <c r="V4" s="577"/>
      <c r="W4" s="577"/>
      <c r="X4" s="577"/>
      <c r="Y4" s="577"/>
      <c r="Z4" s="578"/>
      <c r="AA4" s="252"/>
      <c r="AB4" s="350"/>
      <c r="AC4" s="350"/>
      <c r="AD4" s="350"/>
      <c r="AE4" s="350"/>
      <c r="AF4" s="350"/>
      <c r="AG4" s="350"/>
      <c r="AH4" s="350"/>
      <c r="AI4" s="350"/>
      <c r="AJ4" s="350"/>
      <c r="AK4" s="350"/>
      <c r="AL4" s="350"/>
      <c r="AM4" s="350"/>
      <c r="AN4" s="350"/>
      <c r="AO4" s="350"/>
      <c r="AP4" s="350"/>
      <c r="AQ4" s="350"/>
      <c r="AR4" s="350"/>
      <c r="AS4" s="350"/>
      <c r="AT4" s="350"/>
      <c r="AU4" s="350"/>
      <c r="AV4" s="350"/>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row>
    <row r="5" spans="1:276" ht="15.75" thickBot="1" x14ac:dyDescent="0.25">
      <c r="A5" s="201"/>
      <c r="B5" s="202"/>
      <c r="C5" s="201"/>
      <c r="D5" s="201"/>
      <c r="E5" s="201"/>
      <c r="F5" s="203"/>
      <c r="G5" s="203"/>
      <c r="H5" s="203"/>
      <c r="I5" s="203"/>
      <c r="J5" s="203"/>
      <c r="K5" s="203"/>
      <c r="L5" s="203"/>
      <c r="M5" s="203"/>
      <c r="N5" s="203"/>
      <c r="O5" s="203"/>
      <c r="P5" s="203"/>
      <c r="Q5" s="203"/>
      <c r="R5" s="204"/>
      <c r="S5" s="203"/>
      <c r="T5" s="203"/>
      <c r="U5" s="203"/>
      <c r="V5" s="203"/>
      <c r="W5" s="203"/>
      <c r="X5" s="203"/>
      <c r="Y5" s="203"/>
      <c r="Z5" s="203"/>
      <c r="AA5" s="203"/>
      <c r="AB5" s="203"/>
      <c r="AC5" s="203"/>
      <c r="AD5" s="203"/>
      <c r="AE5" s="203"/>
      <c r="AF5" s="203"/>
      <c r="AG5" s="203"/>
      <c r="AH5" s="203"/>
      <c r="AI5" s="203"/>
      <c r="AJ5" s="203"/>
      <c r="AK5" s="203"/>
      <c r="AL5" s="203"/>
      <c r="AM5" s="203"/>
      <c r="AN5" s="203"/>
      <c r="AO5" s="203"/>
      <c r="AP5" s="254"/>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row>
    <row r="6" spans="1:276" ht="27.75" customHeight="1" x14ac:dyDescent="0.2">
      <c r="A6" s="351" t="s">
        <v>211</v>
      </c>
      <c r="B6" s="352"/>
      <c r="C6" s="562" t="s">
        <v>87</v>
      </c>
      <c r="D6" s="563"/>
      <c r="E6" s="563"/>
      <c r="F6" s="563"/>
      <c r="G6" s="563"/>
      <c r="H6" s="563"/>
      <c r="I6" s="563"/>
      <c r="J6" s="563"/>
      <c r="K6" s="563"/>
      <c r="L6" s="563"/>
      <c r="M6" s="563"/>
      <c r="N6" s="563"/>
      <c r="O6" s="563"/>
      <c r="P6" s="563"/>
      <c r="Q6" s="563"/>
      <c r="R6" s="563"/>
      <c r="S6" s="563"/>
      <c r="T6" s="563"/>
      <c r="U6" s="563"/>
      <c r="V6" s="563"/>
      <c r="W6" s="563"/>
      <c r="X6" s="563"/>
      <c r="Y6" s="563"/>
      <c r="Z6" s="564"/>
      <c r="AA6" s="357"/>
      <c r="AB6" s="357"/>
      <c r="AC6" s="357"/>
      <c r="AD6" s="348"/>
      <c r="AE6" s="348"/>
      <c r="AF6" s="348"/>
      <c r="AG6" s="348"/>
      <c r="AH6" s="348"/>
      <c r="AI6" s="348"/>
      <c r="AJ6" s="348"/>
      <c r="AK6" s="348"/>
      <c r="AL6" s="348"/>
      <c r="AM6" s="348"/>
      <c r="AN6" s="348"/>
      <c r="AO6" s="348"/>
      <c r="AP6" s="348"/>
      <c r="AQ6" s="348"/>
      <c r="AR6" s="348"/>
      <c r="AS6" s="348"/>
      <c r="AT6" s="348"/>
      <c r="AU6" s="348"/>
      <c r="AV6" s="348"/>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row>
    <row r="7" spans="1:276" ht="36.75" customHeight="1" x14ac:dyDescent="0.25">
      <c r="A7" s="353" t="s">
        <v>212</v>
      </c>
      <c r="B7" s="354"/>
      <c r="C7" s="565" t="s">
        <v>426</v>
      </c>
      <c r="D7" s="566"/>
      <c r="E7" s="566"/>
      <c r="F7" s="566"/>
      <c r="G7" s="566"/>
      <c r="H7" s="566"/>
      <c r="I7" s="566"/>
      <c r="J7" s="566"/>
      <c r="K7" s="566"/>
      <c r="L7" s="566"/>
      <c r="M7" s="566"/>
      <c r="N7" s="566"/>
      <c r="O7" s="566"/>
      <c r="P7" s="566"/>
      <c r="Q7" s="566"/>
      <c r="R7" s="566"/>
      <c r="S7" s="566"/>
      <c r="T7" s="566"/>
      <c r="U7" s="566"/>
      <c r="V7" s="566"/>
      <c r="W7" s="566"/>
      <c r="X7" s="566"/>
      <c r="Y7" s="566"/>
      <c r="Z7" s="567"/>
      <c r="AA7" s="257"/>
      <c r="AB7" s="257"/>
      <c r="AC7" s="257"/>
      <c r="AD7" s="348"/>
      <c r="AE7" s="348"/>
      <c r="AF7" s="348"/>
      <c r="AG7" s="348"/>
      <c r="AH7" s="348"/>
      <c r="AI7" s="348"/>
      <c r="AJ7" s="348"/>
      <c r="AK7" s="348"/>
      <c r="AL7" s="348"/>
      <c r="AM7" s="348"/>
      <c r="AN7" s="348"/>
      <c r="AO7" s="348"/>
      <c r="AP7" s="348"/>
      <c r="AQ7" s="348"/>
      <c r="AR7" s="348"/>
      <c r="AS7" s="348"/>
      <c r="AT7" s="348"/>
      <c r="AU7" s="348"/>
      <c r="AV7" s="348"/>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row>
    <row r="8" spans="1:276" ht="30" customHeight="1" thickBot="1" x14ac:dyDescent="0.3">
      <c r="A8" s="355" t="s">
        <v>213</v>
      </c>
      <c r="B8" s="356"/>
      <c r="C8" s="557" t="s">
        <v>427</v>
      </c>
      <c r="D8" s="558"/>
      <c r="E8" s="558"/>
      <c r="F8" s="558"/>
      <c r="G8" s="558"/>
      <c r="H8" s="558"/>
      <c r="I8" s="558"/>
      <c r="J8" s="558"/>
      <c r="K8" s="558"/>
      <c r="L8" s="558"/>
      <c r="M8" s="558"/>
      <c r="N8" s="558"/>
      <c r="O8" s="558"/>
      <c r="P8" s="558"/>
      <c r="Q8" s="558"/>
      <c r="R8" s="558"/>
      <c r="S8" s="558"/>
      <c r="T8" s="558"/>
      <c r="U8" s="558"/>
      <c r="V8" s="558"/>
      <c r="W8" s="558"/>
      <c r="X8" s="558"/>
      <c r="Y8" s="558"/>
      <c r="Z8" s="559"/>
      <c r="AA8" s="257"/>
      <c r="AB8" s="257"/>
      <c r="AC8" s="257"/>
      <c r="AD8" s="348"/>
      <c r="AE8" s="348"/>
      <c r="AF8" s="348"/>
      <c r="AG8" s="348"/>
      <c r="AH8" s="348"/>
      <c r="AI8" s="348"/>
      <c r="AJ8" s="348"/>
      <c r="AK8" s="348"/>
      <c r="AL8" s="348"/>
      <c r="AM8" s="348"/>
      <c r="AN8" s="348"/>
      <c r="AO8" s="348"/>
      <c r="AP8" s="348"/>
      <c r="AQ8" s="348"/>
      <c r="AR8" s="348"/>
      <c r="AS8" s="348"/>
      <c r="AT8" s="348"/>
      <c r="AU8" s="348"/>
      <c r="AV8" s="348"/>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row>
    <row r="9" spans="1:276" ht="12" customHeight="1" x14ac:dyDescent="0.25">
      <c r="A9" s="205"/>
      <c r="B9" s="205"/>
      <c r="C9" s="206"/>
      <c r="D9" s="206"/>
      <c r="E9" s="206"/>
      <c r="F9" s="206"/>
      <c r="G9" s="206"/>
      <c r="H9" s="206"/>
      <c r="I9" s="206"/>
      <c r="J9" s="206"/>
      <c r="K9" s="206"/>
      <c r="L9" s="206"/>
      <c r="M9" s="206"/>
      <c r="N9" s="206"/>
      <c r="O9" s="206"/>
      <c r="P9" s="206"/>
      <c r="Q9" s="206"/>
      <c r="R9" s="206"/>
      <c r="S9" s="206"/>
      <c r="T9" s="206"/>
      <c r="U9" s="206"/>
      <c r="V9" s="206"/>
      <c r="W9" s="206"/>
      <c r="X9" s="206"/>
      <c r="Y9" s="206"/>
      <c r="Z9" s="206"/>
      <c r="AA9" s="207"/>
      <c r="AB9" s="207"/>
      <c r="AC9" s="207"/>
      <c r="AD9" s="208"/>
      <c r="AE9" s="208"/>
      <c r="AF9" s="208"/>
      <c r="AG9" s="208"/>
      <c r="AH9" s="208"/>
      <c r="AI9" s="208"/>
      <c r="AJ9" s="208"/>
      <c r="AK9" s="208"/>
      <c r="AL9" s="208"/>
      <c r="AM9" s="208"/>
      <c r="AN9" s="208"/>
      <c r="AO9" s="208"/>
      <c r="AP9" s="208"/>
      <c r="AQ9" s="208"/>
      <c r="AR9" s="208"/>
      <c r="AS9" s="208"/>
      <c r="AT9" s="208"/>
      <c r="AU9" s="208"/>
      <c r="AV9" s="208"/>
    </row>
    <row r="10" spans="1:276" ht="39" customHeight="1" x14ac:dyDescent="0.2">
      <c r="A10" s="364" t="s">
        <v>214</v>
      </c>
      <c r="B10" s="365"/>
      <c r="C10" s="365"/>
      <c r="D10" s="365"/>
      <c r="E10" s="365"/>
      <c r="F10" s="365"/>
      <c r="G10" s="365"/>
      <c r="H10" s="365"/>
      <c r="I10" s="365"/>
      <c r="J10" s="366"/>
      <c r="K10" s="328" t="s">
        <v>215</v>
      </c>
      <c r="L10" s="329"/>
      <c r="M10" s="329"/>
      <c r="N10" s="329"/>
      <c r="O10" s="330"/>
      <c r="P10" s="560" t="s">
        <v>216</v>
      </c>
      <c r="Q10" s="561"/>
      <c r="R10" s="223"/>
      <c r="S10" s="223"/>
      <c r="T10" s="326" t="s">
        <v>217</v>
      </c>
      <c r="U10" s="326"/>
      <c r="V10" s="326"/>
      <c r="W10" s="326"/>
      <c r="X10" s="326"/>
      <c r="Y10" s="326"/>
      <c r="Z10" s="326"/>
      <c r="AA10" s="326" t="s">
        <v>218</v>
      </c>
      <c r="AB10" s="326"/>
      <c r="AC10" s="326"/>
      <c r="AD10" s="326"/>
      <c r="AE10" s="326"/>
      <c r="AF10" s="326"/>
      <c r="AG10" s="326"/>
      <c r="AH10" s="326"/>
      <c r="AI10" s="326"/>
      <c r="AJ10" s="316" t="s">
        <v>219</v>
      </c>
      <c r="AK10" s="317"/>
      <c r="AL10" s="317"/>
      <c r="AM10" s="317"/>
      <c r="AN10" s="318"/>
      <c r="AO10" s="316" t="s">
        <v>220</v>
      </c>
      <c r="AP10" s="317"/>
      <c r="AQ10" s="317"/>
      <c r="AR10" s="317"/>
      <c r="AS10" s="318"/>
      <c r="AT10" s="316" t="s">
        <v>221</v>
      </c>
      <c r="AU10" s="317"/>
      <c r="AV10" s="318"/>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row>
    <row r="11" spans="1:276" ht="26.25" customHeight="1" x14ac:dyDescent="0.2">
      <c r="A11" s="338" t="s">
        <v>222</v>
      </c>
      <c r="B11" s="339" t="s">
        <v>15</v>
      </c>
      <c r="C11" s="340" t="s">
        <v>17</v>
      </c>
      <c r="D11" s="340" t="s">
        <v>19</v>
      </c>
      <c r="E11" s="339" t="s">
        <v>21</v>
      </c>
      <c r="F11" s="340" t="s">
        <v>23</v>
      </c>
      <c r="G11" s="554" t="s">
        <v>309</v>
      </c>
      <c r="H11" s="556" t="s">
        <v>310</v>
      </c>
      <c r="I11" s="556" t="s">
        <v>311</v>
      </c>
      <c r="J11" s="556" t="s">
        <v>312</v>
      </c>
      <c r="K11" s="341" t="s">
        <v>124</v>
      </c>
      <c r="L11" s="341" t="s">
        <v>280</v>
      </c>
      <c r="M11" s="341" t="s">
        <v>224</v>
      </c>
      <c r="N11" s="341" t="s">
        <v>225</v>
      </c>
      <c r="O11" s="341" t="s">
        <v>226</v>
      </c>
      <c r="P11" s="250"/>
      <c r="Q11" s="250"/>
      <c r="R11" s="312" t="s">
        <v>227</v>
      </c>
      <c r="S11" s="312" t="s">
        <v>228</v>
      </c>
      <c r="T11" s="336" t="s">
        <v>229</v>
      </c>
      <c r="U11" s="312" t="s">
        <v>230</v>
      </c>
      <c r="V11" s="312" t="s">
        <v>231</v>
      </c>
      <c r="W11" s="312" t="s">
        <v>232</v>
      </c>
      <c r="X11" s="336" t="s">
        <v>229</v>
      </c>
      <c r="Y11" s="312" t="s">
        <v>29</v>
      </c>
      <c r="Z11" s="324" t="s">
        <v>233</v>
      </c>
      <c r="AA11" s="312" t="s">
        <v>31</v>
      </c>
      <c r="AB11" s="312" t="s">
        <v>33</v>
      </c>
      <c r="AC11" s="312" t="s">
        <v>234</v>
      </c>
      <c r="AD11" s="312"/>
      <c r="AE11" s="312"/>
      <c r="AF11" s="312"/>
      <c r="AG11" s="312"/>
      <c r="AH11" s="312"/>
      <c r="AI11" s="324" t="s">
        <v>235</v>
      </c>
      <c r="AJ11" s="324" t="s">
        <v>236</v>
      </c>
      <c r="AK11" s="324" t="s">
        <v>229</v>
      </c>
      <c r="AL11" s="324" t="s">
        <v>237</v>
      </c>
      <c r="AM11" s="324" t="s">
        <v>229</v>
      </c>
      <c r="AN11" s="324" t="s">
        <v>238</v>
      </c>
      <c r="AO11" s="324" t="s">
        <v>49</v>
      </c>
      <c r="AP11" s="312" t="s">
        <v>239</v>
      </c>
      <c r="AQ11" s="312" t="s">
        <v>240</v>
      </c>
      <c r="AR11" s="312" t="s">
        <v>241</v>
      </c>
      <c r="AS11" s="312" t="s">
        <v>242</v>
      </c>
      <c r="AT11" s="312" t="s">
        <v>243</v>
      </c>
      <c r="AU11" s="312" t="s">
        <v>244</v>
      </c>
      <c r="AV11" s="312" t="s">
        <v>245</v>
      </c>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row>
    <row r="12" spans="1:276" s="212" customFormat="1" ht="73.5" customHeight="1" x14ac:dyDescent="0.25">
      <c r="A12" s="338"/>
      <c r="B12" s="339"/>
      <c r="C12" s="340"/>
      <c r="D12" s="340"/>
      <c r="E12" s="339"/>
      <c r="F12" s="340"/>
      <c r="G12" s="555"/>
      <c r="H12" s="556"/>
      <c r="I12" s="556"/>
      <c r="J12" s="556"/>
      <c r="K12" s="342"/>
      <c r="L12" s="342"/>
      <c r="M12" s="342"/>
      <c r="N12" s="342"/>
      <c r="O12" s="342"/>
      <c r="P12" s="249" t="s">
        <v>425</v>
      </c>
      <c r="Q12" s="249" t="s">
        <v>246</v>
      </c>
      <c r="R12" s="312"/>
      <c r="S12" s="312"/>
      <c r="T12" s="336"/>
      <c r="U12" s="312"/>
      <c r="V12" s="312"/>
      <c r="W12" s="336"/>
      <c r="X12" s="336"/>
      <c r="Y12" s="312"/>
      <c r="Z12" s="324"/>
      <c r="AA12" s="312"/>
      <c r="AB12" s="312"/>
      <c r="AC12" s="209" t="s">
        <v>247</v>
      </c>
      <c r="AD12" s="209" t="s">
        <v>248</v>
      </c>
      <c r="AE12" s="209" t="s">
        <v>249</v>
      </c>
      <c r="AF12" s="209" t="s">
        <v>250</v>
      </c>
      <c r="AG12" s="209" t="s">
        <v>251</v>
      </c>
      <c r="AH12" s="209" t="s">
        <v>252</v>
      </c>
      <c r="AI12" s="324"/>
      <c r="AJ12" s="324"/>
      <c r="AK12" s="324"/>
      <c r="AL12" s="324"/>
      <c r="AM12" s="324"/>
      <c r="AN12" s="324"/>
      <c r="AO12" s="324"/>
      <c r="AP12" s="312"/>
      <c r="AQ12" s="312"/>
      <c r="AR12" s="312"/>
      <c r="AS12" s="312"/>
      <c r="AT12" s="312"/>
      <c r="AU12" s="312"/>
      <c r="AV12" s="312"/>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c r="IW12" s="211"/>
      <c r="IX12" s="211"/>
      <c r="IY12" s="211"/>
      <c r="IZ12" s="211"/>
      <c r="JA12" s="211"/>
      <c r="JB12" s="211"/>
      <c r="JC12" s="211"/>
      <c r="JD12" s="211"/>
      <c r="JE12" s="211"/>
      <c r="JF12" s="211"/>
      <c r="JG12" s="211"/>
      <c r="JH12" s="211"/>
      <c r="JI12" s="211"/>
      <c r="JJ12" s="211"/>
      <c r="JK12" s="211"/>
      <c r="JL12" s="211"/>
      <c r="JM12" s="211"/>
      <c r="JN12" s="211"/>
      <c r="JO12" s="211"/>
      <c r="JP12" s="211"/>
    </row>
    <row r="13" spans="1:276" s="214" customFormat="1" ht="225.75" customHeight="1" x14ac:dyDescent="0.25">
      <c r="A13" s="337">
        <v>1</v>
      </c>
      <c r="B13" s="331" t="s">
        <v>122</v>
      </c>
      <c r="C13" s="331" t="s">
        <v>460</v>
      </c>
      <c r="D13" s="331" t="s">
        <v>464</v>
      </c>
      <c r="E13" s="332" t="s">
        <v>465</v>
      </c>
      <c r="F13" s="331" t="s">
        <v>153</v>
      </c>
      <c r="G13" s="319" t="s">
        <v>386</v>
      </c>
      <c r="H13" s="319" t="s">
        <v>461</v>
      </c>
      <c r="I13" s="319" t="s">
        <v>155</v>
      </c>
      <c r="J13" s="319" t="s">
        <v>462</v>
      </c>
      <c r="K13" s="319" t="s">
        <v>130</v>
      </c>
      <c r="L13" s="319" t="s">
        <v>479</v>
      </c>
      <c r="M13" s="319" t="s">
        <v>488</v>
      </c>
      <c r="N13" s="319" t="s">
        <v>480</v>
      </c>
      <c r="O13" s="319" t="s">
        <v>477</v>
      </c>
      <c r="P13" s="319" t="s">
        <v>137</v>
      </c>
      <c r="Q13" s="319" t="s">
        <v>137</v>
      </c>
      <c r="R13" s="327">
        <v>24</v>
      </c>
      <c r="S13" s="323" t="str">
        <f>IF(R13&lt;=0,"",IF(R13&lt;=2,"Muy Baja",IF(R13&lt;=24,"Baja",IF(R13&lt;=500,"Media",IF(R13&lt;=5000,"Alta","Muy Alta")))))</f>
        <v>Baja</v>
      </c>
      <c r="T13" s="322">
        <f>IF(S13="","",IF(S13="Muy Baja",0.2,IF(S13="Baja",0.4,IF(S13="Media",0.6,IF(S13="Alta",0.8,IF(S13="Muy Alta",1,))))))</f>
        <v>0.4</v>
      </c>
      <c r="U13" s="313" t="s">
        <v>350</v>
      </c>
      <c r="V13" s="322" t="str">
        <f>IF(NOT(ISERROR(MATCH(U13,'Tabla Impacto'!$B$222:$B$224,0))),'Tabla Impacto'!$F$224&amp;"Por favor no seleccionar los criterios de impacto(Afectación Económica o presupuestal y Pérdida Reputacional)",U13)</f>
        <v xml:space="preserve">     El riesgo afecta la imagen de alguna área de la organización</v>
      </c>
      <c r="W13" s="323" t="str">
        <f>IF(OR(V13='Tabla Impacto'!$C$12,V13='Tabla Impacto'!$D$12),"Leve",IF(OR(V13='Tabla Impacto'!$C$13,V13='Tabla Impacto'!$D$13),"Menor",IF(OR(V13='Tabla Impacto'!$C$14,V13='Tabla Impacto'!$D$14),"Moderado",IF(OR(V13='Tabla Impacto'!$C$15,V13='Tabla Impacto'!$D$15),"Mayor",IF(OR(V13='Tabla Impacto'!$C$16,V13='Tabla Impacto'!$D$16),"Catastrófico","")))))</f>
        <v>Leve</v>
      </c>
      <c r="X13" s="322">
        <f>IF(W13="","",IF(W13="Leve",0.2,IF(W13="Menor",0.4,IF(W13="Moderado",0.6,IF(W13="Mayor",0.8,IF(W13="Catastrófico",1,))))))</f>
        <v>0.2</v>
      </c>
      <c r="Y13" s="321"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Bajo</v>
      </c>
      <c r="Z13" s="213">
        <v>1</v>
      </c>
      <c r="AA13" s="198" t="s">
        <v>467</v>
      </c>
      <c r="AB13" s="188" t="str">
        <f t="shared" ref="AB13:AB14" si="0">IF(OR(AC13="Preventivo",AC13="Detectivo"),"Probabilidad",IF(AC13="Correctivo","Impacto",""))</f>
        <v>Probabilidad</v>
      </c>
      <c r="AC13" s="189" t="s">
        <v>254</v>
      </c>
      <c r="AD13" s="189" t="s">
        <v>255</v>
      </c>
      <c r="AE13" s="190" t="str">
        <f>IF(AND(AC13="Preventivo",AD13="Automático"),"50%",IF(AND(AC13="Preventivo",AD13="Manual"),"40%",IF(AND(AC13="Detectivo",AD13="Automático"),"40%",IF(AND(AC13="Detectivo",AD13="Manual"),"30%",IF(AND(AC13="Correctivo",AD13="Automático"),"35%",IF(AND(AC13="Correctivo",AD13="Manual"),"25%",""))))))</f>
        <v>40%</v>
      </c>
      <c r="AF13" s="189" t="s">
        <v>256</v>
      </c>
      <c r="AG13" s="189" t="s">
        <v>257</v>
      </c>
      <c r="AH13" s="189" t="s">
        <v>258</v>
      </c>
      <c r="AI13" s="191">
        <f>IFERROR(IF(AB13="Probabilidad",(T13-(+T13*AE13)),IF(AB13="Impacto",T13,"")),"")</f>
        <v>0.24</v>
      </c>
      <c r="AJ13" s="192" t="str">
        <f>IFERROR(IF(AI13="","",IF(AI13&lt;=0.2,"Muy Baja",IF(AI13&lt;=0.4,"Baja",IF(AI13&lt;=0.6,"Media",IF(AI13&lt;=0.8,"Alta","Muy Alta"))))),"")</f>
        <v>Baja</v>
      </c>
      <c r="AK13" s="190">
        <f>+AI13</f>
        <v>0.24</v>
      </c>
      <c r="AL13" s="192" t="str">
        <f>IFERROR(IF(AM13="","",IF(AM13&lt;=0.2,"Leve",IF(AM13&lt;=0.4,"Menor",IF(AM13&lt;=0.6,"Moderado",IF(AM13&lt;=0.8,"Mayor","Catastrófico"))))),"")</f>
        <v>Leve</v>
      </c>
      <c r="AM13" s="190">
        <f>IFERROR(IF(AB13="Impacto",(X13-(+X13*AE13)),IF(AB13="Probabilidad",X13,"")),"")</f>
        <v>0.2</v>
      </c>
      <c r="AN13" s="193"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Bajo</v>
      </c>
      <c r="AO13" s="194" t="s">
        <v>117</v>
      </c>
      <c r="AP13" s="185"/>
      <c r="AQ13" s="195"/>
      <c r="AR13" s="195"/>
      <c r="AS13" s="196"/>
      <c r="AT13" s="331" t="s">
        <v>481</v>
      </c>
      <c r="AU13" s="331" t="s">
        <v>461</v>
      </c>
      <c r="AV13" s="331" t="s">
        <v>482</v>
      </c>
    </row>
    <row r="14" spans="1:276" ht="258" customHeight="1" x14ac:dyDescent="0.2">
      <c r="A14" s="337"/>
      <c r="B14" s="331"/>
      <c r="C14" s="331"/>
      <c r="D14" s="331"/>
      <c r="E14" s="332"/>
      <c r="F14" s="331"/>
      <c r="G14" s="320"/>
      <c r="H14" s="320"/>
      <c r="I14" s="320"/>
      <c r="J14" s="320"/>
      <c r="K14" s="320"/>
      <c r="L14" s="320"/>
      <c r="M14" s="320"/>
      <c r="N14" s="320"/>
      <c r="O14" s="320"/>
      <c r="P14" s="320"/>
      <c r="Q14" s="320"/>
      <c r="R14" s="327"/>
      <c r="S14" s="323"/>
      <c r="T14" s="322"/>
      <c r="U14" s="313"/>
      <c r="V14" s="322">
        <f>IF(NOT(ISERROR(MATCH(U14,_xlfn.ANCHORARRAY(E21),0))),T23&amp;"Por favor no seleccionar los criterios de impacto",U14)</f>
        <v>0</v>
      </c>
      <c r="W14" s="323"/>
      <c r="X14" s="322"/>
      <c r="Y14" s="321"/>
      <c r="Z14" s="213">
        <v>2</v>
      </c>
      <c r="AA14" s="198" t="s">
        <v>468</v>
      </c>
      <c r="AB14" s="188" t="str">
        <f t="shared" si="0"/>
        <v>Probabilidad</v>
      </c>
      <c r="AC14" s="189" t="s">
        <v>254</v>
      </c>
      <c r="AD14" s="189" t="s">
        <v>255</v>
      </c>
      <c r="AE14" s="190" t="str">
        <f t="shared" ref="AE14" si="1">IF(AND(AC14="Preventivo",AD14="Automático"),"50%",IF(AND(AC14="Preventivo",AD14="Manual"),"40%",IF(AND(AC14="Detectivo",AD14="Automático"),"40%",IF(AND(AC14="Detectivo",AD14="Manual"),"30%",IF(AND(AC14="Correctivo",AD14="Automático"),"35%",IF(AND(AC14="Correctivo",AD14="Manual"),"25%",""))))))</f>
        <v>40%</v>
      </c>
      <c r="AF14" s="189" t="s">
        <v>256</v>
      </c>
      <c r="AG14" s="189" t="s">
        <v>257</v>
      </c>
      <c r="AH14" s="189" t="s">
        <v>258</v>
      </c>
      <c r="AI14" s="191">
        <f>IFERROR(IF(AND(AB13="Probabilidad",AB14="Probabilidad"),(AK13-(+AK13*AE14)),IF(AB14="Probabilidad",(T13-(+T13*AE14)),IF(AB14="Impacto",AK13,""))),"")</f>
        <v>0.14399999999999999</v>
      </c>
      <c r="AJ14" s="192" t="str">
        <f t="shared" ref="AJ14:AJ68" si="2">IFERROR(IF(AI14="","",IF(AI14&lt;=0.2,"Muy Baja",IF(AI14&lt;=0.4,"Baja",IF(AI14&lt;=0.6,"Media",IF(AI14&lt;=0.8,"Alta","Muy Alta"))))),"")</f>
        <v>Muy Baja</v>
      </c>
      <c r="AK14" s="190">
        <f t="shared" ref="AK14" si="3">+AI14</f>
        <v>0.14399999999999999</v>
      </c>
      <c r="AL14" s="192" t="str">
        <f t="shared" ref="AL14:AL68" si="4">IFERROR(IF(AM14="","",IF(AM14&lt;=0.2,"Leve",IF(AM14&lt;=0.4,"Menor",IF(AM14&lt;=0.6,"Moderado",IF(AM14&lt;=0.8,"Mayor","Catastrófico"))))),"")</f>
        <v>Leve</v>
      </c>
      <c r="AM14" s="190">
        <f>IFERROR(IF(AND(AB13="Impacto",AB14="Impacto"),(AM13-(+AM13*AE14)),IF(AB14="Impacto",($X$13-(+$X$13*AE14)),IF(AB14="Probabilidad",AM13,""))),"")</f>
        <v>0.2</v>
      </c>
      <c r="AN14" s="193" t="str">
        <f t="shared" ref="AN14"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Bajo</v>
      </c>
      <c r="AO14" s="194" t="s">
        <v>117</v>
      </c>
      <c r="AP14" s="185"/>
      <c r="AQ14" s="195"/>
      <c r="AR14" s="185"/>
      <c r="AS14" s="196"/>
      <c r="AT14" s="331"/>
      <c r="AU14" s="331"/>
      <c r="AV14" s="331"/>
    </row>
    <row r="15" spans="1:276" ht="37.5" customHeight="1" x14ac:dyDescent="0.2">
      <c r="A15" s="337">
        <v>2</v>
      </c>
      <c r="B15" s="331"/>
      <c r="C15" s="331"/>
      <c r="D15" s="331"/>
      <c r="E15" s="332"/>
      <c r="F15" s="331"/>
      <c r="G15" s="319"/>
      <c r="H15" s="319"/>
      <c r="I15" s="319"/>
      <c r="J15" s="319"/>
      <c r="K15" s="319"/>
      <c r="L15" s="319"/>
      <c r="M15" s="319"/>
      <c r="N15" s="319"/>
      <c r="O15" s="319"/>
      <c r="P15" s="319"/>
      <c r="Q15" s="319"/>
      <c r="R15" s="327"/>
      <c r="S15" s="323" t="str">
        <f>IF(R15&lt;=0,"",IF(R15&lt;=2,"Muy Baja",IF(R15&lt;=24,"Baja",IF(R15&lt;=500,"Media",IF(R15&lt;=5000,"Alta","Muy Alta")))))</f>
        <v/>
      </c>
      <c r="T15" s="322" t="str">
        <f>IF(S15="","",IF(S15="Muy Baja",0.2,IF(S15="Baja",0.4,IF(S15="Media",0.6,IF(S15="Alta",0.8,IF(S15="Muy Alta",1,))))))</f>
        <v/>
      </c>
      <c r="U15" s="313"/>
      <c r="V15" s="322">
        <f>IF(NOT(ISERROR(MATCH(U15,'Tabla Impacto'!$B$222:$B$224,0))),'Tabla Impacto'!$F$224&amp;"Por favor no seleccionar los criterios de impacto(Afectación Económica o presupuestal y Pérdida Reputacional)",U15)</f>
        <v>0</v>
      </c>
      <c r="W15" s="323" t="str">
        <f>IF(OR(V15='Tabla Impacto'!$C$12,V15='Tabla Impacto'!$D$12),"Leve",IF(OR(V15='Tabla Impacto'!$C$13,V15='Tabla Impacto'!$D$13),"Menor",IF(OR(V15='Tabla Impacto'!$C$14,V15='Tabla Impacto'!$D$14),"Moderado",IF(OR(V15='Tabla Impacto'!$C$15,V15='Tabla Impacto'!$D$15),"Mayor",IF(OR(V15='Tabla Impacto'!$C$16,V15='Tabla Impacto'!$D$16),"Catastrófico","")))))</f>
        <v/>
      </c>
      <c r="X15" s="322" t="str">
        <f>IF(W15="","",IF(W15="Leve",0.2,IF(W15="Menor",0.4,IF(W15="Moderado",0.6,IF(W15="Mayor",0.8,IF(W15="Catastrófico",1,))))))</f>
        <v/>
      </c>
      <c r="Y15" s="321" t="str">
        <f>IF(OR(AND(S15="Muy Baja",W15="Leve"),AND(S15="Muy Baja",W15="Menor"),AND(S15="Baja",W15="Leve")),"Bajo",IF(OR(AND(S15="Muy baja",W15="Moderado"),AND(S15="Baja",W15="Menor"),AND(S15="Baja",W15="Moderado"),AND(S15="Media",W15="Leve"),AND(S15="Media",W15="Menor"),AND(S15="Media",W15="Moderado"),AND(S15="Alta",W15="Leve"),AND(S15="Alta",W15="Menor")),"Moderado",IF(OR(AND(S15="Muy Baja",W15="Mayor"),AND(S15="Baja",W15="Mayor"),AND(S15="Media",W15="Mayor"),AND(S15="Alta",W15="Moderado"),AND(S15="Alta",W15="Mayor"),AND(S15="Muy Alta",W15="Leve"),AND(S15="Muy Alta",W15="Menor"),AND(S15="Muy Alta",W15="Moderado"),AND(S15="Muy Alta",W15="Mayor")),"Alto",IF(OR(AND(S15="Muy Baja",W15="Catastrófico"),AND(S15="Baja",W15="Catastrófico"),AND(S15="Media",W15="Catastrófico"),AND(S15="Alta",W15="Catastrófico"),AND(S15="Muy Alta",W15="Catastrófico")),"Extremo",""))))</f>
        <v/>
      </c>
      <c r="Z15" s="213">
        <v>1</v>
      </c>
      <c r="AA15" s="186"/>
      <c r="AB15" s="188" t="str">
        <f>IF(OR(AC15="Preventivo",AC15="Detectivo"),"Probabilidad",IF(AC15="Correctivo","Impacto",""))</f>
        <v/>
      </c>
      <c r="AC15" s="189"/>
      <c r="AD15" s="189"/>
      <c r="AE15" s="190" t="str">
        <f>IF(AND(AC15="Preventivo",AD15="Automático"),"50%",IF(AND(AC15="Preventivo",AD15="Manual"),"40%",IF(AND(AC15="Detectivo",AD15="Automático"),"40%",IF(AND(AC15="Detectivo",AD15="Manual"),"30%",IF(AND(AC15="Correctivo",AD15="Automático"),"35%",IF(AND(AC15="Correctivo",AD15="Manual"),"25%",""))))))</f>
        <v/>
      </c>
      <c r="AF15" s="189"/>
      <c r="AG15" s="189"/>
      <c r="AH15" s="189"/>
      <c r="AI15" s="191" t="str">
        <f>IFERROR(IF(AB15="Probabilidad",(T15-(+T15*AE15)),IF(AB15="Impacto",T15,"")),"")</f>
        <v/>
      </c>
      <c r="AJ15" s="192" t="str">
        <f>IFERROR(IF(AI15="","",IF(AI15&lt;=0.2,"Muy Baja",IF(AI15&lt;=0.4,"Baja",IF(AI15&lt;=0.6,"Media",IF(AI15&lt;=0.8,"Alta","Muy Alta"))))),"")</f>
        <v/>
      </c>
      <c r="AK15" s="190" t="str">
        <f>+AI15</f>
        <v/>
      </c>
      <c r="AL15" s="192" t="str">
        <f>IFERROR(IF(AM15="","",IF(AM15&lt;=0.2,"Leve",IF(AM15&lt;=0.4,"Menor",IF(AM15&lt;=0.6,"Moderado",IF(AM15&lt;=0.8,"Mayor","Catastrófico"))))),"")</f>
        <v/>
      </c>
      <c r="AM15" s="190" t="str">
        <f t="shared" ref="AM15" si="6">IFERROR(IF(AB15="Impacto",(X15-(+X15*AE15)),IF(AB15="Probabilidad",X15,"")),"")</f>
        <v/>
      </c>
      <c r="AN15" s="193" t="str">
        <f>IFERROR(IF(OR(AND(AJ15="Muy Baja",AL15="Leve"),AND(AJ15="Muy Baja",AL15="Menor"),AND(AJ15="Baja",AL15="Leve")),"Bajo",IF(OR(AND(AJ15="Muy baja",AL15="Moderado"),AND(AJ15="Baja",AL15="Menor"),AND(AJ15="Baja",AL15="Moderado"),AND(AJ15="Media",AL15="Leve"),AND(AJ15="Media",AL15="Menor"),AND(AJ15="Media",AL15="Moderado"),AND(AJ15="Alta",AL15="Leve"),AND(AJ15="Alta",AL15="Menor")),"Moderado",IF(OR(AND(AJ15="Muy Baja",AL15="Mayor"),AND(AJ15="Baja",AL15="Mayor"),AND(AJ15="Media",AL15="Mayor"),AND(AJ15="Alta",AL15="Moderado"),AND(AJ15="Alta",AL15="Mayor"),AND(AJ15="Muy Alta",AL15="Leve"),AND(AJ15="Muy Alta",AL15="Menor"),AND(AJ15="Muy Alta",AL15="Moderado"),AND(AJ15="Muy Alta",AL15="Mayor")),"Alto",IF(OR(AND(AJ15="Muy Baja",AL15="Catastrófico"),AND(AJ15="Baja",AL15="Catastrófico"),AND(AJ15="Media",AL15="Catastrófico"),AND(AJ15="Alta",AL15="Catastrófico"),AND(AJ15="Muy Alta",AL15="Catastrófico")),"Extremo","")))),"")</f>
        <v/>
      </c>
      <c r="AO15" s="194"/>
      <c r="AP15" s="185"/>
      <c r="AQ15" s="195"/>
      <c r="AR15" s="195"/>
      <c r="AS15" s="196"/>
      <c r="AT15" s="327"/>
      <c r="AU15" s="327"/>
      <c r="AV15" s="327"/>
    </row>
    <row r="16" spans="1:276" ht="37.5" customHeight="1" x14ac:dyDescent="0.2">
      <c r="A16" s="337"/>
      <c r="B16" s="331"/>
      <c r="C16" s="331"/>
      <c r="D16" s="331"/>
      <c r="E16" s="332"/>
      <c r="F16" s="331"/>
      <c r="G16" s="320"/>
      <c r="H16" s="320"/>
      <c r="I16" s="320"/>
      <c r="J16" s="320"/>
      <c r="K16" s="320"/>
      <c r="L16" s="320"/>
      <c r="M16" s="320"/>
      <c r="N16" s="320"/>
      <c r="O16" s="320"/>
      <c r="P16" s="320"/>
      <c r="Q16" s="320"/>
      <c r="R16" s="327"/>
      <c r="S16" s="323"/>
      <c r="T16" s="322"/>
      <c r="U16" s="313"/>
      <c r="V16" s="322">
        <f>IF(NOT(ISERROR(MATCH(U16,_xlfn.ANCHORARRAY(E27),0))),T29&amp;"Por favor no seleccionar los criterios de impacto",U16)</f>
        <v>0</v>
      </c>
      <c r="W16" s="323"/>
      <c r="X16" s="322"/>
      <c r="Y16" s="321"/>
      <c r="Z16" s="213">
        <v>2</v>
      </c>
      <c r="AA16" s="186"/>
      <c r="AB16" s="188" t="str">
        <f>IF(OR(AC16="Preventivo",AC16="Detectivo"),"Probabilidad",IF(AC16="Correctivo","Impacto",""))</f>
        <v/>
      </c>
      <c r="AC16" s="189"/>
      <c r="AD16" s="189"/>
      <c r="AE16" s="190" t="str">
        <f t="shared" ref="AE16:AE20" si="7">IF(AND(AC16="Preventivo",AD16="Automático"),"50%",IF(AND(AC16="Preventivo",AD16="Manual"),"40%",IF(AND(AC16="Detectivo",AD16="Automático"),"40%",IF(AND(AC16="Detectivo",AD16="Manual"),"30%",IF(AND(AC16="Correctivo",AD16="Automático"),"35%",IF(AND(AC16="Correctivo",AD16="Manual"),"25%",""))))))</f>
        <v/>
      </c>
      <c r="AF16" s="189"/>
      <c r="AG16" s="189"/>
      <c r="AH16" s="189"/>
      <c r="AI16" s="191" t="str">
        <f>IFERROR(IF(AND(AB15="Probabilidad",AB16="Probabilidad"),(AK15-(+AK15*AE16)),IF(AB16="Probabilidad",(T15-(+T15*AE16)),IF(AB16="Impacto",AK15,""))),"")</f>
        <v/>
      </c>
      <c r="AJ16" s="192" t="str">
        <f t="shared" si="2"/>
        <v/>
      </c>
      <c r="AK16" s="190" t="str">
        <f t="shared" ref="AK16:AK20" si="8">+AI16</f>
        <v/>
      </c>
      <c r="AL16" s="192" t="str">
        <f t="shared" si="4"/>
        <v/>
      </c>
      <c r="AM16" s="190" t="str">
        <f t="shared" ref="AM16" si="9">IFERROR(IF(AND(AB15="Impacto",AB16="Impacto"),(AM15-(+AM15*AE16)),IF(AB16="Impacto",($X$13-(+$X$13*AE16)),IF(AB16="Probabilidad",AM15,""))),"")</f>
        <v/>
      </c>
      <c r="AN16" s="193" t="str">
        <f t="shared" ref="AN16:AN17" si="10">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4"/>
      <c r="AP16" s="185"/>
      <c r="AQ16" s="195"/>
      <c r="AR16" s="185"/>
      <c r="AS16" s="196"/>
      <c r="AT16" s="327"/>
      <c r="AU16" s="327"/>
      <c r="AV16" s="327"/>
    </row>
    <row r="17" spans="1:48" ht="37.5" customHeight="1" x14ac:dyDescent="0.2">
      <c r="A17" s="337"/>
      <c r="B17" s="331"/>
      <c r="C17" s="331"/>
      <c r="D17" s="331"/>
      <c r="E17" s="332"/>
      <c r="F17" s="331"/>
      <c r="G17" s="320"/>
      <c r="H17" s="320"/>
      <c r="I17" s="320"/>
      <c r="J17" s="320"/>
      <c r="K17" s="320"/>
      <c r="L17" s="320"/>
      <c r="M17" s="320"/>
      <c r="N17" s="320"/>
      <c r="O17" s="320"/>
      <c r="P17" s="320"/>
      <c r="Q17" s="320"/>
      <c r="R17" s="327"/>
      <c r="S17" s="323"/>
      <c r="T17" s="322"/>
      <c r="U17" s="313"/>
      <c r="V17" s="322">
        <f>IF(NOT(ISERROR(MATCH(U17,_xlfn.ANCHORARRAY(E28),0))),T30&amp;"Por favor no seleccionar los criterios de impacto",U17)</f>
        <v>0</v>
      </c>
      <c r="W17" s="323"/>
      <c r="X17" s="322"/>
      <c r="Y17" s="321"/>
      <c r="Z17" s="213">
        <v>3</v>
      </c>
      <c r="AA17" s="187"/>
      <c r="AB17" s="188" t="str">
        <f>IF(OR(AC17="Preventivo",AC17="Detectivo"),"Probabilidad",IF(AC17="Correctivo","Impacto",""))</f>
        <v/>
      </c>
      <c r="AC17" s="189"/>
      <c r="AD17" s="189"/>
      <c r="AE17" s="190" t="str">
        <f t="shared" si="7"/>
        <v/>
      </c>
      <c r="AF17" s="189"/>
      <c r="AG17" s="189"/>
      <c r="AH17" s="189"/>
      <c r="AI17" s="191" t="str">
        <f>IFERROR(IF(AND(AB16="Probabilidad",AB17="Probabilidad"),(AK16-(+AK16*AE17)),IF(AND(AB16="Impacto",AB17="Probabilidad"),(AK15-(+AK15*AE17)),IF(AB17="Impacto",AK16,""))),"")</f>
        <v/>
      </c>
      <c r="AJ17" s="192" t="str">
        <f t="shared" si="2"/>
        <v/>
      </c>
      <c r="AK17" s="190" t="str">
        <f t="shared" si="8"/>
        <v/>
      </c>
      <c r="AL17" s="192" t="str">
        <f t="shared" si="4"/>
        <v/>
      </c>
      <c r="AM17" s="190" t="str">
        <f t="shared" ref="AM17:AM68" si="11">IFERROR(IF(AND(AB16="Impacto",AB17="Impacto"),(AM16-(+AM16*AE17)),IF(AND(AB16="Probabilidad",AB17="Impacto"),(AM15-(+AM15*AE17)),IF(AB17="Probabilidad",AM16,""))),"")</f>
        <v/>
      </c>
      <c r="AN17" s="193" t="str">
        <f t="shared" si="10"/>
        <v/>
      </c>
      <c r="AO17" s="194"/>
      <c r="AP17" s="185"/>
      <c r="AQ17" s="195"/>
      <c r="AR17" s="195"/>
      <c r="AS17" s="196"/>
      <c r="AT17" s="327"/>
      <c r="AU17" s="327"/>
      <c r="AV17" s="327"/>
    </row>
    <row r="18" spans="1:48" ht="37.5" customHeight="1" x14ac:dyDescent="0.2">
      <c r="A18" s="337"/>
      <c r="B18" s="331"/>
      <c r="C18" s="331"/>
      <c r="D18" s="331"/>
      <c r="E18" s="332"/>
      <c r="F18" s="331"/>
      <c r="G18" s="320"/>
      <c r="H18" s="320"/>
      <c r="I18" s="320"/>
      <c r="J18" s="320"/>
      <c r="K18" s="320"/>
      <c r="L18" s="320"/>
      <c r="M18" s="320"/>
      <c r="N18" s="320"/>
      <c r="O18" s="320"/>
      <c r="P18" s="320"/>
      <c r="Q18" s="320"/>
      <c r="R18" s="327"/>
      <c r="S18" s="323"/>
      <c r="T18" s="322"/>
      <c r="U18" s="313"/>
      <c r="V18" s="322">
        <f>IF(NOT(ISERROR(MATCH(U18,_xlfn.ANCHORARRAY(E29),0))),T31&amp;"Por favor no seleccionar los criterios de impacto",U18)</f>
        <v>0</v>
      </c>
      <c r="W18" s="323"/>
      <c r="X18" s="322"/>
      <c r="Y18" s="321"/>
      <c r="Z18" s="213">
        <v>4</v>
      </c>
      <c r="AA18" s="186"/>
      <c r="AB18" s="188" t="str">
        <f t="shared" ref="AB18:AB20" si="12">IF(OR(AC18="Preventivo",AC18="Detectivo"),"Probabilidad",IF(AC18="Correctivo","Impacto",""))</f>
        <v/>
      </c>
      <c r="AC18" s="189"/>
      <c r="AD18" s="189"/>
      <c r="AE18" s="190" t="str">
        <f t="shared" si="7"/>
        <v/>
      </c>
      <c r="AF18" s="189"/>
      <c r="AG18" s="189"/>
      <c r="AH18" s="189"/>
      <c r="AI18" s="191" t="str">
        <f t="shared" ref="AI18:AI20" si="13">IFERROR(IF(AND(AB17="Probabilidad",AB18="Probabilidad"),(AK17-(+AK17*AE18)),IF(AND(AB17="Impacto",AB18="Probabilidad"),(AK16-(+AK16*AE18)),IF(AB18="Impacto",AK17,""))),"")</f>
        <v/>
      </c>
      <c r="AJ18" s="192" t="str">
        <f t="shared" si="2"/>
        <v/>
      </c>
      <c r="AK18" s="190" t="str">
        <f t="shared" si="8"/>
        <v/>
      </c>
      <c r="AL18" s="192" t="str">
        <f t="shared" si="4"/>
        <v/>
      </c>
      <c r="AM18" s="190" t="str">
        <f t="shared" si="11"/>
        <v/>
      </c>
      <c r="AN18" s="193" t="str">
        <f>IFERROR(IF(OR(AND(AJ18="Muy Baja",AL18="Leve"),AND(AJ18="Muy Baja",AL18="Menor"),AND(AJ18="Baja",AL18="Leve")),"Bajo",IF(OR(AND(AJ18="Muy baja",AL18="Moderado"),AND(AJ18="Baja",AL18="Menor"),AND(AJ18="Baja",AL18="Moderado"),AND(AJ18="Media",AL18="Leve"),AND(AJ18="Media",AL18="Menor"),AND(AJ18="Media",AL18="Moderado"),AND(AJ18="Alta",AL18="Leve"),AND(AJ18="Alta",AL18="Menor")),"Moderado",IF(OR(AND(AJ18="Muy Baja",AL18="Mayor"),AND(AJ18="Baja",AL18="Mayor"),AND(AJ18="Media",AL18="Mayor"),AND(AJ18="Alta",AL18="Moderado"),AND(AJ18="Alta",AL18="Mayor"),AND(AJ18="Muy Alta",AL18="Leve"),AND(AJ18="Muy Alta",AL18="Menor"),AND(AJ18="Muy Alta",AL18="Moderado"),AND(AJ18="Muy Alta",AL18="Mayor")),"Alto",IF(OR(AND(AJ18="Muy Baja",AL18="Catastrófico"),AND(AJ18="Baja",AL18="Catastrófico"),AND(AJ18="Media",AL18="Catastrófico"),AND(AJ18="Alta",AL18="Catastrófico"),AND(AJ18="Muy Alta",AL18="Catastrófico")),"Extremo","")))),"")</f>
        <v/>
      </c>
      <c r="AO18" s="194"/>
      <c r="AP18" s="185"/>
      <c r="AQ18" s="195"/>
      <c r="AR18" s="195"/>
      <c r="AS18" s="196"/>
      <c r="AT18" s="327"/>
      <c r="AU18" s="327"/>
      <c r="AV18" s="327"/>
    </row>
    <row r="19" spans="1:48" ht="37.5" customHeight="1" x14ac:dyDescent="0.2">
      <c r="A19" s="337"/>
      <c r="B19" s="331"/>
      <c r="C19" s="331"/>
      <c r="D19" s="331"/>
      <c r="E19" s="332"/>
      <c r="F19" s="331"/>
      <c r="G19" s="320"/>
      <c r="H19" s="320"/>
      <c r="I19" s="320"/>
      <c r="J19" s="320"/>
      <c r="K19" s="320"/>
      <c r="L19" s="320"/>
      <c r="M19" s="320"/>
      <c r="N19" s="320"/>
      <c r="O19" s="320"/>
      <c r="P19" s="320"/>
      <c r="Q19" s="320"/>
      <c r="R19" s="327"/>
      <c r="S19" s="323"/>
      <c r="T19" s="322"/>
      <c r="U19" s="313"/>
      <c r="V19" s="322">
        <f>IF(NOT(ISERROR(MATCH(U19,_xlfn.ANCHORARRAY(E30),0))),T32&amp;"Por favor no seleccionar los criterios de impacto",U19)</f>
        <v>0</v>
      </c>
      <c r="W19" s="323"/>
      <c r="X19" s="322"/>
      <c r="Y19" s="321"/>
      <c r="Z19" s="213">
        <v>5</v>
      </c>
      <c r="AA19" s="186"/>
      <c r="AB19" s="188" t="str">
        <f t="shared" si="12"/>
        <v/>
      </c>
      <c r="AC19" s="189"/>
      <c r="AD19" s="189"/>
      <c r="AE19" s="190" t="str">
        <f t="shared" si="7"/>
        <v/>
      </c>
      <c r="AF19" s="189"/>
      <c r="AG19" s="189"/>
      <c r="AH19" s="189"/>
      <c r="AI19" s="191" t="str">
        <f t="shared" si="13"/>
        <v/>
      </c>
      <c r="AJ19" s="192" t="str">
        <f t="shared" si="2"/>
        <v/>
      </c>
      <c r="AK19" s="190" t="str">
        <f t="shared" si="8"/>
        <v/>
      </c>
      <c r="AL19" s="192" t="str">
        <f t="shared" si="4"/>
        <v/>
      </c>
      <c r="AM19" s="190" t="str">
        <f t="shared" si="11"/>
        <v/>
      </c>
      <c r="AN19" s="193" t="str">
        <f t="shared" ref="AN19:AN20" si="14">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4"/>
      <c r="AP19" s="185"/>
      <c r="AQ19" s="195"/>
      <c r="AR19" s="195"/>
      <c r="AS19" s="196"/>
      <c r="AT19" s="327"/>
      <c r="AU19" s="327"/>
      <c r="AV19" s="327"/>
    </row>
    <row r="20" spans="1:48" ht="37.5" customHeight="1" x14ac:dyDescent="0.2">
      <c r="A20" s="337"/>
      <c r="B20" s="331"/>
      <c r="C20" s="331"/>
      <c r="D20" s="331"/>
      <c r="E20" s="332"/>
      <c r="F20" s="331"/>
      <c r="G20" s="325"/>
      <c r="H20" s="325"/>
      <c r="I20" s="325"/>
      <c r="J20" s="325"/>
      <c r="K20" s="325"/>
      <c r="L20" s="325"/>
      <c r="M20" s="325"/>
      <c r="N20" s="325"/>
      <c r="O20" s="325"/>
      <c r="P20" s="325"/>
      <c r="Q20" s="325"/>
      <c r="R20" s="327"/>
      <c r="S20" s="323"/>
      <c r="T20" s="322"/>
      <c r="U20" s="313"/>
      <c r="V20" s="322">
        <f>IF(NOT(ISERROR(MATCH(U20,_xlfn.ANCHORARRAY(E31),0))),T33&amp;"Por favor no seleccionar los criterios de impacto",U20)</f>
        <v>0</v>
      </c>
      <c r="W20" s="323"/>
      <c r="X20" s="322"/>
      <c r="Y20" s="321"/>
      <c r="Z20" s="213">
        <v>6</v>
      </c>
      <c r="AA20" s="186"/>
      <c r="AB20" s="188" t="str">
        <f t="shared" si="12"/>
        <v/>
      </c>
      <c r="AC20" s="189"/>
      <c r="AD20" s="189"/>
      <c r="AE20" s="190" t="str">
        <f t="shared" si="7"/>
        <v/>
      </c>
      <c r="AF20" s="189"/>
      <c r="AG20" s="189"/>
      <c r="AH20" s="189"/>
      <c r="AI20" s="191" t="str">
        <f t="shared" si="13"/>
        <v/>
      </c>
      <c r="AJ20" s="192" t="str">
        <f t="shared" si="2"/>
        <v/>
      </c>
      <c r="AK20" s="190" t="str">
        <f t="shared" si="8"/>
        <v/>
      </c>
      <c r="AL20" s="192" t="str">
        <f t="shared" si="4"/>
        <v/>
      </c>
      <c r="AM20" s="190" t="str">
        <f t="shared" si="11"/>
        <v/>
      </c>
      <c r="AN20" s="193" t="str">
        <f t="shared" si="14"/>
        <v/>
      </c>
      <c r="AO20" s="194"/>
      <c r="AP20" s="185"/>
      <c r="AQ20" s="195"/>
      <c r="AR20" s="195"/>
      <c r="AS20" s="196"/>
      <c r="AT20" s="327"/>
      <c r="AU20" s="327"/>
      <c r="AV20" s="327"/>
    </row>
    <row r="21" spans="1:48" ht="37.5" customHeight="1" x14ac:dyDescent="0.2">
      <c r="A21" s="337">
        <v>3</v>
      </c>
      <c r="B21" s="331"/>
      <c r="C21" s="331"/>
      <c r="D21" s="331"/>
      <c r="E21" s="332"/>
      <c r="F21" s="331"/>
      <c r="G21" s="319"/>
      <c r="H21" s="319"/>
      <c r="I21" s="319"/>
      <c r="J21" s="319"/>
      <c r="K21" s="319"/>
      <c r="L21" s="319"/>
      <c r="M21" s="319"/>
      <c r="N21" s="319"/>
      <c r="O21" s="319"/>
      <c r="P21" s="319"/>
      <c r="Q21" s="319"/>
      <c r="R21" s="327"/>
      <c r="S21" s="323" t="str">
        <f>IF(R21&lt;=0,"",IF(R21&lt;=2,"Muy Baja",IF(R21&lt;=24,"Baja",IF(R21&lt;=500,"Media",IF(R21&lt;=5000,"Alta","Muy Alta")))))</f>
        <v/>
      </c>
      <c r="T21" s="322" t="str">
        <f>IF(S21="","",IF(S21="Muy Baja",0.2,IF(S21="Baja",0.4,IF(S21="Media",0.6,IF(S21="Alta",0.8,IF(S21="Muy Alta",1,))))))</f>
        <v/>
      </c>
      <c r="U21" s="313"/>
      <c r="V21" s="322">
        <f>IF(NOT(ISERROR(MATCH(U21,'Tabla Impacto'!$B$222:$B$224,0))),'Tabla Impacto'!$F$224&amp;"Por favor no seleccionar los criterios de impacto(Afectación Económica o presupuestal y Pérdida Reputacional)",U21)</f>
        <v>0</v>
      </c>
      <c r="W21" s="323" t="str">
        <f>IF(OR(V21='Tabla Impacto'!$C$12,V21='Tabla Impacto'!$D$12),"Leve",IF(OR(V21='Tabla Impacto'!$C$13,V21='Tabla Impacto'!$D$13),"Menor",IF(OR(V21='Tabla Impacto'!$C$14,V21='Tabla Impacto'!$D$14),"Moderado",IF(OR(V21='Tabla Impacto'!$C$15,V21='Tabla Impacto'!$D$15),"Mayor",IF(OR(V21='Tabla Impacto'!$C$16,V21='Tabla Impacto'!$D$16),"Catastrófico","")))))</f>
        <v/>
      </c>
      <c r="X21" s="322" t="str">
        <f>IF(W21="","",IF(W21="Leve",0.2,IF(W21="Menor",0.4,IF(W21="Moderado",0.6,IF(W21="Mayor",0.8,IF(W21="Catastrófico",1,))))))</f>
        <v/>
      </c>
      <c r="Y21" s="321" t="str">
        <f>IF(OR(AND(S21="Muy Baja",W21="Leve"),AND(S21="Muy Baja",W21="Menor"),AND(S21="Baja",W21="Leve")),"Bajo",IF(OR(AND(S21="Muy baja",W21="Moderado"),AND(S21="Baja",W21="Menor"),AND(S21="Baja",W21="Moderado"),AND(S21="Media",W21="Leve"),AND(S21="Media",W21="Menor"),AND(S21="Media",W21="Moderado"),AND(S21="Alta",W21="Leve"),AND(S21="Alta",W21="Menor")),"Moderado",IF(OR(AND(S21="Muy Baja",W21="Mayor"),AND(S21="Baja",W21="Mayor"),AND(S21="Media",W21="Mayor"),AND(S21="Alta",W21="Moderado"),AND(S21="Alta",W21="Mayor"),AND(S21="Muy Alta",W21="Leve"),AND(S21="Muy Alta",W21="Menor"),AND(S21="Muy Alta",W21="Moderado"),AND(S21="Muy Alta",W21="Mayor")),"Alto",IF(OR(AND(S21="Muy Baja",W21="Catastrófico"),AND(S21="Baja",W21="Catastrófico"),AND(S21="Media",W21="Catastrófico"),AND(S21="Alta",W21="Catastrófico"),AND(S21="Muy Alta",W21="Catastrófico")),"Extremo",""))))</f>
        <v/>
      </c>
      <c r="Z21" s="213">
        <v>1</v>
      </c>
      <c r="AA21" s="186"/>
      <c r="AB21" s="188" t="str">
        <f>IF(OR(AC21="Preventivo",AC21="Detectivo"),"Probabilidad",IF(AC21="Correctivo","Impacto",""))</f>
        <v/>
      </c>
      <c r="AC21" s="189"/>
      <c r="AD21" s="189"/>
      <c r="AE21" s="190" t="str">
        <f>IF(AND(AC21="Preventivo",AD21="Automático"),"50%",IF(AND(AC21="Preventivo",AD21="Manual"),"40%",IF(AND(AC21="Detectivo",AD21="Automático"),"40%",IF(AND(AC21="Detectivo",AD21="Manual"),"30%",IF(AND(AC21="Correctivo",AD21="Automático"),"35%",IF(AND(AC21="Correctivo",AD21="Manual"),"25%",""))))))</f>
        <v/>
      </c>
      <c r="AF21" s="189"/>
      <c r="AG21" s="189"/>
      <c r="AH21" s="189"/>
      <c r="AI21" s="191" t="str">
        <f>IFERROR(IF(AB21="Probabilidad",(T21-(+T21*AE21)),IF(AB21="Impacto",T21,"")),"")</f>
        <v/>
      </c>
      <c r="AJ21" s="192" t="str">
        <f>IFERROR(IF(AI21="","",IF(AI21&lt;=0.2,"Muy Baja",IF(AI21&lt;=0.4,"Baja",IF(AI21&lt;=0.6,"Media",IF(AI21&lt;=0.8,"Alta","Muy Alta"))))),"")</f>
        <v/>
      </c>
      <c r="AK21" s="190" t="str">
        <f>+AI21</f>
        <v/>
      </c>
      <c r="AL21" s="192" t="str">
        <f>IFERROR(IF(AM21="","",IF(AM21&lt;=0.2,"Leve",IF(AM21&lt;=0.4,"Menor",IF(AM21&lt;=0.6,"Moderado",IF(AM21&lt;=0.8,"Mayor","Catastrófico"))))),"")</f>
        <v/>
      </c>
      <c r="AM21" s="190" t="str">
        <f t="shared" ref="AM21" si="15">IFERROR(IF(AB21="Impacto",(X21-(+X21*AE21)),IF(AB21="Probabilidad",X21,"")),"")</f>
        <v/>
      </c>
      <c r="AN21" s="193" t="str">
        <f>IFERROR(IF(OR(AND(AJ21="Muy Baja",AL21="Leve"),AND(AJ21="Muy Baja",AL21="Menor"),AND(AJ21="Baja",AL21="Leve")),"Bajo",IF(OR(AND(AJ21="Muy baja",AL21="Moderado"),AND(AJ21="Baja",AL21="Menor"),AND(AJ21="Baja",AL21="Moderado"),AND(AJ21="Media",AL21="Leve"),AND(AJ21="Media",AL21="Menor"),AND(AJ21="Media",AL21="Moderado"),AND(AJ21="Alta",AL21="Leve"),AND(AJ21="Alta",AL21="Menor")),"Moderado",IF(OR(AND(AJ21="Muy Baja",AL21="Mayor"),AND(AJ21="Baja",AL21="Mayor"),AND(AJ21="Media",AL21="Mayor"),AND(AJ21="Alta",AL21="Moderado"),AND(AJ21="Alta",AL21="Mayor"),AND(AJ21="Muy Alta",AL21="Leve"),AND(AJ21="Muy Alta",AL21="Menor"),AND(AJ21="Muy Alta",AL21="Moderado"),AND(AJ21="Muy Alta",AL21="Mayor")),"Alto",IF(OR(AND(AJ21="Muy Baja",AL21="Catastrófico"),AND(AJ21="Baja",AL21="Catastrófico"),AND(AJ21="Media",AL21="Catastrófico"),AND(AJ21="Alta",AL21="Catastrófico"),AND(AJ21="Muy Alta",AL21="Catastrófico")),"Extremo","")))),"")</f>
        <v/>
      </c>
      <c r="AO21" s="194"/>
      <c r="AP21" s="185"/>
      <c r="AQ21" s="195"/>
      <c r="AR21" s="195"/>
      <c r="AS21" s="196"/>
      <c r="AT21" s="327"/>
      <c r="AU21" s="327"/>
      <c r="AV21" s="327"/>
    </row>
    <row r="22" spans="1:48" ht="37.5" customHeight="1" x14ac:dyDescent="0.2">
      <c r="A22" s="337"/>
      <c r="B22" s="331"/>
      <c r="C22" s="331"/>
      <c r="D22" s="331"/>
      <c r="E22" s="332"/>
      <c r="F22" s="331"/>
      <c r="G22" s="320"/>
      <c r="H22" s="320"/>
      <c r="I22" s="320"/>
      <c r="J22" s="320"/>
      <c r="K22" s="320"/>
      <c r="L22" s="320"/>
      <c r="M22" s="320"/>
      <c r="N22" s="320"/>
      <c r="O22" s="320"/>
      <c r="P22" s="320"/>
      <c r="Q22" s="320"/>
      <c r="R22" s="327"/>
      <c r="S22" s="323"/>
      <c r="T22" s="322"/>
      <c r="U22" s="313"/>
      <c r="V22" s="322">
        <f>IF(NOT(ISERROR(MATCH(U22,_xlfn.ANCHORARRAY(E33),0))),T35&amp;"Por favor no seleccionar los criterios de impacto",U22)</f>
        <v>0</v>
      </c>
      <c r="W22" s="323"/>
      <c r="X22" s="322"/>
      <c r="Y22" s="321"/>
      <c r="Z22" s="213">
        <v>2</v>
      </c>
      <c r="AA22" s="186"/>
      <c r="AB22" s="188" t="str">
        <f>IF(OR(AC22="Preventivo",AC22="Detectivo"),"Probabilidad",IF(AC22="Correctivo","Impacto",""))</f>
        <v/>
      </c>
      <c r="AC22" s="189"/>
      <c r="AD22" s="189"/>
      <c r="AE22" s="190" t="str">
        <f t="shared" ref="AE22:AE26" si="16">IF(AND(AC22="Preventivo",AD22="Automático"),"50%",IF(AND(AC22="Preventivo",AD22="Manual"),"40%",IF(AND(AC22="Detectivo",AD22="Automático"),"40%",IF(AND(AC22="Detectivo",AD22="Manual"),"30%",IF(AND(AC22="Correctivo",AD22="Automático"),"35%",IF(AND(AC22="Correctivo",AD22="Manual"),"25%",""))))))</f>
        <v/>
      </c>
      <c r="AF22" s="189"/>
      <c r="AG22" s="189"/>
      <c r="AH22" s="189"/>
      <c r="AI22" s="191" t="str">
        <f>IFERROR(IF(AND(AB21="Probabilidad",AB22="Probabilidad"),(AK21-(+AK21*AE22)),IF(AB22="Probabilidad",(T21-(+T21*AE22)),IF(AB22="Impacto",AK21,""))),"")</f>
        <v/>
      </c>
      <c r="AJ22" s="192" t="str">
        <f t="shared" si="2"/>
        <v/>
      </c>
      <c r="AK22" s="190" t="str">
        <f t="shared" ref="AK22:AK26" si="17">+AI22</f>
        <v/>
      </c>
      <c r="AL22" s="192" t="str">
        <f t="shared" si="4"/>
        <v/>
      </c>
      <c r="AM22" s="190" t="str">
        <f t="shared" ref="AM22" si="18">IFERROR(IF(AND(AB21="Impacto",AB22="Impacto"),(AM21-(+AM21*AE22)),IF(AB22="Impacto",($X$13-(+$X$13*AE22)),IF(AB22="Probabilidad",AM21,""))),"")</f>
        <v/>
      </c>
      <c r="AN22" s="193" t="str">
        <f t="shared" ref="AN22:AN23" si="19">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4"/>
      <c r="AP22" s="185"/>
      <c r="AQ22" s="195"/>
      <c r="AR22" s="195"/>
      <c r="AS22" s="196"/>
      <c r="AT22" s="327"/>
      <c r="AU22" s="327"/>
      <c r="AV22" s="327"/>
    </row>
    <row r="23" spans="1:48" ht="37.5" customHeight="1" x14ac:dyDescent="0.2">
      <c r="A23" s="337"/>
      <c r="B23" s="331"/>
      <c r="C23" s="331"/>
      <c r="D23" s="331"/>
      <c r="E23" s="332"/>
      <c r="F23" s="331"/>
      <c r="G23" s="320"/>
      <c r="H23" s="320"/>
      <c r="I23" s="320"/>
      <c r="J23" s="320"/>
      <c r="K23" s="320"/>
      <c r="L23" s="320"/>
      <c r="M23" s="320"/>
      <c r="N23" s="320"/>
      <c r="O23" s="320"/>
      <c r="P23" s="320"/>
      <c r="Q23" s="320"/>
      <c r="R23" s="327"/>
      <c r="S23" s="323"/>
      <c r="T23" s="322"/>
      <c r="U23" s="313"/>
      <c r="V23" s="322">
        <f>IF(NOT(ISERROR(MATCH(U23,_xlfn.ANCHORARRAY(E34),0))),T36&amp;"Por favor no seleccionar los criterios de impacto",U23)</f>
        <v>0</v>
      </c>
      <c r="W23" s="323"/>
      <c r="X23" s="322"/>
      <c r="Y23" s="321"/>
      <c r="Z23" s="213">
        <v>3</v>
      </c>
      <c r="AA23" s="186"/>
      <c r="AB23" s="188" t="str">
        <f>IF(OR(AC23="Preventivo",AC23="Detectivo"),"Probabilidad",IF(AC23="Correctivo","Impacto",""))</f>
        <v/>
      </c>
      <c r="AC23" s="189"/>
      <c r="AD23" s="189"/>
      <c r="AE23" s="190" t="str">
        <f t="shared" si="16"/>
        <v/>
      </c>
      <c r="AF23" s="189"/>
      <c r="AG23" s="189"/>
      <c r="AH23" s="189"/>
      <c r="AI23" s="191" t="str">
        <f>IFERROR(IF(AND(AB22="Probabilidad",AB23="Probabilidad"),(AK22-(+AK22*AE23)),IF(AND(AB22="Impacto",AB23="Probabilidad"),(AK21-(+AK21*AE23)),IF(AB23="Impacto",AK22,""))),"")</f>
        <v/>
      </c>
      <c r="AJ23" s="192" t="str">
        <f t="shared" si="2"/>
        <v/>
      </c>
      <c r="AK23" s="190" t="str">
        <f t="shared" si="17"/>
        <v/>
      </c>
      <c r="AL23" s="192" t="str">
        <f t="shared" si="4"/>
        <v/>
      </c>
      <c r="AM23" s="190" t="str">
        <f t="shared" ref="AM23" si="20">IFERROR(IF(AND(AB22="Impacto",AB23="Impacto"),(AM22-(+AM22*AE23)),IF(AND(AB22="Probabilidad",AB23="Impacto"),(AM21-(+AM21*AE23)),IF(AB23="Probabilidad",AM22,""))),"")</f>
        <v/>
      </c>
      <c r="AN23" s="193" t="str">
        <f t="shared" si="19"/>
        <v/>
      </c>
      <c r="AO23" s="194"/>
      <c r="AP23" s="185"/>
      <c r="AQ23" s="195"/>
      <c r="AR23" s="195"/>
      <c r="AS23" s="196"/>
      <c r="AT23" s="327"/>
      <c r="AU23" s="327"/>
      <c r="AV23" s="327"/>
    </row>
    <row r="24" spans="1:48" ht="37.5" customHeight="1" x14ac:dyDescent="0.2">
      <c r="A24" s="337"/>
      <c r="B24" s="331"/>
      <c r="C24" s="331"/>
      <c r="D24" s="331"/>
      <c r="E24" s="332"/>
      <c r="F24" s="331"/>
      <c r="G24" s="320"/>
      <c r="H24" s="320"/>
      <c r="I24" s="320"/>
      <c r="J24" s="320"/>
      <c r="K24" s="320"/>
      <c r="L24" s="320"/>
      <c r="M24" s="320"/>
      <c r="N24" s="320"/>
      <c r="O24" s="320"/>
      <c r="P24" s="320"/>
      <c r="Q24" s="320"/>
      <c r="R24" s="327"/>
      <c r="S24" s="323"/>
      <c r="T24" s="322"/>
      <c r="U24" s="313"/>
      <c r="V24" s="322">
        <f>IF(NOT(ISERROR(MATCH(U24,_xlfn.ANCHORARRAY(E35),0))),T37&amp;"Por favor no seleccionar los criterios de impacto",U24)</f>
        <v>0</v>
      </c>
      <c r="W24" s="323"/>
      <c r="X24" s="322"/>
      <c r="Y24" s="321"/>
      <c r="Z24" s="213">
        <v>4</v>
      </c>
      <c r="AA24" s="186"/>
      <c r="AB24" s="188" t="str">
        <f t="shared" ref="AB24:AB26" si="21">IF(OR(AC24="Preventivo",AC24="Detectivo"),"Probabilidad",IF(AC24="Correctivo","Impacto",""))</f>
        <v/>
      </c>
      <c r="AC24" s="189"/>
      <c r="AD24" s="189"/>
      <c r="AE24" s="190" t="str">
        <f t="shared" si="16"/>
        <v/>
      </c>
      <c r="AF24" s="189"/>
      <c r="AG24" s="189"/>
      <c r="AH24" s="189"/>
      <c r="AI24" s="191" t="str">
        <f t="shared" ref="AI24:AI26" si="22">IFERROR(IF(AND(AB23="Probabilidad",AB24="Probabilidad"),(AK23-(+AK23*AE24)),IF(AND(AB23="Impacto",AB24="Probabilidad"),(AK22-(+AK22*AE24)),IF(AB24="Impacto",AK23,""))),"")</f>
        <v/>
      </c>
      <c r="AJ24" s="192" t="str">
        <f t="shared" si="2"/>
        <v/>
      </c>
      <c r="AK24" s="190" t="str">
        <f t="shared" si="17"/>
        <v/>
      </c>
      <c r="AL24" s="192" t="str">
        <f t="shared" si="4"/>
        <v/>
      </c>
      <c r="AM24" s="190" t="str">
        <f t="shared" si="11"/>
        <v/>
      </c>
      <c r="AN24" s="193" t="str">
        <f>IFERROR(IF(OR(AND(AJ24="Muy Baja",AL24="Leve"),AND(AJ24="Muy Baja",AL24="Menor"),AND(AJ24="Baja",AL24="Leve")),"Bajo",IF(OR(AND(AJ24="Muy baja",AL24="Moderado"),AND(AJ24="Baja",AL24="Menor"),AND(AJ24="Baja",AL24="Moderado"),AND(AJ24="Media",AL24="Leve"),AND(AJ24="Media",AL24="Menor"),AND(AJ24="Media",AL24="Moderado"),AND(AJ24="Alta",AL24="Leve"),AND(AJ24="Alta",AL24="Menor")),"Moderado",IF(OR(AND(AJ24="Muy Baja",AL24="Mayor"),AND(AJ24="Baja",AL24="Mayor"),AND(AJ24="Media",AL24="Mayor"),AND(AJ24="Alta",AL24="Moderado"),AND(AJ24="Alta",AL24="Mayor"),AND(AJ24="Muy Alta",AL24="Leve"),AND(AJ24="Muy Alta",AL24="Menor"),AND(AJ24="Muy Alta",AL24="Moderado"),AND(AJ24="Muy Alta",AL24="Mayor")),"Alto",IF(OR(AND(AJ24="Muy Baja",AL24="Catastrófico"),AND(AJ24="Baja",AL24="Catastrófico"),AND(AJ24="Media",AL24="Catastrófico"),AND(AJ24="Alta",AL24="Catastrófico"),AND(AJ24="Muy Alta",AL24="Catastrófico")),"Extremo","")))),"")</f>
        <v/>
      </c>
      <c r="AO24" s="194"/>
      <c r="AP24" s="185"/>
      <c r="AQ24" s="195"/>
      <c r="AR24" s="195"/>
      <c r="AS24" s="196"/>
      <c r="AT24" s="327"/>
      <c r="AU24" s="327"/>
      <c r="AV24" s="327"/>
    </row>
    <row r="25" spans="1:48" ht="37.5" customHeight="1" x14ac:dyDescent="0.2">
      <c r="A25" s="337"/>
      <c r="B25" s="331"/>
      <c r="C25" s="331"/>
      <c r="D25" s="331"/>
      <c r="E25" s="332"/>
      <c r="F25" s="331"/>
      <c r="G25" s="320"/>
      <c r="H25" s="320"/>
      <c r="I25" s="320"/>
      <c r="J25" s="320"/>
      <c r="K25" s="320"/>
      <c r="L25" s="320"/>
      <c r="M25" s="320"/>
      <c r="N25" s="320"/>
      <c r="O25" s="320"/>
      <c r="P25" s="320"/>
      <c r="Q25" s="320"/>
      <c r="R25" s="327"/>
      <c r="S25" s="323"/>
      <c r="T25" s="322"/>
      <c r="U25" s="313"/>
      <c r="V25" s="322">
        <f>IF(NOT(ISERROR(MATCH(U25,_xlfn.ANCHORARRAY(E36),0))),T38&amp;"Por favor no seleccionar los criterios de impacto",U25)</f>
        <v>0</v>
      </c>
      <c r="W25" s="323"/>
      <c r="X25" s="322"/>
      <c r="Y25" s="321"/>
      <c r="Z25" s="213">
        <v>5</v>
      </c>
      <c r="AA25" s="186"/>
      <c r="AB25" s="188" t="str">
        <f t="shared" si="21"/>
        <v/>
      </c>
      <c r="AC25" s="189"/>
      <c r="AD25" s="189"/>
      <c r="AE25" s="190" t="str">
        <f t="shared" si="16"/>
        <v/>
      </c>
      <c r="AF25" s="189"/>
      <c r="AG25" s="189"/>
      <c r="AH25" s="189"/>
      <c r="AI25" s="191" t="str">
        <f t="shared" si="22"/>
        <v/>
      </c>
      <c r="AJ25" s="192" t="str">
        <f t="shared" si="2"/>
        <v/>
      </c>
      <c r="AK25" s="190" t="str">
        <f t="shared" si="17"/>
        <v/>
      </c>
      <c r="AL25" s="192" t="str">
        <f t="shared" si="4"/>
        <v/>
      </c>
      <c r="AM25" s="190" t="str">
        <f t="shared" si="11"/>
        <v/>
      </c>
      <c r="AN25" s="193" t="str">
        <f t="shared" ref="AN25:AN26" si="23">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4"/>
      <c r="AP25" s="185"/>
      <c r="AQ25" s="195"/>
      <c r="AR25" s="195"/>
      <c r="AS25" s="196"/>
      <c r="AT25" s="327"/>
      <c r="AU25" s="327"/>
      <c r="AV25" s="327"/>
    </row>
    <row r="26" spans="1:48" ht="37.5" customHeight="1" x14ac:dyDescent="0.2">
      <c r="A26" s="337"/>
      <c r="B26" s="331"/>
      <c r="C26" s="331"/>
      <c r="D26" s="331"/>
      <c r="E26" s="332"/>
      <c r="F26" s="331"/>
      <c r="G26" s="325"/>
      <c r="H26" s="325"/>
      <c r="I26" s="325"/>
      <c r="J26" s="325"/>
      <c r="K26" s="325"/>
      <c r="L26" s="325"/>
      <c r="M26" s="325"/>
      <c r="N26" s="325"/>
      <c r="O26" s="325"/>
      <c r="P26" s="325"/>
      <c r="Q26" s="325"/>
      <c r="R26" s="327"/>
      <c r="S26" s="323"/>
      <c r="T26" s="322"/>
      <c r="U26" s="313"/>
      <c r="V26" s="322">
        <f>IF(NOT(ISERROR(MATCH(U26,_xlfn.ANCHORARRAY(E37),0))),T39&amp;"Por favor no seleccionar los criterios de impacto",U26)</f>
        <v>0</v>
      </c>
      <c r="W26" s="323"/>
      <c r="X26" s="322"/>
      <c r="Y26" s="321"/>
      <c r="Z26" s="213">
        <v>6</v>
      </c>
      <c r="AA26" s="186"/>
      <c r="AB26" s="188" t="str">
        <f t="shared" si="21"/>
        <v/>
      </c>
      <c r="AC26" s="189"/>
      <c r="AD26" s="189"/>
      <c r="AE26" s="190" t="str">
        <f t="shared" si="16"/>
        <v/>
      </c>
      <c r="AF26" s="189"/>
      <c r="AG26" s="189"/>
      <c r="AH26" s="189"/>
      <c r="AI26" s="191" t="str">
        <f t="shared" si="22"/>
        <v/>
      </c>
      <c r="AJ26" s="192" t="str">
        <f t="shared" si="2"/>
        <v/>
      </c>
      <c r="AK26" s="190" t="str">
        <f t="shared" si="17"/>
        <v/>
      </c>
      <c r="AL26" s="192" t="str">
        <f t="shared" si="4"/>
        <v/>
      </c>
      <c r="AM26" s="190" t="str">
        <f t="shared" si="11"/>
        <v/>
      </c>
      <c r="AN26" s="193" t="str">
        <f t="shared" si="23"/>
        <v/>
      </c>
      <c r="AO26" s="194"/>
      <c r="AP26" s="185"/>
      <c r="AQ26" s="195"/>
      <c r="AR26" s="195"/>
      <c r="AS26" s="196"/>
      <c r="AT26" s="327"/>
      <c r="AU26" s="327"/>
      <c r="AV26" s="327"/>
    </row>
    <row r="27" spans="1:48" ht="37.5" customHeight="1" x14ac:dyDescent="0.2">
      <c r="A27" s="337">
        <v>4</v>
      </c>
      <c r="B27" s="331"/>
      <c r="C27" s="331"/>
      <c r="D27" s="331"/>
      <c r="E27" s="331"/>
      <c r="F27" s="331"/>
      <c r="G27" s="319"/>
      <c r="H27" s="319"/>
      <c r="I27" s="319"/>
      <c r="J27" s="319"/>
      <c r="K27" s="319"/>
      <c r="L27" s="319"/>
      <c r="M27" s="319"/>
      <c r="N27" s="319"/>
      <c r="O27" s="319"/>
      <c r="P27" s="319"/>
      <c r="Q27" s="319"/>
      <c r="R27" s="327"/>
      <c r="S27" s="323" t="str">
        <f>IF(R27&lt;=0,"",IF(R27&lt;=2,"Muy Baja",IF(R27&lt;=24,"Baja",IF(R27&lt;=500,"Media",IF(R27&lt;=5000,"Alta","Muy Alta")))))</f>
        <v/>
      </c>
      <c r="T27" s="322" t="str">
        <f>IF(S27="","",IF(S27="Muy Baja",0.2,IF(S27="Baja",0.4,IF(S27="Media",0.6,IF(S27="Alta",0.8,IF(S27="Muy Alta",1,))))))</f>
        <v/>
      </c>
      <c r="U27" s="313"/>
      <c r="V27" s="322">
        <f>IF(NOT(ISERROR(MATCH(U27,'Tabla Impacto'!$B$222:$B$224,0))),'Tabla Impacto'!$F$224&amp;"Por favor no seleccionar los criterios de impacto(Afectación Económica o presupuestal y Pérdida Reputacional)",U27)</f>
        <v>0</v>
      </c>
      <c r="W27" s="323" t="str">
        <f>IF(OR(V27='Tabla Impacto'!$C$12,V27='Tabla Impacto'!$D$12),"Leve",IF(OR(V27='Tabla Impacto'!$C$13,V27='Tabla Impacto'!$D$13),"Menor",IF(OR(V27='Tabla Impacto'!$C$14,V27='Tabla Impacto'!$D$14),"Moderado",IF(OR(V27='Tabla Impacto'!$C$15,V27='Tabla Impacto'!$D$15),"Mayor",IF(OR(V27='Tabla Impacto'!$C$16,V27='Tabla Impacto'!$D$16),"Catastrófico","")))))</f>
        <v/>
      </c>
      <c r="X27" s="322" t="str">
        <f>IF(W27="","",IF(W27="Leve",0.2,IF(W27="Menor",0.4,IF(W27="Moderado",0.6,IF(W27="Mayor",0.8,IF(W27="Catastrófico",1,))))))</f>
        <v/>
      </c>
      <c r="Y27" s="321" t="str">
        <f>IF(OR(AND(S27="Muy Baja",W27="Leve"),AND(S27="Muy Baja",W27="Menor"),AND(S27="Baja",W27="Leve")),"Bajo",IF(OR(AND(S27="Muy baja",W27="Moderado"),AND(S27="Baja",W27="Menor"),AND(S27="Baja",W27="Moderado"),AND(S27="Media",W27="Leve"),AND(S27="Media",W27="Menor"),AND(S27="Media",W27="Moderado"),AND(S27="Alta",W27="Leve"),AND(S27="Alta",W27="Menor")),"Moderado",IF(OR(AND(S27="Muy Baja",W27="Mayor"),AND(S27="Baja",W27="Mayor"),AND(S27="Media",W27="Mayor"),AND(S27="Alta",W27="Moderado"),AND(S27="Alta",W27="Mayor"),AND(S27="Muy Alta",W27="Leve"),AND(S27="Muy Alta",W27="Menor"),AND(S27="Muy Alta",W27="Moderado"),AND(S27="Muy Alta",W27="Mayor")),"Alto",IF(OR(AND(S27="Muy Baja",W27="Catastrófico"),AND(S27="Baja",W27="Catastrófico"),AND(S27="Media",W27="Catastrófico"),AND(S27="Alta",W27="Catastrófico"),AND(S27="Muy Alta",W27="Catastrófico")),"Extremo",""))))</f>
        <v/>
      </c>
      <c r="Z27" s="213">
        <v>1</v>
      </c>
      <c r="AA27" s="186"/>
      <c r="AB27" s="188" t="str">
        <f>IF(OR(AC27="Preventivo",AC27="Detectivo"),"Probabilidad",IF(AC27="Correctivo","Impacto",""))</f>
        <v/>
      </c>
      <c r="AC27" s="189"/>
      <c r="AD27" s="189"/>
      <c r="AE27" s="190" t="str">
        <f>IF(AND(AC27="Preventivo",AD27="Automático"),"50%",IF(AND(AC27="Preventivo",AD27="Manual"),"40%",IF(AND(AC27="Detectivo",AD27="Automático"),"40%",IF(AND(AC27="Detectivo",AD27="Manual"),"30%",IF(AND(AC27="Correctivo",AD27="Automático"),"35%",IF(AND(AC27="Correctivo",AD27="Manual"),"25%",""))))))</f>
        <v/>
      </c>
      <c r="AF27" s="189"/>
      <c r="AG27" s="189"/>
      <c r="AH27" s="189"/>
      <c r="AI27" s="191" t="str">
        <f>IFERROR(IF(AB27="Probabilidad",(T27-(+T27*AE27)),IF(AB27="Impacto",T27,"")),"")</f>
        <v/>
      </c>
      <c r="AJ27" s="192" t="str">
        <f>IFERROR(IF(AI27="","",IF(AI27&lt;=0.2,"Muy Baja",IF(AI27&lt;=0.4,"Baja",IF(AI27&lt;=0.6,"Media",IF(AI27&lt;=0.8,"Alta","Muy Alta"))))),"")</f>
        <v/>
      </c>
      <c r="AK27" s="190" t="str">
        <f>+AI27</f>
        <v/>
      </c>
      <c r="AL27" s="192" t="str">
        <f>IFERROR(IF(AM27="","",IF(AM27&lt;=0.2,"Leve",IF(AM27&lt;=0.4,"Menor",IF(AM27&lt;=0.6,"Moderado",IF(AM27&lt;=0.8,"Mayor","Catastrófico"))))),"")</f>
        <v/>
      </c>
      <c r="AM27" s="190" t="str">
        <f t="shared" ref="AM27" si="24">IFERROR(IF(AB27="Impacto",(X27-(+X27*AE27)),IF(AB27="Probabilidad",X27,"")),"")</f>
        <v/>
      </c>
      <c r="AN27" s="193" t="str">
        <f>IFERROR(IF(OR(AND(AJ27="Muy Baja",AL27="Leve"),AND(AJ27="Muy Baja",AL27="Menor"),AND(AJ27="Baja",AL27="Leve")),"Bajo",IF(OR(AND(AJ27="Muy baja",AL27="Moderado"),AND(AJ27="Baja",AL27="Menor"),AND(AJ27="Baja",AL27="Moderado"),AND(AJ27="Media",AL27="Leve"),AND(AJ27="Media",AL27="Menor"),AND(AJ27="Media",AL27="Moderado"),AND(AJ27="Alta",AL27="Leve"),AND(AJ27="Alta",AL27="Menor")),"Moderado",IF(OR(AND(AJ27="Muy Baja",AL27="Mayor"),AND(AJ27="Baja",AL27="Mayor"),AND(AJ27="Media",AL27="Mayor"),AND(AJ27="Alta",AL27="Moderado"),AND(AJ27="Alta",AL27="Mayor"),AND(AJ27="Muy Alta",AL27="Leve"),AND(AJ27="Muy Alta",AL27="Menor"),AND(AJ27="Muy Alta",AL27="Moderado"),AND(AJ27="Muy Alta",AL27="Mayor")),"Alto",IF(OR(AND(AJ27="Muy Baja",AL27="Catastrófico"),AND(AJ27="Baja",AL27="Catastrófico"),AND(AJ27="Media",AL27="Catastrófico"),AND(AJ27="Alta",AL27="Catastrófico"),AND(AJ27="Muy Alta",AL27="Catastrófico")),"Extremo","")))),"")</f>
        <v/>
      </c>
      <c r="AO27" s="194"/>
      <c r="AP27" s="185"/>
      <c r="AQ27" s="195"/>
      <c r="AR27" s="195"/>
      <c r="AS27" s="196"/>
      <c r="AT27" s="327"/>
      <c r="AU27" s="327"/>
      <c r="AV27" s="327"/>
    </row>
    <row r="28" spans="1:48" ht="37.5" customHeight="1" x14ac:dyDescent="0.2">
      <c r="A28" s="337"/>
      <c r="B28" s="331"/>
      <c r="C28" s="331"/>
      <c r="D28" s="331"/>
      <c r="E28" s="331"/>
      <c r="F28" s="331"/>
      <c r="G28" s="320"/>
      <c r="H28" s="320"/>
      <c r="I28" s="320"/>
      <c r="J28" s="320"/>
      <c r="K28" s="320"/>
      <c r="L28" s="320"/>
      <c r="M28" s="320"/>
      <c r="N28" s="320"/>
      <c r="O28" s="320"/>
      <c r="P28" s="320"/>
      <c r="Q28" s="320"/>
      <c r="R28" s="327"/>
      <c r="S28" s="323"/>
      <c r="T28" s="322"/>
      <c r="U28" s="313"/>
      <c r="V28" s="322">
        <f>IF(NOT(ISERROR(MATCH(U28,_xlfn.ANCHORARRAY(E39),0))),T41&amp;"Por favor no seleccionar los criterios de impacto",U28)</f>
        <v>0</v>
      </c>
      <c r="W28" s="323"/>
      <c r="X28" s="322"/>
      <c r="Y28" s="321"/>
      <c r="Z28" s="213">
        <v>2</v>
      </c>
      <c r="AA28" s="186"/>
      <c r="AB28" s="188" t="str">
        <f>IF(OR(AC28="Preventivo",AC28="Detectivo"),"Probabilidad",IF(AC28="Correctivo","Impacto",""))</f>
        <v/>
      </c>
      <c r="AC28" s="189"/>
      <c r="AD28" s="189"/>
      <c r="AE28" s="190" t="str">
        <f t="shared" ref="AE28:AE32" si="25">IF(AND(AC28="Preventivo",AD28="Automático"),"50%",IF(AND(AC28="Preventivo",AD28="Manual"),"40%",IF(AND(AC28="Detectivo",AD28="Automático"),"40%",IF(AND(AC28="Detectivo",AD28="Manual"),"30%",IF(AND(AC28="Correctivo",AD28="Automático"),"35%",IF(AND(AC28="Correctivo",AD28="Manual"),"25%",""))))))</f>
        <v/>
      </c>
      <c r="AF28" s="189"/>
      <c r="AG28" s="189"/>
      <c r="AH28" s="189"/>
      <c r="AI28" s="191" t="str">
        <f>IFERROR(IF(AND(AB27="Probabilidad",AB28="Probabilidad"),(AK27-(+AK27*AE28)),IF(AB28="Probabilidad",(T27-(+T27*AE28)),IF(AB28="Impacto",AK27,""))),"")</f>
        <v/>
      </c>
      <c r="AJ28" s="192" t="str">
        <f t="shared" si="2"/>
        <v/>
      </c>
      <c r="AK28" s="190" t="str">
        <f t="shared" ref="AK28:AK32" si="26">+AI28</f>
        <v/>
      </c>
      <c r="AL28" s="192" t="str">
        <f t="shared" si="4"/>
        <v/>
      </c>
      <c r="AM28" s="190" t="str">
        <f t="shared" ref="AM28" si="27">IFERROR(IF(AND(AB27="Impacto",AB28="Impacto"),(AM27-(+AM27*AE28)),IF(AB28="Impacto",($X$13-(+$X$13*AE28)),IF(AB28="Probabilidad",AM27,""))),"")</f>
        <v/>
      </c>
      <c r="AN28" s="193" t="str">
        <f t="shared" ref="AN28:AN29" si="28">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4"/>
      <c r="AP28" s="185"/>
      <c r="AQ28" s="195"/>
      <c r="AR28" s="195"/>
      <c r="AS28" s="196"/>
      <c r="AT28" s="327"/>
      <c r="AU28" s="327"/>
      <c r="AV28" s="327"/>
    </row>
    <row r="29" spans="1:48" ht="37.5" customHeight="1" x14ac:dyDescent="0.2">
      <c r="A29" s="337"/>
      <c r="B29" s="331"/>
      <c r="C29" s="331"/>
      <c r="D29" s="331"/>
      <c r="E29" s="331"/>
      <c r="F29" s="331"/>
      <c r="G29" s="320"/>
      <c r="H29" s="320"/>
      <c r="I29" s="320"/>
      <c r="J29" s="320"/>
      <c r="K29" s="320"/>
      <c r="L29" s="320"/>
      <c r="M29" s="320"/>
      <c r="N29" s="320"/>
      <c r="O29" s="320"/>
      <c r="P29" s="320"/>
      <c r="Q29" s="320"/>
      <c r="R29" s="327"/>
      <c r="S29" s="323"/>
      <c r="T29" s="322"/>
      <c r="U29" s="313"/>
      <c r="V29" s="322">
        <f>IF(NOT(ISERROR(MATCH(U29,_xlfn.ANCHORARRAY(E40),0))),T42&amp;"Por favor no seleccionar los criterios de impacto",U29)</f>
        <v>0</v>
      </c>
      <c r="W29" s="323"/>
      <c r="X29" s="322"/>
      <c r="Y29" s="321"/>
      <c r="Z29" s="213">
        <v>3</v>
      </c>
      <c r="AA29" s="187"/>
      <c r="AB29" s="188" t="str">
        <f>IF(OR(AC29="Preventivo",AC29="Detectivo"),"Probabilidad",IF(AC29="Correctivo","Impacto",""))</f>
        <v/>
      </c>
      <c r="AC29" s="189"/>
      <c r="AD29" s="189"/>
      <c r="AE29" s="190" t="str">
        <f t="shared" si="25"/>
        <v/>
      </c>
      <c r="AF29" s="189"/>
      <c r="AG29" s="189"/>
      <c r="AH29" s="189"/>
      <c r="AI29" s="191" t="str">
        <f>IFERROR(IF(AND(AB28="Probabilidad",AB29="Probabilidad"),(AK28-(+AK28*AE29)),IF(AND(AB28="Impacto",AB29="Probabilidad"),(AK27-(+AK27*AE29)),IF(AB29="Impacto",AK28,""))),"")</f>
        <v/>
      </c>
      <c r="AJ29" s="192" t="str">
        <f t="shared" si="2"/>
        <v/>
      </c>
      <c r="AK29" s="190" t="str">
        <f t="shared" si="26"/>
        <v/>
      </c>
      <c r="AL29" s="192" t="str">
        <f t="shared" si="4"/>
        <v/>
      </c>
      <c r="AM29" s="190" t="str">
        <f t="shared" ref="AM29" si="29">IFERROR(IF(AND(AB28="Impacto",AB29="Impacto"),(AM28-(+AM28*AE29)),IF(AND(AB28="Probabilidad",AB29="Impacto"),(AM27-(+AM27*AE29)),IF(AB29="Probabilidad",AM28,""))),"")</f>
        <v/>
      </c>
      <c r="AN29" s="193" t="str">
        <f t="shared" si="28"/>
        <v/>
      </c>
      <c r="AO29" s="194"/>
      <c r="AP29" s="185"/>
      <c r="AQ29" s="195"/>
      <c r="AR29" s="195"/>
      <c r="AS29" s="196"/>
      <c r="AT29" s="327"/>
      <c r="AU29" s="327"/>
      <c r="AV29" s="327"/>
    </row>
    <row r="30" spans="1:48" ht="37.5" customHeight="1" x14ac:dyDescent="0.2">
      <c r="A30" s="337"/>
      <c r="B30" s="331"/>
      <c r="C30" s="331"/>
      <c r="D30" s="331"/>
      <c r="E30" s="331"/>
      <c r="F30" s="331"/>
      <c r="G30" s="320"/>
      <c r="H30" s="320"/>
      <c r="I30" s="320"/>
      <c r="J30" s="320"/>
      <c r="K30" s="320"/>
      <c r="L30" s="320"/>
      <c r="M30" s="320"/>
      <c r="N30" s="320"/>
      <c r="O30" s="320"/>
      <c r="P30" s="320"/>
      <c r="Q30" s="320"/>
      <c r="R30" s="327"/>
      <c r="S30" s="323"/>
      <c r="T30" s="322"/>
      <c r="U30" s="313"/>
      <c r="V30" s="322">
        <f>IF(NOT(ISERROR(MATCH(U30,_xlfn.ANCHORARRAY(E41),0))),T43&amp;"Por favor no seleccionar los criterios de impacto",U30)</f>
        <v>0</v>
      </c>
      <c r="W30" s="323"/>
      <c r="X30" s="322"/>
      <c r="Y30" s="321"/>
      <c r="Z30" s="213">
        <v>4</v>
      </c>
      <c r="AA30" s="186"/>
      <c r="AB30" s="188" t="str">
        <f t="shared" ref="AB30:AB32" si="30">IF(OR(AC30="Preventivo",AC30="Detectivo"),"Probabilidad",IF(AC30="Correctivo","Impacto",""))</f>
        <v/>
      </c>
      <c r="AC30" s="189"/>
      <c r="AD30" s="189"/>
      <c r="AE30" s="190" t="str">
        <f t="shared" si="25"/>
        <v/>
      </c>
      <c r="AF30" s="189"/>
      <c r="AG30" s="189"/>
      <c r="AH30" s="189"/>
      <c r="AI30" s="191" t="str">
        <f t="shared" ref="AI30:AI32" si="31">IFERROR(IF(AND(AB29="Probabilidad",AB30="Probabilidad"),(AK29-(+AK29*AE30)),IF(AND(AB29="Impacto",AB30="Probabilidad"),(AK28-(+AK28*AE30)),IF(AB30="Impacto",AK29,""))),"")</f>
        <v/>
      </c>
      <c r="AJ30" s="192" t="str">
        <f t="shared" si="2"/>
        <v/>
      </c>
      <c r="AK30" s="190" t="str">
        <f t="shared" si="26"/>
        <v/>
      </c>
      <c r="AL30" s="192" t="str">
        <f t="shared" si="4"/>
        <v/>
      </c>
      <c r="AM30" s="190" t="str">
        <f t="shared" si="11"/>
        <v/>
      </c>
      <c r="AN30" s="193" t="str">
        <f>IFERROR(IF(OR(AND(AJ30="Muy Baja",AL30="Leve"),AND(AJ30="Muy Baja",AL30="Menor"),AND(AJ30="Baja",AL30="Leve")),"Bajo",IF(OR(AND(AJ30="Muy baja",AL30="Moderado"),AND(AJ30="Baja",AL30="Menor"),AND(AJ30="Baja",AL30="Moderado"),AND(AJ30="Media",AL30="Leve"),AND(AJ30="Media",AL30="Menor"),AND(AJ30="Media",AL30="Moderado"),AND(AJ30="Alta",AL30="Leve"),AND(AJ30="Alta",AL30="Menor")),"Moderado",IF(OR(AND(AJ30="Muy Baja",AL30="Mayor"),AND(AJ30="Baja",AL30="Mayor"),AND(AJ30="Media",AL30="Mayor"),AND(AJ30="Alta",AL30="Moderado"),AND(AJ30="Alta",AL30="Mayor"),AND(AJ30="Muy Alta",AL30="Leve"),AND(AJ30="Muy Alta",AL30="Menor"),AND(AJ30="Muy Alta",AL30="Moderado"),AND(AJ30="Muy Alta",AL30="Mayor")),"Alto",IF(OR(AND(AJ30="Muy Baja",AL30="Catastrófico"),AND(AJ30="Baja",AL30="Catastrófico"),AND(AJ30="Media",AL30="Catastrófico"),AND(AJ30="Alta",AL30="Catastrófico"),AND(AJ30="Muy Alta",AL30="Catastrófico")),"Extremo","")))),"")</f>
        <v/>
      </c>
      <c r="AO30" s="194"/>
      <c r="AP30" s="185"/>
      <c r="AQ30" s="195"/>
      <c r="AR30" s="195"/>
      <c r="AS30" s="196"/>
      <c r="AT30" s="327"/>
      <c r="AU30" s="327"/>
      <c r="AV30" s="327"/>
    </row>
    <row r="31" spans="1:48" ht="37.5" customHeight="1" x14ac:dyDescent="0.2">
      <c r="A31" s="337"/>
      <c r="B31" s="331"/>
      <c r="C31" s="331"/>
      <c r="D31" s="331"/>
      <c r="E31" s="331"/>
      <c r="F31" s="331"/>
      <c r="G31" s="320"/>
      <c r="H31" s="320"/>
      <c r="I31" s="320"/>
      <c r="J31" s="320"/>
      <c r="K31" s="320"/>
      <c r="L31" s="320"/>
      <c r="M31" s="320"/>
      <c r="N31" s="320"/>
      <c r="O31" s="320"/>
      <c r="P31" s="320"/>
      <c r="Q31" s="320"/>
      <c r="R31" s="327"/>
      <c r="S31" s="323"/>
      <c r="T31" s="322"/>
      <c r="U31" s="313"/>
      <c r="V31" s="322">
        <f>IF(NOT(ISERROR(MATCH(U31,_xlfn.ANCHORARRAY(E42),0))),T44&amp;"Por favor no seleccionar los criterios de impacto",U31)</f>
        <v>0</v>
      </c>
      <c r="W31" s="323"/>
      <c r="X31" s="322"/>
      <c r="Y31" s="321"/>
      <c r="Z31" s="213">
        <v>5</v>
      </c>
      <c r="AA31" s="186"/>
      <c r="AB31" s="188" t="str">
        <f t="shared" si="30"/>
        <v/>
      </c>
      <c r="AC31" s="189"/>
      <c r="AD31" s="189"/>
      <c r="AE31" s="190" t="str">
        <f t="shared" si="25"/>
        <v/>
      </c>
      <c r="AF31" s="189"/>
      <c r="AG31" s="189"/>
      <c r="AH31" s="189"/>
      <c r="AI31" s="191" t="str">
        <f t="shared" si="31"/>
        <v/>
      </c>
      <c r="AJ31" s="192" t="str">
        <f>IFERROR(IF(AI31="","",IF(AI31&lt;=0.2,"Muy Baja",IF(AI31&lt;=0.4,"Baja",IF(AI31&lt;=0.6,"Media",IF(AI31&lt;=0.8,"Alta","Muy Alta"))))),"")</f>
        <v/>
      </c>
      <c r="AK31" s="190" t="str">
        <f t="shared" si="26"/>
        <v/>
      </c>
      <c r="AL31" s="192" t="str">
        <f t="shared" si="4"/>
        <v/>
      </c>
      <c r="AM31" s="190" t="str">
        <f t="shared" si="11"/>
        <v/>
      </c>
      <c r="AN31" s="193" t="str">
        <f t="shared" ref="AN31:AN32" si="32">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4"/>
      <c r="AP31" s="185"/>
      <c r="AQ31" s="195"/>
      <c r="AR31" s="195"/>
      <c r="AS31" s="196"/>
      <c r="AT31" s="327"/>
      <c r="AU31" s="327"/>
      <c r="AV31" s="327"/>
    </row>
    <row r="32" spans="1:48" ht="37.5" customHeight="1" x14ac:dyDescent="0.2">
      <c r="A32" s="337"/>
      <c r="B32" s="331"/>
      <c r="C32" s="331"/>
      <c r="D32" s="331"/>
      <c r="E32" s="331"/>
      <c r="F32" s="331"/>
      <c r="G32" s="325"/>
      <c r="H32" s="325"/>
      <c r="I32" s="325"/>
      <c r="J32" s="325"/>
      <c r="K32" s="325"/>
      <c r="L32" s="325"/>
      <c r="M32" s="325"/>
      <c r="N32" s="325"/>
      <c r="O32" s="325"/>
      <c r="P32" s="325"/>
      <c r="Q32" s="325"/>
      <c r="R32" s="327"/>
      <c r="S32" s="323"/>
      <c r="T32" s="322"/>
      <c r="U32" s="313"/>
      <c r="V32" s="322">
        <f>IF(NOT(ISERROR(MATCH(U32,_xlfn.ANCHORARRAY(E43),0))),T45&amp;"Por favor no seleccionar los criterios de impacto",U32)</f>
        <v>0</v>
      </c>
      <c r="W32" s="323"/>
      <c r="X32" s="322"/>
      <c r="Y32" s="321"/>
      <c r="Z32" s="213">
        <v>6</v>
      </c>
      <c r="AA32" s="186"/>
      <c r="AB32" s="188" t="str">
        <f t="shared" si="30"/>
        <v/>
      </c>
      <c r="AC32" s="189"/>
      <c r="AD32" s="189"/>
      <c r="AE32" s="190" t="str">
        <f t="shared" si="25"/>
        <v/>
      </c>
      <c r="AF32" s="189"/>
      <c r="AG32" s="189"/>
      <c r="AH32" s="189"/>
      <c r="AI32" s="191" t="str">
        <f t="shared" si="31"/>
        <v/>
      </c>
      <c r="AJ32" s="192" t="str">
        <f t="shared" si="2"/>
        <v/>
      </c>
      <c r="AK32" s="190" t="str">
        <f t="shared" si="26"/>
        <v/>
      </c>
      <c r="AL32" s="192" t="str">
        <f t="shared" si="4"/>
        <v/>
      </c>
      <c r="AM32" s="190" t="str">
        <f t="shared" si="11"/>
        <v/>
      </c>
      <c r="AN32" s="193" t="str">
        <f t="shared" si="32"/>
        <v/>
      </c>
      <c r="AO32" s="194"/>
      <c r="AP32" s="185"/>
      <c r="AQ32" s="195"/>
      <c r="AR32" s="195"/>
      <c r="AS32" s="196"/>
      <c r="AT32" s="327"/>
      <c r="AU32" s="327"/>
      <c r="AV32" s="327"/>
    </row>
    <row r="33" spans="1:48" ht="37.5" customHeight="1" x14ac:dyDescent="0.2">
      <c r="A33" s="337">
        <v>5</v>
      </c>
      <c r="B33" s="331"/>
      <c r="C33" s="331"/>
      <c r="D33" s="331"/>
      <c r="E33" s="331"/>
      <c r="F33" s="331"/>
      <c r="G33" s="319"/>
      <c r="H33" s="319"/>
      <c r="I33" s="319"/>
      <c r="J33" s="319"/>
      <c r="K33" s="319"/>
      <c r="L33" s="319"/>
      <c r="M33" s="319"/>
      <c r="N33" s="319"/>
      <c r="O33" s="319"/>
      <c r="P33" s="319"/>
      <c r="Q33" s="319"/>
      <c r="R33" s="327"/>
      <c r="S33" s="323" t="str">
        <f>IF(R33&lt;=0,"",IF(R33&lt;=2,"Muy Baja",IF(R33&lt;=24,"Baja",IF(R33&lt;=500,"Media",IF(R33&lt;=5000,"Alta","Muy Alta")))))</f>
        <v/>
      </c>
      <c r="T33" s="322" t="str">
        <f>IF(S33="","",IF(S33="Muy Baja",0.2,IF(S33="Baja",0.4,IF(S33="Media",0.6,IF(S33="Alta",0.8,IF(S33="Muy Alta",1,))))))</f>
        <v/>
      </c>
      <c r="U33" s="313"/>
      <c r="V33" s="322">
        <f>IF(NOT(ISERROR(MATCH(U33,'Tabla Impacto'!$B$222:$B$224,0))),'Tabla Impacto'!$F$224&amp;"Por favor no seleccionar los criterios de impacto(Afectación Económica o presupuestal y Pérdida Reputacional)",U33)</f>
        <v>0</v>
      </c>
      <c r="W33" s="323" t="str">
        <f>IF(OR(V33='Tabla Impacto'!$C$12,V33='Tabla Impacto'!$D$12),"Leve",IF(OR(V33='Tabla Impacto'!$C$13,V33='Tabla Impacto'!$D$13),"Menor",IF(OR(V33='Tabla Impacto'!$C$14,V33='Tabla Impacto'!$D$14),"Moderado",IF(OR(V33='Tabla Impacto'!$C$15,V33='Tabla Impacto'!$D$15),"Mayor",IF(OR(V33='Tabla Impacto'!$C$16,V33='Tabla Impacto'!$D$16),"Catastrófico","")))))</f>
        <v/>
      </c>
      <c r="X33" s="322" t="str">
        <f>IF(W33="","",IF(W33="Leve",0.2,IF(W33="Menor",0.4,IF(W33="Moderado",0.6,IF(W33="Mayor",0.8,IF(W33="Catastrófico",1,))))))</f>
        <v/>
      </c>
      <c r="Y33" s="321" t="str">
        <f>IF(OR(AND(S33="Muy Baja",W33="Leve"),AND(S33="Muy Baja",W33="Menor"),AND(S33="Baja",W33="Leve")),"Bajo",IF(OR(AND(S33="Muy baja",W33="Moderado"),AND(S33="Baja",W33="Menor"),AND(S33="Baja",W33="Moderado"),AND(S33="Media",W33="Leve"),AND(S33="Media",W33="Menor"),AND(S33="Media",W33="Moderado"),AND(S33="Alta",W33="Leve"),AND(S33="Alta",W33="Menor")),"Moderado",IF(OR(AND(S33="Muy Baja",W33="Mayor"),AND(S33="Baja",W33="Mayor"),AND(S33="Media",W33="Mayor"),AND(S33="Alta",W33="Moderado"),AND(S33="Alta",W33="Mayor"),AND(S33="Muy Alta",W33="Leve"),AND(S33="Muy Alta",W33="Menor"),AND(S33="Muy Alta",W33="Moderado"),AND(S33="Muy Alta",W33="Mayor")),"Alto",IF(OR(AND(S33="Muy Baja",W33="Catastrófico"),AND(S33="Baja",W33="Catastrófico"),AND(S33="Media",W33="Catastrófico"),AND(S33="Alta",W33="Catastrófico"),AND(S33="Muy Alta",W33="Catastrófico")),"Extremo",""))))</f>
        <v/>
      </c>
      <c r="Z33" s="213">
        <v>1</v>
      </c>
      <c r="AA33" s="186"/>
      <c r="AB33" s="188" t="str">
        <f>IF(OR(AC33="Preventivo",AC33="Detectivo"),"Probabilidad",IF(AC33="Correctivo","Impacto",""))</f>
        <v/>
      </c>
      <c r="AC33" s="189"/>
      <c r="AD33" s="189"/>
      <c r="AE33" s="190" t="str">
        <f>IF(AND(AC33="Preventivo",AD33="Automático"),"50%",IF(AND(AC33="Preventivo",AD33="Manual"),"40%",IF(AND(AC33="Detectivo",AD33="Automático"),"40%",IF(AND(AC33="Detectivo",AD33="Manual"),"30%",IF(AND(AC33="Correctivo",AD33="Automático"),"35%",IF(AND(AC33="Correctivo",AD33="Manual"),"25%",""))))))</f>
        <v/>
      </c>
      <c r="AF33" s="189"/>
      <c r="AG33" s="189"/>
      <c r="AH33" s="189"/>
      <c r="AI33" s="191" t="str">
        <f>IFERROR(IF(AB33="Probabilidad",(T33-(+T33*AE33)),IF(AB33="Impacto",T33,"")),"")</f>
        <v/>
      </c>
      <c r="AJ33" s="192" t="str">
        <f>IFERROR(IF(AI33="","",IF(AI33&lt;=0.2,"Muy Baja",IF(AI33&lt;=0.4,"Baja",IF(AI33&lt;=0.6,"Media",IF(AI33&lt;=0.8,"Alta","Muy Alta"))))),"")</f>
        <v/>
      </c>
      <c r="AK33" s="190" t="str">
        <f>+AI33</f>
        <v/>
      </c>
      <c r="AL33" s="192" t="str">
        <f>IFERROR(IF(AM33="","",IF(AM33&lt;=0.2,"Leve",IF(AM33&lt;=0.4,"Menor",IF(AM33&lt;=0.6,"Moderado",IF(AM33&lt;=0.8,"Mayor","Catastrófico"))))),"")</f>
        <v/>
      </c>
      <c r="AM33" s="190" t="str">
        <f t="shared" ref="AM33" si="33">IFERROR(IF(AB33="Impacto",(X33-(+X33*AE33)),IF(AB33="Probabilidad",X33,"")),"")</f>
        <v/>
      </c>
      <c r="AN33" s="193" t="str">
        <f>IFERROR(IF(OR(AND(AJ33="Muy Baja",AL33="Leve"),AND(AJ33="Muy Baja",AL33="Menor"),AND(AJ33="Baja",AL33="Leve")),"Bajo",IF(OR(AND(AJ33="Muy baja",AL33="Moderado"),AND(AJ33="Baja",AL33="Menor"),AND(AJ33="Baja",AL33="Moderado"),AND(AJ33="Media",AL33="Leve"),AND(AJ33="Media",AL33="Menor"),AND(AJ33="Media",AL33="Moderado"),AND(AJ33="Alta",AL33="Leve"),AND(AJ33="Alta",AL33="Menor")),"Moderado",IF(OR(AND(AJ33="Muy Baja",AL33="Mayor"),AND(AJ33="Baja",AL33="Mayor"),AND(AJ33="Media",AL33="Mayor"),AND(AJ33="Alta",AL33="Moderado"),AND(AJ33="Alta",AL33="Mayor"),AND(AJ33="Muy Alta",AL33="Leve"),AND(AJ33="Muy Alta",AL33="Menor"),AND(AJ33="Muy Alta",AL33="Moderado"),AND(AJ33="Muy Alta",AL33="Mayor")),"Alto",IF(OR(AND(AJ33="Muy Baja",AL33="Catastrófico"),AND(AJ33="Baja",AL33="Catastrófico"),AND(AJ33="Media",AL33="Catastrófico"),AND(AJ33="Alta",AL33="Catastrófico"),AND(AJ33="Muy Alta",AL33="Catastrófico")),"Extremo","")))),"")</f>
        <v/>
      </c>
      <c r="AO33" s="194"/>
      <c r="AP33" s="185"/>
      <c r="AQ33" s="195"/>
      <c r="AR33" s="195"/>
      <c r="AS33" s="196"/>
      <c r="AT33" s="327"/>
      <c r="AU33" s="327"/>
      <c r="AV33" s="327"/>
    </row>
    <row r="34" spans="1:48" ht="37.5" customHeight="1" x14ac:dyDescent="0.2">
      <c r="A34" s="337"/>
      <c r="B34" s="331"/>
      <c r="C34" s="331"/>
      <c r="D34" s="331"/>
      <c r="E34" s="331"/>
      <c r="F34" s="331"/>
      <c r="G34" s="320"/>
      <c r="H34" s="320"/>
      <c r="I34" s="320"/>
      <c r="J34" s="320"/>
      <c r="K34" s="320"/>
      <c r="L34" s="320"/>
      <c r="M34" s="320"/>
      <c r="N34" s="320"/>
      <c r="O34" s="320"/>
      <c r="P34" s="320"/>
      <c r="Q34" s="320"/>
      <c r="R34" s="327"/>
      <c r="S34" s="323"/>
      <c r="T34" s="322"/>
      <c r="U34" s="313"/>
      <c r="V34" s="322">
        <f>IF(NOT(ISERROR(MATCH(U34,_xlfn.ANCHORARRAY(E45),0))),T47&amp;"Por favor no seleccionar los criterios de impacto",U34)</f>
        <v>0</v>
      </c>
      <c r="W34" s="323"/>
      <c r="X34" s="322"/>
      <c r="Y34" s="321"/>
      <c r="Z34" s="213">
        <v>2</v>
      </c>
      <c r="AA34" s="186"/>
      <c r="AB34" s="188" t="str">
        <f>IF(OR(AC34="Preventivo",AC34="Detectivo"),"Probabilidad",IF(AC34="Correctivo","Impacto",""))</f>
        <v/>
      </c>
      <c r="AC34" s="189"/>
      <c r="AD34" s="189"/>
      <c r="AE34" s="190" t="str">
        <f t="shared" ref="AE34:AE38" si="34">IF(AND(AC34="Preventivo",AD34="Automático"),"50%",IF(AND(AC34="Preventivo",AD34="Manual"),"40%",IF(AND(AC34="Detectivo",AD34="Automático"),"40%",IF(AND(AC34="Detectivo",AD34="Manual"),"30%",IF(AND(AC34="Correctivo",AD34="Automático"),"35%",IF(AND(AC34="Correctivo",AD34="Manual"),"25%",""))))))</f>
        <v/>
      </c>
      <c r="AF34" s="189"/>
      <c r="AG34" s="189"/>
      <c r="AH34" s="189"/>
      <c r="AI34" s="191" t="str">
        <f>IFERROR(IF(AND(AB33="Probabilidad",AB34="Probabilidad"),(AK33-(+AK33*AE34)),IF(AB34="Probabilidad",(T33-(+T33*AE34)),IF(AB34="Impacto",AK33,""))),"")</f>
        <v/>
      </c>
      <c r="AJ34" s="192" t="str">
        <f t="shared" si="2"/>
        <v/>
      </c>
      <c r="AK34" s="190" t="str">
        <f t="shared" ref="AK34:AK38" si="35">+AI34</f>
        <v/>
      </c>
      <c r="AL34" s="192" t="str">
        <f t="shared" si="4"/>
        <v/>
      </c>
      <c r="AM34" s="190" t="str">
        <f t="shared" ref="AM34" si="36">IFERROR(IF(AND(AB33="Impacto",AB34="Impacto"),(AM33-(+AM33*AE34)),IF(AB34="Impacto",($X$13-(+$X$13*AE34)),IF(AB34="Probabilidad",AM33,""))),"")</f>
        <v/>
      </c>
      <c r="AN34" s="193" t="str">
        <f t="shared" ref="AN34:AN35" si="37">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4"/>
      <c r="AP34" s="185"/>
      <c r="AQ34" s="195"/>
      <c r="AR34" s="195"/>
      <c r="AS34" s="196"/>
      <c r="AT34" s="327"/>
      <c r="AU34" s="327"/>
      <c r="AV34" s="327"/>
    </row>
    <row r="35" spans="1:48" ht="37.5" customHeight="1" x14ac:dyDescent="0.2">
      <c r="A35" s="337"/>
      <c r="B35" s="331"/>
      <c r="C35" s="331"/>
      <c r="D35" s="331"/>
      <c r="E35" s="331"/>
      <c r="F35" s="331"/>
      <c r="G35" s="320"/>
      <c r="H35" s="320"/>
      <c r="I35" s="320"/>
      <c r="J35" s="320"/>
      <c r="K35" s="320"/>
      <c r="L35" s="320"/>
      <c r="M35" s="320"/>
      <c r="N35" s="320"/>
      <c r="O35" s="320"/>
      <c r="P35" s="320"/>
      <c r="Q35" s="320"/>
      <c r="R35" s="327"/>
      <c r="S35" s="323"/>
      <c r="T35" s="322"/>
      <c r="U35" s="313"/>
      <c r="V35" s="322">
        <f>IF(NOT(ISERROR(MATCH(U35,_xlfn.ANCHORARRAY(E46),0))),T48&amp;"Por favor no seleccionar los criterios de impacto",U35)</f>
        <v>0</v>
      </c>
      <c r="W35" s="323"/>
      <c r="X35" s="322"/>
      <c r="Y35" s="321"/>
      <c r="Z35" s="213">
        <v>3</v>
      </c>
      <c r="AA35" s="187"/>
      <c r="AB35" s="188" t="str">
        <f>IF(OR(AC35="Preventivo",AC35="Detectivo"),"Probabilidad",IF(AC35="Correctivo","Impacto",""))</f>
        <v/>
      </c>
      <c r="AC35" s="189"/>
      <c r="AD35" s="189"/>
      <c r="AE35" s="190" t="str">
        <f t="shared" si="34"/>
        <v/>
      </c>
      <c r="AF35" s="189"/>
      <c r="AG35" s="189"/>
      <c r="AH35" s="189"/>
      <c r="AI35" s="191" t="str">
        <f>IFERROR(IF(AND(AB34="Probabilidad",AB35="Probabilidad"),(AK34-(+AK34*AE35)),IF(AND(AB34="Impacto",AB35="Probabilidad"),(AK33-(+AK33*AE35)),IF(AB35="Impacto",AK34,""))),"")</f>
        <v/>
      </c>
      <c r="AJ35" s="192" t="str">
        <f t="shared" si="2"/>
        <v/>
      </c>
      <c r="AK35" s="190" t="str">
        <f t="shared" si="35"/>
        <v/>
      </c>
      <c r="AL35" s="192" t="str">
        <f t="shared" si="4"/>
        <v/>
      </c>
      <c r="AM35" s="190" t="str">
        <f t="shared" ref="AM35" si="38">IFERROR(IF(AND(AB34="Impacto",AB35="Impacto"),(AM34-(+AM34*AE35)),IF(AND(AB34="Probabilidad",AB35="Impacto"),(AM33-(+AM33*AE35)),IF(AB35="Probabilidad",AM34,""))),"")</f>
        <v/>
      </c>
      <c r="AN35" s="193" t="str">
        <f t="shared" si="37"/>
        <v/>
      </c>
      <c r="AO35" s="194"/>
      <c r="AP35" s="185"/>
      <c r="AQ35" s="195"/>
      <c r="AR35" s="195"/>
      <c r="AS35" s="196"/>
      <c r="AT35" s="327"/>
      <c r="AU35" s="327"/>
      <c r="AV35" s="327"/>
    </row>
    <row r="36" spans="1:48" ht="37.5" customHeight="1" x14ac:dyDescent="0.2">
      <c r="A36" s="337"/>
      <c r="B36" s="331"/>
      <c r="C36" s="331"/>
      <c r="D36" s="331"/>
      <c r="E36" s="331"/>
      <c r="F36" s="331"/>
      <c r="G36" s="320"/>
      <c r="H36" s="320"/>
      <c r="I36" s="320"/>
      <c r="J36" s="320"/>
      <c r="K36" s="320"/>
      <c r="L36" s="320"/>
      <c r="M36" s="320"/>
      <c r="N36" s="320"/>
      <c r="O36" s="320"/>
      <c r="P36" s="320"/>
      <c r="Q36" s="320"/>
      <c r="R36" s="327"/>
      <c r="S36" s="323"/>
      <c r="T36" s="322"/>
      <c r="U36" s="313"/>
      <c r="V36" s="322">
        <f>IF(NOT(ISERROR(MATCH(U36,_xlfn.ANCHORARRAY(E47),0))),T49&amp;"Por favor no seleccionar los criterios de impacto",U36)</f>
        <v>0</v>
      </c>
      <c r="W36" s="323"/>
      <c r="X36" s="322"/>
      <c r="Y36" s="321"/>
      <c r="Z36" s="213">
        <v>4</v>
      </c>
      <c r="AA36" s="186"/>
      <c r="AB36" s="188" t="str">
        <f t="shared" ref="AB36:AB38" si="39">IF(OR(AC36="Preventivo",AC36="Detectivo"),"Probabilidad",IF(AC36="Correctivo","Impacto",""))</f>
        <v/>
      </c>
      <c r="AC36" s="189"/>
      <c r="AD36" s="189"/>
      <c r="AE36" s="190" t="str">
        <f t="shared" si="34"/>
        <v/>
      </c>
      <c r="AF36" s="189"/>
      <c r="AG36" s="189"/>
      <c r="AH36" s="189"/>
      <c r="AI36" s="191" t="str">
        <f t="shared" ref="AI36:AI38" si="40">IFERROR(IF(AND(AB35="Probabilidad",AB36="Probabilidad"),(AK35-(+AK35*AE36)),IF(AND(AB35="Impacto",AB36="Probabilidad"),(AK34-(+AK34*AE36)),IF(AB36="Impacto",AK35,""))),"")</f>
        <v/>
      </c>
      <c r="AJ36" s="192" t="str">
        <f t="shared" si="2"/>
        <v/>
      </c>
      <c r="AK36" s="190" t="str">
        <f t="shared" si="35"/>
        <v/>
      </c>
      <c r="AL36" s="192" t="str">
        <f t="shared" si="4"/>
        <v/>
      </c>
      <c r="AM36" s="190" t="str">
        <f t="shared" si="11"/>
        <v/>
      </c>
      <c r="AN36" s="193" t="str">
        <f>IFERROR(IF(OR(AND(AJ36="Muy Baja",AL36="Leve"),AND(AJ36="Muy Baja",AL36="Menor"),AND(AJ36="Baja",AL36="Leve")),"Bajo",IF(OR(AND(AJ36="Muy baja",AL36="Moderado"),AND(AJ36="Baja",AL36="Menor"),AND(AJ36="Baja",AL36="Moderado"),AND(AJ36="Media",AL36="Leve"),AND(AJ36="Media",AL36="Menor"),AND(AJ36="Media",AL36="Moderado"),AND(AJ36="Alta",AL36="Leve"),AND(AJ36="Alta",AL36="Menor")),"Moderado",IF(OR(AND(AJ36="Muy Baja",AL36="Mayor"),AND(AJ36="Baja",AL36="Mayor"),AND(AJ36="Media",AL36="Mayor"),AND(AJ36="Alta",AL36="Moderado"),AND(AJ36="Alta",AL36="Mayor"),AND(AJ36="Muy Alta",AL36="Leve"),AND(AJ36="Muy Alta",AL36="Menor"),AND(AJ36="Muy Alta",AL36="Moderado"),AND(AJ36="Muy Alta",AL36="Mayor")),"Alto",IF(OR(AND(AJ36="Muy Baja",AL36="Catastrófico"),AND(AJ36="Baja",AL36="Catastrófico"),AND(AJ36="Media",AL36="Catastrófico"),AND(AJ36="Alta",AL36="Catastrófico"),AND(AJ36="Muy Alta",AL36="Catastrófico")),"Extremo","")))),"")</f>
        <v/>
      </c>
      <c r="AO36" s="194"/>
      <c r="AP36" s="185"/>
      <c r="AQ36" s="195"/>
      <c r="AR36" s="195"/>
      <c r="AS36" s="196"/>
      <c r="AT36" s="327"/>
      <c r="AU36" s="327"/>
      <c r="AV36" s="327"/>
    </row>
    <row r="37" spans="1:48" ht="37.5" customHeight="1" x14ac:dyDescent="0.2">
      <c r="A37" s="337"/>
      <c r="B37" s="331"/>
      <c r="C37" s="331"/>
      <c r="D37" s="331"/>
      <c r="E37" s="331"/>
      <c r="F37" s="331"/>
      <c r="G37" s="320"/>
      <c r="H37" s="320"/>
      <c r="I37" s="320"/>
      <c r="J37" s="320"/>
      <c r="K37" s="320"/>
      <c r="L37" s="320"/>
      <c r="M37" s="320"/>
      <c r="N37" s="320"/>
      <c r="O37" s="320"/>
      <c r="P37" s="320"/>
      <c r="Q37" s="320"/>
      <c r="R37" s="327"/>
      <c r="S37" s="323"/>
      <c r="T37" s="322"/>
      <c r="U37" s="313"/>
      <c r="V37" s="322">
        <f>IF(NOT(ISERROR(MATCH(U37,_xlfn.ANCHORARRAY(E48),0))),T50&amp;"Por favor no seleccionar los criterios de impacto",U37)</f>
        <v>0</v>
      </c>
      <c r="W37" s="323"/>
      <c r="X37" s="322"/>
      <c r="Y37" s="321"/>
      <c r="Z37" s="213">
        <v>5</v>
      </c>
      <c r="AA37" s="186"/>
      <c r="AB37" s="188" t="str">
        <f t="shared" si="39"/>
        <v/>
      </c>
      <c r="AC37" s="189"/>
      <c r="AD37" s="189"/>
      <c r="AE37" s="190" t="str">
        <f t="shared" si="34"/>
        <v/>
      </c>
      <c r="AF37" s="189"/>
      <c r="AG37" s="189"/>
      <c r="AH37" s="189"/>
      <c r="AI37" s="191" t="str">
        <f t="shared" si="40"/>
        <v/>
      </c>
      <c r="AJ37" s="192" t="str">
        <f t="shared" si="2"/>
        <v/>
      </c>
      <c r="AK37" s="190" t="str">
        <f t="shared" si="35"/>
        <v/>
      </c>
      <c r="AL37" s="192" t="str">
        <f t="shared" si="4"/>
        <v/>
      </c>
      <c r="AM37" s="190" t="str">
        <f t="shared" si="11"/>
        <v/>
      </c>
      <c r="AN37" s="193" t="str">
        <f t="shared" ref="AN37:AN38" si="41">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4"/>
      <c r="AP37" s="185"/>
      <c r="AQ37" s="195"/>
      <c r="AR37" s="195"/>
      <c r="AS37" s="196"/>
      <c r="AT37" s="327"/>
      <c r="AU37" s="327"/>
      <c r="AV37" s="327"/>
    </row>
    <row r="38" spans="1:48" ht="37.5" customHeight="1" x14ac:dyDescent="0.2">
      <c r="A38" s="337"/>
      <c r="B38" s="331"/>
      <c r="C38" s="331"/>
      <c r="D38" s="331"/>
      <c r="E38" s="331"/>
      <c r="F38" s="331"/>
      <c r="G38" s="325"/>
      <c r="H38" s="325"/>
      <c r="I38" s="325"/>
      <c r="J38" s="325"/>
      <c r="K38" s="325"/>
      <c r="L38" s="325"/>
      <c r="M38" s="325"/>
      <c r="N38" s="325"/>
      <c r="O38" s="325"/>
      <c r="P38" s="325"/>
      <c r="Q38" s="325"/>
      <c r="R38" s="327"/>
      <c r="S38" s="323"/>
      <c r="T38" s="322"/>
      <c r="U38" s="313"/>
      <c r="V38" s="322">
        <f>IF(NOT(ISERROR(MATCH(U38,_xlfn.ANCHORARRAY(E49),0))),T51&amp;"Por favor no seleccionar los criterios de impacto",U38)</f>
        <v>0</v>
      </c>
      <c r="W38" s="323"/>
      <c r="X38" s="322"/>
      <c r="Y38" s="321"/>
      <c r="Z38" s="213">
        <v>6</v>
      </c>
      <c r="AA38" s="186"/>
      <c r="AB38" s="188" t="str">
        <f t="shared" si="39"/>
        <v/>
      </c>
      <c r="AC38" s="189"/>
      <c r="AD38" s="189"/>
      <c r="AE38" s="190" t="str">
        <f t="shared" si="34"/>
        <v/>
      </c>
      <c r="AF38" s="189"/>
      <c r="AG38" s="189"/>
      <c r="AH38" s="189"/>
      <c r="AI38" s="191" t="str">
        <f t="shared" si="40"/>
        <v/>
      </c>
      <c r="AJ38" s="192" t="str">
        <f t="shared" si="2"/>
        <v/>
      </c>
      <c r="AK38" s="190" t="str">
        <f t="shared" si="35"/>
        <v/>
      </c>
      <c r="AL38" s="192" t="str">
        <f t="shared" si="4"/>
        <v/>
      </c>
      <c r="AM38" s="190" t="str">
        <f t="shared" si="11"/>
        <v/>
      </c>
      <c r="AN38" s="193" t="str">
        <f t="shared" si="41"/>
        <v/>
      </c>
      <c r="AO38" s="194"/>
      <c r="AP38" s="185"/>
      <c r="AQ38" s="195"/>
      <c r="AR38" s="195"/>
      <c r="AS38" s="196"/>
      <c r="AT38" s="327"/>
      <c r="AU38" s="327"/>
      <c r="AV38" s="327"/>
    </row>
    <row r="39" spans="1:48" ht="37.5" customHeight="1" x14ac:dyDescent="0.2">
      <c r="A39" s="337">
        <v>6</v>
      </c>
      <c r="B39" s="331"/>
      <c r="C39" s="331"/>
      <c r="D39" s="331"/>
      <c r="E39" s="319"/>
      <c r="F39" s="331"/>
      <c r="G39" s="319"/>
      <c r="H39" s="319"/>
      <c r="I39" s="319"/>
      <c r="J39" s="319"/>
      <c r="K39" s="319"/>
      <c r="L39" s="319"/>
      <c r="M39" s="319"/>
      <c r="N39" s="319"/>
      <c r="O39" s="319"/>
      <c r="P39" s="319"/>
      <c r="Q39" s="319"/>
      <c r="R39" s="327"/>
      <c r="S39" s="323" t="str">
        <f>IF(R39&lt;=0,"",IF(R39&lt;=2,"Muy Baja",IF(R39&lt;=24,"Baja",IF(R39&lt;=500,"Media",IF(R39&lt;=5000,"Alta","Muy Alta")))))</f>
        <v/>
      </c>
      <c r="T39" s="322" t="str">
        <f>IF(S39="","",IF(S39="Muy Baja",0.2,IF(S39="Baja",0.4,IF(S39="Media",0.6,IF(S39="Alta",0.8,IF(S39="Muy Alta",1,))))))</f>
        <v/>
      </c>
      <c r="U39" s="313"/>
      <c r="V39" s="322">
        <f>IF(NOT(ISERROR(MATCH(U39,'Tabla Impacto'!$B$222:$B$224,0))),'Tabla Impacto'!$F$224&amp;"Por favor no seleccionar los criterios de impacto(Afectación Económica o presupuestal y Pérdida Reputacional)",U39)</f>
        <v>0</v>
      </c>
      <c r="W39" s="323" t="str">
        <f>IF(OR(V39='Tabla Impacto'!$C$12,V39='Tabla Impacto'!$D$12),"Leve",IF(OR(V39='Tabla Impacto'!$C$13,V39='Tabla Impacto'!$D$13),"Menor",IF(OR(V39='Tabla Impacto'!$C$14,V39='Tabla Impacto'!$D$14),"Moderado",IF(OR(V39='Tabla Impacto'!$C$15,V39='Tabla Impacto'!$D$15),"Mayor",IF(OR(V39='Tabla Impacto'!$C$16,V39='Tabla Impacto'!$D$16),"Catastrófico","")))))</f>
        <v/>
      </c>
      <c r="X39" s="322" t="str">
        <f>IF(W39="","",IF(W39="Leve",0.2,IF(W39="Menor",0.4,IF(W39="Moderado",0.6,IF(W39="Mayor",0.8,IF(W39="Catastrófico",1,))))))</f>
        <v/>
      </c>
      <c r="Y39" s="321" t="str">
        <f>IF(OR(AND(S39="Muy Baja",W39="Leve"),AND(S39="Muy Baja",W39="Menor"),AND(S39="Baja",W39="Leve")),"Bajo",IF(OR(AND(S39="Muy baja",W39="Moderado"),AND(S39="Baja",W39="Menor"),AND(S39="Baja",W39="Moderado"),AND(S39="Media",W39="Leve"),AND(S39="Media",W39="Menor"),AND(S39="Media",W39="Moderado"),AND(S39="Alta",W39="Leve"),AND(S39="Alta",W39="Menor")),"Moderado",IF(OR(AND(S39="Muy Baja",W39="Mayor"),AND(S39="Baja",W39="Mayor"),AND(S39="Media",W39="Mayor"),AND(S39="Alta",W39="Moderado"),AND(S39="Alta",W39="Mayor"),AND(S39="Muy Alta",W39="Leve"),AND(S39="Muy Alta",W39="Menor"),AND(S39="Muy Alta",W39="Moderado"),AND(S39="Muy Alta",W39="Mayor")),"Alto",IF(OR(AND(S39="Muy Baja",W39="Catastrófico"),AND(S39="Baja",W39="Catastrófico"),AND(S39="Media",W39="Catastrófico"),AND(S39="Alta",W39="Catastrófico"),AND(S39="Muy Alta",W39="Catastrófico")),"Extremo",""))))</f>
        <v/>
      </c>
      <c r="Z39" s="213">
        <v>1</v>
      </c>
      <c r="AA39" s="186"/>
      <c r="AB39" s="188" t="str">
        <f>IF(OR(AC39="Preventivo",AC39="Detectivo"),"Probabilidad",IF(AC39="Correctivo","Impacto",""))</f>
        <v/>
      </c>
      <c r="AC39" s="189"/>
      <c r="AD39" s="189"/>
      <c r="AE39" s="190" t="str">
        <f>IF(AND(AC39="Preventivo",AD39="Automático"),"50%",IF(AND(AC39="Preventivo",AD39="Manual"),"40%",IF(AND(AC39="Detectivo",AD39="Automático"),"40%",IF(AND(AC39="Detectivo",AD39="Manual"),"30%",IF(AND(AC39="Correctivo",AD39="Automático"),"35%",IF(AND(AC39="Correctivo",AD39="Manual"),"25%",""))))))</f>
        <v/>
      </c>
      <c r="AF39" s="189"/>
      <c r="AG39" s="189"/>
      <c r="AH39" s="189"/>
      <c r="AI39" s="191" t="str">
        <f>IFERROR(IF(AB39="Probabilidad",(T39-(+T39*AE39)),IF(AB39="Impacto",T39,"")),"")</f>
        <v/>
      </c>
      <c r="AJ39" s="192" t="str">
        <f>IFERROR(IF(AI39="","",IF(AI39&lt;=0.2,"Muy Baja",IF(AI39&lt;=0.4,"Baja",IF(AI39&lt;=0.6,"Media",IF(AI39&lt;=0.8,"Alta","Muy Alta"))))),"")</f>
        <v/>
      </c>
      <c r="AK39" s="190" t="str">
        <f>+AI39</f>
        <v/>
      </c>
      <c r="AL39" s="192" t="str">
        <f>IFERROR(IF(AM39="","",IF(AM39&lt;=0.2,"Leve",IF(AM39&lt;=0.4,"Menor",IF(AM39&lt;=0.6,"Moderado",IF(AM39&lt;=0.8,"Mayor","Catastrófico"))))),"")</f>
        <v/>
      </c>
      <c r="AM39" s="190" t="str">
        <f t="shared" ref="AM39" si="42">IFERROR(IF(AB39="Impacto",(X39-(+X39*AE39)),IF(AB39="Probabilidad",X39,"")),"")</f>
        <v/>
      </c>
      <c r="AN39" s="193" t="str">
        <f>IFERROR(IF(OR(AND(AJ39="Muy Baja",AL39="Leve"),AND(AJ39="Muy Baja",AL39="Menor"),AND(AJ39="Baja",AL39="Leve")),"Bajo",IF(OR(AND(AJ39="Muy baja",AL39="Moderado"),AND(AJ39="Baja",AL39="Menor"),AND(AJ39="Baja",AL39="Moderado"),AND(AJ39="Media",AL39="Leve"),AND(AJ39="Media",AL39="Menor"),AND(AJ39="Media",AL39="Moderado"),AND(AJ39="Alta",AL39="Leve"),AND(AJ39="Alta",AL39="Menor")),"Moderado",IF(OR(AND(AJ39="Muy Baja",AL39="Mayor"),AND(AJ39="Baja",AL39="Mayor"),AND(AJ39="Media",AL39="Mayor"),AND(AJ39="Alta",AL39="Moderado"),AND(AJ39="Alta",AL39="Mayor"),AND(AJ39="Muy Alta",AL39="Leve"),AND(AJ39="Muy Alta",AL39="Menor"),AND(AJ39="Muy Alta",AL39="Moderado"),AND(AJ39="Muy Alta",AL39="Mayor")),"Alto",IF(OR(AND(AJ39="Muy Baja",AL39="Catastrófico"),AND(AJ39="Baja",AL39="Catastrófico"),AND(AJ39="Media",AL39="Catastrófico"),AND(AJ39="Alta",AL39="Catastrófico"),AND(AJ39="Muy Alta",AL39="Catastrófico")),"Extremo","")))),"")</f>
        <v/>
      </c>
      <c r="AO39" s="189"/>
      <c r="AP39" s="185"/>
      <c r="AQ39" s="195"/>
      <c r="AR39" s="195"/>
      <c r="AS39" s="196"/>
      <c r="AT39" s="327"/>
      <c r="AU39" s="327"/>
      <c r="AV39" s="327"/>
    </row>
    <row r="40" spans="1:48" ht="37.5" customHeight="1" x14ac:dyDescent="0.2">
      <c r="A40" s="337"/>
      <c r="B40" s="331"/>
      <c r="C40" s="331"/>
      <c r="D40" s="331"/>
      <c r="E40" s="320"/>
      <c r="F40" s="331"/>
      <c r="G40" s="320"/>
      <c r="H40" s="320"/>
      <c r="I40" s="320"/>
      <c r="J40" s="320"/>
      <c r="K40" s="320"/>
      <c r="L40" s="320"/>
      <c r="M40" s="320"/>
      <c r="N40" s="320"/>
      <c r="O40" s="320"/>
      <c r="P40" s="320"/>
      <c r="Q40" s="320"/>
      <c r="R40" s="327"/>
      <c r="S40" s="323"/>
      <c r="T40" s="322"/>
      <c r="U40" s="313"/>
      <c r="V40" s="322">
        <f>IF(NOT(ISERROR(MATCH(U40,_xlfn.ANCHORARRAY(E51),0))),T53&amp;"Por favor no seleccionar los criterios de impacto",U40)</f>
        <v>0</v>
      </c>
      <c r="W40" s="323"/>
      <c r="X40" s="322"/>
      <c r="Y40" s="321"/>
      <c r="Z40" s="213">
        <v>2</v>
      </c>
      <c r="AA40" s="186"/>
      <c r="AB40" s="188" t="str">
        <f>IF(OR(AC40="Preventivo",AC40="Detectivo"),"Probabilidad",IF(AC40="Correctivo","Impacto",""))</f>
        <v/>
      </c>
      <c r="AC40" s="189"/>
      <c r="AD40" s="189"/>
      <c r="AE40" s="190" t="str">
        <f t="shared" ref="AE40:AE44" si="43">IF(AND(AC40="Preventivo",AD40="Automático"),"50%",IF(AND(AC40="Preventivo",AD40="Manual"),"40%",IF(AND(AC40="Detectivo",AD40="Automático"),"40%",IF(AND(AC40="Detectivo",AD40="Manual"),"30%",IF(AND(AC40="Correctivo",AD40="Automático"),"35%",IF(AND(AC40="Correctivo",AD40="Manual"),"25%",""))))))</f>
        <v/>
      </c>
      <c r="AF40" s="189"/>
      <c r="AG40" s="189"/>
      <c r="AH40" s="189"/>
      <c r="AI40" s="191" t="str">
        <f>IFERROR(IF(AND(AB39="Probabilidad",AB40="Probabilidad"),(AK39-(+AK39*AE40)),IF(AB40="Probabilidad",(T39-(+T39*AE40)),IF(AB40="Impacto",AK39,""))),"")</f>
        <v/>
      </c>
      <c r="AJ40" s="192" t="str">
        <f t="shared" si="2"/>
        <v/>
      </c>
      <c r="AK40" s="190" t="str">
        <f t="shared" ref="AK40:AK44" si="44">+AI40</f>
        <v/>
      </c>
      <c r="AL40" s="192" t="str">
        <f t="shared" si="4"/>
        <v/>
      </c>
      <c r="AM40" s="190" t="str">
        <f t="shared" ref="AM40" si="45">IFERROR(IF(AND(AB39="Impacto",AB40="Impacto"),(AM39-(+AM39*AE40)),IF(AB40="Impacto",($X$13-(+$X$13*AE40)),IF(AB40="Probabilidad",AM39,""))),"")</f>
        <v/>
      </c>
      <c r="AN40" s="193" t="str">
        <f t="shared" ref="AN40:AN41" si="46">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4"/>
      <c r="AP40" s="185"/>
      <c r="AQ40" s="195"/>
      <c r="AR40" s="195"/>
      <c r="AS40" s="196"/>
      <c r="AT40" s="327"/>
      <c r="AU40" s="327"/>
      <c r="AV40" s="327"/>
    </row>
    <row r="41" spans="1:48" ht="37.5" customHeight="1" x14ac:dyDescent="0.2">
      <c r="A41" s="337"/>
      <c r="B41" s="331"/>
      <c r="C41" s="331"/>
      <c r="D41" s="331"/>
      <c r="E41" s="320"/>
      <c r="F41" s="331"/>
      <c r="G41" s="320"/>
      <c r="H41" s="320"/>
      <c r="I41" s="320"/>
      <c r="J41" s="320"/>
      <c r="K41" s="320"/>
      <c r="L41" s="320"/>
      <c r="M41" s="320"/>
      <c r="N41" s="320"/>
      <c r="O41" s="320"/>
      <c r="P41" s="320"/>
      <c r="Q41" s="320"/>
      <c r="R41" s="327"/>
      <c r="S41" s="323"/>
      <c r="T41" s="322"/>
      <c r="U41" s="313"/>
      <c r="V41" s="322">
        <f>IF(NOT(ISERROR(MATCH(U41,_xlfn.ANCHORARRAY(E52),0))),T54&amp;"Por favor no seleccionar los criterios de impacto",U41)</f>
        <v>0</v>
      </c>
      <c r="W41" s="323"/>
      <c r="X41" s="322"/>
      <c r="Y41" s="321"/>
      <c r="Z41" s="213">
        <v>3</v>
      </c>
      <c r="AA41" s="187"/>
      <c r="AB41" s="188" t="str">
        <f>IF(OR(AC41="Preventivo",AC41="Detectivo"),"Probabilidad",IF(AC41="Correctivo","Impacto",""))</f>
        <v/>
      </c>
      <c r="AC41" s="189"/>
      <c r="AD41" s="189"/>
      <c r="AE41" s="190" t="str">
        <f t="shared" si="43"/>
        <v/>
      </c>
      <c r="AF41" s="189"/>
      <c r="AG41" s="189"/>
      <c r="AH41" s="189"/>
      <c r="AI41" s="191" t="str">
        <f>IFERROR(IF(AND(AB40="Probabilidad",AB41="Probabilidad"),(AK40-(+AK40*AE41)),IF(AND(AB40="Impacto",AB41="Probabilidad"),(AK39-(+AK39*AE41)),IF(AB41="Impacto",AK40,""))),"")</f>
        <v/>
      </c>
      <c r="AJ41" s="192" t="str">
        <f t="shared" si="2"/>
        <v/>
      </c>
      <c r="AK41" s="190" t="str">
        <f t="shared" si="44"/>
        <v/>
      </c>
      <c r="AL41" s="192" t="str">
        <f t="shared" si="4"/>
        <v/>
      </c>
      <c r="AM41" s="190" t="str">
        <f t="shared" ref="AM41" si="47">IFERROR(IF(AND(AB40="Impacto",AB41="Impacto"),(AM40-(+AM40*AE41)),IF(AND(AB40="Probabilidad",AB41="Impacto"),(AM39-(+AM39*AE41)),IF(AB41="Probabilidad",AM40,""))),"")</f>
        <v/>
      </c>
      <c r="AN41" s="193" t="str">
        <f t="shared" si="46"/>
        <v/>
      </c>
      <c r="AO41" s="194"/>
      <c r="AP41" s="185"/>
      <c r="AQ41" s="195"/>
      <c r="AR41" s="195"/>
      <c r="AS41" s="196"/>
      <c r="AT41" s="327"/>
      <c r="AU41" s="327"/>
      <c r="AV41" s="327"/>
    </row>
    <row r="42" spans="1:48" ht="37.5" customHeight="1" x14ac:dyDescent="0.2">
      <c r="A42" s="337"/>
      <c r="B42" s="331"/>
      <c r="C42" s="331"/>
      <c r="D42" s="331"/>
      <c r="E42" s="320"/>
      <c r="F42" s="331"/>
      <c r="G42" s="320"/>
      <c r="H42" s="320"/>
      <c r="I42" s="320"/>
      <c r="J42" s="320"/>
      <c r="K42" s="320"/>
      <c r="L42" s="320"/>
      <c r="M42" s="320"/>
      <c r="N42" s="320"/>
      <c r="O42" s="320"/>
      <c r="P42" s="320"/>
      <c r="Q42" s="320"/>
      <c r="R42" s="327"/>
      <c r="S42" s="323"/>
      <c r="T42" s="322"/>
      <c r="U42" s="313"/>
      <c r="V42" s="322">
        <f>IF(NOT(ISERROR(MATCH(U42,_xlfn.ANCHORARRAY(E53),0))),T55&amp;"Por favor no seleccionar los criterios de impacto",U42)</f>
        <v>0</v>
      </c>
      <c r="W42" s="323"/>
      <c r="X42" s="322"/>
      <c r="Y42" s="321"/>
      <c r="Z42" s="213">
        <v>4</v>
      </c>
      <c r="AA42" s="186"/>
      <c r="AB42" s="188" t="str">
        <f t="shared" ref="AB42:AB44" si="48">IF(OR(AC42="Preventivo",AC42="Detectivo"),"Probabilidad",IF(AC42="Correctivo","Impacto",""))</f>
        <v/>
      </c>
      <c r="AC42" s="189"/>
      <c r="AD42" s="189"/>
      <c r="AE42" s="190" t="str">
        <f t="shared" si="43"/>
        <v/>
      </c>
      <c r="AF42" s="189"/>
      <c r="AG42" s="189"/>
      <c r="AH42" s="189"/>
      <c r="AI42" s="191" t="str">
        <f t="shared" ref="AI42:AI44" si="49">IFERROR(IF(AND(AB41="Probabilidad",AB42="Probabilidad"),(AK41-(+AK41*AE42)),IF(AND(AB41="Impacto",AB42="Probabilidad"),(AK40-(+AK40*AE42)),IF(AB42="Impacto",AK41,""))),"")</f>
        <v/>
      </c>
      <c r="AJ42" s="192" t="str">
        <f t="shared" si="2"/>
        <v/>
      </c>
      <c r="AK42" s="190" t="str">
        <f t="shared" si="44"/>
        <v/>
      </c>
      <c r="AL42" s="192" t="str">
        <f t="shared" si="4"/>
        <v/>
      </c>
      <c r="AM42" s="190" t="str">
        <f t="shared" si="11"/>
        <v/>
      </c>
      <c r="AN42" s="193" t="str">
        <f>IFERROR(IF(OR(AND(AJ42="Muy Baja",AL42="Leve"),AND(AJ42="Muy Baja",AL42="Menor"),AND(AJ42="Baja",AL42="Leve")),"Bajo",IF(OR(AND(AJ42="Muy baja",AL42="Moderado"),AND(AJ42="Baja",AL42="Menor"),AND(AJ42="Baja",AL42="Moderado"),AND(AJ42="Media",AL42="Leve"),AND(AJ42="Media",AL42="Menor"),AND(AJ42="Media",AL42="Moderado"),AND(AJ42="Alta",AL42="Leve"),AND(AJ42="Alta",AL42="Menor")),"Moderado",IF(OR(AND(AJ42="Muy Baja",AL42="Mayor"),AND(AJ42="Baja",AL42="Mayor"),AND(AJ42="Media",AL42="Mayor"),AND(AJ42="Alta",AL42="Moderado"),AND(AJ42="Alta",AL42="Mayor"),AND(AJ42="Muy Alta",AL42="Leve"),AND(AJ42="Muy Alta",AL42="Menor"),AND(AJ42="Muy Alta",AL42="Moderado"),AND(AJ42="Muy Alta",AL42="Mayor")),"Alto",IF(OR(AND(AJ42="Muy Baja",AL42="Catastrófico"),AND(AJ42="Baja",AL42="Catastrófico"),AND(AJ42="Media",AL42="Catastrófico"),AND(AJ42="Alta",AL42="Catastrófico"),AND(AJ42="Muy Alta",AL42="Catastrófico")),"Extremo","")))),"")</f>
        <v/>
      </c>
      <c r="AO42" s="194"/>
      <c r="AP42" s="185"/>
      <c r="AQ42" s="195"/>
      <c r="AR42" s="195"/>
      <c r="AS42" s="196"/>
      <c r="AT42" s="327"/>
      <c r="AU42" s="327"/>
      <c r="AV42" s="327"/>
    </row>
    <row r="43" spans="1:48" ht="37.5" customHeight="1" x14ac:dyDescent="0.2">
      <c r="A43" s="337"/>
      <c r="B43" s="331"/>
      <c r="C43" s="331"/>
      <c r="D43" s="331"/>
      <c r="E43" s="320"/>
      <c r="F43" s="331"/>
      <c r="G43" s="320"/>
      <c r="H43" s="320"/>
      <c r="I43" s="320"/>
      <c r="J43" s="320"/>
      <c r="K43" s="320"/>
      <c r="L43" s="320"/>
      <c r="M43" s="320"/>
      <c r="N43" s="320"/>
      <c r="O43" s="320"/>
      <c r="P43" s="320"/>
      <c r="Q43" s="320"/>
      <c r="R43" s="327"/>
      <c r="S43" s="323"/>
      <c r="T43" s="322"/>
      <c r="U43" s="313"/>
      <c r="V43" s="322">
        <f>IF(NOT(ISERROR(MATCH(U43,_xlfn.ANCHORARRAY(E54),0))),T56&amp;"Por favor no seleccionar los criterios de impacto",U43)</f>
        <v>0</v>
      </c>
      <c r="W43" s="323"/>
      <c r="X43" s="322"/>
      <c r="Y43" s="321"/>
      <c r="Z43" s="213">
        <v>5</v>
      </c>
      <c r="AA43" s="186"/>
      <c r="AB43" s="188" t="str">
        <f t="shared" si="48"/>
        <v/>
      </c>
      <c r="AC43" s="189"/>
      <c r="AD43" s="189"/>
      <c r="AE43" s="190" t="str">
        <f t="shared" si="43"/>
        <v/>
      </c>
      <c r="AF43" s="189"/>
      <c r="AG43" s="189"/>
      <c r="AH43" s="189"/>
      <c r="AI43" s="191" t="str">
        <f t="shared" si="49"/>
        <v/>
      </c>
      <c r="AJ43" s="192" t="str">
        <f t="shared" si="2"/>
        <v/>
      </c>
      <c r="AK43" s="190" t="str">
        <f t="shared" si="44"/>
        <v/>
      </c>
      <c r="AL43" s="192" t="str">
        <f t="shared" si="4"/>
        <v/>
      </c>
      <c r="AM43" s="190" t="str">
        <f t="shared" si="11"/>
        <v/>
      </c>
      <c r="AN43" s="193" t="str">
        <f t="shared" ref="AN43" si="50">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4"/>
      <c r="AP43" s="185"/>
      <c r="AQ43" s="195"/>
      <c r="AR43" s="195"/>
      <c r="AS43" s="196"/>
      <c r="AT43" s="327"/>
      <c r="AU43" s="327"/>
      <c r="AV43" s="327"/>
    </row>
    <row r="44" spans="1:48" ht="37.5" customHeight="1" x14ac:dyDescent="0.2">
      <c r="A44" s="337"/>
      <c r="B44" s="331"/>
      <c r="C44" s="331"/>
      <c r="D44" s="331"/>
      <c r="E44" s="325"/>
      <c r="F44" s="331"/>
      <c r="G44" s="325"/>
      <c r="H44" s="325"/>
      <c r="I44" s="325"/>
      <c r="J44" s="325"/>
      <c r="K44" s="325"/>
      <c r="L44" s="325"/>
      <c r="M44" s="325"/>
      <c r="N44" s="325"/>
      <c r="O44" s="325"/>
      <c r="P44" s="325"/>
      <c r="Q44" s="325"/>
      <c r="R44" s="327"/>
      <c r="S44" s="323"/>
      <c r="T44" s="322"/>
      <c r="U44" s="313"/>
      <c r="V44" s="322">
        <f>IF(NOT(ISERROR(MATCH(U44,_xlfn.ANCHORARRAY(E55),0))),T57&amp;"Por favor no seleccionar los criterios de impacto",U44)</f>
        <v>0</v>
      </c>
      <c r="W44" s="323"/>
      <c r="X44" s="322"/>
      <c r="Y44" s="321"/>
      <c r="Z44" s="213">
        <v>6</v>
      </c>
      <c r="AA44" s="186"/>
      <c r="AB44" s="188" t="str">
        <f t="shared" si="48"/>
        <v/>
      </c>
      <c r="AC44" s="189"/>
      <c r="AD44" s="189"/>
      <c r="AE44" s="190" t="str">
        <f t="shared" si="43"/>
        <v/>
      </c>
      <c r="AF44" s="189"/>
      <c r="AG44" s="189"/>
      <c r="AH44" s="189"/>
      <c r="AI44" s="191" t="str">
        <f t="shared" si="49"/>
        <v/>
      </c>
      <c r="AJ44" s="192" t="str">
        <f t="shared" si="2"/>
        <v/>
      </c>
      <c r="AK44" s="190" t="str">
        <f t="shared" si="44"/>
        <v/>
      </c>
      <c r="AL44" s="192" t="str">
        <f>IFERROR(IF(AM44="","",IF(AM44&lt;=0.2,"Leve",IF(AM44&lt;=0.4,"Menor",IF(AM44&lt;=0.6,"Moderado",IF(AM44&lt;=0.8,"Mayor","Catastrófico"))))),"")</f>
        <v/>
      </c>
      <c r="AM44" s="190" t="str">
        <f t="shared" si="11"/>
        <v/>
      </c>
      <c r="AN44" s="193" t="str">
        <f>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4"/>
      <c r="AP44" s="185"/>
      <c r="AQ44" s="195"/>
      <c r="AR44" s="195"/>
      <c r="AS44" s="196"/>
      <c r="AT44" s="327"/>
      <c r="AU44" s="327"/>
      <c r="AV44" s="327"/>
    </row>
    <row r="45" spans="1:48" ht="37.5" customHeight="1" x14ac:dyDescent="0.2">
      <c r="A45" s="337">
        <v>7</v>
      </c>
      <c r="B45" s="331"/>
      <c r="C45" s="331"/>
      <c r="D45" s="345"/>
      <c r="E45" s="331"/>
      <c r="F45" s="331"/>
      <c r="G45" s="319"/>
      <c r="H45" s="319"/>
      <c r="I45" s="319"/>
      <c r="J45" s="319"/>
      <c r="K45" s="319"/>
      <c r="L45" s="319"/>
      <c r="M45" s="319"/>
      <c r="N45" s="319"/>
      <c r="O45" s="319"/>
      <c r="P45" s="319"/>
      <c r="Q45" s="319"/>
      <c r="R45" s="327"/>
      <c r="S45" s="323" t="str">
        <f>IF(R45&lt;=0,"",IF(R45&lt;=2,"Muy Baja",IF(R45&lt;=24,"Baja",IF(R45&lt;=500,"Media",IF(R45&lt;=5000,"Alta","Muy Alta")))))</f>
        <v/>
      </c>
      <c r="T45" s="322" t="str">
        <f>IF(S45="","",IF(S45="Muy Baja",0.2,IF(S45="Baja",0.4,IF(S45="Media",0.6,IF(S45="Alta",0.8,IF(S45="Muy Alta",1,))))))</f>
        <v/>
      </c>
      <c r="U45" s="313"/>
      <c r="V45" s="322">
        <f>IF(NOT(ISERROR(MATCH(U45,'Tabla Impacto'!$B$222:$B$224,0))),'Tabla Impacto'!$F$224&amp;"Por favor no seleccionar los criterios de impacto(Afectación Económica o presupuestal y Pérdida Reputacional)",U45)</f>
        <v>0</v>
      </c>
      <c r="W45" s="323" t="str">
        <f>IF(OR(V45='Tabla Impacto'!$C$12,V45='Tabla Impacto'!$D$12),"Leve",IF(OR(V45='Tabla Impacto'!$C$13,V45='Tabla Impacto'!$D$13),"Menor",IF(OR(V45='Tabla Impacto'!$C$14,V45='Tabla Impacto'!$D$14),"Moderado",IF(OR(V45='Tabla Impacto'!$C$15,V45='Tabla Impacto'!$D$15),"Mayor",IF(OR(V45='Tabla Impacto'!$C$16,V45='Tabla Impacto'!$D$16),"Catastrófico","")))))</f>
        <v/>
      </c>
      <c r="X45" s="322" t="str">
        <f>IF(W45="","",IF(W45="Leve",0.2,IF(W45="Menor",0.4,IF(W45="Moderado",0.6,IF(W45="Mayor",0.8,IF(W45="Catastrófico",1,))))))</f>
        <v/>
      </c>
      <c r="Y45" s="321" t="str">
        <f>IF(OR(AND(S45="Muy Baja",W45="Leve"),AND(S45="Muy Baja",W45="Menor"),AND(S45="Baja",W45="Leve")),"Bajo",IF(OR(AND(S45="Muy baja",W45="Moderado"),AND(S45="Baja",W45="Menor"),AND(S45="Baja",W45="Moderado"),AND(S45="Media",W45="Leve"),AND(S45="Media",W45="Menor"),AND(S45="Media",W45="Moderado"),AND(S45="Alta",W45="Leve"),AND(S45="Alta",W45="Menor")),"Moderado",IF(OR(AND(S45="Muy Baja",W45="Mayor"),AND(S45="Baja",W45="Mayor"),AND(S45="Media",W45="Mayor"),AND(S45="Alta",W45="Moderado"),AND(S45="Alta",W45="Mayor"),AND(S45="Muy Alta",W45="Leve"),AND(S45="Muy Alta",W45="Menor"),AND(S45="Muy Alta",W45="Moderado"),AND(S45="Muy Alta",W45="Mayor")),"Alto",IF(OR(AND(S45="Muy Baja",W45="Catastrófico"),AND(S45="Baja",W45="Catastrófico"),AND(S45="Media",W45="Catastrófico"),AND(S45="Alta",W45="Catastrófico"),AND(S45="Muy Alta",W45="Catastrófico")),"Extremo",""))))</f>
        <v/>
      </c>
      <c r="Z45" s="213">
        <v>1</v>
      </c>
      <c r="AA45" s="198"/>
      <c r="AB45" s="188" t="str">
        <f>IF(OR(AC45="Preventivo",AC45="Detectivo"),"Probabilidad",IF(AC45="Correctivo","Impacto",""))</f>
        <v/>
      </c>
      <c r="AC45" s="189"/>
      <c r="AD45" s="189"/>
      <c r="AE45" s="190" t="str">
        <f>IF(AND(AC45="Preventivo",AD45="Automático"),"50%",IF(AND(AC45="Preventivo",AD45="Manual"),"40%",IF(AND(AC45="Detectivo",AD45="Automático"),"40%",IF(AND(AC45="Detectivo",AD45="Manual"),"30%",IF(AND(AC45="Correctivo",AD45="Automático"),"35%",IF(AND(AC45="Correctivo",AD45="Manual"),"25%",""))))))</f>
        <v/>
      </c>
      <c r="AF45" s="189"/>
      <c r="AG45" s="189"/>
      <c r="AH45" s="189"/>
      <c r="AI45" s="191" t="str">
        <f>IFERROR(IF(AB45="Probabilidad",(T45-(+T45*AE45)),IF(AB45="Impacto",T45,"")),"")</f>
        <v/>
      </c>
      <c r="AJ45" s="192" t="str">
        <f>IFERROR(IF(AI45="","",IF(AI45&lt;=0.2,"Muy Baja",IF(AI45&lt;=0.4,"Baja",IF(AI45&lt;=0.6,"Media",IF(AI45&lt;=0.8,"Alta","Muy Alta"))))),"")</f>
        <v/>
      </c>
      <c r="AK45" s="190" t="str">
        <f>+AI45</f>
        <v/>
      </c>
      <c r="AL45" s="192" t="str">
        <f>IFERROR(IF(AM45="","",IF(AM45&lt;=0.2,"Leve",IF(AM45&lt;=0.4,"Menor",IF(AM45&lt;=0.6,"Moderado",IF(AM45&lt;=0.8,"Mayor","Catastrófico"))))),"")</f>
        <v/>
      </c>
      <c r="AM45" s="190" t="str">
        <f t="shared" ref="AM45" si="51">IFERROR(IF(AB45="Impacto",(X45-(+X45*AE45)),IF(AB45="Probabilidad",X45,"")),"")</f>
        <v/>
      </c>
      <c r="AN45" s="193" t="str">
        <f>IFERROR(IF(OR(AND(AJ45="Muy Baja",AL45="Leve"),AND(AJ45="Muy Baja",AL45="Menor"),AND(AJ45="Baja",AL45="Leve")),"Bajo",IF(OR(AND(AJ45="Muy baja",AL45="Moderado"),AND(AJ45="Baja",AL45="Menor"),AND(AJ45="Baja",AL45="Moderado"),AND(AJ45="Media",AL45="Leve"),AND(AJ45="Media",AL45="Menor"),AND(AJ45="Media",AL45="Moderado"),AND(AJ45="Alta",AL45="Leve"),AND(AJ45="Alta",AL45="Menor")),"Moderado",IF(OR(AND(AJ45="Muy Baja",AL45="Mayor"),AND(AJ45="Baja",AL45="Mayor"),AND(AJ45="Media",AL45="Mayor"),AND(AJ45="Alta",AL45="Moderado"),AND(AJ45="Alta",AL45="Mayor"),AND(AJ45="Muy Alta",AL45="Leve"),AND(AJ45="Muy Alta",AL45="Menor"),AND(AJ45="Muy Alta",AL45="Moderado"),AND(AJ45="Muy Alta",AL45="Mayor")),"Alto",IF(OR(AND(AJ45="Muy Baja",AL45="Catastrófico"),AND(AJ45="Baja",AL45="Catastrófico"),AND(AJ45="Media",AL45="Catastrófico"),AND(AJ45="Alta",AL45="Catastrófico"),AND(AJ45="Muy Alta",AL45="Catastrófico")),"Extremo","")))),"")</f>
        <v/>
      </c>
      <c r="AO45" s="194"/>
      <c r="AP45" s="185"/>
      <c r="AQ45" s="195"/>
      <c r="AR45" s="195"/>
      <c r="AS45" s="196"/>
      <c r="AT45" s="327"/>
      <c r="AU45" s="327"/>
      <c r="AV45" s="327"/>
    </row>
    <row r="46" spans="1:48" ht="37.5" customHeight="1" x14ac:dyDescent="0.2">
      <c r="A46" s="337"/>
      <c r="B46" s="331"/>
      <c r="C46" s="331"/>
      <c r="D46" s="345"/>
      <c r="E46" s="331"/>
      <c r="F46" s="331"/>
      <c r="G46" s="320"/>
      <c r="H46" s="320"/>
      <c r="I46" s="320"/>
      <c r="J46" s="320"/>
      <c r="K46" s="320"/>
      <c r="L46" s="320"/>
      <c r="M46" s="320"/>
      <c r="N46" s="320"/>
      <c r="O46" s="320"/>
      <c r="P46" s="320"/>
      <c r="Q46" s="320"/>
      <c r="R46" s="327"/>
      <c r="S46" s="323"/>
      <c r="T46" s="322"/>
      <c r="U46" s="313"/>
      <c r="V46" s="322">
        <f>IF(NOT(ISERROR(MATCH(U46,_xlfn.ANCHORARRAY(E57),0))),T59&amp;"Por favor no seleccionar los criterios de impacto",U46)</f>
        <v>0</v>
      </c>
      <c r="W46" s="323"/>
      <c r="X46" s="322"/>
      <c r="Y46" s="321"/>
      <c r="Z46" s="213">
        <v>2</v>
      </c>
      <c r="AA46" s="186"/>
      <c r="AB46" s="188" t="str">
        <f>IF(OR(AC46="Preventivo",AC46="Detectivo"),"Probabilidad",IF(AC46="Correctivo","Impacto",""))</f>
        <v/>
      </c>
      <c r="AC46" s="189"/>
      <c r="AD46" s="189"/>
      <c r="AE46" s="190" t="str">
        <f t="shared" ref="AE46:AE50" si="52">IF(AND(AC46="Preventivo",AD46="Automático"),"50%",IF(AND(AC46="Preventivo",AD46="Manual"),"40%",IF(AND(AC46="Detectivo",AD46="Automático"),"40%",IF(AND(AC46="Detectivo",AD46="Manual"),"30%",IF(AND(AC46="Correctivo",AD46="Automático"),"35%",IF(AND(AC46="Correctivo",AD46="Manual"),"25%",""))))))</f>
        <v/>
      </c>
      <c r="AF46" s="189"/>
      <c r="AG46" s="189"/>
      <c r="AH46" s="189"/>
      <c r="AI46" s="191" t="str">
        <f>IFERROR(IF(AND(AB45="Probabilidad",AB46="Probabilidad"),(AK45-(+AK45*AE46)),IF(AB46="Probabilidad",(T45-(+T45*AE46)),IF(AB46="Impacto",AK45,""))),"")</f>
        <v/>
      </c>
      <c r="AJ46" s="192" t="str">
        <f t="shared" si="2"/>
        <v/>
      </c>
      <c r="AK46" s="190" t="str">
        <f t="shared" ref="AK46:AK50" si="53">+AI46</f>
        <v/>
      </c>
      <c r="AL46" s="192" t="str">
        <f t="shared" si="4"/>
        <v/>
      </c>
      <c r="AM46" s="190" t="str">
        <f t="shared" ref="AM46" si="54">IFERROR(IF(AND(AB45="Impacto",AB46="Impacto"),(AM45-(+AM45*AE46)),IF(AB46="Impacto",($X$13-(+$X$13*AE46)),IF(AB46="Probabilidad",AM45,""))),"")</f>
        <v/>
      </c>
      <c r="AN46" s="193" t="str">
        <f t="shared" ref="AN46:AN47" si="55">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4"/>
      <c r="AP46" s="185"/>
      <c r="AQ46" s="195"/>
      <c r="AR46" s="195"/>
      <c r="AS46" s="196"/>
      <c r="AT46" s="327"/>
      <c r="AU46" s="327"/>
      <c r="AV46" s="327"/>
    </row>
    <row r="47" spans="1:48" ht="37.5" customHeight="1" x14ac:dyDescent="0.2">
      <c r="A47" s="337"/>
      <c r="B47" s="331"/>
      <c r="C47" s="331"/>
      <c r="D47" s="345"/>
      <c r="E47" s="331"/>
      <c r="F47" s="331"/>
      <c r="G47" s="320"/>
      <c r="H47" s="320"/>
      <c r="I47" s="320"/>
      <c r="J47" s="320"/>
      <c r="K47" s="320"/>
      <c r="L47" s="320"/>
      <c r="M47" s="320"/>
      <c r="N47" s="320"/>
      <c r="O47" s="320"/>
      <c r="P47" s="320"/>
      <c r="Q47" s="320"/>
      <c r="R47" s="327"/>
      <c r="S47" s="323"/>
      <c r="T47" s="322"/>
      <c r="U47" s="313"/>
      <c r="V47" s="322">
        <f>IF(NOT(ISERROR(MATCH(U47,_xlfn.ANCHORARRAY(E58),0))),T60&amp;"Por favor no seleccionar los criterios de impacto",U47)</f>
        <v>0</v>
      </c>
      <c r="W47" s="323"/>
      <c r="X47" s="322"/>
      <c r="Y47" s="321"/>
      <c r="Z47" s="213">
        <v>3</v>
      </c>
      <c r="AA47" s="187"/>
      <c r="AB47" s="188" t="str">
        <f>IF(OR(AC47="Preventivo",AC47="Detectivo"),"Probabilidad",IF(AC47="Correctivo","Impacto",""))</f>
        <v/>
      </c>
      <c r="AC47" s="189"/>
      <c r="AD47" s="189"/>
      <c r="AE47" s="190" t="str">
        <f t="shared" si="52"/>
        <v/>
      </c>
      <c r="AF47" s="189"/>
      <c r="AG47" s="189"/>
      <c r="AH47" s="189"/>
      <c r="AI47" s="191" t="str">
        <f>IFERROR(IF(AND(AB46="Probabilidad",AB47="Probabilidad"),(AK46-(+AK46*AE47)),IF(AND(AB46="Impacto",AB47="Probabilidad"),(AK45-(+AK45*AE47)),IF(AB47="Impacto",AK46,""))),"")</f>
        <v/>
      </c>
      <c r="AJ47" s="192" t="str">
        <f t="shared" si="2"/>
        <v/>
      </c>
      <c r="AK47" s="190" t="str">
        <f t="shared" si="53"/>
        <v/>
      </c>
      <c r="AL47" s="192" t="str">
        <f t="shared" si="4"/>
        <v/>
      </c>
      <c r="AM47" s="190" t="str">
        <f t="shared" ref="AM47" si="56">IFERROR(IF(AND(AB46="Impacto",AB47="Impacto"),(AM46-(+AM46*AE47)),IF(AND(AB46="Probabilidad",AB47="Impacto"),(AM45-(+AM45*AE47)),IF(AB47="Probabilidad",AM46,""))),"")</f>
        <v/>
      </c>
      <c r="AN47" s="193" t="str">
        <f t="shared" si="55"/>
        <v/>
      </c>
      <c r="AO47" s="194"/>
      <c r="AP47" s="185"/>
      <c r="AQ47" s="195"/>
      <c r="AR47" s="195"/>
      <c r="AS47" s="196"/>
      <c r="AT47" s="327"/>
      <c r="AU47" s="327"/>
      <c r="AV47" s="327"/>
    </row>
    <row r="48" spans="1:48" ht="37.5" customHeight="1" x14ac:dyDescent="0.2">
      <c r="A48" s="337"/>
      <c r="B48" s="331"/>
      <c r="C48" s="331"/>
      <c r="D48" s="345"/>
      <c r="E48" s="331"/>
      <c r="F48" s="331"/>
      <c r="G48" s="320"/>
      <c r="H48" s="320"/>
      <c r="I48" s="320"/>
      <c r="J48" s="320"/>
      <c r="K48" s="320"/>
      <c r="L48" s="320"/>
      <c r="M48" s="320"/>
      <c r="N48" s="320"/>
      <c r="O48" s="320"/>
      <c r="P48" s="320"/>
      <c r="Q48" s="320"/>
      <c r="R48" s="327"/>
      <c r="S48" s="323"/>
      <c r="T48" s="322"/>
      <c r="U48" s="313"/>
      <c r="V48" s="322">
        <f>IF(NOT(ISERROR(MATCH(U48,_xlfn.ANCHORARRAY(E59),0))),T61&amp;"Por favor no seleccionar los criterios de impacto",U48)</f>
        <v>0</v>
      </c>
      <c r="W48" s="323"/>
      <c r="X48" s="322"/>
      <c r="Y48" s="321"/>
      <c r="Z48" s="213">
        <v>4</v>
      </c>
      <c r="AA48" s="186"/>
      <c r="AB48" s="188" t="str">
        <f t="shared" ref="AB48:AB50" si="57">IF(OR(AC48="Preventivo",AC48="Detectivo"),"Probabilidad",IF(AC48="Correctivo","Impacto",""))</f>
        <v/>
      </c>
      <c r="AC48" s="189"/>
      <c r="AD48" s="189"/>
      <c r="AE48" s="190" t="str">
        <f t="shared" si="52"/>
        <v/>
      </c>
      <c r="AF48" s="189"/>
      <c r="AG48" s="189"/>
      <c r="AH48" s="189"/>
      <c r="AI48" s="191" t="str">
        <f t="shared" ref="AI48:AI50" si="58">IFERROR(IF(AND(AB47="Probabilidad",AB48="Probabilidad"),(AK47-(+AK47*AE48)),IF(AND(AB47="Impacto",AB48="Probabilidad"),(AK46-(+AK46*AE48)),IF(AB48="Impacto",AK47,""))),"")</f>
        <v/>
      </c>
      <c r="AJ48" s="192" t="str">
        <f t="shared" si="2"/>
        <v/>
      </c>
      <c r="AK48" s="190" t="str">
        <f t="shared" si="53"/>
        <v/>
      </c>
      <c r="AL48" s="192" t="str">
        <f t="shared" si="4"/>
        <v/>
      </c>
      <c r="AM48" s="190" t="str">
        <f t="shared" si="11"/>
        <v/>
      </c>
      <c r="AN48" s="193"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4"/>
      <c r="AP48" s="185"/>
      <c r="AQ48" s="195"/>
      <c r="AR48" s="195"/>
      <c r="AS48" s="196"/>
      <c r="AT48" s="327"/>
      <c r="AU48" s="327"/>
      <c r="AV48" s="327"/>
    </row>
    <row r="49" spans="1:48" ht="37.5" customHeight="1" x14ac:dyDescent="0.2">
      <c r="A49" s="337"/>
      <c r="B49" s="331"/>
      <c r="C49" s="331"/>
      <c r="D49" s="345"/>
      <c r="E49" s="331"/>
      <c r="F49" s="331"/>
      <c r="G49" s="320"/>
      <c r="H49" s="320"/>
      <c r="I49" s="320"/>
      <c r="J49" s="320"/>
      <c r="K49" s="320"/>
      <c r="L49" s="320"/>
      <c r="M49" s="320"/>
      <c r="N49" s="320"/>
      <c r="O49" s="320"/>
      <c r="P49" s="320"/>
      <c r="Q49" s="320"/>
      <c r="R49" s="327"/>
      <c r="S49" s="323"/>
      <c r="T49" s="322"/>
      <c r="U49" s="313"/>
      <c r="V49" s="322">
        <f>IF(NOT(ISERROR(MATCH(U49,_xlfn.ANCHORARRAY(E60),0))),T62&amp;"Por favor no seleccionar los criterios de impacto",U49)</f>
        <v>0</v>
      </c>
      <c r="W49" s="323"/>
      <c r="X49" s="322"/>
      <c r="Y49" s="321"/>
      <c r="Z49" s="213">
        <v>5</v>
      </c>
      <c r="AA49" s="186"/>
      <c r="AB49" s="188" t="str">
        <f t="shared" si="57"/>
        <v/>
      </c>
      <c r="AC49" s="189"/>
      <c r="AD49" s="189"/>
      <c r="AE49" s="190" t="str">
        <f t="shared" si="52"/>
        <v/>
      </c>
      <c r="AF49" s="189"/>
      <c r="AG49" s="189"/>
      <c r="AH49" s="189"/>
      <c r="AI49" s="191" t="str">
        <f t="shared" si="58"/>
        <v/>
      </c>
      <c r="AJ49" s="192" t="str">
        <f t="shared" si="2"/>
        <v/>
      </c>
      <c r="AK49" s="190" t="str">
        <f t="shared" si="53"/>
        <v/>
      </c>
      <c r="AL49" s="192" t="str">
        <f t="shared" si="4"/>
        <v/>
      </c>
      <c r="AM49" s="190" t="str">
        <f t="shared" si="11"/>
        <v/>
      </c>
      <c r="AN49" s="193" t="str">
        <f t="shared" ref="AN49:AN50" si="59">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4"/>
      <c r="AP49" s="185"/>
      <c r="AQ49" s="195"/>
      <c r="AR49" s="195"/>
      <c r="AS49" s="196"/>
      <c r="AT49" s="327"/>
      <c r="AU49" s="327"/>
      <c r="AV49" s="327"/>
    </row>
    <row r="50" spans="1:48" ht="37.5" customHeight="1" x14ac:dyDescent="0.2">
      <c r="A50" s="337"/>
      <c r="B50" s="331"/>
      <c r="C50" s="331"/>
      <c r="D50" s="345"/>
      <c r="E50" s="331"/>
      <c r="F50" s="331"/>
      <c r="G50" s="325"/>
      <c r="H50" s="325"/>
      <c r="I50" s="325"/>
      <c r="J50" s="325"/>
      <c r="K50" s="325"/>
      <c r="L50" s="325"/>
      <c r="M50" s="325"/>
      <c r="N50" s="325"/>
      <c r="O50" s="325"/>
      <c r="P50" s="325"/>
      <c r="Q50" s="325"/>
      <c r="R50" s="327"/>
      <c r="S50" s="323"/>
      <c r="T50" s="322"/>
      <c r="U50" s="313"/>
      <c r="V50" s="322">
        <f>IF(NOT(ISERROR(MATCH(U50,_xlfn.ANCHORARRAY(E61),0))),T63&amp;"Por favor no seleccionar los criterios de impacto",U50)</f>
        <v>0</v>
      </c>
      <c r="W50" s="323"/>
      <c r="X50" s="322"/>
      <c r="Y50" s="321"/>
      <c r="Z50" s="213">
        <v>6</v>
      </c>
      <c r="AA50" s="186"/>
      <c r="AB50" s="188" t="str">
        <f t="shared" si="57"/>
        <v/>
      </c>
      <c r="AC50" s="189"/>
      <c r="AD50" s="189"/>
      <c r="AE50" s="190" t="str">
        <f t="shared" si="52"/>
        <v/>
      </c>
      <c r="AF50" s="189"/>
      <c r="AG50" s="189"/>
      <c r="AH50" s="189"/>
      <c r="AI50" s="191" t="str">
        <f t="shared" si="58"/>
        <v/>
      </c>
      <c r="AJ50" s="192" t="str">
        <f t="shared" si="2"/>
        <v/>
      </c>
      <c r="AK50" s="190" t="str">
        <f t="shared" si="53"/>
        <v/>
      </c>
      <c r="AL50" s="192" t="str">
        <f t="shared" si="4"/>
        <v/>
      </c>
      <c r="AM50" s="190" t="str">
        <f t="shared" si="11"/>
        <v/>
      </c>
      <c r="AN50" s="193" t="str">
        <f t="shared" si="59"/>
        <v/>
      </c>
      <c r="AO50" s="194"/>
      <c r="AP50" s="185"/>
      <c r="AQ50" s="195"/>
      <c r="AR50" s="195"/>
      <c r="AS50" s="196"/>
      <c r="AT50" s="327"/>
      <c r="AU50" s="327"/>
      <c r="AV50" s="327"/>
    </row>
    <row r="51" spans="1:48" ht="37.5" customHeight="1" x14ac:dyDescent="0.2">
      <c r="A51" s="337">
        <v>8</v>
      </c>
      <c r="B51" s="331"/>
      <c r="C51" s="331"/>
      <c r="D51" s="331"/>
      <c r="E51" s="331"/>
      <c r="F51" s="331"/>
      <c r="G51" s="319"/>
      <c r="H51" s="319"/>
      <c r="I51" s="319"/>
      <c r="J51" s="319"/>
      <c r="K51" s="319"/>
      <c r="L51" s="319"/>
      <c r="M51" s="319"/>
      <c r="N51" s="319"/>
      <c r="O51" s="319"/>
      <c r="P51" s="319"/>
      <c r="Q51" s="319"/>
      <c r="R51" s="327"/>
      <c r="S51" s="323" t="str">
        <f>IF(R51&lt;=0,"",IF(R51&lt;=2,"Muy Baja",IF(R51&lt;=24,"Baja",IF(R51&lt;=500,"Media",IF(R51&lt;=5000,"Alta","Muy Alta")))))</f>
        <v/>
      </c>
      <c r="T51" s="322" t="str">
        <f>IF(S51="","",IF(S51="Muy Baja",0.2,IF(S51="Baja",0.4,IF(S51="Media",0.6,IF(S51="Alta",0.8,IF(S51="Muy Alta",1,))))))</f>
        <v/>
      </c>
      <c r="U51" s="313"/>
      <c r="V51" s="322">
        <f>IF(NOT(ISERROR(MATCH(U51,'Tabla Impacto'!$B$222:$B$224,0))),'Tabla Impacto'!$F$224&amp;"Por favor no seleccionar los criterios de impacto(Afectación Económica o presupuestal y Pérdida Reputacional)",U51)</f>
        <v>0</v>
      </c>
      <c r="W51" s="323" t="str">
        <f>IF(OR(V51='Tabla Impacto'!$C$12,V51='Tabla Impacto'!$D$12),"Leve",IF(OR(V51='Tabla Impacto'!$C$13,V51='Tabla Impacto'!$D$13),"Menor",IF(OR(V51='Tabla Impacto'!$C$14,V51='Tabla Impacto'!$D$14),"Moderado",IF(OR(V51='Tabla Impacto'!$C$15,V51='Tabla Impacto'!$D$15),"Mayor",IF(OR(V51='Tabla Impacto'!$C$16,V51='Tabla Impacto'!$D$16),"Catastrófico","")))))</f>
        <v/>
      </c>
      <c r="X51" s="322" t="str">
        <f>IF(W51="","",IF(W51="Leve",0.2,IF(W51="Menor",0.4,IF(W51="Moderado",0.6,IF(W51="Mayor",0.8,IF(W51="Catastrófico",1,))))))</f>
        <v/>
      </c>
      <c r="Y51" s="321" t="str">
        <f>IF(OR(AND(S51="Muy Baja",W51="Leve"),AND(S51="Muy Baja",W51="Menor"),AND(S51="Baja",W51="Leve")),"Bajo",IF(OR(AND(S51="Muy baja",W51="Moderado"),AND(S51="Baja",W51="Menor"),AND(S51="Baja",W51="Moderado"),AND(S51="Media",W51="Leve"),AND(S51="Media",W51="Menor"),AND(S51="Media",W51="Moderado"),AND(S51="Alta",W51="Leve"),AND(S51="Alta",W51="Menor")),"Moderado",IF(OR(AND(S51="Muy Baja",W51="Mayor"),AND(S51="Baja",W51="Mayor"),AND(S51="Media",W51="Mayor"),AND(S51="Alta",W51="Moderado"),AND(S51="Alta",W51="Mayor"),AND(S51="Muy Alta",W51="Leve"),AND(S51="Muy Alta",W51="Menor"),AND(S51="Muy Alta",W51="Moderado"),AND(S51="Muy Alta",W51="Mayor")),"Alto",IF(OR(AND(S51="Muy Baja",W51="Catastrófico"),AND(S51="Baja",W51="Catastrófico"),AND(S51="Media",W51="Catastrófico"),AND(S51="Alta",W51="Catastrófico"),AND(S51="Muy Alta",W51="Catastrófico")),"Extremo",""))))</f>
        <v/>
      </c>
      <c r="Z51" s="213">
        <v>1</v>
      </c>
      <c r="AA51" s="186"/>
      <c r="AB51" s="188" t="str">
        <f>IF(OR(AC51="Preventivo",AC51="Detectivo"),"Probabilidad",IF(AC51="Correctivo","Impacto",""))</f>
        <v/>
      </c>
      <c r="AC51" s="189"/>
      <c r="AD51" s="189"/>
      <c r="AE51" s="190" t="str">
        <f>IF(AND(AC51="Preventivo",AD51="Automático"),"50%",IF(AND(AC51="Preventivo",AD51="Manual"),"40%",IF(AND(AC51="Detectivo",AD51="Automático"),"40%",IF(AND(AC51="Detectivo",AD51="Manual"),"30%",IF(AND(AC51="Correctivo",AD51="Automático"),"35%",IF(AND(AC51="Correctivo",AD51="Manual"),"25%",""))))))</f>
        <v/>
      </c>
      <c r="AF51" s="189"/>
      <c r="AG51" s="189"/>
      <c r="AH51" s="189"/>
      <c r="AI51" s="191" t="str">
        <f>IFERROR(IF(AB51="Probabilidad",(T51-(+T51*AE51)),IF(AB51="Impacto",T51,"")),"")</f>
        <v/>
      </c>
      <c r="AJ51" s="192" t="str">
        <f>IFERROR(IF(AI51="","",IF(AI51&lt;=0.2,"Muy Baja",IF(AI51&lt;=0.4,"Baja",IF(AI51&lt;=0.6,"Media",IF(AI51&lt;=0.8,"Alta","Muy Alta"))))),"")</f>
        <v/>
      </c>
      <c r="AK51" s="190" t="str">
        <f>+AI51</f>
        <v/>
      </c>
      <c r="AL51" s="192" t="str">
        <f>IFERROR(IF(AM51="","",IF(AM51&lt;=0.2,"Leve",IF(AM51&lt;=0.4,"Menor",IF(AM51&lt;=0.6,"Moderado",IF(AM51&lt;=0.8,"Mayor","Catastrófico"))))),"")</f>
        <v/>
      </c>
      <c r="AM51" s="190" t="str">
        <f t="shared" ref="AM51" si="60">IFERROR(IF(AB51="Impacto",(X51-(+X51*AE51)),IF(AB51="Probabilidad",X51,"")),"")</f>
        <v/>
      </c>
      <c r="AN51" s="193" t="str">
        <f>IFERROR(IF(OR(AND(AJ51="Muy Baja",AL51="Leve"),AND(AJ51="Muy Baja",AL51="Menor"),AND(AJ51="Baja",AL51="Leve")),"Bajo",IF(OR(AND(AJ51="Muy baja",AL51="Moderado"),AND(AJ51="Baja",AL51="Menor"),AND(AJ51="Baja",AL51="Moderado"),AND(AJ51="Media",AL51="Leve"),AND(AJ51="Media",AL51="Menor"),AND(AJ51="Media",AL51="Moderado"),AND(AJ51="Alta",AL51="Leve"),AND(AJ51="Alta",AL51="Menor")),"Moderado",IF(OR(AND(AJ51="Muy Baja",AL51="Mayor"),AND(AJ51="Baja",AL51="Mayor"),AND(AJ51="Media",AL51="Mayor"),AND(AJ51="Alta",AL51="Moderado"),AND(AJ51="Alta",AL51="Mayor"),AND(AJ51="Muy Alta",AL51="Leve"),AND(AJ51="Muy Alta",AL51="Menor"),AND(AJ51="Muy Alta",AL51="Moderado"),AND(AJ51="Muy Alta",AL51="Mayor")),"Alto",IF(OR(AND(AJ51="Muy Baja",AL51="Catastrófico"),AND(AJ51="Baja",AL51="Catastrófico"),AND(AJ51="Media",AL51="Catastrófico"),AND(AJ51="Alta",AL51="Catastrófico"),AND(AJ51="Muy Alta",AL51="Catastrófico")),"Extremo","")))),"")</f>
        <v/>
      </c>
      <c r="AO51" s="194"/>
      <c r="AP51" s="185"/>
      <c r="AQ51" s="195"/>
      <c r="AR51" s="195"/>
      <c r="AS51" s="196"/>
      <c r="AT51" s="327"/>
      <c r="AU51" s="327"/>
      <c r="AV51" s="327"/>
    </row>
    <row r="52" spans="1:48" ht="37.5" customHeight="1" x14ac:dyDescent="0.2">
      <c r="A52" s="337"/>
      <c r="B52" s="331"/>
      <c r="C52" s="331"/>
      <c r="D52" s="331"/>
      <c r="E52" s="331"/>
      <c r="F52" s="331"/>
      <c r="G52" s="320"/>
      <c r="H52" s="320"/>
      <c r="I52" s="320"/>
      <c r="J52" s="320"/>
      <c r="K52" s="320"/>
      <c r="L52" s="320"/>
      <c r="M52" s="320"/>
      <c r="N52" s="320"/>
      <c r="O52" s="320"/>
      <c r="P52" s="320"/>
      <c r="Q52" s="320"/>
      <c r="R52" s="327"/>
      <c r="S52" s="323"/>
      <c r="T52" s="322"/>
      <c r="U52" s="313"/>
      <c r="V52" s="322">
        <f>IF(NOT(ISERROR(MATCH(U52,_xlfn.ANCHORARRAY(E63),0))),T65&amp;"Por favor no seleccionar los criterios de impacto",U52)</f>
        <v>0</v>
      </c>
      <c r="W52" s="323"/>
      <c r="X52" s="322"/>
      <c r="Y52" s="321"/>
      <c r="Z52" s="213">
        <v>2</v>
      </c>
      <c r="AA52" s="186"/>
      <c r="AB52" s="188" t="str">
        <f>IF(OR(AC52="Preventivo",AC52="Detectivo"),"Probabilidad",IF(AC52="Correctivo","Impacto",""))</f>
        <v/>
      </c>
      <c r="AC52" s="189"/>
      <c r="AD52" s="189"/>
      <c r="AE52" s="190" t="str">
        <f t="shared" ref="AE52:AE56" si="61">IF(AND(AC52="Preventivo",AD52="Automático"),"50%",IF(AND(AC52="Preventivo",AD52="Manual"),"40%",IF(AND(AC52="Detectivo",AD52="Automático"),"40%",IF(AND(AC52="Detectivo",AD52="Manual"),"30%",IF(AND(AC52="Correctivo",AD52="Automático"),"35%",IF(AND(AC52="Correctivo",AD52="Manual"),"25%",""))))))</f>
        <v/>
      </c>
      <c r="AF52" s="189"/>
      <c r="AG52" s="189"/>
      <c r="AH52" s="189"/>
      <c r="AI52" s="191" t="str">
        <f>IFERROR(IF(AND(AB51="Probabilidad",AB52="Probabilidad"),(AK51-(+AK51*AE52)),IF(AB52="Probabilidad",(T51-(+T51*AE52)),IF(AB52="Impacto",AK51,""))),"")</f>
        <v/>
      </c>
      <c r="AJ52" s="192" t="str">
        <f t="shared" si="2"/>
        <v/>
      </c>
      <c r="AK52" s="190" t="str">
        <f t="shared" ref="AK52:AK56" si="62">+AI52</f>
        <v/>
      </c>
      <c r="AL52" s="192" t="str">
        <f t="shared" si="4"/>
        <v/>
      </c>
      <c r="AM52" s="190" t="str">
        <f t="shared" ref="AM52" si="63">IFERROR(IF(AND(AB51="Impacto",AB52="Impacto"),(AM51-(+AM51*AE52)),IF(AB52="Impacto",($X$13-(+$X$13*AE52)),IF(AB52="Probabilidad",AM51,""))),"")</f>
        <v/>
      </c>
      <c r="AN52" s="193" t="str">
        <f t="shared" ref="AN52:AN53" si="64">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4"/>
      <c r="AP52" s="185"/>
      <c r="AQ52" s="195"/>
      <c r="AR52" s="195"/>
      <c r="AS52" s="196"/>
      <c r="AT52" s="327"/>
      <c r="AU52" s="327"/>
      <c r="AV52" s="327"/>
    </row>
    <row r="53" spans="1:48" ht="37.5" customHeight="1" x14ac:dyDescent="0.2">
      <c r="A53" s="337"/>
      <c r="B53" s="331"/>
      <c r="C53" s="331"/>
      <c r="D53" s="331"/>
      <c r="E53" s="331"/>
      <c r="F53" s="331"/>
      <c r="G53" s="320"/>
      <c r="H53" s="320"/>
      <c r="I53" s="320"/>
      <c r="J53" s="320"/>
      <c r="K53" s="320"/>
      <c r="L53" s="320"/>
      <c r="M53" s="320"/>
      <c r="N53" s="320"/>
      <c r="O53" s="320"/>
      <c r="P53" s="320"/>
      <c r="Q53" s="320"/>
      <c r="R53" s="327"/>
      <c r="S53" s="323"/>
      <c r="T53" s="322"/>
      <c r="U53" s="313"/>
      <c r="V53" s="322">
        <f>IF(NOT(ISERROR(MATCH(U53,_xlfn.ANCHORARRAY(E64),0))),T66&amp;"Por favor no seleccionar los criterios de impacto",U53)</f>
        <v>0</v>
      </c>
      <c r="W53" s="323"/>
      <c r="X53" s="322"/>
      <c r="Y53" s="321"/>
      <c r="Z53" s="213">
        <v>3</v>
      </c>
      <c r="AA53" s="187"/>
      <c r="AB53" s="188" t="str">
        <f>IF(OR(AC53="Preventivo",AC53="Detectivo"),"Probabilidad",IF(AC53="Correctivo","Impacto",""))</f>
        <v/>
      </c>
      <c r="AC53" s="189"/>
      <c r="AD53" s="189"/>
      <c r="AE53" s="190" t="str">
        <f t="shared" si="61"/>
        <v/>
      </c>
      <c r="AF53" s="189"/>
      <c r="AG53" s="189"/>
      <c r="AH53" s="189"/>
      <c r="AI53" s="191" t="str">
        <f>IFERROR(IF(AND(AB52="Probabilidad",AB53="Probabilidad"),(AK52-(+AK52*AE53)),IF(AND(AB52="Impacto",AB53="Probabilidad"),(AK51-(+AK51*AE53)),IF(AB53="Impacto",AK52,""))),"")</f>
        <v/>
      </c>
      <c r="AJ53" s="192" t="str">
        <f t="shared" si="2"/>
        <v/>
      </c>
      <c r="AK53" s="190" t="str">
        <f t="shared" si="62"/>
        <v/>
      </c>
      <c r="AL53" s="192" t="str">
        <f t="shared" si="4"/>
        <v/>
      </c>
      <c r="AM53" s="190" t="str">
        <f t="shared" ref="AM53" si="65">IFERROR(IF(AND(AB52="Impacto",AB53="Impacto"),(AM52-(+AM52*AE53)),IF(AND(AB52="Probabilidad",AB53="Impacto"),(AM51-(+AM51*AE53)),IF(AB53="Probabilidad",AM52,""))),"")</f>
        <v/>
      </c>
      <c r="AN53" s="193" t="str">
        <f t="shared" si="64"/>
        <v/>
      </c>
      <c r="AO53" s="194"/>
      <c r="AP53" s="185"/>
      <c r="AQ53" s="195"/>
      <c r="AR53" s="195"/>
      <c r="AS53" s="196"/>
      <c r="AT53" s="327"/>
      <c r="AU53" s="327"/>
      <c r="AV53" s="327"/>
    </row>
    <row r="54" spans="1:48" ht="37.5" customHeight="1" x14ac:dyDescent="0.2">
      <c r="A54" s="337"/>
      <c r="B54" s="331"/>
      <c r="C54" s="331"/>
      <c r="D54" s="331"/>
      <c r="E54" s="331"/>
      <c r="F54" s="331"/>
      <c r="G54" s="320"/>
      <c r="H54" s="320"/>
      <c r="I54" s="320"/>
      <c r="J54" s="320"/>
      <c r="K54" s="320"/>
      <c r="L54" s="320"/>
      <c r="M54" s="320"/>
      <c r="N54" s="320"/>
      <c r="O54" s="320"/>
      <c r="P54" s="320"/>
      <c r="Q54" s="320"/>
      <c r="R54" s="327"/>
      <c r="S54" s="323"/>
      <c r="T54" s="322"/>
      <c r="U54" s="313"/>
      <c r="V54" s="322">
        <f>IF(NOT(ISERROR(MATCH(U54,_xlfn.ANCHORARRAY(E65),0))),T67&amp;"Por favor no seleccionar los criterios de impacto",U54)</f>
        <v>0</v>
      </c>
      <c r="W54" s="323"/>
      <c r="X54" s="322"/>
      <c r="Y54" s="321"/>
      <c r="Z54" s="213">
        <v>4</v>
      </c>
      <c r="AA54" s="186"/>
      <c r="AB54" s="188" t="str">
        <f t="shared" ref="AB54:AB56" si="66">IF(OR(AC54="Preventivo",AC54="Detectivo"),"Probabilidad",IF(AC54="Correctivo","Impacto",""))</f>
        <v/>
      </c>
      <c r="AC54" s="189"/>
      <c r="AD54" s="189"/>
      <c r="AE54" s="190" t="str">
        <f t="shared" si="61"/>
        <v/>
      </c>
      <c r="AF54" s="189"/>
      <c r="AG54" s="189"/>
      <c r="AH54" s="189"/>
      <c r="AI54" s="191" t="str">
        <f t="shared" ref="AI54:AI56" si="67">IFERROR(IF(AND(AB53="Probabilidad",AB54="Probabilidad"),(AK53-(+AK53*AE54)),IF(AND(AB53="Impacto",AB54="Probabilidad"),(AK52-(+AK52*AE54)),IF(AB54="Impacto",AK53,""))),"")</f>
        <v/>
      </c>
      <c r="AJ54" s="192" t="str">
        <f t="shared" si="2"/>
        <v/>
      </c>
      <c r="AK54" s="190" t="str">
        <f t="shared" si="62"/>
        <v/>
      </c>
      <c r="AL54" s="192" t="str">
        <f t="shared" si="4"/>
        <v/>
      </c>
      <c r="AM54" s="190" t="str">
        <f t="shared" si="11"/>
        <v/>
      </c>
      <c r="AN54" s="193" t="str">
        <f>IFERROR(IF(OR(AND(AJ54="Muy Baja",AL54="Leve"),AND(AJ54="Muy Baja",AL54="Menor"),AND(AJ54="Baja",AL54="Leve")),"Bajo",IF(OR(AND(AJ54="Muy baja",AL54="Moderado"),AND(AJ54="Baja",AL54="Menor"),AND(AJ54="Baja",AL54="Moderado"),AND(AJ54="Media",AL54="Leve"),AND(AJ54="Media",AL54="Menor"),AND(AJ54="Media",AL54="Moderado"),AND(AJ54="Alta",AL54="Leve"),AND(AJ54="Alta",AL54="Menor")),"Moderado",IF(OR(AND(AJ54="Muy Baja",AL54="Mayor"),AND(AJ54="Baja",AL54="Mayor"),AND(AJ54="Media",AL54="Mayor"),AND(AJ54="Alta",AL54="Moderado"),AND(AJ54="Alta",AL54="Mayor"),AND(AJ54="Muy Alta",AL54="Leve"),AND(AJ54="Muy Alta",AL54="Menor"),AND(AJ54="Muy Alta",AL54="Moderado"),AND(AJ54="Muy Alta",AL54="Mayor")),"Alto",IF(OR(AND(AJ54="Muy Baja",AL54="Catastrófico"),AND(AJ54="Baja",AL54="Catastrófico"),AND(AJ54="Media",AL54="Catastrófico"),AND(AJ54="Alta",AL54="Catastrófico"),AND(AJ54="Muy Alta",AL54="Catastrófico")),"Extremo","")))),"")</f>
        <v/>
      </c>
      <c r="AO54" s="194"/>
      <c r="AP54" s="185"/>
      <c r="AQ54" s="195"/>
      <c r="AR54" s="195"/>
      <c r="AS54" s="196"/>
      <c r="AT54" s="327"/>
      <c r="AU54" s="327"/>
      <c r="AV54" s="327"/>
    </row>
    <row r="55" spans="1:48" ht="37.5" customHeight="1" x14ac:dyDescent="0.2">
      <c r="A55" s="337"/>
      <c r="B55" s="331"/>
      <c r="C55" s="331"/>
      <c r="D55" s="331"/>
      <c r="E55" s="331"/>
      <c r="F55" s="331"/>
      <c r="G55" s="320"/>
      <c r="H55" s="320"/>
      <c r="I55" s="320"/>
      <c r="J55" s="320"/>
      <c r="K55" s="320"/>
      <c r="L55" s="320"/>
      <c r="M55" s="320"/>
      <c r="N55" s="320"/>
      <c r="O55" s="320"/>
      <c r="P55" s="320"/>
      <c r="Q55" s="320"/>
      <c r="R55" s="327"/>
      <c r="S55" s="323"/>
      <c r="T55" s="322"/>
      <c r="U55" s="313"/>
      <c r="V55" s="322">
        <f>IF(NOT(ISERROR(MATCH(U55,_xlfn.ANCHORARRAY(E66),0))),T68&amp;"Por favor no seleccionar los criterios de impacto",U55)</f>
        <v>0</v>
      </c>
      <c r="W55" s="323"/>
      <c r="X55" s="322"/>
      <c r="Y55" s="321"/>
      <c r="Z55" s="213">
        <v>5</v>
      </c>
      <c r="AA55" s="186"/>
      <c r="AB55" s="188" t="str">
        <f t="shared" si="66"/>
        <v/>
      </c>
      <c r="AC55" s="189"/>
      <c r="AD55" s="189"/>
      <c r="AE55" s="190" t="str">
        <f t="shared" si="61"/>
        <v/>
      </c>
      <c r="AF55" s="189"/>
      <c r="AG55" s="189"/>
      <c r="AH55" s="189"/>
      <c r="AI55" s="191" t="str">
        <f t="shared" si="67"/>
        <v/>
      </c>
      <c r="AJ55" s="192" t="str">
        <f t="shared" si="2"/>
        <v/>
      </c>
      <c r="AK55" s="190" t="str">
        <f t="shared" si="62"/>
        <v/>
      </c>
      <c r="AL55" s="192" t="str">
        <f t="shared" si="4"/>
        <v/>
      </c>
      <c r="AM55" s="190" t="str">
        <f t="shared" si="11"/>
        <v/>
      </c>
      <c r="AN55" s="193" t="str">
        <f t="shared" ref="AN55:AN56" si="68">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4"/>
      <c r="AP55" s="185"/>
      <c r="AQ55" s="195"/>
      <c r="AR55" s="195"/>
      <c r="AS55" s="196"/>
      <c r="AT55" s="327"/>
      <c r="AU55" s="327"/>
      <c r="AV55" s="327"/>
    </row>
    <row r="56" spans="1:48" ht="37.5" customHeight="1" x14ac:dyDescent="0.2">
      <c r="A56" s="337"/>
      <c r="B56" s="331"/>
      <c r="C56" s="331"/>
      <c r="D56" s="331"/>
      <c r="E56" s="331"/>
      <c r="F56" s="331"/>
      <c r="G56" s="325"/>
      <c r="H56" s="325"/>
      <c r="I56" s="325"/>
      <c r="J56" s="325"/>
      <c r="K56" s="325"/>
      <c r="L56" s="325"/>
      <c r="M56" s="325"/>
      <c r="N56" s="325"/>
      <c r="O56" s="325"/>
      <c r="P56" s="325"/>
      <c r="Q56" s="325"/>
      <c r="R56" s="327"/>
      <c r="S56" s="323"/>
      <c r="T56" s="322"/>
      <c r="U56" s="313"/>
      <c r="V56" s="322">
        <f>IF(NOT(ISERROR(MATCH(U56,_xlfn.ANCHORARRAY(E67),0))),U69&amp;"Por favor no seleccionar los criterios de impacto",U56)</f>
        <v>0</v>
      </c>
      <c r="W56" s="323"/>
      <c r="X56" s="322"/>
      <c r="Y56" s="321"/>
      <c r="Z56" s="213">
        <v>6</v>
      </c>
      <c r="AA56" s="186"/>
      <c r="AB56" s="188" t="str">
        <f t="shared" si="66"/>
        <v/>
      </c>
      <c r="AC56" s="189"/>
      <c r="AD56" s="189"/>
      <c r="AE56" s="190" t="str">
        <f t="shared" si="61"/>
        <v/>
      </c>
      <c r="AF56" s="189"/>
      <c r="AG56" s="189"/>
      <c r="AH56" s="189"/>
      <c r="AI56" s="191" t="str">
        <f t="shared" si="67"/>
        <v/>
      </c>
      <c r="AJ56" s="192" t="str">
        <f t="shared" si="2"/>
        <v/>
      </c>
      <c r="AK56" s="190" t="str">
        <f t="shared" si="62"/>
        <v/>
      </c>
      <c r="AL56" s="192" t="str">
        <f t="shared" si="4"/>
        <v/>
      </c>
      <c r="AM56" s="190" t="str">
        <f t="shared" si="11"/>
        <v/>
      </c>
      <c r="AN56" s="193" t="str">
        <f t="shared" si="68"/>
        <v/>
      </c>
      <c r="AO56" s="194"/>
      <c r="AP56" s="185"/>
      <c r="AQ56" s="195"/>
      <c r="AR56" s="195"/>
      <c r="AS56" s="196"/>
      <c r="AT56" s="327"/>
      <c r="AU56" s="327"/>
      <c r="AV56" s="327"/>
    </row>
    <row r="57" spans="1:48" ht="37.5" customHeight="1" x14ac:dyDescent="0.2">
      <c r="A57" s="337">
        <v>9</v>
      </c>
      <c r="B57" s="331"/>
      <c r="C57" s="331"/>
      <c r="D57" s="331"/>
      <c r="E57" s="331"/>
      <c r="F57" s="331"/>
      <c r="G57" s="319"/>
      <c r="H57" s="319"/>
      <c r="I57" s="319"/>
      <c r="J57" s="319"/>
      <c r="K57" s="319"/>
      <c r="L57" s="319"/>
      <c r="M57" s="220"/>
      <c r="N57" s="220"/>
      <c r="O57" s="220"/>
      <c r="P57" s="319"/>
      <c r="Q57" s="319"/>
      <c r="R57" s="327"/>
      <c r="S57" s="323" t="str">
        <f>IF(R57&lt;=0,"",IF(R57&lt;=2,"Muy Baja",IF(R57&lt;=24,"Baja",IF(R57&lt;=500,"Media",IF(R57&lt;=5000,"Alta","Muy Alta")))))</f>
        <v/>
      </c>
      <c r="T57" s="322" t="str">
        <f>IF(S57="","",IF(S57="Muy Baja",0.2,IF(S57="Baja",0.4,IF(S57="Media",0.6,IF(S57="Alta",0.8,IF(S57="Muy Alta",1,))))))</f>
        <v/>
      </c>
      <c r="U57" s="313"/>
      <c r="V57" s="322">
        <f>IF(NOT(ISERROR(MATCH(U57,'Tabla Impacto'!$B$222:$B$224,0))),'Tabla Impacto'!$F$224&amp;"Por favor no seleccionar los criterios de impacto(Afectación Económica o presupuestal y Pérdida Reputacional)",U57)</f>
        <v>0</v>
      </c>
      <c r="W57" s="323" t="str">
        <f>IF(OR(V57='Tabla Impacto'!$C$12,V57='Tabla Impacto'!$D$12),"Leve",IF(OR(V57='Tabla Impacto'!$C$13,V57='Tabla Impacto'!$D$13),"Menor",IF(OR(V57='Tabla Impacto'!$C$14,V57='Tabla Impacto'!$D$14),"Moderado",IF(OR(V57='Tabla Impacto'!$C$15,V57='Tabla Impacto'!$D$15),"Mayor",IF(OR(V57='Tabla Impacto'!$C$16,V57='Tabla Impacto'!$D$16),"Catastrófico","")))))</f>
        <v/>
      </c>
      <c r="X57" s="322" t="str">
        <f>IF(W57="","",IF(W57="Leve",0.2,IF(W57="Menor",0.4,IF(W57="Moderado",0.6,IF(W57="Mayor",0.8,IF(W57="Catastrófico",1,))))))</f>
        <v/>
      </c>
      <c r="Y57" s="321" t="str">
        <f>IF(OR(AND(S57="Muy Baja",W57="Leve"),AND(S57="Muy Baja",W57="Menor"),AND(S57="Baja",W57="Leve")),"Bajo",IF(OR(AND(S57="Muy baja",W57="Moderado"),AND(S57="Baja",W57="Menor"),AND(S57="Baja",W57="Moderado"),AND(S57="Media",W57="Leve"),AND(S57="Media",W57="Menor"),AND(S57="Media",W57="Moderado"),AND(S57="Alta",W57="Leve"),AND(S57="Alta",W57="Menor")),"Moderado",IF(OR(AND(S57="Muy Baja",W57="Mayor"),AND(S57="Baja",W57="Mayor"),AND(S57="Media",W57="Mayor"),AND(S57="Alta",W57="Moderado"),AND(S57="Alta",W57="Mayor"),AND(S57="Muy Alta",W57="Leve"),AND(S57="Muy Alta",W57="Menor"),AND(S57="Muy Alta",W57="Moderado"),AND(S57="Muy Alta",W57="Mayor")),"Alto",IF(OR(AND(S57="Muy Baja",W57="Catastrófico"),AND(S57="Baja",W57="Catastrófico"),AND(S57="Media",W57="Catastrófico"),AND(S57="Alta",W57="Catastrófico"),AND(S57="Muy Alta",W57="Catastrófico")),"Extremo",""))))</f>
        <v/>
      </c>
      <c r="Z57" s="213">
        <v>1</v>
      </c>
      <c r="AA57" s="186"/>
      <c r="AB57" s="188" t="str">
        <f>IF(OR(AC57="Preventivo",AC57="Detectivo"),"Probabilidad",IF(AC57="Correctivo","Impacto",""))</f>
        <v/>
      </c>
      <c r="AC57" s="189"/>
      <c r="AD57" s="189"/>
      <c r="AE57" s="190" t="str">
        <f>IF(AND(AC57="Preventivo",AD57="Automático"),"50%",IF(AND(AC57="Preventivo",AD57="Manual"),"40%",IF(AND(AC57="Detectivo",AD57="Automático"),"40%",IF(AND(AC57="Detectivo",AD57="Manual"),"30%",IF(AND(AC57="Correctivo",AD57="Automático"),"35%",IF(AND(AC57="Correctivo",AD57="Manual"),"25%",""))))))</f>
        <v/>
      </c>
      <c r="AF57" s="189"/>
      <c r="AG57" s="189"/>
      <c r="AH57" s="189"/>
      <c r="AI57" s="191" t="str">
        <f>IFERROR(IF(AB57="Probabilidad",(T57-(+T57*AE57)),IF(AB57="Impacto",T57,"")),"")</f>
        <v/>
      </c>
      <c r="AJ57" s="192" t="str">
        <f>IFERROR(IF(AI57="","",IF(AI57&lt;=0.2,"Muy Baja",IF(AI57&lt;=0.4,"Baja",IF(AI57&lt;=0.6,"Media",IF(AI57&lt;=0.8,"Alta","Muy Alta"))))),"")</f>
        <v/>
      </c>
      <c r="AK57" s="190" t="str">
        <f>+AI57</f>
        <v/>
      </c>
      <c r="AL57" s="192" t="str">
        <f>IFERROR(IF(AM57="","",IF(AM57&lt;=0.2,"Leve",IF(AM57&lt;=0.4,"Menor",IF(AM57&lt;=0.6,"Moderado",IF(AM57&lt;=0.8,"Mayor","Catastrófico"))))),"")</f>
        <v/>
      </c>
      <c r="AM57" s="190" t="str">
        <f t="shared" ref="AM57" si="69">IFERROR(IF(AB57="Impacto",(X57-(+X57*AE57)),IF(AB57="Probabilidad",X57,"")),"")</f>
        <v/>
      </c>
      <c r="AN57" s="193" t="str">
        <f>IFERROR(IF(OR(AND(AJ57="Muy Baja",AL57="Leve"),AND(AJ57="Muy Baja",AL57="Menor"),AND(AJ57="Baja",AL57="Leve")),"Bajo",IF(OR(AND(AJ57="Muy baja",AL57="Moderado"),AND(AJ57="Baja",AL57="Menor"),AND(AJ57="Baja",AL57="Moderado"),AND(AJ57="Media",AL57="Leve"),AND(AJ57="Media",AL57="Menor"),AND(AJ57="Media",AL57="Moderado"),AND(AJ57="Alta",AL57="Leve"),AND(AJ57="Alta",AL57="Menor")),"Moderado",IF(OR(AND(AJ57="Muy Baja",AL57="Mayor"),AND(AJ57="Baja",AL57="Mayor"),AND(AJ57="Media",AL57="Mayor"),AND(AJ57="Alta",AL57="Moderado"),AND(AJ57="Alta",AL57="Mayor"),AND(AJ57="Muy Alta",AL57="Leve"),AND(AJ57="Muy Alta",AL57="Menor"),AND(AJ57="Muy Alta",AL57="Moderado"),AND(AJ57="Muy Alta",AL57="Mayor")),"Alto",IF(OR(AND(AJ57="Muy Baja",AL57="Catastrófico"),AND(AJ57="Baja",AL57="Catastrófico"),AND(AJ57="Media",AL57="Catastrófico"),AND(AJ57="Alta",AL57="Catastrófico"),AND(AJ57="Muy Alta",AL57="Catastrófico")),"Extremo","")))),"")</f>
        <v/>
      </c>
      <c r="AO57" s="194"/>
      <c r="AP57" s="185"/>
      <c r="AQ57" s="195"/>
      <c r="AR57" s="195"/>
      <c r="AS57" s="196"/>
      <c r="AT57" s="327"/>
      <c r="AU57" s="327"/>
      <c r="AV57" s="327"/>
    </row>
    <row r="58" spans="1:48" ht="37.5" customHeight="1" x14ac:dyDescent="0.2">
      <c r="A58" s="337"/>
      <c r="B58" s="331"/>
      <c r="C58" s="331"/>
      <c r="D58" s="331"/>
      <c r="E58" s="331"/>
      <c r="F58" s="331"/>
      <c r="G58" s="320"/>
      <c r="H58" s="320"/>
      <c r="I58" s="320"/>
      <c r="J58" s="320"/>
      <c r="K58" s="320"/>
      <c r="L58" s="320"/>
      <c r="M58" s="221"/>
      <c r="N58" s="221"/>
      <c r="O58" s="221"/>
      <c r="P58" s="320"/>
      <c r="Q58" s="320"/>
      <c r="R58" s="327"/>
      <c r="S58" s="323"/>
      <c r="T58" s="322"/>
      <c r="U58" s="313"/>
      <c r="V58" s="322">
        <f>IF(NOT(ISERROR(MATCH(U58,_xlfn.ANCHORARRAY(F69),0))),U71&amp;"Por favor no seleccionar los criterios de impacto",U58)</f>
        <v>0</v>
      </c>
      <c r="W58" s="323"/>
      <c r="X58" s="322"/>
      <c r="Y58" s="321"/>
      <c r="Z58" s="213">
        <v>2</v>
      </c>
      <c r="AA58" s="186"/>
      <c r="AB58" s="188" t="str">
        <f>IF(OR(AC58="Preventivo",AC58="Detectivo"),"Probabilidad",IF(AC58="Correctivo","Impacto",""))</f>
        <v/>
      </c>
      <c r="AC58" s="189"/>
      <c r="AD58" s="189"/>
      <c r="AE58" s="190" t="str">
        <f t="shared" ref="AE58:AE62" si="70">IF(AND(AC58="Preventivo",AD58="Automático"),"50%",IF(AND(AC58="Preventivo",AD58="Manual"),"40%",IF(AND(AC58="Detectivo",AD58="Automático"),"40%",IF(AND(AC58="Detectivo",AD58="Manual"),"30%",IF(AND(AC58="Correctivo",AD58="Automático"),"35%",IF(AND(AC58="Correctivo",AD58="Manual"),"25%",""))))))</f>
        <v/>
      </c>
      <c r="AF58" s="189"/>
      <c r="AG58" s="189"/>
      <c r="AH58" s="189"/>
      <c r="AI58" s="191" t="str">
        <f>IFERROR(IF(AND(AB57="Probabilidad",AB58="Probabilidad"),(AK57-(+AK57*AE58)),IF(AB58="Probabilidad",(T57-(+T57*AE58)),IF(AB58="Impacto",AK57,""))),"")</f>
        <v/>
      </c>
      <c r="AJ58" s="192" t="str">
        <f t="shared" si="2"/>
        <v/>
      </c>
      <c r="AK58" s="190" t="str">
        <f t="shared" ref="AK58:AK62" si="71">+AI58</f>
        <v/>
      </c>
      <c r="AL58" s="192" t="str">
        <f t="shared" si="4"/>
        <v/>
      </c>
      <c r="AM58" s="190" t="str">
        <f t="shared" ref="AM58" si="72">IFERROR(IF(AND(AB57="Impacto",AB58="Impacto"),(AM57-(+AM57*AE58)),IF(AB58="Impacto",($X$13-(+$X$13*AE58)),IF(AB58="Probabilidad",AM57,""))),"")</f>
        <v/>
      </c>
      <c r="AN58" s="193" t="str">
        <f t="shared" ref="AN58:AN59" si="73">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4"/>
      <c r="AP58" s="185"/>
      <c r="AQ58" s="195"/>
      <c r="AR58" s="195"/>
      <c r="AS58" s="196"/>
      <c r="AT58" s="327"/>
      <c r="AU58" s="327"/>
      <c r="AV58" s="327"/>
    </row>
    <row r="59" spans="1:48" ht="37.5" customHeight="1" x14ac:dyDescent="0.2">
      <c r="A59" s="337"/>
      <c r="B59" s="331"/>
      <c r="C59" s="331"/>
      <c r="D59" s="331"/>
      <c r="E59" s="331"/>
      <c r="F59" s="331"/>
      <c r="G59" s="320"/>
      <c r="H59" s="320"/>
      <c r="I59" s="320"/>
      <c r="J59" s="320"/>
      <c r="K59" s="320"/>
      <c r="L59" s="320"/>
      <c r="M59" s="221"/>
      <c r="N59" s="221"/>
      <c r="O59" s="221"/>
      <c r="P59" s="320"/>
      <c r="Q59" s="320"/>
      <c r="R59" s="327"/>
      <c r="S59" s="323"/>
      <c r="T59" s="322"/>
      <c r="U59" s="313"/>
      <c r="V59" s="322">
        <f>IF(NOT(ISERROR(MATCH(U59,_xlfn.ANCHORARRAY(F70),0))),U72&amp;"Por favor no seleccionar los criterios de impacto",U59)</f>
        <v>0</v>
      </c>
      <c r="W59" s="323"/>
      <c r="X59" s="322"/>
      <c r="Y59" s="321"/>
      <c r="Z59" s="213">
        <v>3</v>
      </c>
      <c r="AA59" s="186"/>
      <c r="AB59" s="188" t="str">
        <f>IF(OR(AC59="Preventivo",AC59="Detectivo"),"Probabilidad",IF(AC59="Correctivo","Impacto",""))</f>
        <v/>
      </c>
      <c r="AC59" s="189"/>
      <c r="AD59" s="189"/>
      <c r="AE59" s="190" t="str">
        <f t="shared" si="70"/>
        <v/>
      </c>
      <c r="AF59" s="189"/>
      <c r="AG59" s="189"/>
      <c r="AH59" s="189"/>
      <c r="AI59" s="191" t="str">
        <f>IFERROR(IF(AND(AB58="Probabilidad",AB59="Probabilidad"),(AK58-(+AK58*AE59)),IF(AND(AB58="Impacto",AB59="Probabilidad"),(AK57-(+AK57*AE59)),IF(AB59="Impacto",AK58,""))),"")</f>
        <v/>
      </c>
      <c r="AJ59" s="192" t="str">
        <f t="shared" si="2"/>
        <v/>
      </c>
      <c r="AK59" s="190" t="str">
        <f t="shared" si="71"/>
        <v/>
      </c>
      <c r="AL59" s="192" t="str">
        <f t="shared" si="4"/>
        <v/>
      </c>
      <c r="AM59" s="190" t="str">
        <f t="shared" ref="AM59" si="74">IFERROR(IF(AND(AB58="Impacto",AB59="Impacto"),(AM58-(+AM58*AE59)),IF(AND(AB58="Probabilidad",AB59="Impacto"),(AM57-(+AM57*AE59)),IF(AB59="Probabilidad",AM58,""))),"")</f>
        <v/>
      </c>
      <c r="AN59" s="193" t="str">
        <f t="shared" si="73"/>
        <v/>
      </c>
      <c r="AO59" s="194"/>
      <c r="AP59" s="185"/>
      <c r="AQ59" s="195"/>
      <c r="AR59" s="195"/>
      <c r="AS59" s="196"/>
      <c r="AT59" s="327"/>
      <c r="AU59" s="327"/>
      <c r="AV59" s="327"/>
    </row>
    <row r="60" spans="1:48" ht="37.5" customHeight="1" x14ac:dyDescent="0.2">
      <c r="A60" s="337"/>
      <c r="B60" s="331"/>
      <c r="C60" s="331"/>
      <c r="D60" s="331"/>
      <c r="E60" s="331"/>
      <c r="F60" s="331"/>
      <c r="G60" s="320"/>
      <c r="H60" s="320"/>
      <c r="I60" s="320"/>
      <c r="J60" s="320"/>
      <c r="K60" s="320"/>
      <c r="L60" s="320"/>
      <c r="M60" s="221"/>
      <c r="N60" s="221"/>
      <c r="O60" s="221"/>
      <c r="P60" s="320"/>
      <c r="Q60" s="320"/>
      <c r="R60" s="327"/>
      <c r="S60" s="323"/>
      <c r="T60" s="322"/>
      <c r="U60" s="313"/>
      <c r="V60" s="322">
        <f>IF(NOT(ISERROR(MATCH(U60,_xlfn.ANCHORARRAY(F71),0))),U73&amp;"Por favor no seleccionar los criterios de impacto",U60)</f>
        <v>0</v>
      </c>
      <c r="W60" s="323"/>
      <c r="X60" s="322"/>
      <c r="Y60" s="321"/>
      <c r="Z60" s="213">
        <v>4</v>
      </c>
      <c r="AA60" s="186"/>
      <c r="AB60" s="188" t="str">
        <f t="shared" ref="AB60:AB62" si="75">IF(OR(AC60="Preventivo",AC60="Detectivo"),"Probabilidad",IF(AC60="Correctivo","Impacto",""))</f>
        <v/>
      </c>
      <c r="AC60" s="189"/>
      <c r="AD60" s="189"/>
      <c r="AE60" s="190" t="str">
        <f t="shared" si="70"/>
        <v/>
      </c>
      <c r="AF60" s="189"/>
      <c r="AG60" s="189"/>
      <c r="AH60" s="189"/>
      <c r="AI60" s="191" t="str">
        <f t="shared" ref="AI60:AI62" si="76">IFERROR(IF(AND(AB59="Probabilidad",AB60="Probabilidad"),(AK59-(+AK59*AE60)),IF(AND(AB59="Impacto",AB60="Probabilidad"),(AK58-(+AK58*AE60)),IF(AB60="Impacto",AK59,""))),"")</f>
        <v/>
      </c>
      <c r="AJ60" s="192" t="str">
        <f t="shared" si="2"/>
        <v/>
      </c>
      <c r="AK60" s="190" t="str">
        <f t="shared" si="71"/>
        <v/>
      </c>
      <c r="AL60" s="192" t="str">
        <f t="shared" si="4"/>
        <v/>
      </c>
      <c r="AM60" s="190" t="str">
        <f t="shared" si="11"/>
        <v/>
      </c>
      <c r="AN60" s="193" t="str">
        <f>IFERROR(IF(OR(AND(AJ60="Muy Baja",AL60="Leve"),AND(AJ60="Muy Baja",AL60="Menor"),AND(AJ60="Baja",AL60="Leve")),"Bajo",IF(OR(AND(AJ60="Muy baja",AL60="Moderado"),AND(AJ60="Baja",AL60="Menor"),AND(AJ60="Baja",AL60="Moderado"),AND(AJ60="Media",AL60="Leve"),AND(AJ60="Media",AL60="Menor"),AND(AJ60="Media",AL60="Moderado"),AND(AJ60="Alta",AL60="Leve"),AND(AJ60="Alta",AL60="Menor")),"Moderado",IF(OR(AND(AJ60="Muy Baja",AL60="Mayor"),AND(AJ60="Baja",AL60="Mayor"),AND(AJ60="Media",AL60="Mayor"),AND(AJ60="Alta",AL60="Moderado"),AND(AJ60="Alta",AL60="Mayor"),AND(AJ60="Muy Alta",AL60="Leve"),AND(AJ60="Muy Alta",AL60="Menor"),AND(AJ60="Muy Alta",AL60="Moderado"),AND(AJ60="Muy Alta",AL60="Mayor")),"Alto",IF(OR(AND(AJ60="Muy Baja",AL60="Catastrófico"),AND(AJ60="Baja",AL60="Catastrófico"),AND(AJ60="Media",AL60="Catastrófico"),AND(AJ60="Alta",AL60="Catastrófico"),AND(AJ60="Muy Alta",AL60="Catastrófico")),"Extremo","")))),"")</f>
        <v/>
      </c>
      <c r="AO60" s="194"/>
      <c r="AP60" s="185"/>
      <c r="AQ60" s="195"/>
      <c r="AR60" s="195"/>
      <c r="AS60" s="196"/>
      <c r="AT60" s="327"/>
      <c r="AU60" s="327"/>
      <c r="AV60" s="327"/>
    </row>
    <row r="61" spans="1:48" ht="37.5" customHeight="1" x14ac:dyDescent="0.2">
      <c r="A61" s="337"/>
      <c r="B61" s="331"/>
      <c r="C61" s="331"/>
      <c r="D61" s="331"/>
      <c r="E61" s="331"/>
      <c r="F61" s="331"/>
      <c r="G61" s="320"/>
      <c r="H61" s="320"/>
      <c r="I61" s="320"/>
      <c r="J61" s="320"/>
      <c r="K61" s="320"/>
      <c r="L61" s="320"/>
      <c r="M61" s="221"/>
      <c r="N61" s="221"/>
      <c r="O61" s="221"/>
      <c r="P61" s="320"/>
      <c r="Q61" s="320"/>
      <c r="R61" s="327"/>
      <c r="S61" s="323"/>
      <c r="T61" s="322"/>
      <c r="U61" s="313"/>
      <c r="V61" s="322">
        <f>IF(NOT(ISERROR(MATCH(U61,_xlfn.ANCHORARRAY(F72),0))),U74&amp;"Por favor no seleccionar los criterios de impacto",U61)</f>
        <v>0</v>
      </c>
      <c r="W61" s="323"/>
      <c r="X61" s="322"/>
      <c r="Y61" s="321"/>
      <c r="Z61" s="213">
        <v>5</v>
      </c>
      <c r="AA61" s="186"/>
      <c r="AB61" s="188" t="str">
        <f t="shared" si="75"/>
        <v/>
      </c>
      <c r="AC61" s="189"/>
      <c r="AD61" s="189"/>
      <c r="AE61" s="190" t="str">
        <f t="shared" si="70"/>
        <v/>
      </c>
      <c r="AF61" s="189"/>
      <c r="AG61" s="189"/>
      <c r="AH61" s="189"/>
      <c r="AI61" s="191" t="str">
        <f t="shared" si="76"/>
        <v/>
      </c>
      <c r="AJ61" s="192" t="str">
        <f t="shared" si="2"/>
        <v/>
      </c>
      <c r="AK61" s="190" t="str">
        <f t="shared" si="71"/>
        <v/>
      </c>
      <c r="AL61" s="192" t="str">
        <f t="shared" si="4"/>
        <v/>
      </c>
      <c r="AM61" s="190" t="str">
        <f t="shared" si="11"/>
        <v/>
      </c>
      <c r="AN61" s="193" t="str">
        <f t="shared" ref="AN61:AN62" si="77">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4"/>
      <c r="AP61" s="185"/>
      <c r="AQ61" s="195"/>
      <c r="AR61" s="195"/>
      <c r="AS61" s="196"/>
      <c r="AT61" s="327"/>
      <c r="AU61" s="327"/>
      <c r="AV61" s="327"/>
    </row>
    <row r="62" spans="1:48" ht="37.5" customHeight="1" x14ac:dyDescent="0.2">
      <c r="A62" s="337"/>
      <c r="B62" s="331"/>
      <c r="C62" s="331"/>
      <c r="D62" s="331"/>
      <c r="E62" s="331"/>
      <c r="F62" s="331"/>
      <c r="G62" s="325"/>
      <c r="H62" s="325"/>
      <c r="I62" s="325"/>
      <c r="J62" s="325"/>
      <c r="K62" s="325"/>
      <c r="L62" s="325"/>
      <c r="M62" s="222"/>
      <c r="N62" s="222"/>
      <c r="O62" s="222"/>
      <c r="P62" s="325"/>
      <c r="Q62" s="325"/>
      <c r="R62" s="327"/>
      <c r="S62" s="323"/>
      <c r="T62" s="322"/>
      <c r="U62" s="313"/>
      <c r="V62" s="322">
        <f>IF(NOT(ISERROR(MATCH(U62,_xlfn.ANCHORARRAY(F73),0))),U75&amp;"Por favor no seleccionar los criterios de impacto",U62)</f>
        <v>0</v>
      </c>
      <c r="W62" s="323"/>
      <c r="X62" s="322"/>
      <c r="Y62" s="321"/>
      <c r="Z62" s="213">
        <v>6</v>
      </c>
      <c r="AA62" s="186"/>
      <c r="AB62" s="188" t="str">
        <f t="shared" si="75"/>
        <v/>
      </c>
      <c r="AC62" s="189"/>
      <c r="AD62" s="189"/>
      <c r="AE62" s="190" t="str">
        <f t="shared" si="70"/>
        <v/>
      </c>
      <c r="AF62" s="189"/>
      <c r="AG62" s="189"/>
      <c r="AH62" s="189"/>
      <c r="AI62" s="191" t="str">
        <f t="shared" si="76"/>
        <v/>
      </c>
      <c r="AJ62" s="192" t="str">
        <f t="shared" si="2"/>
        <v/>
      </c>
      <c r="AK62" s="190" t="str">
        <f t="shared" si="71"/>
        <v/>
      </c>
      <c r="AL62" s="192" t="str">
        <f t="shared" si="4"/>
        <v/>
      </c>
      <c r="AM62" s="190" t="str">
        <f t="shared" si="11"/>
        <v/>
      </c>
      <c r="AN62" s="193" t="str">
        <f t="shared" si="77"/>
        <v/>
      </c>
      <c r="AO62" s="194"/>
      <c r="AP62" s="185"/>
      <c r="AQ62" s="195"/>
      <c r="AR62" s="195"/>
      <c r="AS62" s="196"/>
      <c r="AT62" s="327"/>
      <c r="AU62" s="327"/>
      <c r="AV62" s="327"/>
    </row>
    <row r="63" spans="1:48" ht="37.5" customHeight="1" x14ac:dyDescent="0.2">
      <c r="A63" s="337">
        <v>10</v>
      </c>
      <c r="B63" s="331"/>
      <c r="C63" s="331"/>
      <c r="D63" s="331"/>
      <c r="E63" s="331"/>
      <c r="F63" s="331"/>
      <c r="G63" s="319"/>
      <c r="H63" s="319"/>
      <c r="I63" s="319"/>
      <c r="J63" s="319"/>
      <c r="K63" s="319"/>
      <c r="L63" s="319"/>
      <c r="M63" s="220"/>
      <c r="N63" s="220"/>
      <c r="O63" s="220"/>
      <c r="P63" s="319"/>
      <c r="Q63" s="319"/>
      <c r="R63" s="327"/>
      <c r="S63" s="323" t="str">
        <f>IF(R63&lt;=0,"",IF(R63&lt;=2,"Muy Baja",IF(R63&lt;=24,"Baja",IF(R63&lt;=500,"Media",IF(R63&lt;=5000,"Alta","Muy Alta")))))</f>
        <v/>
      </c>
      <c r="T63" s="322" t="str">
        <f>IF(S63="","",IF(S63="Muy Baja",0.2,IF(S63="Baja",0.4,IF(S63="Media",0.6,IF(S63="Alta",0.8,IF(S63="Muy Alta",1,))))))</f>
        <v/>
      </c>
      <c r="U63" s="313"/>
      <c r="V63" s="322">
        <f>IF(NOT(ISERROR(MATCH(U63,'Tabla Impacto'!$B$222:$B$224,0))),'Tabla Impacto'!$F$224&amp;"Por favor no seleccionar los criterios de impacto(Afectación Económica o presupuestal y Pérdida Reputacional)",U63)</f>
        <v>0</v>
      </c>
      <c r="W63" s="323" t="str">
        <f>IF(OR(V63='Tabla Impacto'!$C$12,V63='Tabla Impacto'!$D$12),"Leve",IF(OR(V63='Tabla Impacto'!$C$13,V63='Tabla Impacto'!$D$13),"Menor",IF(OR(V63='Tabla Impacto'!$C$14,V63='Tabla Impacto'!$D$14),"Moderado",IF(OR(V63='Tabla Impacto'!$C$15,V63='Tabla Impacto'!$D$15),"Mayor",IF(OR(V63='Tabla Impacto'!$C$16,V63='Tabla Impacto'!$D$16),"Catastrófico","")))))</f>
        <v/>
      </c>
      <c r="X63" s="322" t="str">
        <f>IF(W63="","",IF(W63="Leve",0.2,IF(W63="Menor",0.4,IF(W63="Moderado",0.6,IF(W63="Mayor",0.8,IF(W63="Catastrófico",1,))))))</f>
        <v/>
      </c>
      <c r="Y63" s="321" t="str">
        <f>IF(OR(AND(S63="Muy Baja",W63="Leve"),AND(S63="Muy Baja",W63="Menor"),AND(S63="Baja",W63="Leve")),"Bajo",IF(OR(AND(S63="Muy baja",W63="Moderado"),AND(S63="Baja",W63="Menor"),AND(S63="Baja",W63="Moderado"),AND(S63="Media",W63="Leve"),AND(S63="Media",W63="Menor"),AND(S63="Media",W63="Moderado"),AND(S63="Alta",W63="Leve"),AND(S63="Alta",W63="Menor")),"Moderado",IF(OR(AND(S63="Muy Baja",W63="Mayor"),AND(S63="Baja",W63="Mayor"),AND(S63="Media",W63="Mayor"),AND(S63="Alta",W63="Moderado"),AND(S63="Alta",W63="Mayor"),AND(S63="Muy Alta",W63="Leve"),AND(S63="Muy Alta",W63="Menor"),AND(S63="Muy Alta",W63="Moderado"),AND(S63="Muy Alta",W63="Mayor")),"Alto",IF(OR(AND(S63="Muy Baja",W63="Catastrófico"),AND(S63="Baja",W63="Catastrófico"),AND(S63="Media",W63="Catastrófico"),AND(S63="Alta",W63="Catastrófico"),AND(S63="Muy Alta",W63="Catastrófico")),"Extremo",""))))</f>
        <v/>
      </c>
      <c r="Z63" s="213">
        <v>1</v>
      </c>
      <c r="AA63" s="186"/>
      <c r="AB63" s="188" t="str">
        <f>IF(OR(AC63="Preventivo",AC63="Detectivo"),"Probabilidad",IF(AC63="Correctivo","Impacto",""))</f>
        <v/>
      </c>
      <c r="AC63" s="189"/>
      <c r="AD63" s="189"/>
      <c r="AE63" s="190" t="str">
        <f>IF(AND(AC63="Preventivo",AD63="Automático"),"50%",IF(AND(AC63="Preventivo",AD63="Manual"),"40%",IF(AND(AC63="Detectivo",AD63="Automático"),"40%",IF(AND(AC63="Detectivo",AD63="Manual"),"30%",IF(AND(AC63="Correctivo",AD63="Automático"),"35%",IF(AND(AC63="Correctivo",AD63="Manual"),"25%",""))))))</f>
        <v/>
      </c>
      <c r="AF63" s="189"/>
      <c r="AG63" s="189"/>
      <c r="AH63" s="189"/>
      <c r="AI63" s="191" t="str">
        <f>IFERROR(IF(AB63="Probabilidad",(T63-(+T63*AE63)),IF(AB63="Impacto",T63,"")),"")</f>
        <v/>
      </c>
      <c r="AJ63" s="192" t="str">
        <f>IFERROR(IF(AI63="","",IF(AI63&lt;=0.2,"Muy Baja",IF(AI63&lt;=0.4,"Baja",IF(AI63&lt;=0.6,"Media",IF(AI63&lt;=0.8,"Alta","Muy Alta"))))),"")</f>
        <v/>
      </c>
      <c r="AK63" s="190" t="str">
        <f>+AI63</f>
        <v/>
      </c>
      <c r="AL63" s="192" t="str">
        <f>IFERROR(IF(AM63="","",IF(AM63&lt;=0.2,"Leve",IF(AM63&lt;=0.4,"Menor",IF(AM63&lt;=0.6,"Moderado",IF(AM63&lt;=0.8,"Mayor","Catastrófico"))))),"")</f>
        <v/>
      </c>
      <c r="AM63" s="190" t="str">
        <f t="shared" ref="AM63" si="78">IFERROR(IF(AB63="Impacto",(X63-(+X63*AE63)),IF(AB63="Probabilidad",X63,"")),"")</f>
        <v/>
      </c>
      <c r="AN63" s="193" t="str">
        <f>IFERROR(IF(OR(AND(AJ63="Muy Baja",AL63="Leve"),AND(AJ63="Muy Baja",AL63="Menor"),AND(AJ63="Baja",AL63="Leve")),"Bajo",IF(OR(AND(AJ63="Muy baja",AL63="Moderado"),AND(AJ63="Baja",AL63="Menor"),AND(AJ63="Baja",AL63="Moderado"),AND(AJ63="Media",AL63="Leve"),AND(AJ63="Media",AL63="Menor"),AND(AJ63="Media",AL63="Moderado"),AND(AJ63="Alta",AL63="Leve"),AND(AJ63="Alta",AL63="Menor")),"Moderado",IF(OR(AND(AJ63="Muy Baja",AL63="Mayor"),AND(AJ63="Baja",AL63="Mayor"),AND(AJ63="Media",AL63="Mayor"),AND(AJ63="Alta",AL63="Moderado"),AND(AJ63="Alta",AL63="Mayor"),AND(AJ63="Muy Alta",AL63="Leve"),AND(AJ63="Muy Alta",AL63="Menor"),AND(AJ63="Muy Alta",AL63="Moderado"),AND(AJ63="Muy Alta",AL63="Mayor")),"Alto",IF(OR(AND(AJ63="Muy Baja",AL63="Catastrófico"),AND(AJ63="Baja",AL63="Catastrófico"),AND(AJ63="Media",AL63="Catastrófico"),AND(AJ63="Alta",AL63="Catastrófico"),AND(AJ63="Muy Alta",AL63="Catastrófico")),"Extremo","")))),"")</f>
        <v/>
      </c>
      <c r="AO63" s="194"/>
      <c r="AP63" s="185"/>
      <c r="AQ63" s="195"/>
      <c r="AR63" s="195"/>
      <c r="AS63" s="196"/>
      <c r="AT63" s="327"/>
      <c r="AU63" s="327"/>
      <c r="AV63" s="327"/>
    </row>
    <row r="64" spans="1:48" ht="37.5" customHeight="1" x14ac:dyDescent="0.2">
      <c r="A64" s="337"/>
      <c r="B64" s="331"/>
      <c r="C64" s="331"/>
      <c r="D64" s="331"/>
      <c r="E64" s="331"/>
      <c r="F64" s="331"/>
      <c r="G64" s="320"/>
      <c r="H64" s="320"/>
      <c r="I64" s="320"/>
      <c r="J64" s="320"/>
      <c r="K64" s="320"/>
      <c r="L64" s="320"/>
      <c r="M64" s="221"/>
      <c r="N64" s="221"/>
      <c r="O64" s="221"/>
      <c r="P64" s="320"/>
      <c r="Q64" s="320"/>
      <c r="R64" s="327"/>
      <c r="S64" s="323"/>
      <c r="T64" s="322"/>
      <c r="U64" s="313"/>
      <c r="V64" s="322">
        <f>IF(NOT(ISERROR(MATCH(U64,_xlfn.ANCHORARRAY(F75),0))),U77&amp;"Por favor no seleccionar los criterios de impacto",U64)</f>
        <v>0</v>
      </c>
      <c r="W64" s="323"/>
      <c r="X64" s="322"/>
      <c r="Y64" s="321"/>
      <c r="Z64" s="213">
        <v>2</v>
      </c>
      <c r="AA64" s="186"/>
      <c r="AB64" s="188" t="str">
        <f>IF(OR(AC64="Preventivo",AC64="Detectivo"),"Probabilidad",IF(AC64="Correctivo","Impacto",""))</f>
        <v/>
      </c>
      <c r="AC64" s="189"/>
      <c r="AD64" s="189"/>
      <c r="AE64" s="190" t="str">
        <f t="shared" ref="AE64:AE68" si="79">IF(AND(AC64="Preventivo",AD64="Automático"),"50%",IF(AND(AC64="Preventivo",AD64="Manual"),"40%",IF(AND(AC64="Detectivo",AD64="Automático"),"40%",IF(AND(AC64="Detectivo",AD64="Manual"),"30%",IF(AND(AC64="Correctivo",AD64="Automático"),"35%",IF(AND(AC64="Correctivo",AD64="Manual"),"25%",""))))))</f>
        <v/>
      </c>
      <c r="AF64" s="189"/>
      <c r="AG64" s="189"/>
      <c r="AH64" s="189"/>
      <c r="AI64" s="191" t="str">
        <f>IFERROR(IF(AND(AB63="Probabilidad",AB64="Probabilidad"),(AK63-(+AK63*AE64)),IF(AB64="Probabilidad",(T63-(+T63*AE64)),IF(AB64="Impacto",AK63,""))),"")</f>
        <v/>
      </c>
      <c r="AJ64" s="192" t="str">
        <f t="shared" si="2"/>
        <v/>
      </c>
      <c r="AK64" s="190" t="str">
        <f t="shared" ref="AK64:AK68" si="80">+AI64</f>
        <v/>
      </c>
      <c r="AL64" s="192" t="str">
        <f t="shared" si="4"/>
        <v/>
      </c>
      <c r="AM64" s="190" t="str">
        <f t="shared" ref="AM64" si="81">IFERROR(IF(AND(AB63="Impacto",AB64="Impacto"),(AM63-(+AM63*AE64)),IF(AB64="Impacto",($X$13-(+$X$13*AE64)),IF(AB64="Probabilidad",AM63,""))),"")</f>
        <v/>
      </c>
      <c r="AN64" s="193" t="str">
        <f t="shared" ref="AN64:AN65" si="82">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4"/>
      <c r="AP64" s="185"/>
      <c r="AQ64" s="195"/>
      <c r="AR64" s="195"/>
      <c r="AS64" s="196"/>
      <c r="AT64" s="327"/>
      <c r="AU64" s="327"/>
      <c r="AV64" s="327"/>
    </row>
    <row r="65" spans="1:48" ht="37.5" customHeight="1" x14ac:dyDescent="0.2">
      <c r="A65" s="337"/>
      <c r="B65" s="331"/>
      <c r="C65" s="331"/>
      <c r="D65" s="331"/>
      <c r="E65" s="331"/>
      <c r="F65" s="331"/>
      <c r="G65" s="320"/>
      <c r="H65" s="320"/>
      <c r="I65" s="320"/>
      <c r="J65" s="320"/>
      <c r="K65" s="320"/>
      <c r="L65" s="320"/>
      <c r="M65" s="221"/>
      <c r="N65" s="221"/>
      <c r="O65" s="221"/>
      <c r="P65" s="320"/>
      <c r="Q65" s="320"/>
      <c r="R65" s="327"/>
      <c r="S65" s="323"/>
      <c r="T65" s="322"/>
      <c r="U65" s="313"/>
      <c r="V65" s="322">
        <f>IF(NOT(ISERROR(MATCH(U65,_xlfn.ANCHORARRAY(F76),0))),U78&amp;"Por favor no seleccionar los criterios de impacto",U65)</f>
        <v>0</v>
      </c>
      <c r="W65" s="323"/>
      <c r="X65" s="322"/>
      <c r="Y65" s="321"/>
      <c r="Z65" s="213">
        <v>3</v>
      </c>
      <c r="AA65" s="186"/>
      <c r="AB65" s="188" t="str">
        <f>IF(OR(AC65="Preventivo",AC65="Detectivo"),"Probabilidad",IF(AC65="Correctivo","Impacto",""))</f>
        <v/>
      </c>
      <c r="AC65" s="189"/>
      <c r="AD65" s="189"/>
      <c r="AE65" s="190" t="str">
        <f t="shared" si="79"/>
        <v/>
      </c>
      <c r="AF65" s="189"/>
      <c r="AG65" s="189"/>
      <c r="AH65" s="189"/>
      <c r="AI65" s="191" t="str">
        <f>IFERROR(IF(AND(AB64="Probabilidad",AB65="Probabilidad"),(AK64-(+AK64*AE65)),IF(AND(AB64="Impacto",AB65="Probabilidad"),(AK63-(+AK63*AE65)),IF(AB65="Impacto",AK64,""))),"")</f>
        <v/>
      </c>
      <c r="AJ65" s="192" t="str">
        <f t="shared" si="2"/>
        <v/>
      </c>
      <c r="AK65" s="190" t="str">
        <f t="shared" si="80"/>
        <v/>
      </c>
      <c r="AL65" s="192" t="str">
        <f t="shared" si="4"/>
        <v/>
      </c>
      <c r="AM65" s="190" t="str">
        <f t="shared" ref="AM65" si="83">IFERROR(IF(AND(AB64="Impacto",AB65="Impacto"),(AM64-(+AM64*AE65)),IF(AND(AB64="Probabilidad",AB65="Impacto"),(AM63-(+AM63*AE65)),IF(AB65="Probabilidad",AM64,""))),"")</f>
        <v/>
      </c>
      <c r="AN65" s="193" t="str">
        <f t="shared" si="82"/>
        <v/>
      </c>
      <c r="AO65" s="194"/>
      <c r="AP65" s="185"/>
      <c r="AQ65" s="195"/>
      <c r="AR65" s="195"/>
      <c r="AS65" s="196"/>
      <c r="AT65" s="327"/>
      <c r="AU65" s="327"/>
      <c r="AV65" s="327"/>
    </row>
    <row r="66" spans="1:48" ht="37.5" customHeight="1" x14ac:dyDescent="0.2">
      <c r="A66" s="337"/>
      <c r="B66" s="331"/>
      <c r="C66" s="331"/>
      <c r="D66" s="331"/>
      <c r="E66" s="331"/>
      <c r="F66" s="331"/>
      <c r="G66" s="320"/>
      <c r="H66" s="320"/>
      <c r="I66" s="320"/>
      <c r="J66" s="320"/>
      <c r="K66" s="320"/>
      <c r="L66" s="320"/>
      <c r="M66" s="221"/>
      <c r="N66" s="221"/>
      <c r="O66" s="221"/>
      <c r="P66" s="320"/>
      <c r="Q66" s="320"/>
      <c r="R66" s="327"/>
      <c r="S66" s="323"/>
      <c r="T66" s="322"/>
      <c r="U66" s="313"/>
      <c r="V66" s="322">
        <f>IF(NOT(ISERROR(MATCH(U66,_xlfn.ANCHORARRAY(F77),0))),U79&amp;"Por favor no seleccionar los criterios de impacto",U66)</f>
        <v>0</v>
      </c>
      <c r="W66" s="323"/>
      <c r="X66" s="322"/>
      <c r="Y66" s="321"/>
      <c r="Z66" s="213">
        <v>4</v>
      </c>
      <c r="AA66" s="186"/>
      <c r="AB66" s="188" t="str">
        <f t="shared" ref="AB66:AB68" si="84">IF(OR(AC66="Preventivo",AC66="Detectivo"),"Probabilidad",IF(AC66="Correctivo","Impacto",""))</f>
        <v/>
      </c>
      <c r="AC66" s="189"/>
      <c r="AD66" s="189"/>
      <c r="AE66" s="190" t="str">
        <f t="shared" si="79"/>
        <v/>
      </c>
      <c r="AF66" s="189"/>
      <c r="AG66" s="189"/>
      <c r="AH66" s="189"/>
      <c r="AI66" s="191" t="str">
        <f t="shared" ref="AI66:AI68" si="85">IFERROR(IF(AND(AB65="Probabilidad",AB66="Probabilidad"),(AK65-(+AK65*AE66)),IF(AND(AB65="Impacto",AB66="Probabilidad"),(AK64-(+AK64*AE66)),IF(AB66="Impacto",AK65,""))),"")</f>
        <v/>
      </c>
      <c r="AJ66" s="192" t="str">
        <f t="shared" si="2"/>
        <v/>
      </c>
      <c r="AK66" s="190" t="str">
        <f t="shared" si="80"/>
        <v/>
      </c>
      <c r="AL66" s="192" t="str">
        <f t="shared" si="4"/>
        <v/>
      </c>
      <c r="AM66" s="190" t="str">
        <f t="shared" si="11"/>
        <v/>
      </c>
      <c r="AN66" s="193" t="str">
        <f>IFERROR(IF(OR(AND(AJ66="Muy Baja",AL66="Leve"),AND(AJ66="Muy Baja",AL66="Menor"),AND(AJ66="Baja",AL66="Leve")),"Bajo",IF(OR(AND(AJ66="Muy baja",AL66="Moderado"),AND(AJ66="Baja",AL66="Menor"),AND(AJ66="Baja",AL66="Moderado"),AND(AJ66="Media",AL66="Leve"),AND(AJ66="Media",AL66="Menor"),AND(AJ66="Media",AL66="Moderado"),AND(AJ66="Alta",AL66="Leve"),AND(AJ66="Alta",AL66="Menor")),"Moderado",IF(OR(AND(AJ66="Muy Baja",AL66="Mayor"),AND(AJ66="Baja",AL66="Mayor"),AND(AJ66="Media",AL66="Mayor"),AND(AJ66="Alta",AL66="Moderado"),AND(AJ66="Alta",AL66="Mayor"),AND(AJ66="Muy Alta",AL66="Leve"),AND(AJ66="Muy Alta",AL66="Menor"),AND(AJ66="Muy Alta",AL66="Moderado"),AND(AJ66="Muy Alta",AL66="Mayor")),"Alto",IF(OR(AND(AJ66="Muy Baja",AL66="Catastrófico"),AND(AJ66="Baja",AL66="Catastrófico"),AND(AJ66="Media",AL66="Catastrófico"),AND(AJ66="Alta",AL66="Catastrófico"),AND(AJ66="Muy Alta",AL66="Catastrófico")),"Extremo","")))),"")</f>
        <v/>
      </c>
      <c r="AO66" s="194"/>
      <c r="AP66" s="185"/>
      <c r="AQ66" s="195"/>
      <c r="AR66" s="195"/>
      <c r="AS66" s="196"/>
      <c r="AT66" s="327"/>
      <c r="AU66" s="327"/>
      <c r="AV66" s="327"/>
    </row>
    <row r="67" spans="1:48" ht="37.5" customHeight="1" x14ac:dyDescent="0.2">
      <c r="A67" s="337"/>
      <c r="B67" s="331"/>
      <c r="C67" s="331"/>
      <c r="D67" s="331"/>
      <c r="E67" s="331"/>
      <c r="F67" s="331"/>
      <c r="G67" s="320"/>
      <c r="H67" s="320"/>
      <c r="I67" s="320"/>
      <c r="J67" s="320"/>
      <c r="K67" s="320"/>
      <c r="L67" s="320"/>
      <c r="M67" s="221"/>
      <c r="N67" s="221"/>
      <c r="O67" s="221"/>
      <c r="P67" s="320"/>
      <c r="Q67" s="320"/>
      <c r="R67" s="327"/>
      <c r="S67" s="323"/>
      <c r="T67" s="322"/>
      <c r="U67" s="313"/>
      <c r="V67" s="322">
        <f>IF(NOT(ISERROR(MATCH(U67,_xlfn.ANCHORARRAY(F78),0))),U80&amp;"Por favor no seleccionar los criterios de impacto",U67)</f>
        <v>0</v>
      </c>
      <c r="W67" s="323"/>
      <c r="X67" s="322"/>
      <c r="Y67" s="321"/>
      <c r="Z67" s="213">
        <v>5</v>
      </c>
      <c r="AA67" s="186"/>
      <c r="AB67" s="188" t="str">
        <f t="shared" si="84"/>
        <v/>
      </c>
      <c r="AC67" s="189"/>
      <c r="AD67" s="189"/>
      <c r="AE67" s="190" t="str">
        <f t="shared" si="79"/>
        <v/>
      </c>
      <c r="AF67" s="189"/>
      <c r="AG67" s="189"/>
      <c r="AH67" s="189"/>
      <c r="AI67" s="191" t="str">
        <f t="shared" si="85"/>
        <v/>
      </c>
      <c r="AJ67" s="192" t="str">
        <f t="shared" si="2"/>
        <v/>
      </c>
      <c r="AK67" s="190" t="str">
        <f t="shared" si="80"/>
        <v/>
      </c>
      <c r="AL67" s="192" t="str">
        <f t="shared" si="4"/>
        <v/>
      </c>
      <c r="AM67" s="190" t="str">
        <f t="shared" si="11"/>
        <v/>
      </c>
      <c r="AN67" s="193" t="str">
        <f t="shared" ref="AN67:AN68" si="86">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4"/>
      <c r="AP67" s="185"/>
      <c r="AQ67" s="195"/>
      <c r="AR67" s="195"/>
      <c r="AS67" s="196"/>
      <c r="AT67" s="327"/>
      <c r="AU67" s="327"/>
      <c r="AV67" s="327"/>
    </row>
    <row r="68" spans="1:48" ht="37.5" customHeight="1" x14ac:dyDescent="0.2">
      <c r="A68" s="337"/>
      <c r="B68" s="331"/>
      <c r="C68" s="331"/>
      <c r="D68" s="331"/>
      <c r="E68" s="331"/>
      <c r="F68" s="331"/>
      <c r="G68" s="325"/>
      <c r="H68" s="325"/>
      <c r="I68" s="325"/>
      <c r="J68" s="325"/>
      <c r="K68" s="325"/>
      <c r="L68" s="325"/>
      <c r="M68" s="222"/>
      <c r="N68" s="222"/>
      <c r="O68" s="222"/>
      <c r="P68" s="325"/>
      <c r="Q68" s="325"/>
      <c r="R68" s="327"/>
      <c r="S68" s="323"/>
      <c r="T68" s="322"/>
      <c r="U68" s="313"/>
      <c r="V68" s="322">
        <f>IF(NOT(ISERROR(MATCH(U68,_xlfn.ANCHORARRAY(F79),0))),U81&amp;"Por favor no seleccionar los criterios de impacto",U68)</f>
        <v>0</v>
      </c>
      <c r="W68" s="323"/>
      <c r="X68" s="322"/>
      <c r="Y68" s="321"/>
      <c r="Z68" s="213">
        <v>6</v>
      </c>
      <c r="AA68" s="186"/>
      <c r="AB68" s="188" t="str">
        <f t="shared" si="84"/>
        <v/>
      </c>
      <c r="AC68" s="189"/>
      <c r="AD68" s="189"/>
      <c r="AE68" s="190" t="str">
        <f t="shared" si="79"/>
        <v/>
      </c>
      <c r="AF68" s="189"/>
      <c r="AG68" s="189"/>
      <c r="AH68" s="189"/>
      <c r="AI68" s="191" t="str">
        <f t="shared" si="85"/>
        <v/>
      </c>
      <c r="AJ68" s="192" t="str">
        <f t="shared" si="2"/>
        <v/>
      </c>
      <c r="AK68" s="190" t="str">
        <f t="shared" si="80"/>
        <v/>
      </c>
      <c r="AL68" s="192" t="str">
        <f t="shared" si="4"/>
        <v/>
      </c>
      <c r="AM68" s="190" t="str">
        <f t="shared" si="11"/>
        <v/>
      </c>
      <c r="AN68" s="193" t="str">
        <f t="shared" si="86"/>
        <v/>
      </c>
      <c r="AO68" s="194"/>
      <c r="AP68" s="185"/>
      <c r="AQ68" s="195"/>
      <c r="AR68" s="195"/>
      <c r="AS68" s="196"/>
      <c r="AT68" s="327"/>
      <c r="AU68" s="327"/>
      <c r="AV68" s="327"/>
    </row>
    <row r="69" spans="1:48" ht="49.5" customHeight="1" x14ac:dyDescent="0.2">
      <c r="A69" s="215"/>
      <c r="B69" s="346" t="s">
        <v>261</v>
      </c>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row>
    <row r="71" spans="1:48" ht="15.75" x14ac:dyDescent="0.2">
      <c r="A71" s="197"/>
      <c r="B71" s="205" t="s">
        <v>262</v>
      </c>
      <c r="C71" s="197"/>
      <c r="D71" s="197"/>
      <c r="E71" s="197"/>
      <c r="R71" s="197"/>
    </row>
  </sheetData>
  <dataConsolidate/>
  <mergeCells count="343">
    <mergeCell ref="A6:B6"/>
    <mergeCell ref="C6:Z6"/>
    <mergeCell ref="AA6:AC6"/>
    <mergeCell ref="AD6:AV6"/>
    <mergeCell ref="A7:B7"/>
    <mergeCell ref="C7:Z7"/>
    <mergeCell ref="AD7:AV7"/>
    <mergeCell ref="A1:C4"/>
    <mergeCell ref="D1:Z2"/>
    <mergeCell ref="AB1:AV2"/>
    <mergeCell ref="D3:R3"/>
    <mergeCell ref="S3:Z3"/>
    <mergeCell ref="AB3:AP3"/>
    <mergeCell ref="AQ3:AV3"/>
    <mergeCell ref="D4:Z4"/>
    <mergeCell ref="AB4:AV4"/>
    <mergeCell ref="A8:B8"/>
    <mergeCell ref="C8:Z8"/>
    <mergeCell ref="AD8:AV8"/>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Y13:Y14"/>
    <mergeCell ref="AT13:AT14"/>
    <mergeCell ref="AU13:AU14"/>
    <mergeCell ref="AV11:AV12"/>
    <mergeCell ref="A13:A14"/>
    <mergeCell ref="B13:B14"/>
    <mergeCell ref="C13:C14"/>
    <mergeCell ref="D13:D14"/>
    <mergeCell ref="E13:E14"/>
    <mergeCell ref="F13:F14"/>
    <mergeCell ref="AM11:AM12"/>
    <mergeCell ref="AN11:AN12"/>
    <mergeCell ref="AO11:AO12"/>
    <mergeCell ref="AP11:AP12"/>
    <mergeCell ref="AQ11:AQ12"/>
    <mergeCell ref="AR11:AR12"/>
    <mergeCell ref="AB11:AB12"/>
    <mergeCell ref="AC11:AH11"/>
    <mergeCell ref="AI11:AI12"/>
    <mergeCell ref="AJ11:AJ12"/>
    <mergeCell ref="AK11:AK12"/>
    <mergeCell ref="AL11:AL12"/>
    <mergeCell ref="V11:V12"/>
    <mergeCell ref="W11:W12"/>
    <mergeCell ref="AS11:AS12"/>
    <mergeCell ref="AT11:AT12"/>
    <mergeCell ref="AU11:AU12"/>
    <mergeCell ref="AA11:AA12"/>
    <mergeCell ref="N11:N12"/>
    <mergeCell ref="O11:O12"/>
    <mergeCell ref="R11:R12"/>
    <mergeCell ref="S11:S12"/>
    <mergeCell ref="T11:T12"/>
    <mergeCell ref="U11:U12"/>
    <mergeCell ref="X11:X12"/>
    <mergeCell ref="Y11:Y12"/>
    <mergeCell ref="Z11:Z12"/>
    <mergeCell ref="AV13:AV14"/>
    <mergeCell ref="Q13:Q14"/>
    <mergeCell ref="R13:R14"/>
    <mergeCell ref="S13:S14"/>
    <mergeCell ref="T13:T14"/>
    <mergeCell ref="U13:U14"/>
    <mergeCell ref="V13:V14"/>
    <mergeCell ref="K15:K20"/>
    <mergeCell ref="L15:L20"/>
    <mergeCell ref="M15:M20"/>
    <mergeCell ref="N15:N20"/>
    <mergeCell ref="O15:O20"/>
    <mergeCell ref="P15:P20"/>
    <mergeCell ref="AT15:AT20"/>
    <mergeCell ref="AU15:AU20"/>
    <mergeCell ref="AV15:AV20"/>
    <mergeCell ref="K13:K14"/>
    <mergeCell ref="L13:L14"/>
    <mergeCell ref="M13:M14"/>
    <mergeCell ref="N13:N14"/>
    <mergeCell ref="O13:O14"/>
    <mergeCell ref="P13:P14"/>
    <mergeCell ref="W13:W14"/>
    <mergeCell ref="X13:X14"/>
    <mergeCell ref="A15:A20"/>
    <mergeCell ref="B15:B20"/>
    <mergeCell ref="C15:C20"/>
    <mergeCell ref="D15:D20"/>
    <mergeCell ref="E15:E20"/>
    <mergeCell ref="F15:F20"/>
    <mergeCell ref="W15:W20"/>
    <mergeCell ref="X15:X20"/>
    <mergeCell ref="Y15:Y20"/>
    <mergeCell ref="Q15:Q20"/>
    <mergeCell ref="R15:R20"/>
    <mergeCell ref="S15:S20"/>
    <mergeCell ref="T15:T20"/>
    <mergeCell ref="U15:U20"/>
    <mergeCell ref="V15:V20"/>
    <mergeCell ref="G15:G20"/>
    <mergeCell ref="H15:H20"/>
    <mergeCell ref="I15:I20"/>
    <mergeCell ref="J15:J20"/>
    <mergeCell ref="K21:K26"/>
    <mergeCell ref="L21:L26"/>
    <mergeCell ref="M21:M26"/>
    <mergeCell ref="N21:N26"/>
    <mergeCell ref="O21:O26"/>
    <mergeCell ref="P21:P26"/>
    <mergeCell ref="A21:A26"/>
    <mergeCell ref="B21:B26"/>
    <mergeCell ref="C21:C26"/>
    <mergeCell ref="D21:D26"/>
    <mergeCell ref="E21:E26"/>
    <mergeCell ref="F21:F26"/>
    <mergeCell ref="G21:G26"/>
    <mergeCell ref="H21:H26"/>
    <mergeCell ref="I21:I26"/>
    <mergeCell ref="J21:J26"/>
    <mergeCell ref="W21:W26"/>
    <mergeCell ref="X21:X26"/>
    <mergeCell ref="Y21:Y26"/>
    <mergeCell ref="AT21:AT26"/>
    <mergeCell ref="AU21:AU26"/>
    <mergeCell ref="AV21:AV26"/>
    <mergeCell ref="Q21:Q26"/>
    <mergeCell ref="R21:R26"/>
    <mergeCell ref="S21:S26"/>
    <mergeCell ref="T21:T26"/>
    <mergeCell ref="U21:U26"/>
    <mergeCell ref="V21:V26"/>
    <mergeCell ref="K27:K32"/>
    <mergeCell ref="L27:L32"/>
    <mergeCell ref="M27:M32"/>
    <mergeCell ref="N27:N32"/>
    <mergeCell ref="O27:O32"/>
    <mergeCell ref="P27:P32"/>
    <mergeCell ref="A27:A32"/>
    <mergeCell ref="B27:B32"/>
    <mergeCell ref="C27:C32"/>
    <mergeCell ref="D27:D32"/>
    <mergeCell ref="E27:E32"/>
    <mergeCell ref="F27:F32"/>
    <mergeCell ref="W27:W32"/>
    <mergeCell ref="X27:X32"/>
    <mergeCell ref="Y27:Y32"/>
    <mergeCell ref="AT27:AT32"/>
    <mergeCell ref="AU27:AU32"/>
    <mergeCell ref="AV27:AV32"/>
    <mergeCell ref="Q27:Q32"/>
    <mergeCell ref="R27:R32"/>
    <mergeCell ref="S27:S32"/>
    <mergeCell ref="T27:T32"/>
    <mergeCell ref="U27:U32"/>
    <mergeCell ref="V27:V32"/>
    <mergeCell ref="K33:K38"/>
    <mergeCell ref="L33:L38"/>
    <mergeCell ref="M33:M38"/>
    <mergeCell ref="N33:N38"/>
    <mergeCell ref="O33:O38"/>
    <mergeCell ref="P33:P38"/>
    <mergeCell ref="A33:A38"/>
    <mergeCell ref="B33:B38"/>
    <mergeCell ref="C33:C38"/>
    <mergeCell ref="D33:D38"/>
    <mergeCell ref="E33:E38"/>
    <mergeCell ref="F33:F38"/>
    <mergeCell ref="W33:W38"/>
    <mergeCell ref="X33:X38"/>
    <mergeCell ref="Y33:Y38"/>
    <mergeCell ref="AT33:AT38"/>
    <mergeCell ref="AU33:AU38"/>
    <mergeCell ref="AV33:AV38"/>
    <mergeCell ref="Q33:Q38"/>
    <mergeCell ref="R33:R38"/>
    <mergeCell ref="S33:S38"/>
    <mergeCell ref="T33:T38"/>
    <mergeCell ref="U33:U38"/>
    <mergeCell ref="V33:V38"/>
    <mergeCell ref="K39:K44"/>
    <mergeCell ref="L39:L44"/>
    <mergeCell ref="M39:M44"/>
    <mergeCell ref="N39:N44"/>
    <mergeCell ref="O39:O44"/>
    <mergeCell ref="P39:P44"/>
    <mergeCell ref="A39:A44"/>
    <mergeCell ref="B39:B44"/>
    <mergeCell ref="C39:C44"/>
    <mergeCell ref="D39:D44"/>
    <mergeCell ref="E39:E44"/>
    <mergeCell ref="F39:F44"/>
    <mergeCell ref="W39:W44"/>
    <mergeCell ref="X39:X44"/>
    <mergeCell ref="Y39:Y44"/>
    <mergeCell ref="AT39:AT44"/>
    <mergeCell ref="AU39:AU44"/>
    <mergeCell ref="AV39:AV44"/>
    <mergeCell ref="Q39:Q44"/>
    <mergeCell ref="R39:R44"/>
    <mergeCell ref="S39:S44"/>
    <mergeCell ref="T39:T44"/>
    <mergeCell ref="U39:U44"/>
    <mergeCell ref="V39:V44"/>
    <mergeCell ref="K45:K50"/>
    <mergeCell ref="L45:L50"/>
    <mergeCell ref="M45:M50"/>
    <mergeCell ref="N45:N50"/>
    <mergeCell ref="O45:O50"/>
    <mergeCell ref="P45:P50"/>
    <mergeCell ref="A45:A50"/>
    <mergeCell ref="B45:B50"/>
    <mergeCell ref="C45:C50"/>
    <mergeCell ref="D45:D50"/>
    <mergeCell ref="E45:E50"/>
    <mergeCell ref="F45:F50"/>
    <mergeCell ref="W45:W50"/>
    <mergeCell ref="X45:X50"/>
    <mergeCell ref="Y45:Y50"/>
    <mergeCell ref="AT45:AT50"/>
    <mergeCell ref="AU45:AU50"/>
    <mergeCell ref="AV45:AV50"/>
    <mergeCell ref="Q45:Q50"/>
    <mergeCell ref="R45:R50"/>
    <mergeCell ref="S45:S50"/>
    <mergeCell ref="T45:T50"/>
    <mergeCell ref="U45:U50"/>
    <mergeCell ref="V45:V50"/>
    <mergeCell ref="K51:K56"/>
    <mergeCell ref="L51:L56"/>
    <mergeCell ref="M51:M56"/>
    <mergeCell ref="N51:N56"/>
    <mergeCell ref="O51:O56"/>
    <mergeCell ref="P51:P56"/>
    <mergeCell ref="A51:A56"/>
    <mergeCell ref="B51:B56"/>
    <mergeCell ref="C51:C56"/>
    <mergeCell ref="D51:D56"/>
    <mergeCell ref="E51:E56"/>
    <mergeCell ref="F51:F56"/>
    <mergeCell ref="G51:G56"/>
    <mergeCell ref="H51:H56"/>
    <mergeCell ref="I51:I56"/>
    <mergeCell ref="J51:J56"/>
    <mergeCell ref="W51:W56"/>
    <mergeCell ref="X51:X56"/>
    <mergeCell ref="Y51:Y56"/>
    <mergeCell ref="AT51:AT56"/>
    <mergeCell ref="AU51:AU56"/>
    <mergeCell ref="AV51:AV56"/>
    <mergeCell ref="Q51:Q56"/>
    <mergeCell ref="R51:R56"/>
    <mergeCell ref="S51:S56"/>
    <mergeCell ref="T51:T56"/>
    <mergeCell ref="U51:U56"/>
    <mergeCell ref="V51:V56"/>
    <mergeCell ref="Y57:Y62"/>
    <mergeCell ref="K57:K62"/>
    <mergeCell ref="L57:L62"/>
    <mergeCell ref="P57:P62"/>
    <mergeCell ref="Q57:Q62"/>
    <mergeCell ref="R57:R62"/>
    <mergeCell ref="S57:S62"/>
    <mergeCell ref="A57:A62"/>
    <mergeCell ref="B57:B62"/>
    <mergeCell ref="C57:C62"/>
    <mergeCell ref="D57:D62"/>
    <mergeCell ref="E57:E62"/>
    <mergeCell ref="F57:F62"/>
    <mergeCell ref="D63:D68"/>
    <mergeCell ref="E63:E68"/>
    <mergeCell ref="F63:F68"/>
    <mergeCell ref="K63:K68"/>
    <mergeCell ref="T57:T62"/>
    <mergeCell ref="U57:U62"/>
    <mergeCell ref="V57:V62"/>
    <mergeCell ref="W57:W62"/>
    <mergeCell ref="X57:X62"/>
    <mergeCell ref="G63:G68"/>
    <mergeCell ref="H63:H68"/>
    <mergeCell ref="I63:I68"/>
    <mergeCell ref="J63:J68"/>
    <mergeCell ref="G57:G62"/>
    <mergeCell ref="H57:H62"/>
    <mergeCell ref="I57:I62"/>
    <mergeCell ref="J57:J62"/>
    <mergeCell ref="AU63:AU68"/>
    <mergeCell ref="AV63:AV68"/>
    <mergeCell ref="B69:AT69"/>
    <mergeCell ref="A10:J10"/>
    <mergeCell ref="G11:G12"/>
    <mergeCell ref="H11:H12"/>
    <mergeCell ref="U63:U68"/>
    <mergeCell ref="V63:V68"/>
    <mergeCell ref="W63:W68"/>
    <mergeCell ref="X63:X68"/>
    <mergeCell ref="Y63:Y68"/>
    <mergeCell ref="AT63:AT68"/>
    <mergeCell ref="L63:L68"/>
    <mergeCell ref="P63:P68"/>
    <mergeCell ref="Q63:Q68"/>
    <mergeCell ref="R63:R68"/>
    <mergeCell ref="S63:S68"/>
    <mergeCell ref="T63:T68"/>
    <mergeCell ref="AT57:AT62"/>
    <mergeCell ref="AU57:AU62"/>
    <mergeCell ref="AV57:AV62"/>
    <mergeCell ref="A63:A68"/>
    <mergeCell ref="B63:B68"/>
    <mergeCell ref="C63:C68"/>
    <mergeCell ref="G13:G14"/>
    <mergeCell ref="H13:H14"/>
    <mergeCell ref="I13:I14"/>
    <mergeCell ref="J13:J14"/>
    <mergeCell ref="G39:G44"/>
    <mergeCell ref="H39:H44"/>
    <mergeCell ref="I39:I44"/>
    <mergeCell ref="J39:J44"/>
    <mergeCell ref="G45:G50"/>
    <mergeCell ref="H45:H50"/>
    <mergeCell ref="I45:I50"/>
    <mergeCell ref="J45:J50"/>
    <mergeCell ref="G27:G32"/>
    <mergeCell ref="H27:H32"/>
    <mergeCell ref="I27:I32"/>
    <mergeCell ref="J27:J32"/>
    <mergeCell ref="G33:G38"/>
    <mergeCell ref="H33:H38"/>
    <mergeCell ref="I33:I38"/>
    <mergeCell ref="J33:J38"/>
  </mergeCells>
  <conditionalFormatting sqref="S13 S15">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5 W21 W27 W33 W39 W45 W51 W57 W63">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4">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4">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4">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57">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5">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5:AJ20">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5:AL20">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5:AN20">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1">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1">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1:AJ26">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1:AL26">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1:AN26">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27">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27">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27:AJ32">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27:AL32">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27:AN32">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3">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3">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3:AJ38">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3:AL38">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3:AN38">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39">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39">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39:AJ44">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39:AL44">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39:AN44">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5">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5">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5:AJ50">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5:AL50">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5:AN50">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1">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1:AJ56">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1:AL56">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1:AN56">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57">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57:AJ62">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57:AL62">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57:AN62">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3">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3">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3:AJ68">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3:AL68">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3:AN68">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68">
    <cfRule type="containsText" dxfId="13" priority="6" operator="containsText" text="❌">
      <formula>NOT(ISERROR(SEARCH("❌",V13)))</formula>
    </cfRule>
  </conditionalFormatting>
  <conditionalFormatting sqref="S51">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0" max="40" man="1"/>
    <brk id="26"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2CB3A2A8-EFAF-421A-B7A4-C63DE8EF6EB2}">
          <x14:formula1>
            <xm:f>Intructivo!$C$300:$C$316</xm:f>
          </x14:formula1>
          <xm:sqref>C6:Z6</xm:sqref>
        </x14:dataValidation>
        <x14:dataValidation type="custom" allowBlank="1" showInputMessage="1" showErrorMessage="1" error="Recuerde que las acciones se generan bajo la medida de mitigar el riesgo" xr:uid="{BB3D4E88-133A-4E35-8D1A-33FFE9FDCB31}">
          <x14:formula1>
            <xm:f>IF(OR(#REF!=Listas!$B$2,#REF!=Listas!$B$3,#REF!=Listas!$B$4),ISBLANK(#REF!),ISTEXT(#REF!))</xm:f>
          </x14:formula1>
          <xm:sqref>AT15:AV15 AT63:AV63 AT57:AV57 AT51:AV51 AT45:AV45 AT39:AV39 AT33:AV33 AT27:AV27 AT21:AV21</xm:sqref>
        </x14:dataValidation>
        <x14:dataValidation type="list" allowBlank="1" showInputMessage="1" showErrorMessage="1" xr:uid="{0A8C1405-7A09-4E95-B055-8CDE2DC9E401}">
          <x14:formula1>
            <xm:f>Listas!$H$14:$H$18</xm:f>
          </x14:formula1>
          <xm:sqref>Q13:Q68</xm:sqref>
        </x14:dataValidation>
        <x14:dataValidation type="list" allowBlank="1" showInputMessage="1" showErrorMessage="1" xr:uid="{A2FDF36D-6C37-45BE-83A0-B7225481AF67}">
          <x14:formula1>
            <xm:f>Listas!$H$8:$H$12</xm:f>
          </x14:formula1>
          <xm:sqref>P13:P68</xm:sqref>
        </x14:dataValidation>
        <x14:dataValidation type="list" allowBlank="1" showInputMessage="1" showErrorMessage="1" xr:uid="{13FF270E-C7F7-4F7E-9518-4F497A987C65}">
          <x14:formula1>
            <xm:f>Listas!$F$8:$F$9</xm:f>
          </x14:formula1>
          <xm:sqref>K13:K68</xm:sqref>
        </x14:dataValidation>
        <x14:dataValidation type="list" allowBlank="1" showInputMessage="1" showErrorMessage="1" xr:uid="{9B15C757-3D2A-4B22-824D-25C10D181F59}">
          <x14:formula1>
            <xm:f>Listas!$B$20:$B$22</xm:f>
          </x14:formula1>
          <xm:sqref>F13:F68</xm:sqref>
        </x14:dataValidation>
        <x14:dataValidation type="custom" allowBlank="1" showInputMessage="1" showErrorMessage="1" error="Recuerde que las acciones se generan bajo la medida de mitigar el riesgo" xr:uid="{ED929F9A-2A97-4639-9373-70F4BBF7EBDD}">
          <x14:formula1>
            <xm:f>IF(OR(AO13=Listas!$B$2,AO13=Listas!$B$3,AO13=Listas!$B$4),ISBLANK(AO13),ISTEXT(AO13))</xm:f>
          </x14:formula1>
          <xm:sqref>AS13:AS68</xm:sqref>
        </x14:dataValidation>
        <x14:dataValidation type="custom" allowBlank="1" showInputMessage="1" showErrorMessage="1" error="Recuerde que las acciones se generan bajo la medida de mitigar el riesgo" xr:uid="{E3600BA0-281C-45AE-B651-100138B102D4}">
          <x14:formula1>
            <xm:f>IF(OR(AO13=Listas!$B$2,AO13=Listas!$B$3,AO13=Listas!$B$4),ISBLANK(AO13),ISTEXT(AO13))</xm:f>
          </x14:formula1>
          <xm:sqref>AQ13:AR68</xm:sqref>
        </x14:dataValidation>
        <x14:dataValidation type="custom" allowBlank="1" showInputMessage="1" showErrorMessage="1" error="Recuerde que las acciones se generan bajo la medida de mitigar el riesgo" xr:uid="{37FCE2A2-E9A8-46CF-97A3-96A16204A07A}">
          <x14:formula1>
            <xm:f>IF(OR(AO13=Listas!$B$2,AO13=Listas!$B$3,AO13=Listas!$B$4),ISBLANK(AO13),ISTEXT(AO13))</xm:f>
          </x14:formula1>
          <xm:sqref>AP13:AP68</xm:sqref>
        </x14:dataValidation>
        <x14:dataValidation type="list" allowBlank="1" showInputMessage="1" showErrorMessage="1" xr:uid="{F2647F4E-04E6-41FE-90AA-2EED596C4F76}">
          <x14:formula1>
            <xm:f>'Tabla Impacto'!$F$211:$F$222</xm:f>
          </x14:formula1>
          <xm:sqref>U13:U68</xm:sqref>
        </x14:dataValidation>
        <x14:dataValidation type="list" allowBlank="1" showInputMessage="1" showErrorMessage="1" xr:uid="{55C15CBA-6E2A-438E-B6B8-F794E4D490A7}">
          <x14:formula1>
            <xm:f>Listas!$B$2:$B$5</xm:f>
          </x14:formula1>
          <xm:sqref>AO13:AO68</xm:sqref>
        </x14:dataValidation>
        <x14:dataValidation type="list" allowBlank="1" showInputMessage="1" showErrorMessage="1" xr:uid="{B29B9D66-43FC-493F-B3ED-95F3A1304E8F}">
          <x14:formula1>
            <xm:f>Listas!$E$2:$E$4</xm:f>
          </x14:formula1>
          <xm:sqref>B13:B68</xm:sqref>
        </x14:dataValidation>
        <x14:dataValidation type="list" allowBlank="1" showInputMessage="1" showErrorMessage="1" xr:uid="{A3FB8F04-DDCC-4481-97E4-19F48A575A7C}">
          <x14:formula1>
            <xm:f>'Tabla Valoración controles'!$D$13:$D$14</xm:f>
          </x14:formula1>
          <xm:sqref>AH13:AH68</xm:sqref>
        </x14:dataValidation>
        <x14:dataValidation type="list" allowBlank="1" showInputMessage="1" showErrorMessage="1" xr:uid="{34872B50-787A-47FC-91B3-16FC8B40AB89}">
          <x14:formula1>
            <xm:f>'Tabla Valoración controles'!$D$11:$D$12</xm:f>
          </x14:formula1>
          <xm:sqref>AG13:AG68</xm:sqref>
        </x14:dataValidation>
        <x14:dataValidation type="list" allowBlank="1" showInputMessage="1" showErrorMessage="1" xr:uid="{7FA6F7E8-A9D6-4F9C-94B9-833D212B5297}">
          <x14:formula1>
            <xm:f>'Tabla Valoración controles'!$D$9:$D$10</xm:f>
          </x14:formula1>
          <xm:sqref>AF13:AF68</xm:sqref>
        </x14:dataValidation>
        <x14:dataValidation type="list" allowBlank="1" showInputMessage="1" showErrorMessage="1" xr:uid="{138124BA-2EFB-4669-87F3-437B2E90E3A3}">
          <x14:formula1>
            <xm:f>'Tabla Valoración controles'!$D$7:$D$8</xm:f>
          </x14:formula1>
          <xm:sqref>AD13:AD68</xm:sqref>
        </x14:dataValidation>
        <x14:dataValidation type="list" allowBlank="1" showInputMessage="1" showErrorMessage="1" xr:uid="{508DADB2-0567-4760-816A-833D7897F9EB}">
          <x14:formula1>
            <xm:f>'Tabla Valoración controles'!$D$4:$D$6</xm:f>
          </x14:formula1>
          <xm:sqref>AC13:AC68</xm:sqref>
        </x14:dataValidation>
        <x14:dataValidation type="list" allowBlank="1" showInputMessage="1" showErrorMessage="1" xr:uid="{FC7889FE-5138-41C0-B06B-0A5BA7D2AE67}">
          <x14:formula1>
            <xm:f>Amenazas!$C$2:$C$11</xm:f>
          </x14:formula1>
          <xm:sqref>G13:G68</xm:sqref>
        </x14:dataValidation>
        <x14:dataValidation type="list" allowBlank="1" showInputMessage="1" showErrorMessage="1" xr:uid="{4378DCD1-5E9B-41D2-A652-3B8AF0B89E1A}">
          <x14:formula1>
            <xm:f>Listas!$B$25:$B$32</xm:f>
          </x14:formula1>
          <xm:sqref>I13:I68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cp:lastPrinted>2022-11-28T21:48:11Z</cp:lastPrinted>
  <dcterms:created xsi:type="dcterms:W3CDTF">2020-03-24T23:12:47Z</dcterms:created>
  <dcterms:modified xsi:type="dcterms:W3CDTF">2023-01-31T02:26:13Z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