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8_{A9C2AC82-5247-4A90-8F1E-8D8647C3DBC2}" xr6:coauthVersionLast="47" xr6:coauthVersionMax="47" xr10:uidLastSave="{00000000-0000-0000-0000-000000000000}"/>
  <bookViews>
    <workbookView xWindow="-120" yWindow="-120" windowWidth="29040" windowHeight="15840" tabRatio="933" activeTab="3"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0"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3" i="1" l="1"/>
  <c r="N13" i="1" s="1"/>
  <c r="V13" i="1"/>
  <c r="Y13" i="1"/>
  <c r="V14" i="1"/>
  <c r="Y14" i="1"/>
  <c r="V15" i="1"/>
  <c r="Y15" i="1"/>
  <c r="V16" i="1"/>
  <c r="Y16" i="1"/>
  <c r="V17" i="1"/>
  <c r="AG18" i="1" s="1"/>
  <c r="AF18" i="1" s="1"/>
  <c r="Y17" i="1"/>
  <c r="V18" i="1"/>
  <c r="Y18" i="1"/>
  <c r="AC18" i="1"/>
  <c r="AE18" i="1" s="1"/>
  <c r="P17" i="1"/>
  <c r="P15" i="1"/>
  <c r="P16" i="1"/>
  <c r="P14" i="1"/>
  <c r="P18" i="1"/>
  <c r="AC17" i="1" l="1"/>
  <c r="AE17" i="1" s="1"/>
  <c r="AG16" i="1"/>
  <c r="AF16" i="1" s="1"/>
  <c r="AG13" i="1"/>
  <c r="AF13" i="1" s="1"/>
  <c r="AC13" i="1"/>
  <c r="AE13" i="1" s="1"/>
  <c r="AC14" i="1" s="1"/>
  <c r="AD18" i="1"/>
  <c r="AH18" i="1" s="1"/>
  <c r="AG17" i="1"/>
  <c r="AF17" i="1" s="1"/>
  <c r="AC16" i="1"/>
  <c r="AD17" i="1" l="1"/>
  <c r="AH17" i="1" s="1"/>
  <c r="AG14" i="1"/>
  <c r="AF14" i="1" s="1"/>
  <c r="AD13" i="1"/>
  <c r="AH13" i="1" s="1"/>
  <c r="AD14" i="1"/>
  <c r="AE14" i="1"/>
  <c r="AC15" i="1" s="1"/>
  <c r="AD15" i="1" s="1"/>
  <c r="AD16" i="1"/>
  <c r="AH16" i="1" s="1"/>
  <c r="AE16" i="1"/>
  <c r="AG15" i="1" l="1"/>
  <c r="AF15" i="1" s="1"/>
  <c r="AH15" i="1" s="1"/>
  <c r="AH14" i="1"/>
  <c r="AE15" i="1"/>
  <c r="M55" i="1" l="1"/>
  <c r="W8" i="1" l="1"/>
  <c r="W7" i="1"/>
  <c r="W6" i="1"/>
  <c r="V19" i="1" l="1"/>
  <c r="V20" i="1"/>
  <c r="AG20" i="1" l="1"/>
  <c r="AG19" i="1"/>
  <c r="E24" i="22"/>
  <c r="E8" i="13"/>
  <c r="E7" i="13"/>
  <c r="E6" i="13"/>
  <c r="E5" i="13"/>
  <c r="P22" i="1"/>
  <c r="P71" i="1"/>
  <c r="P38" i="1"/>
  <c r="P54" i="1"/>
  <c r="P20" i="1"/>
  <c r="P35" i="1"/>
  <c r="P32" i="1"/>
  <c r="P42" i="1"/>
  <c r="P47" i="1"/>
  <c r="P59" i="1"/>
  <c r="P64" i="1"/>
  <c r="P40" i="1"/>
  <c r="P70" i="1"/>
  <c r="P45" i="1"/>
  <c r="P30" i="1"/>
  <c r="P63" i="1"/>
  <c r="P28" i="1"/>
  <c r="P29" i="1"/>
  <c r="P57" i="1"/>
  <c r="P24" i="1"/>
  <c r="P58" i="1"/>
  <c r="P62" i="1"/>
  <c r="P69" i="1"/>
  <c r="P68" i="1"/>
  <c r="P21" i="1"/>
  <c r="P46" i="1"/>
  <c r="P44" i="1"/>
  <c r="P53" i="1"/>
  <c r="P50" i="1"/>
  <c r="P36" i="1"/>
  <c r="P39" i="1"/>
  <c r="P23" i="1"/>
  <c r="P51" i="1"/>
  <c r="P41" i="1"/>
  <c r="P72" i="1"/>
  <c r="P27" i="1"/>
  <c r="P26" i="1"/>
  <c r="P65" i="1"/>
  <c r="P48" i="1"/>
  <c r="P56" i="1"/>
  <c r="P33" i="1"/>
  <c r="P60" i="1"/>
  <c r="P34" i="1"/>
  <c r="P52" i="1"/>
  <c r="P66" i="1"/>
  <c r="F222" i="13" l="1"/>
  <c r="F212" i="13"/>
  <c r="F213" i="13"/>
  <c r="F214" i="13"/>
  <c r="F215" i="13"/>
  <c r="F216" i="13"/>
  <c r="F217" i="13"/>
  <c r="F218" i="13"/>
  <c r="F219" i="13"/>
  <c r="F220" i="13"/>
  <c r="F221" i="13"/>
  <c r="F211" i="13"/>
  <c r="B222" i="13" a="1"/>
  <c r="B222" i="13" l="1"/>
  <c r="P13" i="1" s="1"/>
  <c r="Q13" i="1" s="1"/>
  <c r="V55" i="1"/>
  <c r="V50" i="1"/>
  <c r="V44" i="1"/>
  <c r="AG55" i="1" l="1"/>
  <c r="R13" i="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Y72" i="1" l="1"/>
  <c r="V72" i="1"/>
  <c r="Y71" i="1"/>
  <c r="V71" i="1"/>
  <c r="AG72" i="1" s="1"/>
  <c r="Y70" i="1"/>
  <c r="V70" i="1"/>
  <c r="Y69" i="1"/>
  <c r="V69" i="1"/>
  <c r="AG70" i="1" s="1"/>
  <c r="Y68" i="1"/>
  <c r="V68" i="1"/>
  <c r="Y67" i="1"/>
  <c r="V67" i="1"/>
  <c r="M67" i="1"/>
  <c r="N67" i="1" s="1"/>
  <c r="Y66" i="1"/>
  <c r="V66" i="1"/>
  <c r="Y65" i="1"/>
  <c r="V65" i="1"/>
  <c r="AG66" i="1" s="1"/>
  <c r="Y64" i="1"/>
  <c r="V64" i="1"/>
  <c r="AG65" i="1" s="1"/>
  <c r="Y63" i="1"/>
  <c r="V63" i="1"/>
  <c r="AG64" i="1" s="1"/>
  <c r="Y62" i="1"/>
  <c r="V62" i="1"/>
  <c r="AG63" i="1" s="1"/>
  <c r="Y61" i="1"/>
  <c r="V61" i="1"/>
  <c r="M61" i="1"/>
  <c r="N61" i="1" s="1"/>
  <c r="Y60" i="1"/>
  <c r="V60" i="1"/>
  <c r="Y59" i="1"/>
  <c r="V59" i="1"/>
  <c r="Y58" i="1"/>
  <c r="V58" i="1"/>
  <c r="AG59" i="1" s="1"/>
  <c r="Y57" i="1"/>
  <c r="V57" i="1"/>
  <c r="Y56" i="1"/>
  <c r="V56" i="1"/>
  <c r="Y55" i="1"/>
  <c r="N55" i="1"/>
  <c r="Y54" i="1"/>
  <c r="V54" i="1"/>
  <c r="Y53" i="1"/>
  <c r="V53" i="1"/>
  <c r="Y52" i="1"/>
  <c r="V52" i="1"/>
  <c r="AG53" i="1" s="1"/>
  <c r="Y51" i="1"/>
  <c r="V51" i="1"/>
  <c r="Y50" i="1"/>
  <c r="Y49" i="1"/>
  <c r="V49" i="1"/>
  <c r="M49" i="1"/>
  <c r="N49" i="1" s="1"/>
  <c r="Y48" i="1"/>
  <c r="V48" i="1"/>
  <c r="Y47" i="1"/>
  <c r="V47" i="1"/>
  <c r="Y46" i="1"/>
  <c r="V46" i="1"/>
  <c r="AG47" i="1" s="1"/>
  <c r="Y45" i="1"/>
  <c r="V45" i="1"/>
  <c r="Y44" i="1"/>
  <c r="Y43" i="1"/>
  <c r="V43" i="1"/>
  <c r="M43" i="1"/>
  <c r="N43" i="1" s="1"/>
  <c r="Y42" i="1"/>
  <c r="V42" i="1"/>
  <c r="Y41" i="1"/>
  <c r="V41" i="1"/>
  <c r="Y40" i="1"/>
  <c r="V40" i="1"/>
  <c r="AG41" i="1" s="1"/>
  <c r="Y39" i="1"/>
  <c r="V39" i="1"/>
  <c r="Y38" i="1"/>
  <c r="V38" i="1"/>
  <c r="AG39" i="1" s="1"/>
  <c r="Y37" i="1"/>
  <c r="V37" i="1"/>
  <c r="M37" i="1"/>
  <c r="N37" i="1" s="1"/>
  <c r="Y36" i="1"/>
  <c r="V36" i="1"/>
  <c r="Y35" i="1"/>
  <c r="V35" i="1"/>
  <c r="AG36" i="1" s="1"/>
  <c r="Y34" i="1"/>
  <c r="V34" i="1"/>
  <c r="Y33" i="1"/>
  <c r="V33" i="1"/>
  <c r="AG34" i="1" s="1"/>
  <c r="Y32" i="1"/>
  <c r="V32" i="1"/>
  <c r="Y31" i="1"/>
  <c r="V31" i="1"/>
  <c r="M31" i="1"/>
  <c r="N31" i="1" s="1"/>
  <c r="Y30" i="1"/>
  <c r="V30" i="1"/>
  <c r="Y29" i="1"/>
  <c r="V29" i="1"/>
  <c r="AG30" i="1" s="1"/>
  <c r="Y28" i="1"/>
  <c r="V28" i="1"/>
  <c r="Y27" i="1"/>
  <c r="V27" i="1"/>
  <c r="AG28" i="1" s="1"/>
  <c r="Y26" i="1"/>
  <c r="V26" i="1"/>
  <c r="Y25" i="1"/>
  <c r="V25" i="1"/>
  <c r="M25" i="1"/>
  <c r="N25" i="1" s="1"/>
  <c r="M19" i="1"/>
  <c r="Y24" i="1"/>
  <c r="V24" i="1"/>
  <c r="Y23" i="1"/>
  <c r="V23" i="1"/>
  <c r="Y22" i="1"/>
  <c r="V22" i="1"/>
  <c r="AG23" i="1" s="1"/>
  <c r="Y21" i="1"/>
  <c r="V21" i="1"/>
  <c r="Y20" i="1"/>
  <c r="Y19" i="1"/>
  <c r="AG25" i="1" l="1"/>
  <c r="AG26" i="1"/>
  <c r="AG57" i="1"/>
  <c r="AG56" i="1"/>
  <c r="AG68" i="1"/>
  <c r="AG67" i="1"/>
  <c r="AG31" i="1"/>
  <c r="AG32" i="1" s="1"/>
  <c r="AG33" i="1" s="1"/>
  <c r="AG22" i="1"/>
  <c r="AG21" i="1"/>
  <c r="AG24" i="1"/>
  <c r="AG27" i="1"/>
  <c r="AG29" i="1"/>
  <c r="AG38" i="1"/>
  <c r="AG37" i="1"/>
  <c r="AG40" i="1"/>
  <c r="AG42" i="1"/>
  <c r="AG46" i="1"/>
  <c r="AG45" i="1"/>
  <c r="AG48" i="1"/>
  <c r="AG52" i="1"/>
  <c r="AG51" i="1"/>
  <c r="AG54" i="1"/>
  <c r="AG58" i="1"/>
  <c r="AG60" i="1"/>
  <c r="AG69" i="1"/>
  <c r="AG71" i="1"/>
  <c r="AG35" i="1"/>
  <c r="AG44" i="1"/>
  <c r="AG43" i="1"/>
  <c r="AG50" i="1"/>
  <c r="AG49" i="1"/>
  <c r="AG62" i="1"/>
  <c r="AG61" i="1"/>
  <c r="AF53" i="1"/>
  <c r="AF54"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<sst xmlns="http://schemas.openxmlformats.org/spreadsheetml/2006/main" count="714" uniqueCount="458">
  <si>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</si>
  <si>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</si>
  <si>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</si>
  <si>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</si>
  <si>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</si>
  <si>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</si>
  <si>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</si>
  <si>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</si>
  <si>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</si>
  <si>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</si>
  <si>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</si>
  <si>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</si>
  <si>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</si>
  <si>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</si>
  <si>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</si>
  <si>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</si>
  <si>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</si>
  <si>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</si>
  <si>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</si>
  <si>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</si>
  <si>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</si>
  <si>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</si>
  <si>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</si>
  <si>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</si>
  <si>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</si>
  <si>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</si>
  <si>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</si>
  <si>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</si>
  <si>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</si>
  <si>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</si>
  <si>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</si>
  <si>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</si>
  <si>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</si>
  <si>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</si>
  <si>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</si>
  <si>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</si>
  <si>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</si>
  <si>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</si>
  <si>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</si>
  <si>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</si>
  <si>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</si>
  <si>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</si>
  <si>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</si>
  <si>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</si>
  <si>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</si>
  <si>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</si>
  <si>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</si>
  <si>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</si>
  <si>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</si>
  <si>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</si>
  <si>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</si>
  <si>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</si>
  <si>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</si>
  <si>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</si>
  <si>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</si>
  <si>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</si>
  <si>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</si>
  <si>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</si>
  <si>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</si>
  <si>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</si>
  <si>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</si>
  <si>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</si>
  <si>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</si>
  <si>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</si>
  <si>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</si>
  <si>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</si>
  <si>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</si>
  <si>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</si>
  <si>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</si>
  <si>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</si>
  <si>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</si>
  <si>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</si>
  <si>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</si>
  <si>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</si>
  <si>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</si>
  <si>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</si>
  <si>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</si>
  <si>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</si>
  <si>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</si>
  <si>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</si>
  <si>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</si>
  <si>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</si>
  <si>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</si>
  <si>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</si>
  <si>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</si>
  <si>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</si>
  <si>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</si>
  <si>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</si>
  <si>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</si>
  <si>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</si>
  <si>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</si>
  <si>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</si>
  <si>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</si>
  <si>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</si>
  <si>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</si>
  <si>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</si>
  <si>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</si>
  <si>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</si>
  <si>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</si>
  <si>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</si>
  <si>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</si>
  <si>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</si>
  <si>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</si>
  <si>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</si>
  <si>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</si>
  <si>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</si>
  <si>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</si>
  <si>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</si>
  <si>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</si>
  <si>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</si>
  <si>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</si>
  <si>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</si>
  <si>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</si>
  <si>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</si>
  <si>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</si>
  <si>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</si>
  <si>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</si>
  <si>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</si>
  <si>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</si>
  <si>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</si>
  <si>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</si>
  <si>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</si>
  <si>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</si>
  <si>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</si>
  <si>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</si>
  <si>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</si>
  <si>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</si>
  <si>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</si>
  <si>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</si>
  <si>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</si>
  <si>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</si>
  <si>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</si>
  <si>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</si>
  <si>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</si>
  <si>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</si>
  <si>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</si>
  <si>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</si>
  <si>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</si>
  <si>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</si>
  <si>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</si>
  <si>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</si>
  <si>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</si>
  <si>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</si>
  <si>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</si>
  <si>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</si>
  <si>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</si>
  <si>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</si>
  <si>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</si>
  <si>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</si>
  <si>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</si>
  <si>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</si>
  <si>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</si>
  <si>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</si>
  <si>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</si>
  <si>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</si>
  <si>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</si>
  <si>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</si>
  <si>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</si>
  <si>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</si>
  <si>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</si>
  <si>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</si>
  <si>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</si>
  <si>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</si>
  <si>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</si>
  <si>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</si>
  <si>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</si>
  <si>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</si>
  <si>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</si>
  <si>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</si>
  <si>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</si>
  <si>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</si>
  <si>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</si>
  <si>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</si>
  <si>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</si>
  <si>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</si>
  <si>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</si>
  <si>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</si>
  <si>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</si>
  <si>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</si>
  <si>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</si>
  <si>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</si>
  <si>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</si>
  <si>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</si>
  <si>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</si>
  <si>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</si>
  <si>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</si>
  <si>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</si>
  <si>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</si>
  <si>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</si>
  <si>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</si>
  <si>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</si>
  <si>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</si>
  <si>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</si>
  <si>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</si>
  <si>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</si>
  <si>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</si>
  <si>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</si>
  <si>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</si>
  <si>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</si>
  <si>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</si>
  <si>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</si>
  <si>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</si>
  <si>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</si>
  <si>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</si>
  <si>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</si>
  <si>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</si>
  <si>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</si>
  <si>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</si>
  <si>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</si>
  <si>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</si>
  <si>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</si>
  <si>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</si>
  <si>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</si>
  <si>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</si>
  <si>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</si>
  <si>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</si>
  <si>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</si>
  <si>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</si>
  <si>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</si>
  <si>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</si>
  <si>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</si>
  <si>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</si>
  <si>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</si>
  <si>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</si>
  <si>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</si>
  <si>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</si>
  <si>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</si>
  <si>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</si>
  <si>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</si>
  <si>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</si>
  <si>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</si>
  <si>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</si>
  <si>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</si>
  <si>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</si>
  <si>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</si>
  <si>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</si>
  <si>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</si>
  <si>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</si>
  <si>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</si>
  <si>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</si>
  <si>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</si>
  <si>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</si>
  <si>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</si>
  <si>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</si>
  <si>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</si>
  <si>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</si>
  <si>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</si>
  <si>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</si>
  <si>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</si>
  <si>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</si>
  <si>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</si>
  <si>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</si>
  <si>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</si>
  <si>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</si>
  <si>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</si>
  <si>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</si>
  <si>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</si>
  <si>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</si>
  <si>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</si>
  <si>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</si>
  <si>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</si>
  <si>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</si>
  <si>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</si>
  <si>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</si>
  <si>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</si>
  <si>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</si>
  <si>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</si>
  <si>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</si>
  <si>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</si>
  <si>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</si>
  <si>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</si>
  <si>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</si>
  <si>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</si>
  <si>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</si>
  <si>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</si>
  <si>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</si>
  <si>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</si>
  <si>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</si>
  <si>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</si>
  <si>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</si>
  <si>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</si>
  <si>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</si>
  <si>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</si>
  <si>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</si>
  <si>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</si>
  <si>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</si>
  <si>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</si>
  <si>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</si>
  <si>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</si>
  <si>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</si>
  <si>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</si>
  <si>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</si>
  <si>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</si>
  <si>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</si>
  <si>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</si>
  <si>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</si>
  <si>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</si>
  <si>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</si>
  <si>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</si>
  <si>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</si>
  <si>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</si>
  <si>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</si>
  <si>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</si>
  <si>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</si>
  <si>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</si>
  <si>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</si>
  <si>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</si>
  <si>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</si>
  <si>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</si>
  <si>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</si>
  <si>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</si>
  <si>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</si>
  <si>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</si>
  <si>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</si>
  <si>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</si>
  <si>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</si>
  <si>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</si>
  <si>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</si>
  <si>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</si>
  <si>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</si>
  <si>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</si>
  <si>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</si>
  <si>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</si>
  <si>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</si>
  <si>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</si>
  <si>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</si>
  <si>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</si>
  <si>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</si>
  <si>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</si>
  <si>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</si>
  <si>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</si>
  <si>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</si>
  <si>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</si>
  <si>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</si>
  <si>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</si>
  <si>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</si>
  <si>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</si>
  <si>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</si>
  <si>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</si>
  <si>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</si>
  <si>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</si>
  <si>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</si>
  <si>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</si>
  <si>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</si>
  <si>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</si>
  <si>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</si>
  <si>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</si>
  <si>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</si>
  <si>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</si>
  <si>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</si>
  <si>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</si>
  <si>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</si>
  <si>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</si>
  <si>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</si>
  <si>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</si>
  <si>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</si>
  <si>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</si>
  <si>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</si>
  <si>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</si>
  <si>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</si>
  <si>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</si>
  <si>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</si>
  <si>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</si>
  <si>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</si>
  <si>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</si>
  <si>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</si>
  <si>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</si>
  <si>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</si>
  <si>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</si>
  <si>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</si>
  <si>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</si>
  <si>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</si>
  <si>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</si>
  <si>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</si>
  <si>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</si>
  <si>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</si>
  <si>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</si>
  <si>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</si>
  <si>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</si>
  <si>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</si>
  <si>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</si>
  <si>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</si>
  <si>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</si>
  <si>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</si>
  <si>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</si>
  <si>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</si>
  <si>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</si>
  <si>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</si>
  <si>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</si>
  <si>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</si>
  <si>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</si>
  <si>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</si>
  <si>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</si>
  <si>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</si>
  <si>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</si>
  <si>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El diseño de proceso y la implementación de requerimientos cuenta con directrices y lineamientos normativos claros por parte de las entidades reguladoras.</t>
  </si>
  <si>
    <t>Debido a la amplitud del proceso, se puede presentar dificultad en la interrelación con otros procesos con relación a la administración del talento humano.</t>
  </si>
  <si>
    <t>Revisando la descripción de esta debilidad y/o amenaza evidenciada no se identifica como un riesgo.</t>
  </si>
  <si>
    <t>Definición de procedimientos claros y documentados para la interacción con los demás procesos que intervienen en la gestión del talento humano.
Apoyo en la generación de espacios participativos para la identificación de los valores y principios institucionales, su conocimiento e interiorización por parte de los todos los servidores y garantizar su cumplimiento en el ejercicio de sus funciones.</t>
  </si>
  <si>
    <t>Fortalecimiento en la divulgación de los procesos y procedimientos establecidos para la gestión del Talento Humano.</t>
  </si>
  <si>
    <t>Establecimiento de manuales de funciones y competencias laborales acordes con el perfil de los funcionarios públicos y con lineamientos transversales para su aplicación por parte de todos los procesos.
Gestión de condiciones de trabajo favorables para todos los colaboradores de la Entidad.</t>
  </si>
  <si>
    <t>El Proceso de Gestión de talento humano es un proceso de Apoyo, lo ideal correspondería a ser de tipo estratégico de acuerdo al MIPG.</t>
  </si>
  <si>
    <t>Revisando la descripción de esta debilidad y/o amenaza evidenciada no se identifica como un riesgo, en la actualidad se evidencia mas como una debilidad.</t>
  </si>
  <si>
    <t>Procedimientos definidos acordes con el actuar del proceso
Actualización de los procedimientos de acuerdo a los nuevos modelos de gestión y planeación.
Contar con mecanismos para evaluar competencias para los candidatos a cubrir vacantes temporales o de libre nombramiento y remoción.</t>
  </si>
  <si>
    <t>Debilidad en el procedimiento para la definición de los acuerdos de gestión por parte de los Gerentes públicos debido a factores que no se encuentran al alcance de proceso de Gestión de Talento Humano.
Falta de puntos de control en el desarrollo de las actividades consignadas en los procedimientos.</t>
  </si>
  <si>
    <t>La primera debilidad no se identifica como un riesgo adicionalmente que el desarrollo de la misma no se encuentra en alcance del proceso.
Sobre la segunda es posible revisar y ajustar algunos de los procedimientos para mejorar el desarrollo de algunas actividades.</t>
  </si>
  <si>
    <t>Contar con personal calificado y competente para el cumplimiento del objetivo y alcance del proceso.   
Idoneidad y competitividad del responsable del proceso.
Seguridad y credibilidad en las decisiones que se tomen para la mejora continua del proceso.</t>
  </si>
  <si>
    <t>Actualización en temas relacionados con  el proceso de talento Humano sobre lo que se interviene en el ciclo de ingreso -permanencia y retiro de los funcionarios públicos.</t>
  </si>
  <si>
    <t>Revisando la descripción de esta debilidad y/o amenaza evidenciada no se identifica como un riesgo, en la actualidad se evidencia más como una debilidad.</t>
  </si>
  <si>
    <t>Deficiencias en la apropiación de la información divulgada y la implementación de los procedimientos por parte de los demás procesos que se interrelacionan con Talento Humano.</t>
  </si>
  <si>
    <t xml:space="preserve">Contar con instrumentos tecnológicos que se encuentren acordes con las exigencias en la materia de administración del personal. </t>
  </si>
  <si>
    <t>Esta actividad se puede identificar posiblemente como un riesgo para el proceso.</t>
  </si>
  <si>
    <t>Falta de idoneidad e integridad en sus integrantes del Proceso de Gestión de Talento Humano.</t>
  </si>
  <si>
    <t>Gerenciar el Talento Humano de la Unidad Administrativa Especial de Rehabilitación y Mantenimiento Vial, planificando y desarrollando estrategias encaminadas a garantizar el mejoramiento permanente y la satisfacción laboral de los servidores públicos que contribuyen a la misión de la institución.</t>
  </si>
  <si>
    <t>Inicia desde la detección de la necesidad de vinculación de personal, continuando con la ejecución de las actividades de desarrollo de las estrategias de talento humano hasta el trámite en la desvinculación del personal. Aplica para los servidores públicos de la Unidad Administrativa Especial de Rehabilitación y Mantenimiento Vial. Cubre: Ingreso de personal, Desarrollo de personal, Formación y capacitación, Bienestar social, Incentivos, Evaluación del desempeño laboral, Administración del régimen salarial y prestacional, Sistema de Gestión de Seguridad y Salud en el Trabajo SG-SST, y Retiro de personal.</t>
  </si>
  <si>
    <t>inconformidad de los servidores públicos</t>
  </si>
  <si>
    <t xml:space="preserve">Liquidación de la nómina fuera de los tiempos establecidos
Desconocimiento de manejo de la herramienta.
</t>
  </si>
  <si>
    <t>Posibilidad de pérdida de imagen del proceso de Gestión de Talento Humano por inconformidad de los servidores públicos debido a la liquidación de la nómina fuera de los tiempos establecidos.</t>
  </si>
  <si>
    <t>El servidor público designado verifica mensualmente al momento de ejecutar la liquidación de la nómina que su contenido corresponda con las situaciones administrativas (devengados y deducidos por concepto de salud, pensión y retención en la fuente) y demás novedades, a través de una comparación de los reportes generados por el aplicativo de nómina People Net – SIGEP,  frente al cálculo realizado en una matriz de Excel para la liquidación de la nómina, la cual reposará como evidencia de la verificación realizada, con el fin de corroborar que los registros de las situaciones administrativas incluidos en el aplicativo sean correctos.</t>
  </si>
  <si>
    <t xml:space="preserve">El servidor público designado compara mensualmente el reporte general de deducidos generado por el sistema People Net- SIGEP, frente al reporte individual de descuentos y soportes de libranza u embargos, con el fin de que operen de manera correcta; en caso de encontrar una diferencia se revisará nuevamente la inclusión de las novedades, quedando como evidencia cada uno de los reportes generados y los soportes de las libranzas y embargos.
</t>
  </si>
  <si>
    <t>El funcionario encargado de la nómina solicita apoyo al proceso de SIT para la revisión y ajustes de las inconsistencias encontradas sobre la liquidación de la nómina que tengan que ver con la parametrización</t>
  </si>
  <si>
    <t>Solicitud mesa de ayuda del proveedor Heinsohn.</t>
  </si>
  <si>
    <t>Profesional Especializado y técnico Operativo de Talento Humano.</t>
  </si>
  <si>
    <t xml:space="preserve">Perdida de credibilidad y confianza de las partes interesadas </t>
  </si>
  <si>
    <t>Posibilidad de afectación reputacional por perdida de credibilidad y confianza de las partes interesadas debido a la implementación del Sistema de Gestión de  Seguridad y Salud en el Trabajo SG-SST sin el cumplimiento de los  requisitos mínimos establecidos por la normatividad vigente.</t>
  </si>
  <si>
    <t>El Líder asignado por la Dirección General como responsable de coordinar el desarrollo del SG-SST, se reúne trimestralmente con su equipo de trabajo para revisar el nivel de avance de ejecución del Plan Anual de Seguridad y salud en el Trabajo -PASST, dejando como evidencia un acta de reunión y el cronograma de seguimiento del PASST que presenta el porcentaje de avance.
En caso de evidenciar incumplimientos en las actividades definidas en el Plan Anual de Seguridad y salud en el Trabajo -PASST, se ejecutarán reuniones extraordinarias con el personal encargado del área de SST, para ser informado al Comité de Seguridad y salud en el Trabajo, estableciendo alertas y determinando plazos para la ejecución de actividades, dejando como evidencia las actas de reunión.</t>
  </si>
  <si>
    <t>El Líder asignado por la Dirección General como responsable de coordinar el desarrollo del SG-SST  se reunirá trimestralmente con los integrantes del Comité de Seguridad y salud en el Trabajo (Secretaria General, Gerente GASA, Profesional Especializado del Proceso de Talento Humano, asesores de la Secretaria General y colaboradores de SST) con el propósito de revisar el estado de implementación, novedades y oportunidades de mejora para articular y socializar las directrices en materia de seguridad y salud en el trabajo. Se deja como evidencia un acta de reunión con los temas relevantes de la reunión.
En caso de evidenciar retrasos en la implementación de acciones a cargo de las dependencias se procederá a concertar compromisos con los jefes de las mismas, para su cierre respectivo, dejando como evidencia los compromisos en el acta de reunión.</t>
  </si>
  <si>
    <t>El Líder asignado por la Dirección General como responsable de coordinar el diseño e implementación del SG-SST.</t>
  </si>
  <si>
    <t>Actas de Reunión</t>
  </si>
  <si>
    <t>Cada vez que se requiera</t>
  </si>
  <si>
    <t>Incluir los requisitos incumplidos en el Plan Anual de Trabajo de Seguridad y Salud en el Trabajo para su ejecución y seguimiento.</t>
  </si>
  <si>
    <t xml:space="preserve"> Plan Anual de Trabajo de Seguridad y Salud en el Trabajo actualizado.</t>
  </si>
  <si>
    <t>Posibilidad de afectación reputacional por perdida de credibilidad y confianza de las partes interesadas debido a la implementación del Plan Estratégico de Talento Humano PETH fuera de cronograma establecido.</t>
  </si>
  <si>
    <t>El Profesional Universitario del proceso de Gestión de Talento Humano se reúne trimestralmente con el Profesional Especializado de Gestión de Talento Humano, para verificar el cumplimiento de las acciones en el Plan Institucional de Formación y Capacitación – PIFC, y el Plan de Estímulo e incentivos, con la finalidad de comunicar las situaciones imprevistas que afecten el cumplimiento oportuno de las actividades, dejando como evidencia un acta de reunión. 
En caso de evidenciar retrasos o necesidades de modificación de los mismos, se presentan las solicitudes ante el equipo de trabajo o la Secretaria General realizando la correspondiente modificación de los planes, dejando como evidencia un acta de reunión.</t>
  </si>
  <si>
    <t>El profesional Especializado del Proceso de Gestión de Talento Humano, realizará una reunión trimestral de seguimiento al desarrollo de la ejecución de los diferentes planes, con el propósito de revisar los avances y dificultades presentados en la ejecución y evaluación de las novedades encontradas, dejando como evidencias un acta de reunión.
En caso de presentar dificultades que superen su capacidad funcional, se reunirá con el Secretario(a) General para dar a conocer la situación y encontrar la solución más adecuada.</t>
  </si>
  <si>
    <t>Presentar solicitudes de modificación de los planes, aprobarlas y hacerles el debido seguimiento</t>
  </si>
  <si>
    <t>Actas de Reunión  y soportes de modificación del cronograma.</t>
  </si>
  <si>
    <t>Profesional Universitario del Proceso de Gestión de Talento Humano</t>
  </si>
  <si>
    <t>Divulgación oportuna de procedimientos para la gestión del talento Humano.
Establecimiento de espacios de participación para la planeación estratégica del Talento Humano.
Generación de estrategias para la divulgación y comunicación de las acciones realizadas en pro de la mejora de la calidad de vida y el clima organizacional de la Entidad.</t>
  </si>
  <si>
    <t xml:space="preserve">Demoras con relación a trámites relacionados solicitudes los aplicativos y sistemas de información que maneja el proceso (PASIVO COL - SIGEP- People Net, SIDEAP).
Deficiente control frente al registro, trámite, consolidación, centralización y seguimiento a los requerimientos de los funcionarios y ex funcionarios registrados en los aplicativos y sistemas de información con que cuenta la Entidad.
Posible pérdida de información por falencias en los Back Up a los sistemas de información y gestión documental de la Entidad.
Deficiencia en las fuentes de información relacionadas con actividades de la fase de permanencia de los servidores públicos.
</t>
  </si>
  <si>
    <t>ANÁLISIS</t>
  </si>
  <si>
    <t>El servidor público designado anualmente proyecta la circular con el cronograma de apertura y cierre de novedades que afectan la nomina, con el propósito de dar cumplimiento a la liquidación de la nomina en cada periodo de forma oportuna. Como evidencia se encuentra la circular de apertura y cierre de novedades que afectan la nomina.</t>
  </si>
  <si>
    <t>Incumplimiento de los requisitos mínimos del Sistema de Gestión de Seguridad y Salud en el Trabajo SG-SST</t>
  </si>
  <si>
    <t>Ejecución y Administración de procesos</t>
  </si>
  <si>
    <t>Realizar la actualización de la documentación del proceso de Gestión de talento Humano en lo relacionado con el SG-SST incorporando el cumplimiento a los requisitos mínimos.</t>
  </si>
  <si>
    <t>Incumplimiento en el cronograma de los planes que integran en Plan Estratégico de Talento Humano PETH.</t>
  </si>
  <si>
    <t>ACCIÓN DE CONTINGENCIA</t>
  </si>
  <si>
    <t>perdida de credibilidad y confianza de las partes interesadas</t>
  </si>
  <si>
    <t>Identificación de conflictos de interes que no cumplan con la normatividad vigente.</t>
  </si>
  <si>
    <t>Posibilidad de afectación reputacional por perdida de credibilidad y confianza de las partes interesadas debido al diligenciamiento de la declaración conflictos de interes sin el cumplimiento de lo establecido en la normatividad vigente.</t>
  </si>
  <si>
    <t>El servidor publico o colaborador, designado como administrador de la plataforma SIDEAP por parte del proceso de Gestión de Talento Humano, verifica  semestralmente que servidores publicos han diligenciado la declaración de conflicto de intereses en el modulo de conflicto de interes en la plataforma. Como evidencia se cuenta con el reporte cuatrimestral de la Plataforma SIDEAP donde se identifican los servidores faltantes por declarar.
En el caso que se identifique servidores pendientes de reporte, la Secrearía General realiza un comunicado mediante correo electronico solicitando la declaración del conflicto de interes.</t>
  </si>
  <si>
    <t>El servidor publico o colaborador por parte del proceso de Gestión de Talento Humano, verifica semestralmente en el aplicativo por la Integridad Pública - DAFP que los Directivos han diligenciado la declaración de conflicto de intereses en la plataforma. Como evidencia se cuenta con el reporte cuatrimestral del aplicativo por la Integridad Pública - DAFP donde se identifican los servidores faltantes por declarar.
En el caso que se identifique directivos pendientes de reporte, la Secrearía General realiza un comunicado mediante correo electronico solicitando la declaración del conflicto de interes.</t>
  </si>
  <si>
    <t>El servidor publico o colaborador designado por el proceso de Gestión Contractual, verifica  cada vez que se elabora un contrato de prestación de servicios que en el expediente este la totalidad de documentos definidos en la lista de chequeo, debidamente diligenciados y firmados. Dentro de los documentos se incluye la declaración de conflicto de interes en SIDEAP. Como evidencia se cuenta con el reporte cuatrimestral de la Plataforma SIDEAP donde se identifican los contratistas faltantes por declarar.
En el caso que se identifique documentos faltantes, mal diligenciados o sin firma, se devolvera a la dependencia correspondiente para su ajuste.</t>
  </si>
  <si>
    <t>Realizar una divulgación a través de correo electronico con enfasis en conflicto de interes.</t>
  </si>
  <si>
    <t>Servidor público o colaborador de Gestión de Talento Humano.</t>
  </si>
  <si>
    <t>Piezas grafícas y correo de divulgación.</t>
  </si>
  <si>
    <t>Remitir memorando a los servidores publicos que al periodo de seguimiento no realizaron la actividad.</t>
  </si>
  <si>
    <t>Memorando remitido.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</si>
</sst>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0"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2"/>
      <color rgb="FF000000"/>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44" fontId="12" fillId="0" borderId="0" applyFont="0" applyFill="0" applyBorder="0" applyAlignment="0" applyProtection="0"/>
  </cellStyleXfs>
  <cellXfs count="590">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5" fontId="28"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44" fontId="0" fillId="3" borderId="0" xfId="5" applyFont="1" applyFill="1" applyAlignment="1">
      <alignment horizontal="left" vertical="center"/>
    </xf>
    <xf numFmtId="44" fontId="56" fillId="3" borderId="0" xfId="5" applyFont="1" applyFill="1" applyAlignment="1">
      <alignment horizontal="left" vertical="center"/>
    </xf>
    <xf numFmtId="44" fontId="0" fillId="0" borderId="0" xfId="5" applyFont="1" applyAlignment="1">
      <alignment horizontal="left" vertical="center"/>
    </xf>
    <xf numFmtId="4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2" fillId="0" borderId="68" xfId="0" applyFont="1" applyBorder="1" applyAlignment="1">
      <alignment horizontal="justify"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6" fillId="0" borderId="34" xfId="0" applyFont="1" applyBorder="1" applyAlignment="1">
      <alignment horizontal="center" vertical="center"/>
    </xf>
    <xf numFmtId="0" fontId="62" fillId="3" borderId="6" xfId="0" applyFont="1" applyFill="1" applyBorder="1" applyAlignment="1">
      <alignment horizontal="justify" vertical="center" wrapText="1"/>
    </xf>
    <xf numFmtId="0" fontId="62" fillId="3" borderId="68"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4"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6" fontId="30" fillId="0" borderId="64" xfId="0" applyNumberFormat="1" applyFont="1" applyBorder="1" applyAlignment="1">
      <alignment horizontal="center" vertical="center" wrapText="1" readingOrder="1"/>
    </xf>
    <xf numFmtId="0" fontId="64" fillId="0" borderId="84" xfId="0" applyFont="1" applyBorder="1" applyAlignment="1">
      <alignment horizontal="center" vertical="center" wrapText="1"/>
    </xf>
    <xf numFmtId="0" fontId="82" fillId="0" borderId="90" xfId="0" applyFont="1" applyBorder="1" applyAlignment="1" applyProtection="1">
      <alignment horizontal="justify" vertical="center" wrapText="1"/>
      <protection locked="0"/>
    </xf>
    <xf numFmtId="0" fontId="82" fillId="0" borderId="90" xfId="0" applyFont="1" applyBorder="1" applyAlignment="1" applyProtection="1">
      <alignment horizontal="justify" vertical="center"/>
      <protection locked="0"/>
    </xf>
    <xf numFmtId="0" fontId="82" fillId="0" borderId="90" xfId="0" applyFont="1" applyBorder="1" applyAlignment="1" applyProtection="1">
      <alignment horizontal="justify" vertical="top" wrapText="1"/>
      <protection locked="0"/>
    </xf>
    <xf numFmtId="0" fontId="89"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protection locked="0"/>
    </xf>
    <xf numFmtId="14" fontId="82" fillId="0" borderId="90" xfId="0" applyNumberFormat="1" applyFont="1" applyBorder="1" applyAlignment="1" applyProtection="1">
      <alignment horizontal="center" vertical="center" wrapText="1"/>
      <protection locked="0"/>
    </xf>
    <xf numFmtId="0" fontId="89" fillId="0" borderId="91" xfId="0" applyFont="1" applyBorder="1" applyAlignment="1" applyProtection="1">
      <alignment vertical="center" wrapText="1"/>
      <protection locked="0"/>
    </xf>
    <xf numFmtId="0" fontId="82" fillId="0" borderId="91" xfId="0" applyFont="1" applyBorder="1" applyAlignment="1" applyProtection="1">
      <alignment horizontal="center" vertical="center" wrapText="1"/>
      <protection locked="0"/>
    </xf>
    <xf numFmtId="0" fontId="82" fillId="0" borderId="91" xfId="0" applyFont="1" applyBorder="1" applyAlignment="1" applyProtection="1">
      <alignment vertical="center" wrapText="1"/>
      <protection locked="0"/>
    </xf>
    <xf numFmtId="0" fontId="82" fillId="0" borderId="105"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textRotation="90"/>
      <protection locked="0"/>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center"/>
    </xf>
    <xf numFmtId="0" fontId="73" fillId="0" borderId="0" xfId="0" applyFont="1" applyBorder="1" applyAlignment="1">
      <alignment horizont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82" fillId="0" borderId="90" xfId="0" applyFont="1" applyFill="1" applyBorder="1" applyAlignment="1" applyProtection="1">
      <alignment horizontal="center" vertical="center"/>
      <protection locked="0"/>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wrapText="1"/>
    </xf>
    <xf numFmtId="9" fontId="82" fillId="0" borderId="90" xfId="0" applyNumberFormat="1" applyFont="1" applyFill="1" applyBorder="1" applyAlignment="1" applyProtection="1">
      <alignment horizontal="center" vertical="center" wrapText="1"/>
      <protection locked="0"/>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2" fillId="0" borderId="90" xfId="0" applyFont="1" applyBorder="1" applyAlignment="1" applyProtection="1">
      <alignment horizontal="center" vertical="center" wrapText="1"/>
      <protection locked="0"/>
    </xf>
    <xf numFmtId="0" fontId="83" fillId="16" borderId="92" xfId="0" applyFont="1" applyFill="1" applyBorder="1" applyAlignment="1">
      <alignment horizontal="center" vertical="center"/>
    </xf>
    <xf numFmtId="0" fontId="82" fillId="0" borderId="91" xfId="0" applyFont="1" applyBorder="1" applyAlignment="1" applyProtection="1">
      <alignment horizontal="center" vertical="center" wrapText="1"/>
      <protection locked="0"/>
    </xf>
    <xf numFmtId="0" fontId="82" fillId="0" borderId="105" xfId="0" applyFont="1" applyBorder="1" applyAlignment="1" applyProtection="1">
      <alignment horizontal="center" vertical="center" wrapText="1"/>
      <protection locked="0"/>
    </xf>
    <xf numFmtId="0" fontId="82" fillId="0" borderId="92" xfId="0" applyFont="1" applyBorder="1" applyAlignment="1" applyProtection="1">
      <alignment horizontal="center" vertical="center" wrapText="1"/>
      <protection locked="0"/>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wrapText="1"/>
    </xf>
    <xf numFmtId="0" fontId="83" fillId="0" borderId="90" xfId="0" applyFont="1" applyFill="1" applyBorder="1" applyAlignment="1">
      <alignment horizontal="center" vertical="center"/>
    </xf>
    <xf numFmtId="0" fontId="82" fillId="0" borderId="90" xfId="0" applyFont="1" applyFill="1" applyBorder="1" applyAlignment="1" applyProtection="1">
      <alignment horizontal="center" vertical="top" wrapText="1"/>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9" fillId="0" borderId="90" xfId="0" applyFont="1" applyBorder="1" applyAlignment="1" applyProtection="1">
      <alignment horizontal="center" vertical="center" wrapText="1"/>
      <protection locked="0"/>
    </xf>
    <xf numFmtId="0" fontId="83" fillId="16" borderId="90" xfId="0" applyFont="1" applyFill="1" applyBorder="1" applyAlignment="1">
      <alignment horizontal="center" vertical="center" textRotation="90"/>
    </xf>
    <xf numFmtId="0" fontId="82" fillId="0" borderId="90" xfId="0" applyFont="1" applyBorder="1" applyAlignment="1" applyProtection="1">
      <alignment horizontal="center" vertical="center"/>
      <protection locked="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left" vertical="center" wrapText="1"/>
      <protection locked="0"/>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73" fillId="0" borderId="22" xfId="0" applyFont="1" applyBorder="1" applyAlignment="1">
      <alignment horizontal="left"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cellXfs>
  <cellStyles count="6">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1119187</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zoomScale="110" zoomScaleNormal="110" workbookViewId="0">
      <selection activeCell="E306" sqref="E30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69" t="s">
        <v>0</v>
      </c>
      <c r="C2" s="270"/>
      <c r="D2" s="270"/>
      <c r="E2" s="270"/>
      <c r="F2" s="270"/>
      <c r="G2" s="270"/>
      <c r="H2" s="271"/>
    </row>
    <row r="3" spans="2:8" x14ac:dyDescent="0.25">
      <c r="B3" s="67"/>
      <c r="C3" s="68"/>
      <c r="D3" s="68"/>
      <c r="E3" s="68"/>
      <c r="F3" s="68"/>
      <c r="G3" s="68"/>
      <c r="H3" s="69"/>
    </row>
    <row r="4" spans="2:8" ht="63" customHeight="1" x14ac:dyDescent="0.25">
      <c r="B4" s="272" t="s">
        <v>1</v>
      </c>
      <c r="C4" s="273"/>
      <c r="D4" s="273"/>
      <c r="E4" s="273"/>
      <c r="F4" s="273"/>
      <c r="G4" s="273"/>
      <c r="H4" s="274"/>
    </row>
    <row r="5" spans="2:8" ht="63" customHeight="1" x14ac:dyDescent="0.25">
      <c r="B5" s="275"/>
      <c r="C5" s="276"/>
      <c r="D5" s="276"/>
      <c r="E5" s="276"/>
      <c r="F5" s="276"/>
      <c r="G5" s="276"/>
      <c r="H5" s="277"/>
    </row>
    <row r="6" spans="2:8" ht="16.5" x14ac:dyDescent="0.25">
      <c r="B6" s="278" t="s">
        <v>2</v>
      </c>
      <c r="C6" s="279"/>
      <c r="D6" s="279"/>
      <c r="E6" s="279"/>
      <c r="F6" s="279"/>
      <c r="G6" s="279"/>
      <c r="H6" s="280"/>
    </row>
    <row r="7" spans="2:8" ht="95.25" customHeight="1" x14ac:dyDescent="0.25">
      <c r="B7" s="288" t="s">
        <v>3</v>
      </c>
      <c r="C7" s="289"/>
      <c r="D7" s="289"/>
      <c r="E7" s="289"/>
      <c r="F7" s="289"/>
      <c r="G7" s="289"/>
      <c r="H7" s="290"/>
    </row>
    <row r="8" spans="2:8" ht="16.5" x14ac:dyDescent="0.25">
      <c r="B8" s="101"/>
      <c r="C8" s="102"/>
      <c r="D8" s="102"/>
      <c r="E8" s="102"/>
      <c r="F8" s="102"/>
      <c r="G8" s="102"/>
      <c r="H8" s="103"/>
    </row>
    <row r="9" spans="2:8" ht="16.5" customHeight="1" x14ac:dyDescent="0.25">
      <c r="B9" s="281" t="s">
        <v>4</v>
      </c>
      <c r="C9" s="282"/>
      <c r="D9" s="282"/>
      <c r="E9" s="282"/>
      <c r="F9" s="282"/>
      <c r="G9" s="282"/>
      <c r="H9" s="283"/>
    </row>
    <row r="10" spans="2:8" ht="44.25" customHeight="1" x14ac:dyDescent="0.25">
      <c r="B10" s="281"/>
      <c r="C10" s="282"/>
      <c r="D10" s="282"/>
      <c r="E10" s="282"/>
      <c r="F10" s="282"/>
      <c r="G10" s="282"/>
      <c r="H10" s="283"/>
    </row>
    <row r="11" spans="2:8" ht="15.75" thickBot="1" x14ac:dyDescent="0.3">
      <c r="B11" s="90"/>
      <c r="C11" s="93"/>
      <c r="D11" s="98"/>
      <c r="E11" s="99"/>
      <c r="F11" s="99"/>
      <c r="G11" s="100"/>
      <c r="H11" s="94"/>
    </row>
    <row r="12" spans="2:8" ht="15.75" thickTop="1" x14ac:dyDescent="0.25">
      <c r="B12" s="90"/>
      <c r="C12" s="284" t="s">
        <v>5</v>
      </c>
      <c r="D12" s="285"/>
      <c r="E12" s="286" t="s">
        <v>6</v>
      </c>
      <c r="F12" s="287"/>
      <c r="G12" s="93"/>
      <c r="H12" s="94"/>
    </row>
    <row r="13" spans="2:8" ht="35.25" customHeight="1" x14ac:dyDescent="0.25">
      <c r="B13" s="90"/>
      <c r="C13" s="291" t="s">
        <v>7</v>
      </c>
      <c r="D13" s="292"/>
      <c r="E13" s="293" t="s">
        <v>8</v>
      </c>
      <c r="F13" s="294"/>
      <c r="G13" s="93"/>
      <c r="H13" s="94"/>
    </row>
    <row r="14" spans="2:8" ht="17.25" customHeight="1" x14ac:dyDescent="0.25">
      <c r="B14" s="90"/>
      <c r="C14" s="291" t="s">
        <v>9</v>
      </c>
      <c r="D14" s="292"/>
      <c r="E14" s="293" t="s">
        <v>10</v>
      </c>
      <c r="F14" s="294"/>
      <c r="G14" s="93"/>
      <c r="H14" s="94"/>
    </row>
    <row r="15" spans="2:8" ht="19.5" customHeight="1" x14ac:dyDescent="0.25">
      <c r="B15" s="90"/>
      <c r="C15" s="291" t="s">
        <v>11</v>
      </c>
      <c r="D15" s="292"/>
      <c r="E15" s="293" t="s">
        <v>12</v>
      </c>
      <c r="F15" s="294"/>
      <c r="G15" s="93"/>
      <c r="H15" s="94"/>
    </row>
    <row r="16" spans="2:8" ht="69.75" customHeight="1" x14ac:dyDescent="0.25">
      <c r="B16" s="90"/>
      <c r="C16" s="291" t="s">
        <v>13</v>
      </c>
      <c r="D16" s="292"/>
      <c r="E16" s="293" t="s">
        <v>14</v>
      </c>
      <c r="F16" s="294"/>
      <c r="G16" s="93"/>
      <c r="H16" s="94"/>
    </row>
    <row r="17" spans="2:8" ht="34.5" customHeight="1" x14ac:dyDescent="0.25">
      <c r="B17" s="90"/>
      <c r="C17" s="295" t="s">
        <v>15</v>
      </c>
      <c r="D17" s="296"/>
      <c r="E17" s="297" t="s">
        <v>16</v>
      </c>
      <c r="F17" s="298"/>
      <c r="G17" s="93"/>
      <c r="H17" s="94"/>
    </row>
    <row r="18" spans="2:8" ht="27.75" customHeight="1" x14ac:dyDescent="0.25">
      <c r="B18" s="90"/>
      <c r="C18" s="295" t="s">
        <v>17</v>
      </c>
      <c r="D18" s="296"/>
      <c r="E18" s="297" t="s">
        <v>18</v>
      </c>
      <c r="F18" s="298"/>
      <c r="G18" s="93"/>
      <c r="H18" s="94"/>
    </row>
    <row r="19" spans="2:8" ht="28.5" customHeight="1" x14ac:dyDescent="0.25">
      <c r="B19" s="90"/>
      <c r="C19" s="295" t="s">
        <v>19</v>
      </c>
      <c r="D19" s="296"/>
      <c r="E19" s="297" t="s">
        <v>20</v>
      </c>
      <c r="F19" s="298"/>
      <c r="G19" s="93"/>
      <c r="H19" s="94"/>
    </row>
    <row r="20" spans="2:8" ht="72.75" customHeight="1" x14ac:dyDescent="0.25">
      <c r="B20" s="90"/>
      <c r="C20" s="295" t="s">
        <v>21</v>
      </c>
      <c r="D20" s="296"/>
      <c r="E20" s="297" t="s">
        <v>22</v>
      </c>
      <c r="F20" s="298"/>
      <c r="G20" s="93"/>
      <c r="H20" s="94"/>
    </row>
    <row r="21" spans="2:8" ht="64.5" customHeight="1" x14ac:dyDescent="0.25">
      <c r="B21" s="90"/>
      <c r="C21" s="295" t="s">
        <v>23</v>
      </c>
      <c r="D21" s="296"/>
      <c r="E21" s="297" t="s">
        <v>24</v>
      </c>
      <c r="F21" s="298"/>
      <c r="G21" s="93"/>
      <c r="H21" s="94"/>
    </row>
    <row r="22" spans="2:8" ht="71.25" customHeight="1" x14ac:dyDescent="0.25">
      <c r="B22" s="90"/>
      <c r="C22" s="295" t="s">
        <v>25</v>
      </c>
      <c r="D22" s="296"/>
      <c r="E22" s="297" t="s">
        <v>26</v>
      </c>
      <c r="F22" s="298"/>
      <c r="G22" s="93"/>
      <c r="H22" s="94"/>
    </row>
    <row r="23" spans="2:8" ht="55.5" customHeight="1" x14ac:dyDescent="0.25">
      <c r="B23" s="90"/>
      <c r="C23" s="302" t="s">
        <v>27</v>
      </c>
      <c r="D23" s="303"/>
      <c r="E23" s="297" t="s">
        <v>28</v>
      </c>
      <c r="F23" s="298"/>
      <c r="G23" s="93"/>
      <c r="H23" s="94"/>
    </row>
    <row r="24" spans="2:8" ht="42" customHeight="1" x14ac:dyDescent="0.25">
      <c r="B24" s="90"/>
      <c r="C24" s="302" t="s">
        <v>29</v>
      </c>
      <c r="D24" s="303"/>
      <c r="E24" s="297" t="s">
        <v>30</v>
      </c>
      <c r="F24" s="298"/>
      <c r="G24" s="93"/>
      <c r="H24" s="94"/>
    </row>
    <row r="25" spans="2:8" ht="59.25" customHeight="1" x14ac:dyDescent="0.25">
      <c r="B25" s="90"/>
      <c r="C25" s="302" t="s">
        <v>31</v>
      </c>
      <c r="D25" s="303"/>
      <c r="E25" s="297" t="s">
        <v>32</v>
      </c>
      <c r="F25" s="298"/>
      <c r="G25" s="93"/>
      <c r="H25" s="94"/>
    </row>
    <row r="26" spans="2:8" ht="23.25" customHeight="1" x14ac:dyDescent="0.25">
      <c r="B26" s="90"/>
      <c r="C26" s="302" t="s">
        <v>33</v>
      </c>
      <c r="D26" s="303"/>
      <c r="E26" s="297" t="s">
        <v>34</v>
      </c>
      <c r="F26" s="298"/>
      <c r="G26" s="93"/>
      <c r="H26" s="94"/>
    </row>
    <row r="27" spans="2:8" ht="30.75" customHeight="1" x14ac:dyDescent="0.25">
      <c r="B27" s="90"/>
      <c r="C27" s="302" t="s">
        <v>35</v>
      </c>
      <c r="D27" s="303"/>
      <c r="E27" s="297" t="s">
        <v>36</v>
      </c>
      <c r="F27" s="298"/>
      <c r="G27" s="93"/>
      <c r="H27" s="94"/>
    </row>
    <row r="28" spans="2:8" ht="35.25" customHeight="1" x14ac:dyDescent="0.25">
      <c r="B28" s="90"/>
      <c r="C28" s="302" t="s">
        <v>37</v>
      </c>
      <c r="D28" s="303"/>
      <c r="E28" s="297" t="s">
        <v>38</v>
      </c>
      <c r="F28" s="298"/>
      <c r="G28" s="93"/>
      <c r="H28" s="94"/>
    </row>
    <row r="29" spans="2:8" ht="33" customHeight="1" x14ac:dyDescent="0.25">
      <c r="B29" s="90"/>
      <c r="C29" s="302" t="s">
        <v>37</v>
      </c>
      <c r="D29" s="303"/>
      <c r="E29" s="297" t="s">
        <v>38</v>
      </c>
      <c r="F29" s="298"/>
      <c r="G29" s="93"/>
      <c r="H29" s="94"/>
    </row>
    <row r="30" spans="2:8" ht="30" customHeight="1" x14ac:dyDescent="0.25">
      <c r="B30" s="90"/>
      <c r="C30" s="302" t="s">
        <v>39</v>
      </c>
      <c r="D30" s="303"/>
      <c r="E30" s="297" t="s">
        <v>40</v>
      </c>
      <c r="F30" s="298"/>
      <c r="G30" s="93"/>
      <c r="H30" s="94"/>
    </row>
    <row r="31" spans="2:8" ht="35.25" customHeight="1" x14ac:dyDescent="0.25">
      <c r="B31" s="90"/>
      <c r="C31" s="302" t="s">
        <v>41</v>
      </c>
      <c r="D31" s="303"/>
      <c r="E31" s="297" t="s">
        <v>42</v>
      </c>
      <c r="F31" s="298"/>
      <c r="G31" s="93"/>
      <c r="H31" s="94"/>
    </row>
    <row r="32" spans="2:8" ht="31.5" customHeight="1" x14ac:dyDescent="0.25">
      <c r="B32" s="90"/>
      <c r="C32" s="302" t="s">
        <v>43</v>
      </c>
      <c r="D32" s="303"/>
      <c r="E32" s="297" t="s">
        <v>44</v>
      </c>
      <c r="F32" s="298"/>
      <c r="G32" s="93"/>
      <c r="H32" s="94"/>
    </row>
    <row r="33" spans="2:8" ht="35.25" customHeight="1" x14ac:dyDescent="0.25">
      <c r="B33" s="90"/>
      <c r="C33" s="302" t="s">
        <v>45</v>
      </c>
      <c r="D33" s="303"/>
      <c r="E33" s="297" t="s">
        <v>46</v>
      </c>
      <c r="F33" s="298"/>
      <c r="G33" s="93"/>
      <c r="H33" s="94"/>
    </row>
    <row r="34" spans="2:8" ht="59.25" customHeight="1" x14ac:dyDescent="0.25">
      <c r="B34" s="90"/>
      <c r="C34" s="302" t="s">
        <v>47</v>
      </c>
      <c r="D34" s="303"/>
      <c r="E34" s="297" t="s">
        <v>48</v>
      </c>
      <c r="F34" s="298"/>
      <c r="G34" s="93"/>
      <c r="H34" s="94"/>
    </row>
    <row r="35" spans="2:8" ht="29.25" customHeight="1" x14ac:dyDescent="0.25">
      <c r="B35" s="90"/>
      <c r="C35" s="302" t="s">
        <v>49</v>
      </c>
      <c r="D35" s="303"/>
      <c r="E35" s="297" t="s">
        <v>50</v>
      </c>
      <c r="F35" s="298"/>
      <c r="G35" s="93"/>
      <c r="H35" s="94"/>
    </row>
    <row r="36" spans="2:8" ht="82.5" customHeight="1" x14ac:dyDescent="0.25">
      <c r="B36" s="90"/>
      <c r="C36" s="302" t="s">
        <v>51</v>
      </c>
      <c r="D36" s="303"/>
      <c r="E36" s="297" t="s">
        <v>52</v>
      </c>
      <c r="F36" s="298"/>
      <c r="G36" s="93"/>
      <c r="H36" s="94"/>
    </row>
    <row r="37" spans="2:8" ht="46.5" customHeight="1" x14ac:dyDescent="0.25">
      <c r="B37" s="90"/>
      <c r="C37" s="302" t="s">
        <v>53</v>
      </c>
      <c r="D37" s="303"/>
      <c r="E37" s="297" t="s">
        <v>54</v>
      </c>
      <c r="F37" s="298"/>
      <c r="G37" s="93"/>
      <c r="H37" s="94"/>
    </row>
    <row r="38" spans="2:8" ht="6.75" customHeight="1" thickBot="1" x14ac:dyDescent="0.3">
      <c r="B38" s="90"/>
      <c r="C38" s="304"/>
      <c r="D38" s="305"/>
      <c r="E38" s="306"/>
      <c r="F38" s="307"/>
      <c r="G38" s="93"/>
      <c r="H38" s="94"/>
    </row>
    <row r="39" spans="2:8" ht="15.75" thickTop="1" x14ac:dyDescent="0.25">
      <c r="B39" s="90"/>
      <c r="C39" s="91"/>
      <c r="D39" s="91"/>
      <c r="E39" s="92"/>
      <c r="F39" s="92"/>
      <c r="G39" s="93"/>
      <c r="H39" s="94"/>
    </row>
    <row r="40" spans="2:8" ht="21" customHeight="1" x14ac:dyDescent="0.25">
      <c r="B40" s="299" t="s">
        <v>55</v>
      </c>
      <c r="C40" s="300"/>
      <c r="D40" s="300"/>
      <c r="E40" s="300"/>
      <c r="F40" s="300"/>
      <c r="G40" s="300"/>
      <c r="H40" s="301"/>
    </row>
    <row r="41" spans="2:8" ht="20.25" customHeight="1" x14ac:dyDescent="0.25">
      <c r="B41" s="299" t="s">
        <v>56</v>
      </c>
      <c r="C41" s="300"/>
      <c r="D41" s="300"/>
      <c r="E41" s="300"/>
      <c r="F41" s="300"/>
      <c r="G41" s="300"/>
      <c r="H41" s="301"/>
    </row>
    <row r="42" spans="2:8" ht="20.25" customHeight="1" x14ac:dyDescent="0.25">
      <c r="B42" s="299" t="s">
        <v>57</v>
      </c>
      <c r="C42" s="300"/>
      <c r="D42" s="300"/>
      <c r="E42" s="300"/>
      <c r="F42" s="300"/>
      <c r="G42" s="300"/>
      <c r="H42" s="301"/>
    </row>
    <row r="43" spans="2:8" ht="20.25" customHeight="1" x14ac:dyDescent="0.25">
      <c r="B43" s="299" t="s">
        <v>58</v>
      </c>
      <c r="C43" s="300"/>
      <c r="D43" s="300"/>
      <c r="E43" s="300"/>
      <c r="F43" s="300"/>
      <c r="G43" s="300"/>
      <c r="H43" s="301"/>
    </row>
    <row r="44" spans="2:8" x14ac:dyDescent="0.25">
      <c r="B44" s="299" t="s">
        <v>59</v>
      </c>
      <c r="C44" s="300"/>
      <c r="D44" s="300"/>
      <c r="E44" s="300"/>
      <c r="F44" s="300"/>
      <c r="G44" s="300"/>
      <c r="H44" s="301"/>
    </row>
    <row r="45" spans="2:8" ht="15.75" thickBot="1" x14ac:dyDescent="0.3">
      <c r="B45" s="95"/>
      <c r="C45" s="96"/>
      <c r="D45" s="96"/>
      <c r="E45" s="96"/>
      <c r="F45" s="96"/>
      <c r="G45" s="96"/>
      <c r="H45" s="97"/>
    </row>
    <row r="300" spans="3:3" ht="31.5" x14ac:dyDescent="0.25">
      <c r="C300" s="170" t="s">
        <v>60</v>
      </c>
    </row>
    <row r="301" spans="3:3" ht="47.25" x14ac:dyDescent="0.25">
      <c r="C301" s="170" t="s">
        <v>61</v>
      </c>
    </row>
    <row r="302" spans="3:3" ht="31.5" x14ac:dyDescent="0.25">
      <c r="C302" s="171" t="s">
        <v>62</v>
      </c>
    </row>
    <row r="303" spans="3:3" ht="31.5" x14ac:dyDescent="0.25">
      <c r="C303" s="170" t="s">
        <v>63</v>
      </c>
    </row>
    <row r="304" spans="3:3" ht="47.25" x14ac:dyDescent="0.25">
      <c r="C304" s="170" t="s">
        <v>394</v>
      </c>
    </row>
    <row r="305" spans="3:3" ht="31.5" x14ac:dyDescent="0.25">
      <c r="C305" s="170" t="s">
        <v>64</v>
      </c>
    </row>
    <row r="306" spans="3:3" ht="47.25" x14ac:dyDescent="0.25">
      <c r="C306" s="171" t="s">
        <v>65</v>
      </c>
    </row>
    <row r="307" spans="3:3" ht="31.5" x14ac:dyDescent="0.25">
      <c r="C307" s="170" t="s">
        <v>66</v>
      </c>
    </row>
    <row r="308" spans="3:3" ht="15.75" x14ac:dyDescent="0.25">
      <c r="C308" s="170" t="s">
        <v>67</v>
      </c>
    </row>
    <row r="309" spans="3:3" ht="15.75" x14ac:dyDescent="0.25">
      <c r="C309" s="170" t="s">
        <v>68</v>
      </c>
    </row>
    <row r="310" spans="3:3" ht="31.5" x14ac:dyDescent="0.25">
      <c r="C310" s="170" t="s">
        <v>69</v>
      </c>
    </row>
    <row r="311" spans="3:3" ht="31.5" x14ac:dyDescent="0.25">
      <c r="C311" s="170" t="s">
        <v>70</v>
      </c>
    </row>
    <row r="312" spans="3:3" ht="15.75" x14ac:dyDescent="0.25">
      <c r="C312" s="170" t="s">
        <v>71</v>
      </c>
    </row>
    <row r="313" spans="3:3" ht="15.75" x14ac:dyDescent="0.25">
      <c r="C313" s="170" t="s">
        <v>72</v>
      </c>
    </row>
    <row r="314" spans="3:3" ht="15.75" x14ac:dyDescent="0.25">
      <c r="C314" s="170" t="s">
        <v>73</v>
      </c>
    </row>
    <row r="315" spans="3:3" ht="31.5" x14ac:dyDescent="0.25">
      <c r="C315" s="170" t="s">
        <v>74</v>
      </c>
    </row>
    <row r="316" spans="3:3" ht="31.5" x14ac:dyDescent="0.25">
      <c r="C316" s="170" t="s">
        <v>75</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68" t="s">
        <v>152</v>
      </c>
      <c r="C3" s="155" t="s">
        <v>271</v>
      </c>
      <c r="D3" s="153" t="s">
        <v>272</v>
      </c>
      <c r="AX3" t="s">
        <v>152</v>
      </c>
    </row>
    <row r="4" spans="2:50" ht="48.75" thickBot="1" x14ac:dyDescent="0.3">
      <c r="B4" s="569"/>
      <c r="C4" s="156" t="s">
        <v>273</v>
      </c>
      <c r="D4" s="154" t="s">
        <v>274</v>
      </c>
      <c r="AX4" t="s">
        <v>163</v>
      </c>
    </row>
    <row r="5" spans="2:50" ht="48.75" thickBot="1" x14ac:dyDescent="0.3">
      <c r="B5" s="569"/>
      <c r="C5" s="156" t="s">
        <v>275</v>
      </c>
      <c r="D5" s="154" t="s">
        <v>276</v>
      </c>
      <c r="AX5" t="s">
        <v>165</v>
      </c>
    </row>
    <row r="6" spans="2:50" ht="36.75" thickBot="1" x14ac:dyDescent="0.3">
      <c r="B6" s="570"/>
      <c r="C6" s="156" t="s">
        <v>277</v>
      </c>
      <c r="D6" s="154" t="s">
        <v>278</v>
      </c>
    </row>
    <row r="7" spans="2:50" ht="36.75" thickBot="1" x14ac:dyDescent="0.3">
      <c r="B7" s="568" t="s">
        <v>163</v>
      </c>
      <c r="C7" s="156" t="s">
        <v>279</v>
      </c>
      <c r="D7" s="154" t="s">
        <v>280</v>
      </c>
    </row>
    <row r="8" spans="2:50" ht="96.75" thickBot="1" x14ac:dyDescent="0.3">
      <c r="B8" s="569"/>
      <c r="C8" s="156" t="s">
        <v>281</v>
      </c>
      <c r="D8" s="154" t="s">
        <v>282</v>
      </c>
    </row>
    <row r="9" spans="2:50" ht="48.75" thickBot="1" x14ac:dyDescent="0.3">
      <c r="B9" s="570"/>
      <c r="C9" s="156" t="s">
        <v>283</v>
      </c>
      <c r="D9" s="154" t="s">
        <v>284</v>
      </c>
    </row>
    <row r="10" spans="2:50" x14ac:dyDescent="0.25">
      <c r="B10" s="568" t="s">
        <v>165</v>
      </c>
      <c r="C10" s="157"/>
      <c r="D10" s="571" t="s">
        <v>285</v>
      </c>
    </row>
    <row r="11" spans="2:50" x14ac:dyDescent="0.25">
      <c r="B11" s="569"/>
      <c r="C11" s="157" t="s">
        <v>166</v>
      </c>
      <c r="D11" s="572"/>
    </row>
    <row r="12" spans="2:50" ht="15.75" thickBot="1" x14ac:dyDescent="0.3">
      <c r="B12" s="569"/>
      <c r="C12" s="156"/>
      <c r="D12" s="573"/>
    </row>
    <row r="13" spans="2:50" ht="22.5" customHeight="1" x14ac:dyDescent="0.25">
      <c r="B13" s="569"/>
      <c r="C13" s="157"/>
      <c r="D13" s="571" t="s">
        <v>286</v>
      </c>
    </row>
    <row r="14" spans="2:50" ht="22.5" customHeight="1" x14ac:dyDescent="0.25">
      <c r="B14" s="569"/>
      <c r="C14" s="157" t="s">
        <v>287</v>
      </c>
      <c r="D14" s="572"/>
    </row>
    <row r="15" spans="2:50" ht="22.5" customHeight="1" thickBot="1" x14ac:dyDescent="0.3">
      <c r="B15" s="569"/>
      <c r="C15" s="156"/>
      <c r="D15" s="573"/>
    </row>
    <row r="16" spans="2:50" ht="25.5" customHeight="1" x14ac:dyDescent="0.25">
      <c r="B16" s="569"/>
      <c r="C16" s="157"/>
      <c r="D16" s="571" t="s">
        <v>288</v>
      </c>
    </row>
    <row r="17" spans="2:4" ht="25.5" customHeight="1" x14ac:dyDescent="0.25">
      <c r="B17" s="569"/>
      <c r="C17" s="157" t="s">
        <v>170</v>
      </c>
      <c r="D17" s="572"/>
    </row>
    <row r="18" spans="2:4" ht="25.5" customHeight="1" thickBot="1" x14ac:dyDescent="0.3">
      <c r="B18" s="570"/>
      <c r="C18" s="156"/>
      <c r="D18" s="573"/>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80" t="s">
        <v>289</v>
      </c>
    </row>
    <row r="2" spans="3:6" ht="15.75" thickBot="1" x14ac:dyDescent="0.3">
      <c r="C2" s="177" t="s">
        <v>290</v>
      </c>
      <c r="E2" s="181" t="s">
        <v>291</v>
      </c>
      <c r="F2" s="182" t="s">
        <v>292</v>
      </c>
    </row>
    <row r="3" spans="3:6" ht="15.75" thickBot="1" x14ac:dyDescent="0.3">
      <c r="C3" s="178" t="s">
        <v>293</v>
      </c>
      <c r="E3" s="577" t="s">
        <v>294</v>
      </c>
      <c r="F3" s="162" t="s">
        <v>295</v>
      </c>
    </row>
    <row r="4" spans="3:6" ht="15.75" thickBot="1" x14ac:dyDescent="0.3">
      <c r="C4" s="178" t="s">
        <v>167</v>
      </c>
      <c r="E4" s="575"/>
      <c r="F4" s="162" t="s">
        <v>296</v>
      </c>
    </row>
    <row r="5" spans="3:6" ht="15.75" thickBot="1" x14ac:dyDescent="0.3">
      <c r="C5" s="178" t="s">
        <v>297</v>
      </c>
      <c r="E5" s="575"/>
      <c r="F5" s="162" t="s">
        <v>298</v>
      </c>
    </row>
    <row r="6" spans="3:6" ht="15.75" thickBot="1" x14ac:dyDescent="0.3">
      <c r="C6" s="178" t="s">
        <v>299</v>
      </c>
      <c r="E6" s="575"/>
      <c r="F6" s="162" t="s">
        <v>300</v>
      </c>
    </row>
    <row r="7" spans="3:6" ht="15.75" thickBot="1" x14ac:dyDescent="0.3">
      <c r="C7" s="179" t="s">
        <v>301</v>
      </c>
      <c r="E7" s="575"/>
      <c r="F7" s="162" t="s">
        <v>302</v>
      </c>
    </row>
    <row r="8" spans="3:6" ht="15.75" thickBot="1" x14ac:dyDescent="0.3">
      <c r="C8" s="178" t="s">
        <v>303</v>
      </c>
      <c r="E8" s="576"/>
      <c r="F8" s="162" t="s">
        <v>304</v>
      </c>
    </row>
    <row r="9" spans="3:6" ht="15.75" thickBot="1" x14ac:dyDescent="0.3">
      <c r="C9" s="178" t="s">
        <v>305</v>
      </c>
      <c r="E9" s="574" t="s">
        <v>306</v>
      </c>
      <c r="F9" s="162" t="s">
        <v>307</v>
      </c>
    </row>
    <row r="10" spans="3:6" ht="15.75" thickBot="1" x14ac:dyDescent="0.3">
      <c r="C10" s="178" t="s">
        <v>308</v>
      </c>
      <c r="E10" s="575"/>
      <c r="F10" s="162" t="s">
        <v>309</v>
      </c>
    </row>
    <row r="11" spans="3:6" ht="15.75" thickBot="1" x14ac:dyDescent="0.3">
      <c r="E11" s="575"/>
      <c r="F11" s="162" t="s">
        <v>310</v>
      </c>
    </row>
    <row r="12" spans="3:6" ht="15.75" thickBot="1" x14ac:dyDescent="0.3">
      <c r="E12" s="575"/>
      <c r="F12" s="162" t="s">
        <v>311</v>
      </c>
    </row>
    <row r="13" spans="3:6" ht="15.75" thickBot="1" x14ac:dyDescent="0.3">
      <c r="E13" s="576"/>
      <c r="F13" s="162" t="s">
        <v>312</v>
      </c>
    </row>
    <row r="14" spans="3:6" ht="24.75" thickBot="1" x14ac:dyDescent="0.3">
      <c r="E14" s="574" t="s">
        <v>313</v>
      </c>
      <c r="F14" s="162" t="s">
        <v>314</v>
      </c>
    </row>
    <row r="15" spans="3:6" ht="15.75" thickBot="1" x14ac:dyDescent="0.3">
      <c r="E15" s="575"/>
      <c r="F15" s="162" t="s">
        <v>315</v>
      </c>
    </row>
    <row r="16" spans="3:6" ht="15.75" thickBot="1" x14ac:dyDescent="0.3">
      <c r="E16" s="576"/>
      <c r="F16" s="162" t="s">
        <v>316</v>
      </c>
    </row>
    <row r="17" spans="5:6" ht="15.75" thickBot="1" x14ac:dyDescent="0.3">
      <c r="E17" s="574" t="s">
        <v>317</v>
      </c>
      <c r="F17" s="162" t="s">
        <v>318</v>
      </c>
    </row>
    <row r="18" spans="5:6" ht="15.75" thickBot="1" x14ac:dyDescent="0.3">
      <c r="E18" s="575"/>
      <c r="F18" s="162" t="s">
        <v>319</v>
      </c>
    </row>
    <row r="19" spans="5:6" ht="15.75" thickBot="1" x14ac:dyDescent="0.3">
      <c r="E19" s="576"/>
      <c r="F19" s="162" t="s">
        <v>320</v>
      </c>
    </row>
    <row r="20" spans="5:6" ht="24.75" thickBot="1" x14ac:dyDescent="0.3">
      <c r="E20" s="574" t="s">
        <v>321</v>
      </c>
      <c r="F20" s="162" t="s">
        <v>322</v>
      </c>
    </row>
    <row r="21" spans="5:6" ht="15.75" thickBot="1" x14ac:dyDescent="0.3">
      <c r="E21" s="575"/>
      <c r="F21" s="162" t="s">
        <v>323</v>
      </c>
    </row>
    <row r="22" spans="5:6" ht="15.75" thickBot="1" x14ac:dyDescent="0.3">
      <c r="E22" s="575"/>
      <c r="F22" s="162" t="s">
        <v>324</v>
      </c>
    </row>
    <row r="23" spans="5:6" ht="15.75" thickBot="1" x14ac:dyDescent="0.3">
      <c r="E23" s="575"/>
      <c r="F23" s="162" t="s">
        <v>325</v>
      </c>
    </row>
    <row r="24" spans="5:6" ht="15.75" thickBot="1" x14ac:dyDescent="0.3">
      <c r="E24" s="575"/>
      <c r="F24" s="162" t="s">
        <v>326</v>
      </c>
    </row>
    <row r="25" spans="5:6" ht="24.75" thickBot="1" x14ac:dyDescent="0.3">
      <c r="E25" s="575"/>
      <c r="F25" s="162" t="s">
        <v>327</v>
      </c>
    </row>
    <row r="26" spans="5:6" ht="15.75" thickBot="1" x14ac:dyDescent="0.3">
      <c r="E26" s="575"/>
      <c r="F26" s="162" t="s">
        <v>328</v>
      </c>
    </row>
    <row r="27" spans="5:6" ht="24.75" thickBot="1" x14ac:dyDescent="0.3">
      <c r="E27" s="575"/>
      <c r="F27" s="162" t="s">
        <v>329</v>
      </c>
    </row>
    <row r="28" spans="5:6" ht="15.75" thickBot="1" x14ac:dyDescent="0.3">
      <c r="E28" s="575"/>
      <c r="F28" s="162" t="s">
        <v>330</v>
      </c>
    </row>
    <row r="29" spans="5:6" ht="15.75" thickBot="1" x14ac:dyDescent="0.3">
      <c r="E29" s="575"/>
      <c r="F29" s="162" t="s">
        <v>331</v>
      </c>
    </row>
    <row r="30" spans="5:6" ht="15.75" thickBot="1" x14ac:dyDescent="0.3">
      <c r="E30" s="576"/>
      <c r="F30" s="162" t="s">
        <v>332</v>
      </c>
    </row>
    <row r="31" spans="5:6" ht="15.75" thickBot="1" x14ac:dyDescent="0.3">
      <c r="E31" s="574" t="s">
        <v>171</v>
      </c>
      <c r="F31" s="162" t="s">
        <v>333</v>
      </c>
    </row>
    <row r="32" spans="5:6" ht="15.75" thickBot="1" x14ac:dyDescent="0.3">
      <c r="E32" s="575"/>
      <c r="F32" s="162" t="s">
        <v>334</v>
      </c>
    </row>
    <row r="33" spans="5:6" ht="15.75" thickBot="1" x14ac:dyDescent="0.3">
      <c r="E33" s="575"/>
      <c r="F33" s="162" t="s">
        <v>335</v>
      </c>
    </row>
    <row r="34" spans="5:6" ht="15.75" thickBot="1" x14ac:dyDescent="0.3">
      <c r="E34" s="575"/>
      <c r="F34" s="162" t="s">
        <v>336</v>
      </c>
    </row>
    <row r="35" spans="5:6" ht="24.75" thickBot="1" x14ac:dyDescent="0.3">
      <c r="E35" s="576"/>
      <c r="F35" s="162" t="s">
        <v>337</v>
      </c>
    </row>
    <row r="36" spans="5:6" ht="15.75" thickBot="1" x14ac:dyDescent="0.3">
      <c r="E36" s="574" t="s">
        <v>168</v>
      </c>
      <c r="F36" s="162" t="s">
        <v>169</v>
      </c>
    </row>
    <row r="37" spans="5:6" ht="15.75" thickBot="1" x14ac:dyDescent="0.3">
      <c r="E37" s="575"/>
      <c r="F37" s="162" t="s">
        <v>338</v>
      </c>
    </row>
    <row r="38" spans="5:6" ht="15.75" thickBot="1" x14ac:dyDescent="0.3">
      <c r="E38" s="575"/>
      <c r="F38" s="162" t="s">
        <v>339</v>
      </c>
    </row>
    <row r="39" spans="5:6" ht="15.75" thickBot="1" x14ac:dyDescent="0.3">
      <c r="E39" s="575"/>
      <c r="F39" s="162" t="s">
        <v>340</v>
      </c>
    </row>
    <row r="40" spans="5:6" ht="15.75" thickBot="1" x14ac:dyDescent="0.3">
      <c r="E40" s="576"/>
      <c r="F40" s="162" t="s">
        <v>341</v>
      </c>
    </row>
    <row r="41" spans="5:6" ht="15.75" thickBot="1" x14ac:dyDescent="0.3">
      <c r="E41" s="574" t="s">
        <v>342</v>
      </c>
      <c r="F41" s="162" t="s">
        <v>343</v>
      </c>
    </row>
    <row r="42" spans="5:6" ht="15.75" thickBot="1" x14ac:dyDescent="0.3">
      <c r="E42" s="575"/>
      <c r="F42" s="162" t="s">
        <v>344</v>
      </c>
    </row>
    <row r="43" spans="5:6" ht="15.75" thickBot="1" x14ac:dyDescent="0.3">
      <c r="E43" s="575"/>
      <c r="F43" s="162" t="s">
        <v>345</v>
      </c>
    </row>
    <row r="44" spans="5:6" ht="15.75" thickBot="1" x14ac:dyDescent="0.3">
      <c r="E44" s="575"/>
      <c r="F44" s="162" t="s">
        <v>346</v>
      </c>
    </row>
    <row r="45" spans="5:6" ht="24.75" thickBot="1" x14ac:dyDescent="0.3">
      <c r="E45" s="576"/>
      <c r="F45" s="162" t="s">
        <v>347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78" t="s">
        <v>348</v>
      </c>
      <c r="C1" s="579"/>
      <c r="D1" s="579"/>
      <c r="E1" s="579"/>
      <c r="F1" s="580"/>
    </row>
    <row r="2" spans="2:6" ht="16.5" thickBot="1" x14ac:dyDescent="0.3">
      <c r="B2" s="72"/>
      <c r="C2" s="72"/>
      <c r="D2" s="72"/>
      <c r="E2" s="72"/>
      <c r="F2" s="72"/>
    </row>
    <row r="3" spans="2:6" ht="16.5" thickBot="1" x14ac:dyDescent="0.25">
      <c r="B3" s="582" t="s">
        <v>349</v>
      </c>
      <c r="C3" s="583"/>
      <c r="D3" s="583"/>
      <c r="E3" s="84" t="s">
        <v>350</v>
      </c>
      <c r="F3" s="85" t="s">
        <v>351</v>
      </c>
    </row>
    <row r="4" spans="2:6" ht="31.5" x14ac:dyDescent="0.2">
      <c r="B4" s="584" t="s">
        <v>352</v>
      </c>
      <c r="C4" s="586" t="s">
        <v>145</v>
      </c>
      <c r="D4" s="73" t="s">
        <v>155</v>
      </c>
      <c r="E4" s="74" t="s">
        <v>353</v>
      </c>
      <c r="F4" s="75">
        <v>0.25</v>
      </c>
    </row>
    <row r="5" spans="2:6" ht="47.25" x14ac:dyDescent="0.2">
      <c r="B5" s="585"/>
      <c r="C5" s="587"/>
      <c r="D5" s="76" t="s">
        <v>157</v>
      </c>
      <c r="E5" s="77" t="s">
        <v>354</v>
      </c>
      <c r="F5" s="78">
        <v>0.15</v>
      </c>
    </row>
    <row r="6" spans="2:6" ht="47.25" x14ac:dyDescent="0.2">
      <c r="B6" s="585"/>
      <c r="C6" s="587"/>
      <c r="D6" s="76" t="s">
        <v>355</v>
      </c>
      <c r="E6" s="77" t="s">
        <v>356</v>
      </c>
      <c r="F6" s="78">
        <v>0.1</v>
      </c>
    </row>
    <row r="7" spans="2:6" ht="63" x14ac:dyDescent="0.2">
      <c r="B7" s="585"/>
      <c r="C7" s="587" t="s">
        <v>146</v>
      </c>
      <c r="D7" s="76" t="s">
        <v>357</v>
      </c>
      <c r="E7" s="77" t="s">
        <v>358</v>
      </c>
      <c r="F7" s="78">
        <v>0.25</v>
      </c>
    </row>
    <row r="8" spans="2:6" ht="31.5" x14ac:dyDescent="0.2">
      <c r="B8" s="585"/>
      <c r="C8" s="587"/>
      <c r="D8" s="76" t="s">
        <v>156</v>
      </c>
      <c r="E8" s="77" t="s">
        <v>359</v>
      </c>
      <c r="F8" s="78">
        <v>0.15</v>
      </c>
    </row>
    <row r="9" spans="2:6" ht="47.25" x14ac:dyDescent="0.2">
      <c r="B9" s="585" t="s">
        <v>360</v>
      </c>
      <c r="C9" s="587" t="s">
        <v>148</v>
      </c>
      <c r="D9" s="76" t="s">
        <v>159</v>
      </c>
      <c r="E9" s="77" t="s">
        <v>361</v>
      </c>
      <c r="F9" s="79" t="s">
        <v>362</v>
      </c>
    </row>
    <row r="10" spans="2:6" ht="63" x14ac:dyDescent="0.2">
      <c r="B10" s="585"/>
      <c r="C10" s="587"/>
      <c r="D10" s="76" t="s">
        <v>363</v>
      </c>
      <c r="E10" s="77" t="s">
        <v>364</v>
      </c>
      <c r="F10" s="79" t="s">
        <v>362</v>
      </c>
    </row>
    <row r="11" spans="2:6" ht="47.25" x14ac:dyDescent="0.2">
      <c r="B11" s="585"/>
      <c r="C11" s="587" t="s">
        <v>149</v>
      </c>
      <c r="D11" s="76" t="s">
        <v>160</v>
      </c>
      <c r="E11" s="77" t="s">
        <v>365</v>
      </c>
      <c r="F11" s="79" t="s">
        <v>362</v>
      </c>
    </row>
    <row r="12" spans="2:6" ht="47.25" x14ac:dyDescent="0.2">
      <c r="B12" s="585"/>
      <c r="C12" s="587"/>
      <c r="D12" s="76" t="s">
        <v>366</v>
      </c>
      <c r="E12" s="77" t="s">
        <v>367</v>
      </c>
      <c r="F12" s="79" t="s">
        <v>362</v>
      </c>
    </row>
    <row r="13" spans="2:6" ht="31.5" x14ac:dyDescent="0.2">
      <c r="B13" s="585"/>
      <c r="C13" s="587" t="s">
        <v>150</v>
      </c>
      <c r="D13" s="76" t="s">
        <v>161</v>
      </c>
      <c r="E13" s="77" t="s">
        <v>368</v>
      </c>
      <c r="F13" s="79" t="s">
        <v>362</v>
      </c>
    </row>
    <row r="14" spans="2:6" ht="32.25" thickBot="1" x14ac:dyDescent="0.25">
      <c r="B14" s="588"/>
      <c r="C14" s="589"/>
      <c r="D14" s="80" t="s">
        <v>369</v>
      </c>
      <c r="E14" s="81" t="s">
        <v>370</v>
      </c>
      <c r="F14" s="82" t="s">
        <v>362</v>
      </c>
    </row>
    <row r="15" spans="2:6" ht="49.5" customHeight="1" x14ac:dyDescent="0.2">
      <c r="B15" s="581" t="s">
        <v>371</v>
      </c>
      <c r="C15" s="581"/>
      <c r="D15" s="581"/>
      <c r="E15" s="581"/>
      <c r="F15" s="581"/>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372</v>
      </c>
      <c r="E2" t="s">
        <v>172</v>
      </c>
    </row>
    <row r="3" spans="2:5" x14ac:dyDescent="0.25">
      <c r="B3" t="s">
        <v>373</v>
      </c>
      <c r="E3" t="s">
        <v>162</v>
      </c>
    </row>
    <row r="4" spans="2:5" x14ac:dyDescent="0.25">
      <c r="B4" t="s">
        <v>374</v>
      </c>
      <c r="E4" t="s">
        <v>151</v>
      </c>
    </row>
    <row r="5" spans="2:5" x14ac:dyDescent="0.25">
      <c r="B5" t="s">
        <v>158</v>
      </c>
    </row>
    <row r="8" spans="2:5" x14ac:dyDescent="0.25">
      <c r="B8" t="s">
        <v>375</v>
      </c>
    </row>
    <row r="9" spans="2:5" x14ac:dyDescent="0.25">
      <c r="B9" t="s">
        <v>376</v>
      </c>
    </row>
    <row r="10" spans="2:5" x14ac:dyDescent="0.25">
      <c r="B10" t="s">
        <v>377</v>
      </c>
    </row>
    <row r="13" spans="2:5" x14ac:dyDescent="0.25">
      <c r="B13" t="s">
        <v>378</v>
      </c>
    </row>
    <row r="14" spans="2:5" x14ac:dyDescent="0.25">
      <c r="B14" t="s">
        <v>153</v>
      </c>
    </row>
    <row r="15" spans="2:5" x14ac:dyDescent="0.25">
      <c r="B15" t="s">
        <v>379</v>
      </c>
    </row>
    <row r="16" spans="2:5" x14ac:dyDescent="0.25">
      <c r="B16" t="s">
        <v>380</v>
      </c>
    </row>
    <row r="17" spans="2:7" x14ac:dyDescent="0.25">
      <c r="B17" t="s">
        <v>164</v>
      </c>
    </row>
    <row r="18" spans="2:7" x14ac:dyDescent="0.25">
      <c r="B18" t="s">
        <v>283</v>
      </c>
    </row>
    <row r="19" spans="2:7" x14ac:dyDescent="0.25">
      <c r="B19" t="s">
        <v>381</v>
      </c>
    </row>
    <row r="20" spans="2:7" x14ac:dyDescent="0.25">
      <c r="B20" t="s">
        <v>382</v>
      </c>
    </row>
    <row r="21" spans="2:7" x14ac:dyDescent="0.25">
      <c r="B21" t="s">
        <v>287</v>
      </c>
    </row>
    <row r="22" spans="2:7" x14ac:dyDescent="0.25">
      <c r="B22" t="s">
        <v>166</v>
      </c>
    </row>
    <row r="23" spans="2:7" x14ac:dyDescent="0.25">
      <c r="B23" t="s">
        <v>170</v>
      </c>
    </row>
    <row r="27" spans="2:7" ht="15.75" thickBot="1" x14ac:dyDescent="0.3"/>
    <row r="28" spans="2:7" ht="15.75" thickBot="1" x14ac:dyDescent="0.3">
      <c r="B28" t="s">
        <v>294</v>
      </c>
      <c r="F28" s="160" t="s">
        <v>291</v>
      </c>
      <c r="G28" s="161" t="s">
        <v>292</v>
      </c>
    </row>
    <row r="29" spans="2:7" ht="15.75" thickBot="1" x14ac:dyDescent="0.3">
      <c r="B29" t="s">
        <v>306</v>
      </c>
      <c r="F29" s="577" t="s">
        <v>294</v>
      </c>
      <c r="G29" s="162" t="s">
        <v>295</v>
      </c>
    </row>
    <row r="30" spans="2:7" ht="15.75" thickBot="1" x14ac:dyDescent="0.3">
      <c r="B30" t="s">
        <v>313</v>
      </c>
      <c r="F30" s="575"/>
      <c r="G30" s="162" t="s">
        <v>296</v>
      </c>
    </row>
    <row r="31" spans="2:7" ht="15.75" thickBot="1" x14ac:dyDescent="0.3">
      <c r="B31" t="s">
        <v>317</v>
      </c>
      <c r="F31" s="575"/>
      <c r="G31" s="162" t="s">
        <v>298</v>
      </c>
    </row>
    <row r="32" spans="2:7" ht="15.75" thickBot="1" x14ac:dyDescent="0.3">
      <c r="B32" t="s">
        <v>321</v>
      </c>
      <c r="F32" s="575"/>
      <c r="G32" s="162" t="s">
        <v>300</v>
      </c>
    </row>
    <row r="33" spans="2:7" ht="15.75" thickBot="1" x14ac:dyDescent="0.3">
      <c r="B33" t="s">
        <v>171</v>
      </c>
      <c r="F33" s="575"/>
      <c r="G33" s="162" t="s">
        <v>302</v>
      </c>
    </row>
    <row r="34" spans="2:7" ht="15.75" thickBot="1" x14ac:dyDescent="0.3">
      <c r="B34" t="s">
        <v>168</v>
      </c>
      <c r="F34" s="576"/>
      <c r="G34" s="162" t="s">
        <v>304</v>
      </c>
    </row>
    <row r="35" spans="2:7" ht="15.75" thickBot="1" x14ac:dyDescent="0.3">
      <c r="B35" t="s">
        <v>342</v>
      </c>
      <c r="F35" s="574" t="s">
        <v>306</v>
      </c>
      <c r="G35" s="162" t="s">
        <v>307</v>
      </c>
    </row>
    <row r="36" spans="2:7" ht="15.75" thickBot="1" x14ac:dyDescent="0.3">
      <c r="F36" s="575"/>
      <c r="G36" s="162" t="s">
        <v>309</v>
      </c>
    </row>
    <row r="37" spans="2:7" ht="15.75" thickBot="1" x14ac:dyDescent="0.3">
      <c r="F37" s="575"/>
      <c r="G37" s="162" t="s">
        <v>310</v>
      </c>
    </row>
    <row r="38" spans="2:7" ht="21.75" customHeight="1" thickBot="1" x14ac:dyDescent="0.3">
      <c r="F38" s="575"/>
      <c r="G38" s="162" t="s">
        <v>311</v>
      </c>
    </row>
    <row r="39" spans="2:7" ht="15.75" thickBot="1" x14ac:dyDescent="0.3">
      <c r="F39" s="576"/>
      <c r="G39" s="162" t="s">
        <v>312</v>
      </c>
    </row>
    <row r="40" spans="2:7" ht="45.75" customHeight="1" thickBot="1" x14ac:dyDescent="0.3">
      <c r="F40" s="574" t="s">
        <v>313</v>
      </c>
      <c r="G40" s="162" t="s">
        <v>314</v>
      </c>
    </row>
    <row r="41" spans="2:7" ht="15.75" thickBot="1" x14ac:dyDescent="0.3">
      <c r="F41" s="575"/>
      <c r="G41" s="162" t="s">
        <v>315</v>
      </c>
    </row>
    <row r="42" spans="2:7" ht="30" customHeight="1" thickBot="1" x14ac:dyDescent="0.3">
      <c r="F42" s="576"/>
      <c r="G42" s="162" t="s">
        <v>316</v>
      </c>
    </row>
    <row r="43" spans="2:7" ht="15.75" thickBot="1" x14ac:dyDescent="0.3">
      <c r="F43" s="574" t="s">
        <v>317</v>
      </c>
      <c r="G43" s="162" t="s">
        <v>318</v>
      </c>
    </row>
    <row r="44" spans="2:7" ht="15.75" thickBot="1" x14ac:dyDescent="0.3">
      <c r="F44" s="575"/>
      <c r="G44" s="162" t="s">
        <v>319</v>
      </c>
    </row>
    <row r="45" spans="2:7" ht="15.75" thickBot="1" x14ac:dyDescent="0.3">
      <c r="F45" s="576"/>
      <c r="G45" s="162" t="s">
        <v>320</v>
      </c>
    </row>
    <row r="46" spans="2:7" ht="24.75" thickBot="1" x14ac:dyDescent="0.3">
      <c r="F46" s="574" t="s">
        <v>321</v>
      </c>
      <c r="G46" s="162" t="s">
        <v>322</v>
      </c>
    </row>
    <row r="47" spans="2:7" ht="15.75" thickBot="1" x14ac:dyDescent="0.3">
      <c r="F47" s="575"/>
      <c r="G47" s="162" t="s">
        <v>323</v>
      </c>
    </row>
    <row r="48" spans="2:7" ht="15.75" thickBot="1" x14ac:dyDescent="0.3">
      <c r="F48" s="575"/>
      <c r="G48" s="162" t="s">
        <v>324</v>
      </c>
    </row>
    <row r="49" spans="6:7" ht="15.75" thickBot="1" x14ac:dyDescent="0.3">
      <c r="F49" s="575"/>
      <c r="G49" s="162" t="s">
        <v>325</v>
      </c>
    </row>
    <row r="50" spans="6:7" ht="15.75" thickBot="1" x14ac:dyDescent="0.3">
      <c r="F50" s="575"/>
      <c r="G50" s="162" t="s">
        <v>326</v>
      </c>
    </row>
    <row r="51" spans="6:7" ht="24.75" thickBot="1" x14ac:dyDescent="0.3">
      <c r="F51" s="575"/>
      <c r="G51" s="162" t="s">
        <v>327</v>
      </c>
    </row>
    <row r="52" spans="6:7" ht="15.75" thickBot="1" x14ac:dyDescent="0.3">
      <c r="F52" s="575"/>
      <c r="G52" s="162" t="s">
        <v>328</v>
      </c>
    </row>
    <row r="53" spans="6:7" ht="24.75" thickBot="1" x14ac:dyDescent="0.3">
      <c r="F53" s="575"/>
      <c r="G53" s="162" t="s">
        <v>329</v>
      </c>
    </row>
    <row r="54" spans="6:7" ht="15.75" thickBot="1" x14ac:dyDescent="0.3">
      <c r="F54" s="575"/>
      <c r="G54" s="162" t="s">
        <v>330</v>
      </c>
    </row>
    <row r="55" spans="6:7" ht="15.75" thickBot="1" x14ac:dyDescent="0.3">
      <c r="F55" s="575"/>
      <c r="G55" s="162" t="s">
        <v>331</v>
      </c>
    </row>
    <row r="56" spans="6:7" ht="15.75" thickBot="1" x14ac:dyDescent="0.3">
      <c r="F56" s="576"/>
      <c r="G56" s="162" t="s">
        <v>332</v>
      </c>
    </row>
    <row r="57" spans="6:7" ht="15.75" thickBot="1" x14ac:dyDescent="0.3">
      <c r="F57" s="574" t="s">
        <v>171</v>
      </c>
      <c r="G57" s="162" t="s">
        <v>333</v>
      </c>
    </row>
    <row r="58" spans="6:7" ht="15.75" thickBot="1" x14ac:dyDescent="0.3">
      <c r="F58" s="575"/>
      <c r="G58" s="162" t="s">
        <v>334</v>
      </c>
    </row>
    <row r="59" spans="6:7" ht="24.75" thickBot="1" x14ac:dyDescent="0.3">
      <c r="F59" s="575"/>
      <c r="G59" s="162" t="s">
        <v>335</v>
      </c>
    </row>
    <row r="60" spans="6:7" ht="15.75" thickBot="1" x14ac:dyDescent="0.3">
      <c r="F60" s="575"/>
      <c r="G60" s="162" t="s">
        <v>336</v>
      </c>
    </row>
    <row r="61" spans="6:7" ht="36.75" thickBot="1" x14ac:dyDescent="0.3">
      <c r="F61" s="576"/>
      <c r="G61" s="162" t="s">
        <v>337</v>
      </c>
    </row>
    <row r="62" spans="6:7" ht="15.75" thickBot="1" x14ac:dyDescent="0.3">
      <c r="F62" s="574" t="s">
        <v>168</v>
      </c>
      <c r="G62" s="162" t="s">
        <v>169</v>
      </c>
    </row>
    <row r="63" spans="6:7" ht="15.75" thickBot="1" x14ac:dyDescent="0.3">
      <c r="F63" s="575"/>
      <c r="G63" s="162" t="s">
        <v>338</v>
      </c>
    </row>
    <row r="64" spans="6:7" ht="15.75" thickBot="1" x14ac:dyDescent="0.3">
      <c r="F64" s="575"/>
      <c r="G64" s="162" t="s">
        <v>339</v>
      </c>
    </row>
    <row r="65" spans="6:7" ht="15.75" thickBot="1" x14ac:dyDescent="0.3">
      <c r="F65" s="575"/>
      <c r="G65" s="162" t="s">
        <v>340</v>
      </c>
    </row>
    <row r="66" spans="6:7" ht="15.75" thickBot="1" x14ac:dyDescent="0.3">
      <c r="F66" s="576"/>
      <c r="G66" s="162" t="s">
        <v>341</v>
      </c>
    </row>
    <row r="67" spans="6:7" ht="15.75" thickBot="1" x14ac:dyDescent="0.3">
      <c r="F67" s="574" t="s">
        <v>342</v>
      </c>
      <c r="G67" s="162" t="s">
        <v>343</v>
      </c>
    </row>
    <row r="68" spans="6:7" ht="15.75" thickBot="1" x14ac:dyDescent="0.3">
      <c r="F68" s="575"/>
      <c r="G68" s="162" t="s">
        <v>344</v>
      </c>
    </row>
    <row r="69" spans="6:7" ht="15.75" thickBot="1" x14ac:dyDescent="0.3">
      <c r="F69" s="575"/>
      <c r="G69" s="162" t="s">
        <v>345</v>
      </c>
    </row>
    <row r="70" spans="6:7" ht="15.75" thickBot="1" x14ac:dyDescent="0.3">
      <c r="F70" s="575"/>
      <c r="G70" s="162" t="s">
        <v>346</v>
      </c>
    </row>
    <row r="71" spans="6:7" ht="24.75" thickBot="1" x14ac:dyDescent="0.3">
      <c r="F71" s="576"/>
      <c r="G71" s="162" t="s">
        <v>347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155</v>
      </c>
    </row>
    <row r="4" spans="1:1" x14ac:dyDescent="0.2">
      <c r="A4" s="2" t="s">
        <v>157</v>
      </c>
    </row>
    <row r="5" spans="1:1" x14ac:dyDescent="0.2">
      <c r="A5" s="2" t="s">
        <v>355</v>
      </c>
    </row>
    <row r="6" spans="1:1" x14ac:dyDescent="0.2">
      <c r="A6" s="2" t="s">
        <v>357</v>
      </c>
    </row>
    <row r="7" spans="1:1" x14ac:dyDescent="0.2">
      <c r="A7" s="2" t="s">
        <v>156</v>
      </c>
    </row>
    <row r="8" spans="1:1" x14ac:dyDescent="0.2">
      <c r="A8" s="2" t="s">
        <v>159</v>
      </c>
    </row>
    <row r="9" spans="1:1" x14ac:dyDescent="0.2">
      <c r="A9" s="2" t="s">
        <v>363</v>
      </c>
    </row>
    <row r="10" spans="1:1" x14ac:dyDescent="0.2">
      <c r="A10" s="2" t="s">
        <v>160</v>
      </c>
    </row>
    <row r="11" spans="1:1" x14ac:dyDescent="0.2">
      <c r="A11" s="2" t="s">
        <v>366</v>
      </c>
    </row>
    <row r="12" spans="1:1" x14ac:dyDescent="0.2">
      <c r="A12" s="2" t="s">
        <v>383</v>
      </c>
    </row>
    <row r="13" spans="1:1" x14ac:dyDescent="0.2">
      <c r="A13" s="2" t="s">
        <v>384</v>
      </c>
    </row>
    <row r="14" spans="1:1" x14ac:dyDescent="0.2">
      <c r="A14" s="2" t="s">
        <v>385</v>
      </c>
    </row>
    <row r="16" spans="1:1" x14ac:dyDescent="0.2">
      <c r="A16" s="2" t="s">
        <v>386</v>
      </c>
    </row>
    <row r="17" spans="1:1" x14ac:dyDescent="0.2">
      <c r="A17" s="2" t="s">
        <v>372</v>
      </c>
    </row>
    <row r="18" spans="1:1" x14ac:dyDescent="0.2">
      <c r="A18" s="2" t="s">
        <v>373</v>
      </c>
    </row>
    <row r="20" spans="1:1" x14ac:dyDescent="0.2">
      <c r="A20" s="2" t="s">
        <v>376</v>
      </c>
    </row>
    <row r="21" spans="1:1" x14ac:dyDescent="0.2">
      <c r="A21" s="2"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zoomScale="60" zoomScaleNormal="60" zoomScaleSheetLayoutView="30" zoomScalePageLayoutView="60" workbookViewId="0">
      <selection activeCell="F9" sqref="F9:F10"/>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04.42578125" style="147" customWidth="1"/>
    <col min="5" max="5" width="129.7109375" style="121" customWidth="1"/>
    <col min="6" max="6" width="34.42578125" style="119" customWidth="1"/>
    <col min="7" max="16384" width="11.42578125" style="119"/>
  </cols>
  <sheetData>
    <row r="1" spans="1:13" ht="20.25" customHeight="1" x14ac:dyDescent="0.35"/>
    <row r="2" spans="1:13" ht="63.75" customHeight="1" x14ac:dyDescent="0.35">
      <c r="B2" s="309"/>
      <c r="C2" s="309"/>
      <c r="D2" s="310" t="s">
        <v>76</v>
      </c>
      <c r="E2" s="310"/>
      <c r="F2" s="310"/>
      <c r="G2" s="129"/>
      <c r="H2" s="129"/>
      <c r="I2" s="129"/>
      <c r="J2" s="129"/>
      <c r="K2" s="129"/>
      <c r="L2" s="129"/>
      <c r="M2" s="129"/>
    </row>
    <row r="3" spans="1:13" ht="30.75" customHeight="1" x14ac:dyDescent="0.35">
      <c r="B3" s="309"/>
      <c r="C3" s="309"/>
      <c r="D3" s="172" t="s">
        <v>77</v>
      </c>
      <c r="E3" s="312" t="s">
        <v>389</v>
      </c>
      <c r="F3" s="312"/>
      <c r="G3" s="129"/>
      <c r="H3" s="129"/>
      <c r="I3" s="129"/>
      <c r="J3" s="129"/>
      <c r="K3" s="129"/>
      <c r="L3" s="129"/>
    </row>
    <row r="4" spans="1:13" ht="30.75" customHeight="1" x14ac:dyDescent="0.35">
      <c r="B4" s="309"/>
      <c r="C4" s="309"/>
      <c r="D4" s="311" t="s">
        <v>390</v>
      </c>
      <c r="E4" s="311"/>
      <c r="F4" s="311"/>
      <c r="G4" s="129"/>
      <c r="H4" s="129"/>
      <c r="I4" s="129"/>
      <c r="J4" s="129"/>
      <c r="K4" s="129"/>
      <c r="L4" s="129"/>
    </row>
    <row r="5" spans="1:13" ht="10.5" customHeight="1" x14ac:dyDescent="0.35">
      <c r="B5" s="129"/>
      <c r="C5" s="129"/>
      <c r="D5" s="129"/>
      <c r="E5" s="129"/>
      <c r="F5" s="129"/>
      <c r="G5" s="129"/>
      <c r="H5" s="129"/>
      <c r="I5" s="129"/>
      <c r="J5" s="129"/>
      <c r="K5" s="129"/>
      <c r="L5" s="129"/>
    </row>
    <row r="6" spans="1:13" ht="24" customHeight="1" x14ac:dyDescent="0.35">
      <c r="B6" s="308" t="s">
        <v>78</v>
      </c>
      <c r="C6" s="308"/>
      <c r="D6" s="313"/>
      <c r="E6" s="314"/>
      <c r="F6" s="314"/>
      <c r="G6" s="129"/>
      <c r="H6" s="129"/>
      <c r="I6" s="129"/>
      <c r="J6" s="129"/>
      <c r="K6" s="129"/>
      <c r="L6" s="129"/>
    </row>
    <row r="7" spans="1:13" ht="24" customHeight="1" x14ac:dyDescent="0.35">
      <c r="B7" s="308" t="s">
        <v>79</v>
      </c>
      <c r="C7" s="308"/>
      <c r="D7" s="315"/>
      <c r="E7" s="316"/>
      <c r="F7" s="316"/>
      <c r="G7" s="129"/>
      <c r="H7" s="129"/>
      <c r="I7" s="129"/>
      <c r="J7" s="129"/>
      <c r="K7" s="129"/>
      <c r="L7" s="129"/>
    </row>
    <row r="8" spans="1:13" ht="10.5" customHeight="1" thickBot="1" x14ac:dyDescent="0.4">
      <c r="D8" s="122"/>
      <c r="E8" s="123"/>
      <c r="F8" s="129"/>
      <c r="G8" s="129"/>
      <c r="H8" s="129"/>
      <c r="I8" s="129"/>
      <c r="J8" s="129"/>
      <c r="K8" s="129"/>
      <c r="L8" s="129"/>
    </row>
    <row r="9" spans="1:13" ht="69.75" customHeight="1" thickBot="1" x14ac:dyDescent="0.4">
      <c r="A9" s="124"/>
      <c r="B9" s="321" t="s">
        <v>387</v>
      </c>
      <c r="C9" s="322"/>
      <c r="D9" s="322"/>
      <c r="E9" s="323"/>
      <c r="F9" s="319" t="s">
        <v>440</v>
      </c>
      <c r="G9" s="129"/>
      <c r="H9" s="129"/>
      <c r="I9" s="129"/>
      <c r="J9" s="129"/>
      <c r="K9" s="129"/>
      <c r="L9" s="129"/>
    </row>
    <row r="10" spans="1:13" s="129" customFormat="1" ht="50.25" customHeight="1" thickBot="1" x14ac:dyDescent="0.4">
      <c r="A10" s="125"/>
      <c r="B10" s="324" t="s">
        <v>81</v>
      </c>
      <c r="C10" s="191" t="s">
        <v>82</v>
      </c>
      <c r="D10" s="192" t="s">
        <v>83</v>
      </c>
      <c r="E10" s="193" t="s">
        <v>84</v>
      </c>
      <c r="F10" s="320"/>
    </row>
    <row r="11" spans="1:13" s="129" customFormat="1" ht="213.75" customHeight="1" thickBot="1" x14ac:dyDescent="0.4">
      <c r="A11" s="125"/>
      <c r="B11" s="325"/>
      <c r="C11" s="130" t="s">
        <v>85</v>
      </c>
      <c r="D11" s="208" t="s">
        <v>395</v>
      </c>
      <c r="E11" s="209" t="s">
        <v>396</v>
      </c>
      <c r="F11" s="256" t="s">
        <v>397</v>
      </c>
    </row>
    <row r="12" spans="1:13" s="129" customFormat="1" ht="234.75" customHeight="1" thickBot="1" x14ac:dyDescent="0.4">
      <c r="A12" s="125"/>
      <c r="B12" s="325"/>
      <c r="C12" s="173" t="s">
        <v>86</v>
      </c>
      <c r="D12" s="133" t="s">
        <v>398</v>
      </c>
      <c r="E12" s="133" t="s">
        <v>399</v>
      </c>
      <c r="F12" s="256" t="s">
        <v>397</v>
      </c>
    </row>
    <row r="13" spans="1:13" s="129" customFormat="1" ht="214.5" customHeight="1" thickBot="1" x14ac:dyDescent="0.4">
      <c r="A13" s="125"/>
      <c r="B13" s="325"/>
      <c r="C13" s="174" t="s">
        <v>87</v>
      </c>
      <c r="D13" s="135" t="s">
        <v>400</v>
      </c>
      <c r="E13" s="135" t="s">
        <v>401</v>
      </c>
      <c r="F13" s="256" t="s">
        <v>402</v>
      </c>
    </row>
    <row r="14" spans="1:13" s="129" customFormat="1" ht="240" customHeight="1" thickBot="1" x14ac:dyDescent="0.4">
      <c r="A14" s="125"/>
      <c r="B14" s="325"/>
      <c r="C14" s="175" t="s">
        <v>88</v>
      </c>
      <c r="D14" s="133" t="s">
        <v>403</v>
      </c>
      <c r="E14" s="133" t="s">
        <v>404</v>
      </c>
      <c r="F14" s="256" t="s">
        <v>405</v>
      </c>
    </row>
    <row r="15" spans="1:13" s="129" customFormat="1" ht="242.25" customHeight="1" thickBot="1" x14ac:dyDescent="0.4">
      <c r="A15" s="125"/>
      <c r="B15" s="325"/>
      <c r="C15" s="176" t="s">
        <v>89</v>
      </c>
      <c r="D15" s="135" t="s">
        <v>406</v>
      </c>
      <c r="E15" s="209" t="s">
        <v>407</v>
      </c>
      <c r="F15" s="256" t="s">
        <v>408</v>
      </c>
    </row>
    <row r="16" spans="1:13" s="129" customFormat="1" ht="263.25" thickBot="1" x14ac:dyDescent="0.4">
      <c r="A16" s="125"/>
      <c r="B16" s="325"/>
      <c r="C16" s="175" t="s">
        <v>90</v>
      </c>
      <c r="D16" s="133" t="s">
        <v>438</v>
      </c>
      <c r="E16" s="194" t="s">
        <v>409</v>
      </c>
      <c r="F16" s="256" t="s">
        <v>408</v>
      </c>
    </row>
    <row r="17" spans="1:6" s="141" customFormat="1" ht="228.75" customHeight="1" thickBot="1" x14ac:dyDescent="0.4">
      <c r="A17" s="139"/>
      <c r="B17" s="325"/>
      <c r="C17" s="205" t="s">
        <v>91</v>
      </c>
      <c r="D17" s="133" t="s">
        <v>410</v>
      </c>
      <c r="E17" s="135" t="s">
        <v>439</v>
      </c>
      <c r="F17" s="256" t="s">
        <v>411</v>
      </c>
    </row>
    <row r="18" spans="1:6" ht="168" customHeight="1" thickBot="1" x14ac:dyDescent="0.3">
      <c r="B18" s="325"/>
      <c r="C18" s="206" t="s">
        <v>388</v>
      </c>
      <c r="D18" s="207"/>
      <c r="E18" s="135" t="s">
        <v>412</v>
      </c>
      <c r="F18" s="256" t="s">
        <v>408</v>
      </c>
    </row>
    <row r="19" spans="1:6" x14ac:dyDescent="0.35">
      <c r="B19" s="195"/>
      <c r="C19" s="196"/>
      <c r="D19" s="197"/>
      <c r="E19" s="196"/>
    </row>
    <row r="20" spans="1:6" x14ac:dyDescent="0.25">
      <c r="B20" s="317"/>
      <c r="C20" s="317"/>
      <c r="D20" s="317"/>
      <c r="E20" s="317"/>
    </row>
    <row r="21" spans="1:6" ht="27" x14ac:dyDescent="0.25">
      <c r="B21" s="318"/>
      <c r="C21" s="198"/>
      <c r="D21" s="198"/>
      <c r="E21" s="198"/>
    </row>
    <row r="22" spans="1:6" x14ac:dyDescent="0.25">
      <c r="B22" s="318"/>
      <c r="C22" s="199"/>
      <c r="D22" s="200"/>
      <c r="E22" s="200"/>
    </row>
    <row r="23" spans="1:6" x14ac:dyDescent="0.25">
      <c r="B23" s="318"/>
      <c r="C23" s="199"/>
      <c r="D23" s="201"/>
      <c r="E23" s="201"/>
    </row>
    <row r="24" spans="1:6" x14ac:dyDescent="0.25">
      <c r="B24" s="318"/>
      <c r="C24" s="199"/>
      <c r="D24" s="201"/>
      <c r="E24" s="201"/>
    </row>
    <row r="25" spans="1:6" x14ac:dyDescent="0.25">
      <c r="B25" s="318"/>
      <c r="C25" s="199"/>
      <c r="D25" s="201"/>
      <c r="E25" s="201"/>
    </row>
    <row r="26" spans="1:6" x14ac:dyDescent="0.25">
      <c r="B26" s="318"/>
      <c r="C26" s="199"/>
      <c r="D26" s="201"/>
      <c r="E26" s="200"/>
    </row>
    <row r="27" spans="1:6" x14ac:dyDescent="0.25">
      <c r="B27" s="318"/>
      <c r="C27" s="199"/>
      <c r="D27" s="201"/>
      <c r="E27" s="200"/>
    </row>
    <row r="28" spans="1:6" x14ac:dyDescent="0.25">
      <c r="B28" s="318"/>
      <c r="C28" s="202"/>
      <c r="D28" s="201"/>
      <c r="E28" s="201"/>
    </row>
    <row r="29" spans="1:6" ht="27.75" x14ac:dyDescent="0.35">
      <c r="B29" s="318"/>
      <c r="C29" s="203"/>
      <c r="D29" s="204"/>
      <c r="E29" s="204"/>
    </row>
    <row r="30" spans="1:6" x14ac:dyDescent="0.35">
      <c r="B30" s="195"/>
      <c r="C30" s="196"/>
      <c r="D30" s="197"/>
      <c r="E30" s="196"/>
    </row>
    <row r="31" spans="1:6" x14ac:dyDescent="0.35">
      <c r="B31" s="195"/>
      <c r="C31" s="196"/>
      <c r="D31" s="197"/>
      <c r="E31" s="196"/>
    </row>
  </sheetData>
  <mergeCells count="13">
    <mergeCell ref="B20:E20"/>
    <mergeCell ref="B21:B29"/>
    <mergeCell ref="F9:F10"/>
    <mergeCell ref="B9:E9"/>
    <mergeCell ref="B10:B18"/>
    <mergeCell ref="B7:C7"/>
    <mergeCell ref="B2:C4"/>
    <mergeCell ref="B6:C6"/>
    <mergeCell ref="D2:F2"/>
    <mergeCell ref="D4:F4"/>
    <mergeCell ref="E3:F3"/>
    <mergeCell ref="D6:F6"/>
    <mergeCell ref="D7:F7"/>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26" t="s">
        <v>80</v>
      </c>
      <c r="C2" s="326"/>
      <c r="D2" s="326"/>
      <c r="E2" s="327"/>
      <c r="F2" s="331" t="s">
        <v>92</v>
      </c>
    </row>
    <row r="3" spans="1:6" s="129" customFormat="1" ht="40.5" customHeight="1" thickBot="1" x14ac:dyDescent="0.4">
      <c r="A3" s="125"/>
      <c r="B3" s="328" t="s">
        <v>93</v>
      </c>
      <c r="C3" s="126" t="s">
        <v>82</v>
      </c>
      <c r="D3" s="127" t="s">
        <v>83</v>
      </c>
      <c r="E3" s="128" t="s">
        <v>84</v>
      </c>
      <c r="F3" s="332"/>
    </row>
    <row r="4" spans="1:6" s="129" customFormat="1" ht="228.75" customHeight="1" thickBot="1" x14ac:dyDescent="0.4">
      <c r="A4" s="125"/>
      <c r="B4" s="329"/>
      <c r="C4" s="130" t="s">
        <v>85</v>
      </c>
      <c r="D4" s="131" t="s">
        <v>94</v>
      </c>
      <c r="E4" s="163" t="s">
        <v>95</v>
      </c>
      <c r="F4" s="168" t="s">
        <v>96</v>
      </c>
    </row>
    <row r="5" spans="1:6" s="129" customFormat="1" ht="289.5" thickBot="1" x14ac:dyDescent="0.4">
      <c r="A5" s="125"/>
      <c r="B5" s="329"/>
      <c r="C5" s="132" t="s">
        <v>86</v>
      </c>
      <c r="D5" s="133" t="s">
        <v>97</v>
      </c>
      <c r="E5" s="164" t="s">
        <v>98</v>
      </c>
      <c r="F5" s="167" t="s">
        <v>99</v>
      </c>
    </row>
    <row r="6" spans="1:6" s="129" customFormat="1" ht="237" thickBot="1" x14ac:dyDescent="0.4">
      <c r="A6" s="125"/>
      <c r="B6" s="329"/>
      <c r="C6" s="134" t="s">
        <v>87</v>
      </c>
      <c r="D6" s="135" t="s">
        <v>100</v>
      </c>
      <c r="E6" s="165" t="s">
        <v>101</v>
      </c>
      <c r="F6" s="167"/>
    </row>
    <row r="7" spans="1:6" s="129" customFormat="1" ht="154.5" customHeight="1" thickBot="1" x14ac:dyDescent="0.4">
      <c r="A7" s="125"/>
      <c r="B7" s="329"/>
      <c r="C7" s="136" t="s">
        <v>88</v>
      </c>
      <c r="D7" s="137"/>
      <c r="E7" s="164"/>
      <c r="F7" s="167"/>
    </row>
    <row r="8" spans="1:6" s="129" customFormat="1" ht="169.5" thickBot="1" x14ac:dyDescent="0.4">
      <c r="A8" s="125"/>
      <c r="B8" s="329"/>
      <c r="C8" s="138" t="s">
        <v>89</v>
      </c>
      <c r="D8" s="135" t="s">
        <v>102</v>
      </c>
      <c r="E8" s="166" t="s">
        <v>103</v>
      </c>
      <c r="F8" s="167"/>
    </row>
    <row r="9" spans="1:6" s="129" customFormat="1" ht="163.5" thickBot="1" x14ac:dyDescent="0.4">
      <c r="A9" s="125"/>
      <c r="B9" s="329"/>
      <c r="C9" s="136" t="s">
        <v>90</v>
      </c>
      <c r="D9" s="133" t="s">
        <v>104</v>
      </c>
      <c r="E9" s="166" t="s">
        <v>105</v>
      </c>
      <c r="F9" s="167"/>
    </row>
    <row r="10" spans="1:6" s="141" customFormat="1" ht="263.25" thickBot="1" x14ac:dyDescent="0.4">
      <c r="A10" s="139"/>
      <c r="B10" s="329"/>
      <c r="C10" s="140" t="s">
        <v>91</v>
      </c>
      <c r="D10" s="133" t="s">
        <v>106</v>
      </c>
      <c r="E10" s="165" t="s">
        <v>107</v>
      </c>
      <c r="F10" s="169"/>
    </row>
    <row r="11" spans="1:6" s="141" customFormat="1" ht="28.5" thickBot="1" x14ac:dyDescent="0.4">
      <c r="A11" s="139"/>
      <c r="B11" s="330"/>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tabSelected="1" zoomScale="50" zoomScaleNormal="50" zoomScaleSheetLayoutView="30" zoomScalePageLayoutView="60" workbookViewId="0">
      <selection sqref="A1:C4"/>
    </sheetView>
  </sheetViews>
  <sheetFormatPr baseColWidth="10" defaultColWidth="11.42578125" defaultRowHeight="15" x14ac:dyDescent="0.2"/>
  <cols>
    <col min="1" max="1" width="6.5703125" style="253" customWidth="1"/>
    <col min="2" max="2" width="16" style="253" customWidth="1"/>
    <col min="3" max="3" width="19.140625" style="253" customWidth="1"/>
    <col min="4" max="4" width="54.7109375" style="253" customWidth="1"/>
    <col min="5" max="5" width="70.85546875" style="234" customWidth="1"/>
    <col min="6" max="6" width="15.140625" style="234" customWidth="1"/>
    <col min="7" max="8" width="16.7109375" style="254" customWidth="1"/>
    <col min="9" max="9" width="19.28515625" style="254" customWidth="1"/>
    <col min="10" max="11" width="16.7109375" style="254" customWidth="1"/>
    <col min="12" max="12" width="16.7109375" style="234" customWidth="1"/>
    <col min="13" max="13" width="20.42578125" style="234" customWidth="1"/>
    <col min="14" max="14" width="10" style="234" customWidth="1"/>
    <col min="15" max="15" width="35.85546875" style="234" customWidth="1"/>
    <col min="16" max="16" width="30.5703125" style="234" hidden="1" customWidth="1"/>
    <col min="17" max="17" width="17.5703125" style="234" customWidth="1"/>
    <col min="18" max="18" width="8.42578125" style="234" customWidth="1"/>
    <col min="19" max="19" width="16" style="234" customWidth="1"/>
    <col min="20" max="20" width="11.28515625" style="234" customWidth="1"/>
    <col min="21" max="21" width="60.5703125" style="234" customWidth="1"/>
    <col min="22" max="22" width="19" style="234" hidden="1" customWidth="1"/>
    <col min="23" max="23" width="6.85546875" style="234" customWidth="1"/>
    <col min="24" max="24" width="5" style="234" customWidth="1"/>
    <col min="25" max="25" width="5.5703125" style="234" hidden="1" customWidth="1"/>
    <col min="26" max="26" width="7.140625" style="234" customWidth="1"/>
    <col min="27" max="27" width="6.7109375" style="234" customWidth="1"/>
    <col min="28" max="28" width="7.5703125" style="234" customWidth="1"/>
    <col min="29" max="29" width="38.28515625" style="234" hidden="1" customWidth="1"/>
    <col min="30" max="34" width="10.85546875" style="234" customWidth="1"/>
    <col min="35" max="35" width="10.85546875" style="252" customWidth="1"/>
    <col min="36" max="36" width="23" style="234" customWidth="1"/>
    <col min="37" max="38" width="18.85546875" style="234" customWidth="1"/>
    <col min="39" max="39" width="22.42578125" style="234" customWidth="1"/>
    <col min="40" max="40" width="24.28515625" style="234" customWidth="1"/>
    <col min="41" max="41" width="16.42578125" style="234" customWidth="1"/>
    <col min="42" max="42" width="26.140625" style="234" customWidth="1"/>
    <col min="43" max="16384" width="11.42578125" style="234"/>
  </cols>
  <sheetData>
    <row r="1" spans="1:273" s="226" customFormat="1" ht="24" customHeight="1" x14ac:dyDescent="0.3">
      <c r="A1" s="373"/>
      <c r="B1" s="374"/>
      <c r="C1" s="375"/>
      <c r="D1" s="382" t="s">
        <v>108</v>
      </c>
      <c r="E1" s="383"/>
      <c r="F1" s="383"/>
      <c r="G1" s="383"/>
      <c r="H1" s="383"/>
      <c r="I1" s="383"/>
      <c r="J1" s="383"/>
      <c r="K1" s="383"/>
      <c r="L1" s="383"/>
      <c r="M1" s="383"/>
      <c r="N1" s="383"/>
      <c r="O1" s="383"/>
      <c r="P1" s="383"/>
      <c r="Q1" s="383"/>
      <c r="R1" s="383"/>
      <c r="S1" s="384"/>
      <c r="T1" s="224"/>
      <c r="U1" s="403" t="s">
        <v>108</v>
      </c>
      <c r="V1" s="383"/>
      <c r="W1" s="383"/>
      <c r="X1" s="383"/>
      <c r="Y1" s="383"/>
      <c r="Z1" s="383"/>
      <c r="AA1" s="383"/>
      <c r="AB1" s="383"/>
      <c r="AC1" s="383"/>
      <c r="AD1" s="383"/>
      <c r="AE1" s="383"/>
      <c r="AF1" s="383"/>
      <c r="AG1" s="383"/>
      <c r="AH1" s="383"/>
      <c r="AI1" s="383"/>
      <c r="AJ1" s="383"/>
      <c r="AK1" s="383"/>
      <c r="AL1" s="383"/>
      <c r="AM1" s="383"/>
      <c r="AN1" s="383"/>
      <c r="AO1" s="383"/>
      <c r="AP1" s="384"/>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row>
    <row r="2" spans="1:273" s="226" customFormat="1" ht="24" customHeight="1" thickBot="1" x14ac:dyDescent="0.35">
      <c r="A2" s="376"/>
      <c r="B2" s="377"/>
      <c r="C2" s="378"/>
      <c r="D2" s="385"/>
      <c r="E2" s="386"/>
      <c r="F2" s="386"/>
      <c r="G2" s="386"/>
      <c r="H2" s="386"/>
      <c r="I2" s="386"/>
      <c r="J2" s="386"/>
      <c r="K2" s="386"/>
      <c r="L2" s="386"/>
      <c r="M2" s="386"/>
      <c r="N2" s="386"/>
      <c r="O2" s="386"/>
      <c r="P2" s="386"/>
      <c r="Q2" s="386"/>
      <c r="R2" s="386"/>
      <c r="S2" s="387"/>
      <c r="T2" s="224"/>
      <c r="U2" s="404"/>
      <c r="V2" s="386"/>
      <c r="W2" s="386"/>
      <c r="X2" s="386"/>
      <c r="Y2" s="386"/>
      <c r="Z2" s="386"/>
      <c r="AA2" s="386"/>
      <c r="AB2" s="386"/>
      <c r="AC2" s="386"/>
      <c r="AD2" s="386"/>
      <c r="AE2" s="386"/>
      <c r="AF2" s="386"/>
      <c r="AG2" s="386"/>
      <c r="AH2" s="386"/>
      <c r="AI2" s="386"/>
      <c r="AJ2" s="386"/>
      <c r="AK2" s="386"/>
      <c r="AL2" s="386"/>
      <c r="AM2" s="386"/>
      <c r="AN2" s="386"/>
      <c r="AO2" s="386"/>
      <c r="AP2" s="387"/>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row>
    <row r="3" spans="1:273" s="226" customFormat="1" ht="24" customHeight="1" x14ac:dyDescent="0.3">
      <c r="A3" s="376"/>
      <c r="B3" s="377"/>
      <c r="C3" s="378"/>
      <c r="D3" s="388" t="s">
        <v>109</v>
      </c>
      <c r="E3" s="389"/>
      <c r="F3" s="389"/>
      <c r="G3" s="389"/>
      <c r="H3" s="389"/>
      <c r="I3" s="389"/>
      <c r="J3" s="389"/>
      <c r="K3" s="389"/>
      <c r="L3" s="389" t="s">
        <v>110</v>
      </c>
      <c r="M3" s="389"/>
      <c r="N3" s="389"/>
      <c r="O3" s="389"/>
      <c r="P3" s="389"/>
      <c r="Q3" s="389"/>
      <c r="R3" s="389"/>
      <c r="S3" s="390"/>
      <c r="T3" s="224"/>
      <c r="U3" s="405" t="s">
        <v>111</v>
      </c>
      <c r="V3" s="406"/>
      <c r="W3" s="406"/>
      <c r="X3" s="406"/>
      <c r="Y3" s="406"/>
      <c r="Z3" s="406"/>
      <c r="AA3" s="406"/>
      <c r="AB3" s="406"/>
      <c r="AC3" s="406"/>
      <c r="AD3" s="406"/>
      <c r="AE3" s="406"/>
      <c r="AF3" s="406"/>
      <c r="AG3" s="406"/>
      <c r="AH3" s="406"/>
      <c r="AI3" s="406"/>
      <c r="AJ3" s="406" t="s">
        <v>110</v>
      </c>
      <c r="AK3" s="406"/>
      <c r="AL3" s="406"/>
      <c r="AM3" s="406"/>
      <c r="AN3" s="406"/>
      <c r="AO3" s="406"/>
      <c r="AP3" s="408"/>
      <c r="AQ3" s="227"/>
      <c r="AR3" s="228"/>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row>
    <row r="4" spans="1:273" s="226" customFormat="1" ht="24" customHeight="1" thickBot="1" x14ac:dyDescent="0.35">
      <c r="A4" s="379"/>
      <c r="B4" s="380"/>
      <c r="C4" s="381"/>
      <c r="D4" s="391" t="s">
        <v>390</v>
      </c>
      <c r="E4" s="392"/>
      <c r="F4" s="392"/>
      <c r="G4" s="392"/>
      <c r="H4" s="392"/>
      <c r="I4" s="392"/>
      <c r="J4" s="392"/>
      <c r="K4" s="392"/>
      <c r="L4" s="392"/>
      <c r="M4" s="392"/>
      <c r="N4" s="392"/>
      <c r="O4" s="392"/>
      <c r="P4" s="392"/>
      <c r="Q4" s="392"/>
      <c r="R4" s="392"/>
      <c r="S4" s="393"/>
      <c r="T4" s="224"/>
      <c r="U4" s="407" t="s">
        <v>393</v>
      </c>
      <c r="V4" s="392"/>
      <c r="W4" s="392"/>
      <c r="X4" s="392"/>
      <c r="Y4" s="392"/>
      <c r="Z4" s="392"/>
      <c r="AA4" s="392"/>
      <c r="AB4" s="392"/>
      <c r="AC4" s="392"/>
      <c r="AD4" s="392"/>
      <c r="AE4" s="392"/>
      <c r="AF4" s="392"/>
      <c r="AG4" s="392"/>
      <c r="AH4" s="392"/>
      <c r="AI4" s="392"/>
      <c r="AJ4" s="392"/>
      <c r="AK4" s="392"/>
      <c r="AL4" s="392"/>
      <c r="AM4" s="392"/>
      <c r="AN4" s="392"/>
      <c r="AO4" s="392"/>
      <c r="AP4" s="393"/>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row>
    <row r="5" spans="1:273" ht="15.75" thickBot="1" x14ac:dyDescent="0.25">
      <c r="A5" s="229"/>
      <c r="B5" s="230"/>
      <c r="C5" s="229"/>
      <c r="D5" s="229"/>
      <c r="E5" s="231"/>
      <c r="F5" s="231"/>
      <c r="G5" s="232"/>
      <c r="H5" s="232"/>
      <c r="I5" s="232"/>
      <c r="J5" s="232"/>
      <c r="K5" s="232"/>
      <c r="L5" s="231"/>
      <c r="M5" s="231"/>
      <c r="N5" s="231"/>
      <c r="O5" s="231"/>
      <c r="P5" s="231"/>
      <c r="Q5" s="231"/>
      <c r="R5" s="231"/>
      <c r="S5" s="231"/>
      <c r="T5" s="231"/>
      <c r="U5" s="231"/>
      <c r="V5" s="231"/>
      <c r="W5" s="231"/>
      <c r="X5" s="231"/>
      <c r="Y5" s="231"/>
      <c r="Z5" s="231"/>
      <c r="AA5" s="231"/>
      <c r="AB5" s="231"/>
      <c r="AC5" s="231"/>
      <c r="AD5" s="231"/>
      <c r="AE5" s="231"/>
      <c r="AF5" s="231"/>
      <c r="AG5" s="231"/>
      <c r="AH5" s="231"/>
      <c r="AI5" s="233"/>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row>
    <row r="6" spans="1:273" ht="27.75" customHeight="1" x14ac:dyDescent="0.2">
      <c r="A6" s="409" t="s">
        <v>112</v>
      </c>
      <c r="B6" s="410"/>
      <c r="C6" s="367" t="s">
        <v>70</v>
      </c>
      <c r="D6" s="368"/>
      <c r="E6" s="368"/>
      <c r="F6" s="368"/>
      <c r="G6" s="368"/>
      <c r="H6" s="368"/>
      <c r="I6" s="368"/>
      <c r="J6" s="368"/>
      <c r="K6" s="368"/>
      <c r="L6" s="368"/>
      <c r="M6" s="368"/>
      <c r="N6" s="368"/>
      <c r="O6" s="368"/>
      <c r="P6" s="368"/>
      <c r="Q6" s="368"/>
      <c r="R6" s="368"/>
      <c r="S6" s="369"/>
      <c r="T6" s="370" t="s">
        <v>112</v>
      </c>
      <c r="U6" s="371"/>
      <c r="V6" s="372"/>
      <c r="W6" s="394" t="str">
        <f>C6</f>
        <v>12. Gestión de talento humano</v>
      </c>
      <c r="X6" s="395"/>
      <c r="Y6" s="395"/>
      <c r="Z6" s="395"/>
      <c r="AA6" s="395"/>
      <c r="AB6" s="395"/>
      <c r="AC6" s="395"/>
      <c r="AD6" s="395"/>
      <c r="AE6" s="395"/>
      <c r="AF6" s="395"/>
      <c r="AG6" s="395"/>
      <c r="AH6" s="395"/>
      <c r="AI6" s="395"/>
      <c r="AJ6" s="395"/>
      <c r="AK6" s="395"/>
      <c r="AL6" s="395"/>
      <c r="AM6" s="395"/>
      <c r="AN6" s="395"/>
      <c r="AO6" s="395"/>
      <c r="AP6" s="396"/>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row>
    <row r="7" spans="1:273" ht="36.75" customHeight="1" x14ac:dyDescent="0.25">
      <c r="A7" s="411" t="s">
        <v>113</v>
      </c>
      <c r="B7" s="412"/>
      <c r="C7" s="352" t="s">
        <v>413</v>
      </c>
      <c r="D7" s="353"/>
      <c r="E7" s="353"/>
      <c r="F7" s="353"/>
      <c r="G7" s="353"/>
      <c r="H7" s="353"/>
      <c r="I7" s="353"/>
      <c r="J7" s="353"/>
      <c r="K7" s="353"/>
      <c r="L7" s="353"/>
      <c r="M7" s="353"/>
      <c r="N7" s="353"/>
      <c r="O7" s="353"/>
      <c r="P7" s="353"/>
      <c r="Q7" s="353"/>
      <c r="R7" s="353"/>
      <c r="S7" s="354"/>
      <c r="T7" s="235" t="s">
        <v>113</v>
      </c>
      <c r="U7" s="236"/>
      <c r="V7" s="237"/>
      <c r="W7" s="397" t="str">
        <f>C7</f>
        <v>Gerenciar el Talento Humano de la Unidad Administrativa Especial de Rehabilitación y Mantenimiento Vial, planificando y desarrollando estrategias encaminadas a garantizar el mejoramiento permanente y la satisfacción laboral de los servidores públicos que contribuyen a la misión de la institución.</v>
      </c>
      <c r="X7" s="398"/>
      <c r="Y7" s="398"/>
      <c r="Z7" s="398"/>
      <c r="AA7" s="398"/>
      <c r="AB7" s="398"/>
      <c r="AC7" s="398"/>
      <c r="AD7" s="398"/>
      <c r="AE7" s="398"/>
      <c r="AF7" s="398"/>
      <c r="AG7" s="398"/>
      <c r="AH7" s="398"/>
      <c r="AI7" s="398"/>
      <c r="AJ7" s="398"/>
      <c r="AK7" s="398"/>
      <c r="AL7" s="398"/>
      <c r="AM7" s="398"/>
      <c r="AN7" s="398"/>
      <c r="AO7" s="398"/>
      <c r="AP7" s="399"/>
      <c r="AQ7" s="231"/>
      <c r="AR7" s="231"/>
      <c r="AS7" s="231"/>
      <c r="AT7" s="231"/>
      <c r="AU7" s="231"/>
      <c r="AV7" s="231"/>
      <c r="AW7" s="231"/>
      <c r="AX7" s="231"/>
      <c r="AY7" s="231"/>
      <c r="AZ7" s="231"/>
      <c r="BA7" s="231"/>
      <c r="BB7" s="231"/>
      <c r="BC7" s="231"/>
      <c r="BD7" s="231"/>
      <c r="BE7" s="231"/>
      <c r="BF7" s="231"/>
      <c r="BG7" s="231"/>
      <c r="BH7" s="231"/>
      <c r="BI7" s="231"/>
      <c r="BJ7" s="231"/>
      <c r="BK7" s="231"/>
      <c r="BL7" s="231"/>
      <c r="BM7" s="231"/>
      <c r="BN7" s="231"/>
      <c r="BO7" s="231"/>
      <c r="BP7" s="231"/>
    </row>
    <row r="8" spans="1:273" ht="30" customHeight="1" thickBot="1" x14ac:dyDescent="0.3">
      <c r="A8" s="413" t="s">
        <v>114</v>
      </c>
      <c r="B8" s="414"/>
      <c r="C8" s="355" t="s">
        <v>414</v>
      </c>
      <c r="D8" s="356"/>
      <c r="E8" s="356"/>
      <c r="F8" s="356"/>
      <c r="G8" s="356"/>
      <c r="H8" s="356"/>
      <c r="I8" s="356"/>
      <c r="J8" s="356"/>
      <c r="K8" s="356"/>
      <c r="L8" s="356"/>
      <c r="M8" s="356"/>
      <c r="N8" s="356"/>
      <c r="O8" s="356"/>
      <c r="P8" s="356"/>
      <c r="Q8" s="356"/>
      <c r="R8" s="356"/>
      <c r="S8" s="357"/>
      <c r="T8" s="238" t="s">
        <v>114</v>
      </c>
      <c r="U8" s="239"/>
      <c r="V8" s="240"/>
      <c r="W8" s="400" t="str">
        <f>C8</f>
        <v>Inicia desde la detección de la necesidad de vinculación de personal, continuando con la ejecución de las actividades de desarrollo de las estrategias de talento humano hasta el trámite en la desvinculación del personal. Aplica para los servidores públicos de la Unidad Administrativa Especial de Rehabilitación y Mantenimiento Vial. Cubre: Ingreso de personal, Desarrollo de personal, Formación y capacitación, Bienestar social, Incentivos, Evaluación del desempeño laboral, Administración del régimen salarial y prestacional, Sistema de Gestión de Seguridad y Salud en el Trabajo SG-SST, y Retiro de personal.</v>
      </c>
      <c r="X8" s="401"/>
      <c r="Y8" s="401"/>
      <c r="Z8" s="401"/>
      <c r="AA8" s="401"/>
      <c r="AB8" s="401"/>
      <c r="AC8" s="401"/>
      <c r="AD8" s="401"/>
      <c r="AE8" s="401"/>
      <c r="AF8" s="401"/>
      <c r="AG8" s="401"/>
      <c r="AH8" s="401"/>
      <c r="AI8" s="401"/>
      <c r="AJ8" s="401"/>
      <c r="AK8" s="401"/>
      <c r="AL8" s="401"/>
      <c r="AM8" s="401"/>
      <c r="AN8" s="401"/>
      <c r="AO8" s="401"/>
      <c r="AP8" s="402"/>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row>
    <row r="9" spans="1:273" ht="12" customHeight="1" x14ac:dyDescent="0.25">
      <c r="A9" s="241"/>
      <c r="B9" s="241"/>
      <c r="C9" s="242"/>
      <c r="D9" s="242"/>
      <c r="E9" s="242"/>
      <c r="F9" s="242"/>
      <c r="G9" s="242"/>
      <c r="H9" s="242"/>
      <c r="I9" s="242"/>
      <c r="J9" s="242"/>
      <c r="K9" s="242"/>
      <c r="L9" s="242"/>
      <c r="M9" s="242"/>
      <c r="N9" s="242"/>
      <c r="O9" s="242"/>
      <c r="P9" s="242"/>
      <c r="Q9" s="242"/>
      <c r="R9" s="242"/>
      <c r="S9" s="242"/>
      <c r="T9" s="243"/>
      <c r="U9" s="243"/>
      <c r="V9" s="243"/>
      <c r="W9" s="244"/>
      <c r="X9" s="244"/>
      <c r="Y9" s="244"/>
      <c r="Z9" s="244"/>
      <c r="AA9" s="244"/>
      <c r="AB9" s="244"/>
      <c r="AC9" s="244"/>
      <c r="AD9" s="244"/>
      <c r="AE9" s="244"/>
      <c r="AF9" s="244"/>
      <c r="AG9" s="244"/>
      <c r="AH9" s="244"/>
      <c r="AI9" s="244"/>
      <c r="AJ9" s="244"/>
      <c r="AK9" s="244"/>
      <c r="AL9" s="244"/>
      <c r="AM9" s="244"/>
      <c r="AN9" s="244"/>
      <c r="AO9" s="244"/>
      <c r="AP9" s="244"/>
    </row>
    <row r="10" spans="1:273" ht="39" customHeight="1" x14ac:dyDescent="0.2">
      <c r="A10" s="344" t="s">
        <v>115</v>
      </c>
      <c r="B10" s="344"/>
      <c r="C10" s="344"/>
      <c r="D10" s="344"/>
      <c r="E10" s="344"/>
      <c r="F10" s="344"/>
      <c r="G10" s="344"/>
      <c r="H10" s="344"/>
      <c r="I10" s="344"/>
      <c r="J10" s="344"/>
      <c r="K10" s="344"/>
      <c r="L10" s="344"/>
      <c r="M10" s="344" t="s">
        <v>116</v>
      </c>
      <c r="N10" s="344"/>
      <c r="O10" s="344"/>
      <c r="P10" s="344"/>
      <c r="Q10" s="344"/>
      <c r="R10" s="344"/>
      <c r="S10" s="344"/>
      <c r="T10" s="344" t="s">
        <v>117</v>
      </c>
      <c r="U10" s="344"/>
      <c r="V10" s="344"/>
      <c r="W10" s="344"/>
      <c r="X10" s="344"/>
      <c r="Y10" s="344"/>
      <c r="Z10" s="344"/>
      <c r="AA10" s="344"/>
      <c r="AB10" s="344"/>
      <c r="AC10" s="344" t="s">
        <v>118</v>
      </c>
      <c r="AD10" s="344"/>
      <c r="AE10" s="344"/>
      <c r="AF10" s="344"/>
      <c r="AG10" s="344"/>
      <c r="AH10" s="344"/>
      <c r="AI10" s="344"/>
      <c r="AJ10" s="344" t="s">
        <v>119</v>
      </c>
      <c r="AK10" s="344"/>
      <c r="AL10" s="344"/>
      <c r="AM10" s="344"/>
      <c r="AN10" s="344" t="s">
        <v>446</v>
      </c>
      <c r="AO10" s="344"/>
      <c r="AP10" s="344"/>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row>
    <row r="11" spans="1:273" ht="26.25" customHeight="1" x14ac:dyDescent="0.2">
      <c r="A11" s="359" t="s">
        <v>120</v>
      </c>
      <c r="B11" s="337" t="s">
        <v>15</v>
      </c>
      <c r="C11" s="338" t="s">
        <v>17</v>
      </c>
      <c r="D11" s="338" t="s">
        <v>19</v>
      </c>
      <c r="E11" s="337" t="s">
        <v>21</v>
      </c>
      <c r="F11" s="338" t="s">
        <v>121</v>
      </c>
      <c r="G11" s="348" t="s">
        <v>23</v>
      </c>
      <c r="H11" s="334" t="s">
        <v>122</v>
      </c>
      <c r="I11" s="348" t="s">
        <v>123</v>
      </c>
      <c r="J11" s="348" t="s">
        <v>124</v>
      </c>
      <c r="K11" s="348" t="s">
        <v>125</v>
      </c>
      <c r="L11" s="338" t="s">
        <v>126</v>
      </c>
      <c r="M11" s="338" t="s">
        <v>127</v>
      </c>
      <c r="N11" s="337" t="s">
        <v>128</v>
      </c>
      <c r="O11" s="338" t="s">
        <v>129</v>
      </c>
      <c r="P11" s="338" t="s">
        <v>130</v>
      </c>
      <c r="Q11" s="338" t="s">
        <v>131</v>
      </c>
      <c r="R11" s="337" t="s">
        <v>128</v>
      </c>
      <c r="S11" s="338" t="s">
        <v>29</v>
      </c>
      <c r="T11" s="349" t="s">
        <v>132</v>
      </c>
      <c r="U11" s="338" t="s">
        <v>31</v>
      </c>
      <c r="V11" s="338" t="s">
        <v>33</v>
      </c>
      <c r="W11" s="338" t="s">
        <v>133</v>
      </c>
      <c r="X11" s="338"/>
      <c r="Y11" s="338"/>
      <c r="Z11" s="338"/>
      <c r="AA11" s="338"/>
      <c r="AB11" s="338"/>
      <c r="AC11" s="349" t="s">
        <v>134</v>
      </c>
      <c r="AD11" s="349" t="s">
        <v>135</v>
      </c>
      <c r="AE11" s="349" t="s">
        <v>128</v>
      </c>
      <c r="AF11" s="349" t="s">
        <v>136</v>
      </c>
      <c r="AG11" s="349" t="s">
        <v>128</v>
      </c>
      <c r="AH11" s="349" t="s">
        <v>137</v>
      </c>
      <c r="AI11" s="349" t="s">
        <v>49</v>
      </c>
      <c r="AJ11" s="338" t="s">
        <v>138</v>
      </c>
      <c r="AK11" s="338" t="s">
        <v>139</v>
      </c>
      <c r="AL11" s="338" t="s">
        <v>140</v>
      </c>
      <c r="AM11" s="338" t="s">
        <v>141</v>
      </c>
      <c r="AN11" s="338" t="s">
        <v>142</v>
      </c>
      <c r="AO11" s="338" t="s">
        <v>143</v>
      </c>
      <c r="AP11" s="338" t="s">
        <v>144</v>
      </c>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row>
    <row r="12" spans="1:273" s="248" customFormat="1" ht="102" customHeight="1" x14ac:dyDescent="0.25">
      <c r="A12" s="359"/>
      <c r="B12" s="337"/>
      <c r="C12" s="338"/>
      <c r="D12" s="338"/>
      <c r="E12" s="337"/>
      <c r="F12" s="338"/>
      <c r="G12" s="348"/>
      <c r="H12" s="335"/>
      <c r="I12" s="348"/>
      <c r="J12" s="348"/>
      <c r="K12" s="348"/>
      <c r="L12" s="338"/>
      <c r="M12" s="338"/>
      <c r="N12" s="337"/>
      <c r="O12" s="338"/>
      <c r="P12" s="338"/>
      <c r="Q12" s="337"/>
      <c r="R12" s="337"/>
      <c r="S12" s="338"/>
      <c r="T12" s="349"/>
      <c r="U12" s="338"/>
      <c r="V12" s="338"/>
      <c r="W12" s="245" t="s">
        <v>145</v>
      </c>
      <c r="X12" s="245" t="s">
        <v>146</v>
      </c>
      <c r="Y12" s="245" t="s">
        <v>147</v>
      </c>
      <c r="Z12" s="245" t="s">
        <v>148</v>
      </c>
      <c r="AA12" s="245" t="s">
        <v>149</v>
      </c>
      <c r="AB12" s="245" t="s">
        <v>150</v>
      </c>
      <c r="AC12" s="349"/>
      <c r="AD12" s="349"/>
      <c r="AE12" s="349"/>
      <c r="AF12" s="349"/>
      <c r="AG12" s="349"/>
      <c r="AH12" s="349"/>
      <c r="AI12" s="349"/>
      <c r="AJ12" s="338"/>
      <c r="AK12" s="338"/>
      <c r="AL12" s="338"/>
      <c r="AM12" s="338"/>
      <c r="AN12" s="338"/>
      <c r="AO12" s="338"/>
      <c r="AP12" s="338"/>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7"/>
      <c r="EJ12" s="247"/>
      <c r="EK12" s="247"/>
      <c r="EL12" s="247"/>
      <c r="EM12" s="247"/>
      <c r="EN12" s="247"/>
      <c r="EO12" s="247"/>
      <c r="EP12" s="247"/>
      <c r="EQ12" s="247"/>
      <c r="ER12" s="247"/>
      <c r="ES12" s="247"/>
      <c r="ET12" s="247"/>
      <c r="EU12" s="247"/>
      <c r="EV12" s="247"/>
      <c r="EW12" s="247"/>
      <c r="EX12" s="247"/>
      <c r="EY12" s="247"/>
      <c r="EZ12" s="247"/>
      <c r="FA12" s="247"/>
      <c r="FB12" s="247"/>
      <c r="FC12" s="247"/>
      <c r="FD12" s="247"/>
      <c r="FE12" s="247"/>
      <c r="FF12" s="247"/>
      <c r="FG12" s="247"/>
      <c r="FH12" s="247"/>
      <c r="FI12" s="247"/>
      <c r="FJ12" s="247"/>
      <c r="FK12" s="247"/>
      <c r="FL12" s="247"/>
      <c r="FM12" s="247"/>
      <c r="FN12" s="247"/>
      <c r="FO12" s="247"/>
      <c r="FP12" s="247"/>
      <c r="FQ12" s="247"/>
      <c r="FR12" s="247"/>
      <c r="FS12" s="247"/>
      <c r="FT12" s="247"/>
      <c r="FU12" s="247"/>
      <c r="FV12" s="247"/>
      <c r="FW12" s="247"/>
      <c r="FX12" s="247"/>
      <c r="FY12" s="247"/>
      <c r="FZ12" s="247"/>
      <c r="GA12" s="247"/>
      <c r="GB12" s="247"/>
      <c r="GC12" s="247"/>
      <c r="GD12" s="247"/>
      <c r="GE12" s="247"/>
      <c r="GF12" s="247"/>
      <c r="GG12" s="247"/>
      <c r="GH12" s="247"/>
      <c r="GI12" s="247"/>
      <c r="GJ12" s="247"/>
      <c r="GK12" s="247"/>
      <c r="GL12" s="247"/>
      <c r="GM12" s="247"/>
      <c r="GN12" s="247"/>
      <c r="GO12" s="247"/>
      <c r="GP12" s="247"/>
      <c r="GQ12" s="247"/>
      <c r="GR12" s="247"/>
      <c r="GS12" s="247"/>
      <c r="GT12" s="247"/>
      <c r="GU12" s="247"/>
      <c r="GV12" s="247"/>
      <c r="GW12" s="247"/>
      <c r="GX12" s="247"/>
      <c r="GY12" s="247"/>
      <c r="GZ12" s="247"/>
      <c r="HA12" s="247"/>
      <c r="HB12" s="247"/>
      <c r="HC12" s="247"/>
      <c r="HD12" s="247"/>
      <c r="HE12" s="247"/>
      <c r="HF12" s="247"/>
      <c r="HG12" s="247"/>
      <c r="HH12" s="247"/>
      <c r="HI12" s="247"/>
      <c r="HJ12" s="247"/>
      <c r="HK12" s="247"/>
      <c r="HL12" s="247"/>
      <c r="HM12" s="247"/>
      <c r="HN12" s="247"/>
      <c r="HO12" s="247"/>
      <c r="HP12" s="247"/>
      <c r="HQ12" s="247"/>
      <c r="HR12" s="247"/>
      <c r="HS12" s="247"/>
      <c r="HT12" s="247"/>
      <c r="HU12" s="247"/>
      <c r="HV12" s="247"/>
      <c r="HW12" s="247"/>
      <c r="HX12" s="247"/>
      <c r="HY12" s="247"/>
      <c r="HZ12" s="247"/>
      <c r="IA12" s="247"/>
      <c r="IB12" s="247"/>
      <c r="IC12" s="247"/>
      <c r="ID12" s="247"/>
      <c r="IE12" s="247"/>
      <c r="IF12" s="247"/>
      <c r="IG12" s="247"/>
      <c r="IH12" s="247"/>
      <c r="II12" s="247"/>
      <c r="IJ12" s="247"/>
      <c r="IK12" s="247"/>
      <c r="IL12" s="247"/>
      <c r="IM12" s="247"/>
      <c r="IN12" s="247"/>
      <c r="IO12" s="247"/>
      <c r="IP12" s="247"/>
      <c r="IQ12" s="247"/>
      <c r="IR12" s="247"/>
      <c r="IS12" s="247"/>
      <c r="IT12" s="247"/>
      <c r="IU12" s="247"/>
      <c r="IV12" s="247"/>
      <c r="IW12" s="247"/>
      <c r="IX12" s="247"/>
      <c r="IY12" s="247"/>
      <c r="IZ12" s="247"/>
      <c r="JA12" s="247"/>
      <c r="JB12" s="247"/>
      <c r="JC12" s="247"/>
      <c r="JD12" s="247"/>
      <c r="JE12" s="247"/>
      <c r="JF12" s="247"/>
      <c r="JG12" s="247"/>
      <c r="JH12" s="247"/>
      <c r="JI12" s="247"/>
      <c r="JJ12" s="247"/>
      <c r="JK12" s="247"/>
      <c r="JL12" s="247"/>
      <c r="JM12" s="247"/>
    </row>
    <row r="13" spans="1:273" s="250" customFormat="1" ht="246" customHeight="1" x14ac:dyDescent="0.25">
      <c r="A13" s="350">
        <v>1</v>
      </c>
      <c r="B13" s="333" t="s">
        <v>162</v>
      </c>
      <c r="C13" s="358" t="s">
        <v>415</v>
      </c>
      <c r="D13" s="358" t="s">
        <v>416</v>
      </c>
      <c r="E13" s="358" t="s">
        <v>417</v>
      </c>
      <c r="F13" s="333" t="s">
        <v>152</v>
      </c>
      <c r="G13" s="333" t="s">
        <v>287</v>
      </c>
      <c r="H13" s="333"/>
      <c r="I13" s="333"/>
      <c r="J13" s="333"/>
      <c r="K13" s="333"/>
      <c r="L13" s="336">
        <v>12</v>
      </c>
      <c r="M13" s="341" t="str">
        <f>IF(L13&lt;=0,"",IF(L13&lt;=2,"Muy Baja",IF(L13&lt;=24,"Baja",IF(L13&lt;=500,"Media",IF(L13&lt;=5000,"Alta","Muy Alta")))))</f>
        <v>Baja</v>
      </c>
      <c r="N13" s="340">
        <f>IF(M13="","",IF(M13="Muy Baja",0.2,IF(M13="Baja",0.4,IF(M13="Media",0.6,IF(M13="Alta",0.8,IF(M13="Muy Alta",1,))))))</f>
        <v>0.4</v>
      </c>
      <c r="O13" s="339" t="s">
        <v>227</v>
      </c>
      <c r="P13" s="340" t="str">
        <f>IF(NOT(ISERROR(MATCH(O13,'Tabla Impacto'!$B$222:$B$224,0))),'Tabla Impacto'!$F$224&amp;"Por favor no seleccionar los criterios de impacto(Afectación Económica o presupuestal y Pérdida Reputacional)",O13)</f>
        <v xml:space="preserve">     El riesgo afecta la imagen de alguna área de la organización</v>
      </c>
      <c r="Q13" s="341" t="str">
        <f>IF(OR(P13='Tabla Impacto'!$C$12,P13='Tabla Impacto'!$D$12),"Leve",IF(OR(P13='Tabla Impacto'!$C$13,P13='Tabla Impacto'!$D$13),"Menor",IF(OR(P13='Tabla Impacto'!$C$14,P13='Tabla Impacto'!$D$14),"Moderado",IF(OR(P13='Tabla Impacto'!$C$15,P13='Tabla Impacto'!$D$15),"Mayor",IF(OR(P13='Tabla Impacto'!$C$16,P13='Tabla Impacto'!$D$16),"Catastrófico","")))))</f>
        <v>Leve</v>
      </c>
      <c r="R13" s="340">
        <f>IF(Q13="","",IF(Q13="Leve",0.2,IF(Q13="Menor",0.4,IF(Q13="Moderado",0.6,IF(Q13="Mayor",0.8,IF(Q13="Catastrófico",1,))))))</f>
        <v>0.2</v>
      </c>
      <c r="S13" s="342"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Bajo</v>
      </c>
      <c r="T13" s="249">
        <v>1</v>
      </c>
      <c r="U13" s="257" t="s">
        <v>418</v>
      </c>
      <c r="V13" s="213" t="str">
        <f t="shared" ref="V13:V16" si="0">IF(OR(W13="Preventivo",W13="Detectivo"),"Probabilidad",IF(W13="Correctivo","Impacto",""))</f>
        <v>Probabilidad</v>
      </c>
      <c r="W13" s="214" t="s">
        <v>155</v>
      </c>
      <c r="X13" s="214" t="s">
        <v>156</v>
      </c>
      <c r="Y13" s="215" t="str">
        <f>IF(AND(W13="Preventivo",X13="Automático"),"50%",IF(AND(W13="Preventivo",X13="Manual"),"40%",IF(AND(W13="Detectivo",X13="Automático"),"40%",IF(AND(W13="Detectivo",X13="Manual"),"30%",IF(AND(W13="Correctivo",X13="Automático"),"35%",IF(AND(W13="Correctivo",X13="Manual"),"25%",""))))))</f>
        <v>40%</v>
      </c>
      <c r="Z13" s="214" t="s">
        <v>363</v>
      </c>
      <c r="AA13" s="214" t="s">
        <v>160</v>
      </c>
      <c r="AB13" s="214" t="s">
        <v>161</v>
      </c>
      <c r="AC13" s="216">
        <f>IFERROR(IF(V13="Probabilidad",(N13-(+N13*Y13)),IF(V13="Impacto",N13,"")),"")</f>
        <v>0.24</v>
      </c>
      <c r="AD13" s="217" t="str">
        <f>IFERROR(IF(AC13="","",IF(AC13&lt;=0.2,"Muy Baja",IF(AC13&lt;=0.4,"Baja",IF(AC13&lt;=0.6,"Media",IF(AC13&lt;=0.8,"Alta","Muy Alta"))))),"")</f>
        <v>Baja</v>
      </c>
      <c r="AE13" s="215">
        <f>+AC13</f>
        <v>0.24</v>
      </c>
      <c r="AF13" s="217" t="str">
        <f>IFERROR(IF(AG13="","",IF(AG13&lt;=0.2,"Leve",IF(AG13&lt;=0.4,"Menor",IF(AG13&lt;=0.6,"Moderado",IF(AG13&lt;=0.8,"Mayor","Catastrófico"))))),"")</f>
        <v>Leve</v>
      </c>
      <c r="AG13" s="215">
        <f>IFERROR(IF(V13="Impacto",(R13-(+R13*Y13)),IF(V13="Probabilidad",R13,"")),"")</f>
        <v>0.2</v>
      </c>
      <c r="AH13" s="218"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Bajo</v>
      </c>
      <c r="AI13" s="219" t="s">
        <v>372</v>
      </c>
      <c r="AJ13" s="210"/>
      <c r="AK13" s="220"/>
      <c r="AL13" s="220"/>
      <c r="AM13" s="221"/>
      <c r="AN13" s="345" t="s">
        <v>420</v>
      </c>
      <c r="AO13" s="345" t="s">
        <v>421</v>
      </c>
      <c r="AP13" s="345" t="s">
        <v>422</v>
      </c>
    </row>
    <row r="14" spans="1:273" s="222" customFormat="1" ht="246" customHeight="1" x14ac:dyDescent="0.2">
      <c r="A14" s="350"/>
      <c r="B14" s="333"/>
      <c r="C14" s="358"/>
      <c r="D14" s="358"/>
      <c r="E14" s="358"/>
      <c r="F14" s="333"/>
      <c r="G14" s="333"/>
      <c r="H14" s="333"/>
      <c r="I14" s="333"/>
      <c r="J14" s="333"/>
      <c r="K14" s="333"/>
      <c r="L14" s="336"/>
      <c r="M14" s="341"/>
      <c r="N14" s="340"/>
      <c r="O14" s="339"/>
      <c r="P14" s="340">
        <f>IF(NOT(ISERROR(MATCH(O14,_xlfn.ANCHORARRAY(E25),0))),N27&amp;"Por favor no seleccionar los criterios de impacto",O14)</f>
        <v>0</v>
      </c>
      <c r="Q14" s="341"/>
      <c r="R14" s="340"/>
      <c r="S14" s="342"/>
      <c r="T14" s="249">
        <v>2</v>
      </c>
      <c r="U14" s="257" t="s">
        <v>419</v>
      </c>
      <c r="V14" s="213" t="str">
        <f t="shared" si="0"/>
        <v>Probabilidad</v>
      </c>
      <c r="W14" s="214" t="s">
        <v>155</v>
      </c>
      <c r="X14" s="214" t="s">
        <v>156</v>
      </c>
      <c r="Y14" s="215" t="str">
        <f t="shared" ref="Y14:Y18" si="1">IF(AND(W14="Preventivo",X14="Automático"),"50%",IF(AND(W14="Preventivo",X14="Manual"),"40%",IF(AND(W14="Detectivo",X14="Automático"),"40%",IF(AND(W14="Detectivo",X14="Manual"),"30%",IF(AND(W14="Correctivo",X14="Automático"),"35%",IF(AND(W14="Correctivo",X14="Manual"),"25%",""))))))</f>
        <v>40%</v>
      </c>
      <c r="Z14" s="214" t="s">
        <v>363</v>
      </c>
      <c r="AA14" s="214" t="s">
        <v>160</v>
      </c>
      <c r="AB14" s="214" t="s">
        <v>161</v>
      </c>
      <c r="AC14" s="216">
        <f>IFERROR(IF(AND(V13="Probabilidad",V14="Probabilidad"),(AE13-(+AE13*Y14)),IF(V14="Probabilidad",(N13-(+N13*Y14)),IF(V14="Impacto",AE13,""))),"")</f>
        <v>0.14399999999999999</v>
      </c>
      <c r="AD14" s="217" t="str">
        <f t="shared" ref="AD14:AD72" si="2">IFERROR(IF(AC14="","",IF(AC14&lt;=0.2,"Muy Baja",IF(AC14&lt;=0.4,"Baja",IF(AC14&lt;=0.6,"Media",IF(AC14&lt;=0.8,"Alta","Muy Alta"))))),"")</f>
        <v>Muy Baja</v>
      </c>
      <c r="AE14" s="215">
        <f t="shared" ref="AE14:AE18" si="3">+AC14</f>
        <v>0.14399999999999999</v>
      </c>
      <c r="AF14" s="217" t="str">
        <f t="shared" ref="AF14:AF72" si="4">IFERROR(IF(AG14="","",IF(AG14&lt;=0.2,"Leve",IF(AG14&lt;=0.4,"Menor",IF(AG14&lt;=0.6,"Moderado",IF(AG14&lt;=0.8,"Mayor","Catastrófico"))))),"")</f>
        <v>Leve</v>
      </c>
      <c r="AG14" s="215">
        <f>IFERROR(IF(AND(V13="Impacto",V14="Impacto"),(AG13-(+AG13*Y14)),IF(V14="Impacto",($R$13-(+$R$13*Y14)),IF(V14="Probabilidad",AG13,""))),"")</f>
        <v>0.2</v>
      </c>
      <c r="AH14" s="218"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Bajo</v>
      </c>
      <c r="AI14" s="219" t="s">
        <v>372</v>
      </c>
      <c r="AJ14" s="210"/>
      <c r="AK14" s="220"/>
      <c r="AL14" s="210"/>
      <c r="AM14" s="221"/>
      <c r="AN14" s="346"/>
      <c r="AO14" s="346"/>
      <c r="AP14" s="346"/>
    </row>
    <row r="15" spans="1:273" s="222" customFormat="1" ht="246" customHeight="1" x14ac:dyDescent="0.2">
      <c r="A15" s="350"/>
      <c r="B15" s="333"/>
      <c r="C15" s="358"/>
      <c r="D15" s="358"/>
      <c r="E15" s="358"/>
      <c r="F15" s="333"/>
      <c r="G15" s="333"/>
      <c r="H15" s="333"/>
      <c r="I15" s="333"/>
      <c r="J15" s="333"/>
      <c r="K15" s="333"/>
      <c r="L15" s="336"/>
      <c r="M15" s="341"/>
      <c r="N15" s="340"/>
      <c r="O15" s="339"/>
      <c r="P15" s="340">
        <f>IF(NOT(ISERROR(MATCH(O15,_xlfn.ANCHORARRAY(E26),0))),N28&amp;"Por favor no seleccionar los criterios de impacto",O15)</f>
        <v>0</v>
      </c>
      <c r="Q15" s="341"/>
      <c r="R15" s="340"/>
      <c r="S15" s="342"/>
      <c r="T15" s="249">
        <v>3</v>
      </c>
      <c r="U15" s="258" t="s">
        <v>441</v>
      </c>
      <c r="V15" s="213" t="str">
        <f t="shared" si="0"/>
        <v>Probabilidad</v>
      </c>
      <c r="W15" s="214" t="s">
        <v>155</v>
      </c>
      <c r="X15" s="214" t="s">
        <v>156</v>
      </c>
      <c r="Y15" s="215" t="str">
        <f t="shared" si="1"/>
        <v>40%</v>
      </c>
      <c r="Z15" s="214" t="s">
        <v>159</v>
      </c>
      <c r="AA15" s="214" t="s">
        <v>160</v>
      </c>
      <c r="AB15" s="214" t="s">
        <v>161</v>
      </c>
      <c r="AC15" s="216">
        <f>IFERROR(IF(AND(V14="Probabilidad",V15="Probabilidad"),(AE14-(+AE14*Y15)),IF(AND(V14="Impacto",V15="Probabilidad"),(AE13-(+AE13*Y15)),IF(V15="Impacto",AE14,""))),"")</f>
        <v>8.6399999999999991E-2</v>
      </c>
      <c r="AD15" s="217" t="str">
        <f t="shared" si="2"/>
        <v>Muy Baja</v>
      </c>
      <c r="AE15" s="215">
        <f t="shared" si="3"/>
        <v>8.6399999999999991E-2</v>
      </c>
      <c r="AF15" s="217" t="str">
        <f t="shared" si="4"/>
        <v>Leve</v>
      </c>
      <c r="AG15" s="215">
        <f>IFERROR(IF(AND(V14="Impacto",V15="Impacto"),(AG14-(+AG14*Y15)),IF(AND(V14="Probabilidad",V15="Impacto"),(AG13-(+AG13*Y15)),IF(V15="Probabilidad",AG14,""))),"")</f>
        <v>0.2</v>
      </c>
      <c r="AH15" s="218" t="str">
        <f t="shared" si="5"/>
        <v>Bajo</v>
      </c>
      <c r="AI15" s="219" t="s">
        <v>372</v>
      </c>
      <c r="AJ15" s="210"/>
      <c r="AK15" s="220"/>
      <c r="AL15" s="220"/>
      <c r="AM15" s="221"/>
      <c r="AN15" s="346"/>
      <c r="AO15" s="346"/>
      <c r="AP15" s="346"/>
    </row>
    <row r="16" spans="1:273" s="222" customFormat="1" ht="14.45" customHeight="1" x14ac:dyDescent="0.2">
      <c r="A16" s="350"/>
      <c r="B16" s="333"/>
      <c r="C16" s="358"/>
      <c r="D16" s="358"/>
      <c r="E16" s="358"/>
      <c r="F16" s="333"/>
      <c r="G16" s="333"/>
      <c r="H16" s="333"/>
      <c r="I16" s="333"/>
      <c r="J16" s="333"/>
      <c r="K16" s="333"/>
      <c r="L16" s="336"/>
      <c r="M16" s="341"/>
      <c r="N16" s="340"/>
      <c r="O16" s="339"/>
      <c r="P16" s="340">
        <f>IF(NOT(ISERROR(MATCH(O16,_xlfn.ANCHORARRAY(E27),0))),N29&amp;"Por favor no seleccionar los criterios de impacto",O16)</f>
        <v>0</v>
      </c>
      <c r="Q16" s="341"/>
      <c r="R16" s="340"/>
      <c r="S16" s="342"/>
      <c r="T16" s="249">
        <v>4</v>
      </c>
      <c r="U16" s="211"/>
      <c r="V16" s="213" t="str">
        <f t="shared" si="0"/>
        <v/>
      </c>
      <c r="W16" s="214"/>
      <c r="X16" s="214"/>
      <c r="Y16" s="215" t="str">
        <f t="shared" si="1"/>
        <v/>
      </c>
      <c r="Z16" s="214"/>
      <c r="AA16" s="214"/>
      <c r="AB16" s="214"/>
      <c r="AC16" s="216" t="str">
        <f t="shared" ref="AC16:AC18" si="6">IFERROR(IF(AND(V15="Probabilidad",V16="Probabilidad"),(AE15-(+AE15*Y16)),IF(AND(V15="Impacto",V16="Probabilidad"),(AE14-(+AE14*Y16)),IF(V16="Impacto",AE15,""))),"")</f>
        <v/>
      </c>
      <c r="AD16" s="217" t="str">
        <f t="shared" si="2"/>
        <v/>
      </c>
      <c r="AE16" s="215" t="str">
        <f t="shared" si="3"/>
        <v/>
      </c>
      <c r="AF16" s="217" t="str">
        <f t="shared" si="4"/>
        <v/>
      </c>
      <c r="AG16" s="215" t="str">
        <f t="shared" ref="AG16:AG18" si="7">IFERROR(IF(AND(V15="Impacto",V16="Impacto"),(AG15-(+AG15*Y16)),IF(AND(V15="Probabilidad",V16="Impacto"),(AG14-(+AG14*Y16)),IF(V16="Probabilidad",AG15,""))),"")</f>
        <v/>
      </c>
      <c r="AH16" s="218"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19"/>
      <c r="AJ16" s="210"/>
      <c r="AK16" s="220"/>
      <c r="AL16" s="220"/>
      <c r="AM16" s="221"/>
      <c r="AN16" s="346"/>
      <c r="AO16" s="346"/>
      <c r="AP16" s="346"/>
    </row>
    <row r="17" spans="1:42" s="222" customFormat="1" ht="14.45" customHeight="1" x14ac:dyDescent="0.2">
      <c r="A17" s="350"/>
      <c r="B17" s="333"/>
      <c r="C17" s="358"/>
      <c r="D17" s="358"/>
      <c r="E17" s="358"/>
      <c r="F17" s="333"/>
      <c r="G17" s="333"/>
      <c r="H17" s="333"/>
      <c r="I17" s="333"/>
      <c r="J17" s="333"/>
      <c r="K17" s="333"/>
      <c r="L17" s="336"/>
      <c r="M17" s="341"/>
      <c r="N17" s="340"/>
      <c r="O17" s="339"/>
      <c r="P17" s="340">
        <f>IF(NOT(ISERROR(MATCH(O17,_xlfn.ANCHORARRAY(E28),0))),N30&amp;"Por favor no seleccionar los criterios de impacto",O17)</f>
        <v>0</v>
      </c>
      <c r="Q17" s="341"/>
      <c r="R17" s="340"/>
      <c r="S17" s="342"/>
      <c r="T17" s="249">
        <v>5</v>
      </c>
      <c r="U17" s="211"/>
      <c r="V17" s="213" t="str">
        <f t="shared" ref="V17:V18" si="8">IF(OR(W17="Preventivo",W17="Detectivo"),"Probabilidad",IF(W17="Correctivo","Impacto",""))</f>
        <v/>
      </c>
      <c r="W17" s="214"/>
      <c r="X17" s="214"/>
      <c r="Y17" s="215" t="str">
        <f t="shared" si="1"/>
        <v/>
      </c>
      <c r="Z17" s="214"/>
      <c r="AA17" s="214"/>
      <c r="AB17" s="214"/>
      <c r="AC17" s="216" t="str">
        <f t="shared" si="6"/>
        <v/>
      </c>
      <c r="AD17" s="217" t="str">
        <f t="shared" si="2"/>
        <v/>
      </c>
      <c r="AE17" s="215" t="str">
        <f t="shared" si="3"/>
        <v/>
      </c>
      <c r="AF17" s="217" t="str">
        <f t="shared" si="4"/>
        <v/>
      </c>
      <c r="AG17" s="215" t="str">
        <f t="shared" si="7"/>
        <v/>
      </c>
      <c r="AH17" s="218" t="str">
        <f t="shared" si="5"/>
        <v/>
      </c>
      <c r="AI17" s="219"/>
      <c r="AJ17" s="210"/>
      <c r="AK17" s="220"/>
      <c r="AL17" s="220"/>
      <c r="AM17" s="221"/>
      <c r="AN17" s="346"/>
      <c r="AO17" s="346"/>
      <c r="AP17" s="346"/>
    </row>
    <row r="18" spans="1:42" s="222" customFormat="1" ht="14.45" customHeight="1" x14ac:dyDescent="0.2">
      <c r="A18" s="350"/>
      <c r="B18" s="333"/>
      <c r="C18" s="358"/>
      <c r="D18" s="358"/>
      <c r="E18" s="358"/>
      <c r="F18" s="333"/>
      <c r="G18" s="333"/>
      <c r="H18" s="333"/>
      <c r="I18" s="333"/>
      <c r="J18" s="333"/>
      <c r="K18" s="333"/>
      <c r="L18" s="336"/>
      <c r="M18" s="341"/>
      <c r="N18" s="340"/>
      <c r="O18" s="339"/>
      <c r="P18" s="340">
        <f>IF(NOT(ISERROR(MATCH(O18,_xlfn.ANCHORARRAY(E29),0))),N31&amp;"Por favor no seleccionar los criterios de impacto",O18)</f>
        <v>0</v>
      </c>
      <c r="Q18" s="341"/>
      <c r="R18" s="340"/>
      <c r="S18" s="342"/>
      <c r="T18" s="249">
        <v>6</v>
      </c>
      <c r="U18" s="211"/>
      <c r="V18" s="213" t="str">
        <f t="shared" si="8"/>
        <v/>
      </c>
      <c r="W18" s="214"/>
      <c r="X18" s="214"/>
      <c r="Y18" s="215" t="str">
        <f t="shared" si="1"/>
        <v/>
      </c>
      <c r="Z18" s="214"/>
      <c r="AA18" s="214"/>
      <c r="AB18" s="214"/>
      <c r="AC18" s="216" t="str">
        <f t="shared" si="6"/>
        <v/>
      </c>
      <c r="AD18" s="217" t="str">
        <f t="shared" si="2"/>
        <v/>
      </c>
      <c r="AE18" s="215" t="str">
        <f t="shared" si="3"/>
        <v/>
      </c>
      <c r="AF18" s="217" t="str">
        <f t="shared" si="4"/>
        <v/>
      </c>
      <c r="AG18" s="215" t="str">
        <f t="shared" si="7"/>
        <v/>
      </c>
      <c r="AH18" s="218" t="str">
        <f t="shared" si="5"/>
        <v/>
      </c>
      <c r="AI18" s="219"/>
      <c r="AJ18" s="210"/>
      <c r="AK18" s="220"/>
      <c r="AL18" s="220"/>
      <c r="AM18" s="221"/>
      <c r="AN18" s="347"/>
      <c r="AO18" s="347"/>
      <c r="AP18" s="347"/>
    </row>
    <row r="19" spans="1:42" s="222" customFormat="1" ht="254.45" customHeight="1" x14ac:dyDescent="0.2">
      <c r="A19" s="350">
        <v>2</v>
      </c>
      <c r="B19" s="333" t="s">
        <v>162</v>
      </c>
      <c r="C19" s="343" t="s">
        <v>423</v>
      </c>
      <c r="D19" s="343" t="s">
        <v>442</v>
      </c>
      <c r="E19" s="343" t="s">
        <v>424</v>
      </c>
      <c r="F19" s="351" t="s">
        <v>152</v>
      </c>
      <c r="G19" s="351" t="s">
        <v>443</v>
      </c>
      <c r="H19" s="333"/>
      <c r="I19" s="333"/>
      <c r="J19" s="333"/>
      <c r="K19" s="333"/>
      <c r="L19" s="336">
        <v>365</v>
      </c>
      <c r="M19" s="341" t="str">
        <f>IF(L19&lt;=0,"",IF(L19&lt;=2,"Muy Baja",IF(L19&lt;=24,"Baja",IF(L19&lt;=500,"Media",IF(L19&lt;=5000,"Alta","Muy Alta")))))</f>
        <v>Media</v>
      </c>
      <c r="N19" s="340">
        <f>IF(M19="","",IF(M19="Muy Baja",0.2,IF(M19="Baja",0.4,IF(M19="Media",0.6,IF(M19="Alta",0.8,IF(M19="Muy Alta",1,))))))</f>
        <v>0.6</v>
      </c>
      <c r="O19" s="339" t="s">
        <v>154</v>
      </c>
      <c r="P19" s="340" t="str">
        <f>IF(NOT(ISERROR(MATCH(O19,'Tabla Impacto'!$B$222:$B$224,0))),'Tabla Impacto'!$F$224&amp;"Por favor no seleccionar los criterios de impacto(Afectación Económica o presupuestal y Pérdida Reputacional)",O19)</f>
        <v xml:space="preserve">     El riesgo afecta la imagen de la entidad con algunos usuarios de relevancia frente al logro de los objetivos</v>
      </c>
      <c r="Q19" s="341" t="str">
        <f>IF(OR(P19='Tabla Impacto'!$C$12,P19='Tabla Impacto'!$D$12),"Leve",IF(OR(P19='Tabla Impacto'!$C$13,P19='Tabla Impacto'!$D$13),"Menor",IF(OR(P19='Tabla Impacto'!$C$14,P19='Tabla Impacto'!$D$14),"Moderado",IF(OR(P19='Tabla Impacto'!$C$15,P19='Tabla Impacto'!$D$15),"Mayor",IF(OR(P19='Tabla Impacto'!$C$16,P19='Tabla Impacto'!$D$16),"Catastrófico","")))))</f>
        <v>Moderado</v>
      </c>
      <c r="R19" s="340">
        <f>IF(Q19="","",IF(Q19="Leve",0.2,IF(Q19="Menor",0.4,IF(Q19="Moderado",0.6,IF(Q19="Mayor",0.8,IF(Q19="Catastrófico",1,))))))</f>
        <v>0.6</v>
      </c>
      <c r="S19" s="342"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49">
        <v>1</v>
      </c>
      <c r="U19" s="259" t="s">
        <v>425</v>
      </c>
      <c r="V19" s="213" t="str">
        <f>IF(OR(W19="Preventivo",W19="Detectivo"),"Probabilidad",IF(W19="Correctivo","Impacto",""))</f>
        <v>Probabilidad</v>
      </c>
      <c r="W19" s="214" t="s">
        <v>155</v>
      </c>
      <c r="X19" s="214" t="s">
        <v>156</v>
      </c>
      <c r="Y19" s="215" t="str">
        <f>IF(AND(W19="Preventivo",X19="Automático"),"50%",IF(AND(W19="Preventivo",X19="Manual"),"40%",IF(AND(W19="Detectivo",X19="Automático"),"40%",IF(AND(W19="Detectivo",X19="Manual"),"30%",IF(AND(W19="Correctivo",X19="Automático"),"35%",IF(AND(W19="Correctivo",X19="Manual"),"25%",""))))))</f>
        <v>40%</v>
      </c>
      <c r="Z19" s="214" t="s">
        <v>159</v>
      </c>
      <c r="AA19" s="214" t="s">
        <v>160</v>
      </c>
      <c r="AB19" s="214" t="s">
        <v>161</v>
      </c>
      <c r="AC19" s="216">
        <f>IFERROR(IF(V19="Probabilidad",(N19-(+N19*Y19)),IF(V19="Impacto",N19,"")),"")</f>
        <v>0.36</v>
      </c>
      <c r="AD19" s="217" t="str">
        <f>IFERROR(IF(AC19="","",IF(AC19&lt;=0.2,"Muy Baja",IF(AC19&lt;=0.4,"Baja",IF(AC19&lt;=0.6,"Media",IF(AC19&lt;=0.8,"Alta","Muy Alta"))))),"")</f>
        <v>Baja</v>
      </c>
      <c r="AE19" s="215">
        <f>+AC19</f>
        <v>0.36</v>
      </c>
      <c r="AF19" s="217" t="str">
        <f>IFERROR(IF(AG19="","",IF(AG19&lt;=0.2,"Leve",IF(AG19&lt;=0.4,"Menor",IF(AG19&lt;=0.6,"Moderado",IF(AG19&lt;=0.8,"Mayor","Catastrófico"))))),"")</f>
        <v>Moderado</v>
      </c>
      <c r="AG19" s="215">
        <f t="shared" ref="AG19" si="9">IFERROR(IF(V19="Impacto",(R19-(+R19*Y19)),IF(V19="Probabilidad",R19,"")),"")</f>
        <v>0.6</v>
      </c>
      <c r="AH19" s="218"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19" t="s">
        <v>158</v>
      </c>
      <c r="AJ19" s="260" t="s">
        <v>444</v>
      </c>
      <c r="AK19" s="261" t="s">
        <v>427</v>
      </c>
      <c r="AL19" s="262" t="s">
        <v>428</v>
      </c>
      <c r="AM19" s="263" t="s">
        <v>429</v>
      </c>
      <c r="AN19" s="264" t="s">
        <v>430</v>
      </c>
      <c r="AO19" s="265" t="s">
        <v>431</v>
      </c>
      <c r="AP19" s="266" t="s">
        <v>427</v>
      </c>
    </row>
    <row r="20" spans="1:42" s="222" customFormat="1" ht="254.45" customHeight="1" x14ac:dyDescent="0.2">
      <c r="A20" s="350"/>
      <c r="B20" s="333"/>
      <c r="C20" s="343"/>
      <c r="D20" s="343"/>
      <c r="E20" s="343"/>
      <c r="F20" s="351"/>
      <c r="G20" s="351"/>
      <c r="H20" s="333"/>
      <c r="I20" s="333"/>
      <c r="J20" s="333"/>
      <c r="K20" s="333"/>
      <c r="L20" s="336"/>
      <c r="M20" s="341"/>
      <c r="N20" s="340"/>
      <c r="O20" s="339"/>
      <c r="P20" s="340">
        <f>IF(NOT(ISERROR(MATCH(O20,_xlfn.ANCHORARRAY(E31),0))),N33&amp;"Por favor no seleccionar los criterios de impacto",O20)</f>
        <v>0</v>
      </c>
      <c r="Q20" s="341"/>
      <c r="R20" s="340"/>
      <c r="S20" s="342"/>
      <c r="T20" s="249">
        <v>2</v>
      </c>
      <c r="U20" s="257" t="s">
        <v>426</v>
      </c>
      <c r="V20" s="213" t="str">
        <f>IF(OR(W20="Preventivo",W20="Detectivo"),"Probabilidad",IF(W20="Correctivo","Impacto",""))</f>
        <v>Probabilidad</v>
      </c>
      <c r="W20" s="214" t="s">
        <v>155</v>
      </c>
      <c r="X20" s="214" t="s">
        <v>156</v>
      </c>
      <c r="Y20" s="215" t="str">
        <f t="shared" ref="Y20:Y24" si="10">IF(AND(W20="Preventivo",X20="Automático"),"50%",IF(AND(W20="Preventivo",X20="Manual"),"40%",IF(AND(W20="Detectivo",X20="Automático"),"40%",IF(AND(W20="Detectivo",X20="Manual"),"30%",IF(AND(W20="Correctivo",X20="Automático"),"35%",IF(AND(W20="Correctivo",X20="Manual"),"25%",""))))))</f>
        <v>40%</v>
      </c>
      <c r="Z20" s="214" t="s">
        <v>159</v>
      </c>
      <c r="AA20" s="214" t="s">
        <v>160</v>
      </c>
      <c r="AB20" s="214" t="s">
        <v>161</v>
      </c>
      <c r="AC20" s="216">
        <f>IFERROR(IF(AND(V19="Probabilidad",V20="Probabilidad"),(AE19-(+AE19*Y20)),IF(V20="Probabilidad",(N19-(+N19*Y20)),IF(V20="Impacto",AE19,""))),"")</f>
        <v>0.216</v>
      </c>
      <c r="AD20" s="217" t="str">
        <f t="shared" si="2"/>
        <v>Baja</v>
      </c>
      <c r="AE20" s="215">
        <f t="shared" ref="AE20:AE24" si="11">+AC20</f>
        <v>0.216</v>
      </c>
      <c r="AF20" s="217" t="str">
        <f t="shared" si="4"/>
        <v>Moderado</v>
      </c>
      <c r="AG20" s="215">
        <f t="shared" ref="AG20" si="12">IFERROR(IF(AND(V19="Impacto",V20="Impacto"),(AG19-(+AG19*Y20)),IF(V20="Impacto",($R$13-(+$R$13*Y20)),IF(V20="Probabilidad",AG19,""))),"")</f>
        <v>0.6</v>
      </c>
      <c r="AH20" s="218"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19" t="s">
        <v>158</v>
      </c>
      <c r="AJ20" s="210"/>
      <c r="AK20" s="220"/>
      <c r="AL20" s="210"/>
      <c r="AM20" s="221"/>
      <c r="AN20" s="264"/>
      <c r="AO20" s="265"/>
      <c r="AP20" s="266"/>
    </row>
    <row r="21" spans="1:42" s="222" customFormat="1" ht="12" customHeight="1" x14ac:dyDescent="0.2">
      <c r="A21" s="350"/>
      <c r="B21" s="333"/>
      <c r="C21" s="343"/>
      <c r="D21" s="343"/>
      <c r="E21" s="343"/>
      <c r="F21" s="351"/>
      <c r="G21" s="351"/>
      <c r="H21" s="333"/>
      <c r="I21" s="333"/>
      <c r="J21" s="333"/>
      <c r="K21" s="333"/>
      <c r="L21" s="336"/>
      <c r="M21" s="341"/>
      <c r="N21" s="340"/>
      <c r="O21" s="339"/>
      <c r="P21" s="340">
        <f>IF(NOT(ISERROR(MATCH(O21,_xlfn.ANCHORARRAY(E32),0))),N34&amp;"Por favor no seleccionar los criterios de impacto",O21)</f>
        <v>0</v>
      </c>
      <c r="Q21" s="341"/>
      <c r="R21" s="340"/>
      <c r="S21" s="342"/>
      <c r="T21" s="249">
        <v>3</v>
      </c>
      <c r="U21" s="212"/>
      <c r="V21" s="213" t="str">
        <f>IF(OR(W21="Preventivo",W21="Detectivo"),"Probabilidad",IF(W21="Correctivo","Impacto",""))</f>
        <v/>
      </c>
      <c r="W21" s="214"/>
      <c r="X21" s="214"/>
      <c r="Y21" s="215" t="str">
        <f t="shared" si="10"/>
        <v/>
      </c>
      <c r="Z21" s="214"/>
      <c r="AA21" s="214"/>
      <c r="AB21" s="214"/>
      <c r="AC21" s="216" t="str">
        <f>IFERROR(IF(AND(V20="Probabilidad",V21="Probabilidad"),(AE20-(+AE20*Y21)),IF(AND(V20="Impacto",V21="Probabilidad"),(AE19-(+AE19*Y21)),IF(V21="Impacto",AE20,""))),"")</f>
        <v/>
      </c>
      <c r="AD21" s="217" t="str">
        <f t="shared" si="2"/>
        <v/>
      </c>
      <c r="AE21" s="215" t="str">
        <f t="shared" si="11"/>
        <v/>
      </c>
      <c r="AF21" s="217" t="str">
        <f t="shared" si="4"/>
        <v/>
      </c>
      <c r="AG21" s="215" t="str">
        <f t="shared" ref="AG21:AG72" si="14">IFERROR(IF(AND(V20="Impacto",V21="Impacto"),(AG20-(+AG20*Y21)),IF(AND(V20="Probabilidad",V21="Impacto"),(AG19-(+AG19*Y21)),IF(V21="Probabilidad",AG20,""))),"")</f>
        <v/>
      </c>
      <c r="AH21" s="218" t="str">
        <f t="shared" si="13"/>
        <v/>
      </c>
      <c r="AI21" s="219"/>
      <c r="AJ21" s="210"/>
      <c r="AK21" s="220"/>
      <c r="AL21" s="220"/>
      <c r="AM21" s="221"/>
      <c r="AN21" s="264"/>
      <c r="AO21" s="265"/>
      <c r="AP21" s="266"/>
    </row>
    <row r="22" spans="1:42" s="222" customFormat="1" ht="12" customHeight="1" x14ac:dyDescent="0.2">
      <c r="A22" s="350"/>
      <c r="B22" s="333"/>
      <c r="C22" s="343"/>
      <c r="D22" s="343"/>
      <c r="E22" s="343"/>
      <c r="F22" s="351"/>
      <c r="G22" s="351"/>
      <c r="H22" s="333"/>
      <c r="I22" s="333"/>
      <c r="J22" s="333"/>
      <c r="K22" s="333"/>
      <c r="L22" s="336"/>
      <c r="M22" s="341"/>
      <c r="N22" s="340"/>
      <c r="O22" s="339"/>
      <c r="P22" s="340">
        <f>IF(NOT(ISERROR(MATCH(O22,_xlfn.ANCHORARRAY(E33),0))),N35&amp;"Por favor no seleccionar los criterios de impacto",O22)</f>
        <v>0</v>
      </c>
      <c r="Q22" s="341"/>
      <c r="R22" s="340"/>
      <c r="S22" s="342"/>
      <c r="T22" s="249">
        <v>4</v>
      </c>
      <c r="U22" s="211"/>
      <c r="V22" s="213" t="str">
        <f t="shared" ref="V22:V24" si="15">IF(OR(W22="Preventivo",W22="Detectivo"),"Probabilidad",IF(W22="Correctivo","Impacto",""))</f>
        <v/>
      </c>
      <c r="W22" s="214"/>
      <c r="X22" s="214"/>
      <c r="Y22" s="215" t="str">
        <f t="shared" si="10"/>
        <v/>
      </c>
      <c r="Z22" s="214"/>
      <c r="AA22" s="214"/>
      <c r="AB22" s="214"/>
      <c r="AC22" s="216" t="str">
        <f t="shared" ref="AC22:AC24" si="16">IFERROR(IF(AND(V21="Probabilidad",V22="Probabilidad"),(AE21-(+AE21*Y22)),IF(AND(V21="Impacto",V22="Probabilidad"),(AE20-(+AE20*Y22)),IF(V22="Impacto",AE21,""))),"")</f>
        <v/>
      </c>
      <c r="AD22" s="217" t="str">
        <f t="shared" si="2"/>
        <v/>
      </c>
      <c r="AE22" s="215" t="str">
        <f t="shared" si="11"/>
        <v/>
      </c>
      <c r="AF22" s="217" t="str">
        <f t="shared" si="4"/>
        <v/>
      </c>
      <c r="AG22" s="215" t="str">
        <f t="shared" si="14"/>
        <v/>
      </c>
      <c r="AH22" s="218"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19"/>
      <c r="AJ22" s="210"/>
      <c r="AK22" s="220"/>
      <c r="AL22" s="220"/>
      <c r="AM22" s="221"/>
      <c r="AN22" s="264"/>
      <c r="AO22" s="265"/>
      <c r="AP22" s="266"/>
    </row>
    <row r="23" spans="1:42" s="222" customFormat="1" ht="12" customHeight="1" x14ac:dyDescent="0.2">
      <c r="A23" s="350"/>
      <c r="B23" s="333"/>
      <c r="C23" s="343"/>
      <c r="D23" s="343"/>
      <c r="E23" s="343"/>
      <c r="F23" s="351"/>
      <c r="G23" s="351"/>
      <c r="H23" s="333"/>
      <c r="I23" s="333"/>
      <c r="J23" s="333"/>
      <c r="K23" s="333"/>
      <c r="L23" s="336"/>
      <c r="M23" s="341"/>
      <c r="N23" s="340"/>
      <c r="O23" s="339"/>
      <c r="P23" s="340">
        <f>IF(NOT(ISERROR(MATCH(O23,_xlfn.ANCHORARRAY(E34),0))),N36&amp;"Por favor no seleccionar los criterios de impacto",O23)</f>
        <v>0</v>
      </c>
      <c r="Q23" s="341"/>
      <c r="R23" s="340"/>
      <c r="S23" s="342"/>
      <c r="T23" s="249">
        <v>5</v>
      </c>
      <c r="U23" s="211"/>
      <c r="V23" s="213" t="str">
        <f t="shared" si="15"/>
        <v/>
      </c>
      <c r="W23" s="214"/>
      <c r="X23" s="214"/>
      <c r="Y23" s="215" t="str">
        <f t="shared" si="10"/>
        <v/>
      </c>
      <c r="Z23" s="214"/>
      <c r="AA23" s="214"/>
      <c r="AB23" s="214"/>
      <c r="AC23" s="216" t="str">
        <f t="shared" si="16"/>
        <v/>
      </c>
      <c r="AD23" s="217" t="str">
        <f t="shared" si="2"/>
        <v/>
      </c>
      <c r="AE23" s="215" t="str">
        <f t="shared" si="11"/>
        <v/>
      </c>
      <c r="AF23" s="217" t="str">
        <f t="shared" si="4"/>
        <v/>
      </c>
      <c r="AG23" s="215" t="str">
        <f t="shared" si="14"/>
        <v/>
      </c>
      <c r="AH23" s="218"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19"/>
      <c r="AJ23" s="210"/>
      <c r="AK23" s="220"/>
      <c r="AL23" s="220"/>
      <c r="AM23" s="221"/>
      <c r="AN23" s="264"/>
      <c r="AO23" s="265"/>
      <c r="AP23" s="266"/>
    </row>
    <row r="24" spans="1:42" s="222" customFormat="1" ht="12" customHeight="1" x14ac:dyDescent="0.2">
      <c r="A24" s="350"/>
      <c r="B24" s="333"/>
      <c r="C24" s="343"/>
      <c r="D24" s="343"/>
      <c r="E24" s="343"/>
      <c r="F24" s="351"/>
      <c r="G24" s="351"/>
      <c r="H24" s="333"/>
      <c r="I24" s="333"/>
      <c r="J24" s="333"/>
      <c r="K24" s="333"/>
      <c r="L24" s="336"/>
      <c r="M24" s="341"/>
      <c r="N24" s="340"/>
      <c r="O24" s="339"/>
      <c r="P24" s="340">
        <f>IF(NOT(ISERROR(MATCH(O24,_xlfn.ANCHORARRAY(E35),0))),N37&amp;"Por favor no seleccionar los criterios de impacto",O24)</f>
        <v>0</v>
      </c>
      <c r="Q24" s="341"/>
      <c r="R24" s="340"/>
      <c r="S24" s="342"/>
      <c r="T24" s="249">
        <v>6</v>
      </c>
      <c r="U24" s="211"/>
      <c r="V24" s="213" t="str">
        <f t="shared" si="15"/>
        <v/>
      </c>
      <c r="W24" s="214"/>
      <c r="X24" s="214"/>
      <c r="Y24" s="215" t="str">
        <f t="shared" si="10"/>
        <v/>
      </c>
      <c r="Z24" s="214"/>
      <c r="AA24" s="214"/>
      <c r="AB24" s="214"/>
      <c r="AC24" s="216" t="str">
        <f t="shared" si="16"/>
        <v/>
      </c>
      <c r="AD24" s="217" t="str">
        <f t="shared" si="2"/>
        <v/>
      </c>
      <c r="AE24" s="215" t="str">
        <f t="shared" si="11"/>
        <v/>
      </c>
      <c r="AF24" s="217" t="str">
        <f t="shared" si="4"/>
        <v/>
      </c>
      <c r="AG24" s="215" t="str">
        <f t="shared" si="14"/>
        <v/>
      </c>
      <c r="AH24" s="218" t="str">
        <f t="shared" si="17"/>
        <v/>
      </c>
      <c r="AI24" s="219"/>
      <c r="AJ24" s="210"/>
      <c r="AK24" s="220"/>
      <c r="AL24" s="220"/>
      <c r="AM24" s="221"/>
      <c r="AN24" s="264"/>
      <c r="AO24" s="265"/>
      <c r="AP24" s="266"/>
    </row>
    <row r="25" spans="1:42" s="222" customFormat="1" ht="177.6" customHeight="1" x14ac:dyDescent="0.2">
      <c r="A25" s="350">
        <v>3</v>
      </c>
      <c r="B25" s="333" t="s">
        <v>162</v>
      </c>
      <c r="C25" s="343" t="s">
        <v>423</v>
      </c>
      <c r="D25" s="343" t="s">
        <v>445</v>
      </c>
      <c r="E25" s="343" t="s">
        <v>432</v>
      </c>
      <c r="F25" s="333" t="s">
        <v>152</v>
      </c>
      <c r="G25" s="333" t="s">
        <v>443</v>
      </c>
      <c r="H25" s="333"/>
      <c r="I25" s="333"/>
      <c r="J25" s="333"/>
      <c r="K25" s="333"/>
      <c r="L25" s="336">
        <v>365</v>
      </c>
      <c r="M25" s="341" t="str">
        <f>IF(L25&lt;=0,"",IF(L25&lt;=2,"Muy Baja",IF(L25&lt;=24,"Baja",IF(L25&lt;=500,"Media",IF(L25&lt;=5000,"Alta","Muy Alta")))))</f>
        <v>Media</v>
      </c>
      <c r="N25" s="340">
        <f>IF(M25="","",IF(M25="Muy Baja",0.2,IF(M25="Baja",0.4,IF(M25="Media",0.6,IF(M25="Alta",0.8,IF(M25="Muy Alta",1,))))))</f>
        <v>0.6</v>
      </c>
      <c r="O25" s="339" t="s">
        <v>227</v>
      </c>
      <c r="P25" s="340" t="str">
        <f>IF(NOT(ISERROR(MATCH(O25,'Tabla Impacto'!$B$222:$B$224,0))),'Tabla Impacto'!$F$224&amp;"Por favor no seleccionar los criterios de impacto(Afectación Económica o presupuestal y Pérdida Reputacional)",O25)</f>
        <v xml:space="preserve">     El riesgo afecta la imagen de alguna área de la organización</v>
      </c>
      <c r="Q25" s="341" t="str">
        <f>IF(OR(P25='Tabla Impacto'!$C$12,P25='Tabla Impacto'!$D$12),"Leve",IF(OR(P25='Tabla Impacto'!$C$13,P25='Tabla Impacto'!$D$13),"Menor",IF(OR(P25='Tabla Impacto'!$C$14,P25='Tabla Impacto'!$D$14),"Moderado",IF(OR(P25='Tabla Impacto'!$C$15,P25='Tabla Impacto'!$D$15),"Mayor",IF(OR(P25='Tabla Impacto'!$C$16,P25='Tabla Impacto'!$D$16),"Catastrófico","")))))</f>
        <v>Leve</v>
      </c>
      <c r="R25" s="340">
        <f>IF(Q25="","",IF(Q25="Leve",0.2,IF(Q25="Menor",0.4,IF(Q25="Moderado",0.6,IF(Q25="Mayor",0.8,IF(Q25="Catastrófico",1,))))))</f>
        <v>0.2</v>
      </c>
      <c r="S25" s="342"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Moderado</v>
      </c>
      <c r="T25" s="249">
        <v>1</v>
      </c>
      <c r="U25" s="257" t="s">
        <v>433</v>
      </c>
      <c r="V25" s="213" t="str">
        <f>IF(OR(W25="Preventivo",W25="Detectivo"),"Probabilidad",IF(W25="Correctivo","Impacto",""))</f>
        <v>Probabilidad</v>
      </c>
      <c r="W25" s="214" t="s">
        <v>155</v>
      </c>
      <c r="X25" s="214" t="s">
        <v>156</v>
      </c>
      <c r="Y25" s="215" t="str">
        <f>IF(AND(W25="Preventivo",X25="Automático"),"50%",IF(AND(W25="Preventivo",X25="Manual"),"40%",IF(AND(W25="Detectivo",X25="Automático"),"40%",IF(AND(W25="Detectivo",X25="Manual"),"30%",IF(AND(W25="Correctivo",X25="Automático"),"35%",IF(AND(W25="Correctivo",X25="Manual"),"25%",""))))))</f>
        <v>40%</v>
      </c>
      <c r="Z25" s="214" t="s">
        <v>159</v>
      </c>
      <c r="AA25" s="214" t="s">
        <v>160</v>
      </c>
      <c r="AB25" s="214" t="s">
        <v>161</v>
      </c>
      <c r="AC25" s="216">
        <f>IFERROR(IF(V25="Probabilidad",(N25-(+N25*Y25)),IF(V25="Impacto",N25,"")),"")</f>
        <v>0.36</v>
      </c>
      <c r="AD25" s="217" t="str">
        <f>IFERROR(IF(AC25="","",IF(AC25&lt;=0.2,"Muy Baja",IF(AC25&lt;=0.4,"Baja",IF(AC25&lt;=0.6,"Media",IF(AC25&lt;=0.8,"Alta","Muy Alta"))))),"")</f>
        <v>Baja</v>
      </c>
      <c r="AE25" s="215">
        <f>+AC25</f>
        <v>0.36</v>
      </c>
      <c r="AF25" s="217" t="str">
        <f>IFERROR(IF(AG25="","",IF(AG25&lt;=0.2,"Leve",IF(AG25&lt;=0.4,"Menor",IF(AG25&lt;=0.6,"Moderado",IF(AG25&lt;=0.8,"Mayor","Catastrófico"))))),"")</f>
        <v>Leve</v>
      </c>
      <c r="AG25" s="215">
        <f t="shared" ref="AG25" si="18">IFERROR(IF(V25="Impacto",(R25-(+R25*Y25)),IF(V25="Probabilidad",R25,"")),"")</f>
        <v>0.2</v>
      </c>
      <c r="AH25" s="218"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Bajo</v>
      </c>
      <c r="AI25" s="219" t="s">
        <v>372</v>
      </c>
      <c r="AJ25" s="210"/>
      <c r="AK25" s="220"/>
      <c r="AL25" s="220"/>
      <c r="AM25" s="221"/>
      <c r="AN25" s="265" t="s">
        <v>435</v>
      </c>
      <c r="AO25" s="267" t="s">
        <v>436</v>
      </c>
      <c r="AP25" s="265" t="s">
        <v>437</v>
      </c>
    </row>
    <row r="26" spans="1:42" s="222" customFormat="1" ht="177.6" customHeight="1" x14ac:dyDescent="0.2">
      <c r="A26" s="350"/>
      <c r="B26" s="333"/>
      <c r="C26" s="343"/>
      <c r="D26" s="343"/>
      <c r="E26" s="343"/>
      <c r="F26" s="333"/>
      <c r="G26" s="333"/>
      <c r="H26" s="333"/>
      <c r="I26" s="333"/>
      <c r="J26" s="333"/>
      <c r="K26" s="333"/>
      <c r="L26" s="336"/>
      <c r="M26" s="341"/>
      <c r="N26" s="340"/>
      <c r="O26" s="339"/>
      <c r="P26" s="340">
        <f t="shared" ref="P26:P30" si="19">IF(NOT(ISERROR(MATCH(O26,_xlfn.ANCHORARRAY(E37),0))),N39&amp;"Por favor no seleccionar los criterios de impacto",O26)</f>
        <v>0</v>
      </c>
      <c r="Q26" s="341"/>
      <c r="R26" s="340"/>
      <c r="S26" s="342"/>
      <c r="T26" s="249">
        <v>2</v>
      </c>
      <c r="U26" s="257" t="s">
        <v>434</v>
      </c>
      <c r="V26" s="213" t="str">
        <f>IF(OR(W26="Preventivo",W26="Detectivo"),"Probabilidad",IF(W26="Correctivo","Impacto",""))</f>
        <v>Probabilidad</v>
      </c>
      <c r="W26" s="214" t="s">
        <v>155</v>
      </c>
      <c r="X26" s="214" t="s">
        <v>156</v>
      </c>
      <c r="Y26" s="215" t="str">
        <f t="shared" ref="Y26:Y30" si="20">IF(AND(W26="Preventivo",X26="Automático"),"50%",IF(AND(W26="Preventivo",X26="Manual"),"40%",IF(AND(W26="Detectivo",X26="Automático"),"40%",IF(AND(W26="Detectivo",X26="Manual"),"30%",IF(AND(W26="Correctivo",X26="Automático"),"35%",IF(AND(W26="Correctivo",X26="Manual"),"25%",""))))))</f>
        <v>40%</v>
      </c>
      <c r="Z26" s="214" t="s">
        <v>159</v>
      </c>
      <c r="AA26" s="214" t="s">
        <v>160</v>
      </c>
      <c r="AB26" s="214" t="s">
        <v>161</v>
      </c>
      <c r="AC26" s="216">
        <f>IFERROR(IF(AND(V25="Probabilidad",V26="Probabilidad"),(AE25-(+AE25*Y26)),IF(V26="Probabilidad",(N25-(+N25*Y26)),IF(V26="Impacto",AE25,""))),"")</f>
        <v>0.216</v>
      </c>
      <c r="AD26" s="217" t="str">
        <f t="shared" si="2"/>
        <v>Baja</v>
      </c>
      <c r="AE26" s="215">
        <f t="shared" ref="AE26:AE30" si="21">+AC26</f>
        <v>0.216</v>
      </c>
      <c r="AF26" s="217" t="str">
        <f t="shared" si="4"/>
        <v>Leve</v>
      </c>
      <c r="AG26" s="215">
        <f t="shared" ref="AG26" si="22">IFERROR(IF(AND(V25="Impacto",V26="Impacto"),(AG25-(+AG25*Y26)),IF(V26="Impacto",($R$13-(+$R$13*Y26)),IF(V26="Probabilidad",AG25,""))),"")</f>
        <v>0.2</v>
      </c>
      <c r="AH26" s="218"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Bajo</v>
      </c>
      <c r="AI26" s="219" t="s">
        <v>372</v>
      </c>
      <c r="AJ26" s="210"/>
      <c r="AK26" s="220"/>
      <c r="AL26" s="220"/>
      <c r="AM26" s="221"/>
      <c r="AN26" s="265"/>
      <c r="AO26" s="267"/>
      <c r="AP26" s="265"/>
    </row>
    <row r="27" spans="1:42" s="222" customFormat="1" ht="14.45" customHeight="1" x14ac:dyDescent="0.2">
      <c r="A27" s="350"/>
      <c r="B27" s="333"/>
      <c r="C27" s="343"/>
      <c r="D27" s="343"/>
      <c r="E27" s="343"/>
      <c r="F27" s="333"/>
      <c r="G27" s="333"/>
      <c r="H27" s="333"/>
      <c r="I27" s="333"/>
      <c r="J27" s="333"/>
      <c r="K27" s="333"/>
      <c r="L27" s="336"/>
      <c r="M27" s="341"/>
      <c r="N27" s="340"/>
      <c r="O27" s="339"/>
      <c r="P27" s="340">
        <f t="shared" si="19"/>
        <v>0</v>
      </c>
      <c r="Q27" s="341"/>
      <c r="R27" s="340"/>
      <c r="S27" s="342"/>
      <c r="T27" s="249">
        <v>3</v>
      </c>
      <c r="U27" s="211"/>
      <c r="V27" s="213" t="str">
        <f>IF(OR(W27="Preventivo",W27="Detectivo"),"Probabilidad",IF(W27="Correctivo","Impacto",""))</f>
        <v/>
      </c>
      <c r="W27" s="214"/>
      <c r="X27" s="214"/>
      <c r="Y27" s="215" t="str">
        <f t="shared" si="20"/>
        <v/>
      </c>
      <c r="Z27" s="214"/>
      <c r="AA27" s="214"/>
      <c r="AB27" s="214"/>
      <c r="AC27" s="216" t="str">
        <f>IFERROR(IF(AND(V26="Probabilidad",V27="Probabilidad"),(AE26-(+AE26*Y27)),IF(AND(V26="Impacto",V27="Probabilidad"),(AE25-(+AE25*Y27)),IF(V27="Impacto",AE26,""))),"")</f>
        <v/>
      </c>
      <c r="AD27" s="217" t="str">
        <f t="shared" si="2"/>
        <v/>
      </c>
      <c r="AE27" s="215" t="str">
        <f t="shared" si="21"/>
        <v/>
      </c>
      <c r="AF27" s="217" t="str">
        <f t="shared" si="4"/>
        <v/>
      </c>
      <c r="AG27" s="215" t="str">
        <f t="shared" ref="AG27" si="24">IFERROR(IF(AND(V26="Impacto",V27="Impacto"),(AG26-(+AG26*Y27)),IF(AND(V26="Probabilidad",V27="Impacto"),(AG25-(+AG25*Y27)),IF(V27="Probabilidad",AG26,""))),"")</f>
        <v/>
      </c>
      <c r="AH27" s="218" t="str">
        <f t="shared" si="23"/>
        <v/>
      </c>
      <c r="AI27" s="219"/>
      <c r="AJ27" s="210"/>
      <c r="AK27" s="220"/>
      <c r="AL27" s="220"/>
      <c r="AM27" s="221"/>
      <c r="AN27" s="265"/>
      <c r="AO27" s="267"/>
      <c r="AP27" s="265"/>
    </row>
    <row r="28" spans="1:42" s="222" customFormat="1" ht="14.45" customHeight="1" x14ac:dyDescent="0.2">
      <c r="A28" s="350"/>
      <c r="B28" s="333"/>
      <c r="C28" s="343"/>
      <c r="D28" s="343"/>
      <c r="E28" s="343"/>
      <c r="F28" s="333"/>
      <c r="G28" s="333"/>
      <c r="H28" s="333"/>
      <c r="I28" s="333"/>
      <c r="J28" s="333"/>
      <c r="K28" s="333"/>
      <c r="L28" s="336"/>
      <c r="M28" s="341"/>
      <c r="N28" s="340"/>
      <c r="O28" s="339"/>
      <c r="P28" s="340">
        <f t="shared" si="19"/>
        <v>0</v>
      </c>
      <c r="Q28" s="341"/>
      <c r="R28" s="340"/>
      <c r="S28" s="342"/>
      <c r="T28" s="249">
        <v>4</v>
      </c>
      <c r="U28" s="211"/>
      <c r="V28" s="213" t="str">
        <f t="shared" ref="V28:V30" si="25">IF(OR(W28="Preventivo",W28="Detectivo"),"Probabilidad",IF(W28="Correctivo","Impacto",""))</f>
        <v/>
      </c>
      <c r="W28" s="214"/>
      <c r="X28" s="214"/>
      <c r="Y28" s="215" t="str">
        <f t="shared" si="20"/>
        <v/>
      </c>
      <c r="Z28" s="214"/>
      <c r="AA28" s="214"/>
      <c r="AB28" s="214"/>
      <c r="AC28" s="216" t="str">
        <f t="shared" ref="AC28:AC30" si="26">IFERROR(IF(AND(V27="Probabilidad",V28="Probabilidad"),(AE27-(+AE27*Y28)),IF(AND(V27="Impacto",V28="Probabilidad"),(AE26-(+AE26*Y28)),IF(V28="Impacto",AE27,""))),"")</f>
        <v/>
      </c>
      <c r="AD28" s="217" t="str">
        <f t="shared" si="2"/>
        <v/>
      </c>
      <c r="AE28" s="215" t="str">
        <f t="shared" si="21"/>
        <v/>
      </c>
      <c r="AF28" s="217" t="str">
        <f t="shared" si="4"/>
        <v/>
      </c>
      <c r="AG28" s="215" t="str">
        <f t="shared" si="14"/>
        <v/>
      </c>
      <c r="AH28" s="218"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19"/>
      <c r="AJ28" s="210"/>
      <c r="AK28" s="220"/>
      <c r="AL28" s="220"/>
      <c r="AM28" s="221"/>
      <c r="AN28" s="265"/>
      <c r="AO28" s="267"/>
      <c r="AP28" s="265"/>
    </row>
    <row r="29" spans="1:42" s="222" customFormat="1" ht="14.45" customHeight="1" x14ac:dyDescent="0.2">
      <c r="A29" s="350"/>
      <c r="B29" s="333"/>
      <c r="C29" s="343"/>
      <c r="D29" s="343"/>
      <c r="E29" s="343"/>
      <c r="F29" s="333"/>
      <c r="G29" s="333"/>
      <c r="H29" s="333"/>
      <c r="I29" s="333"/>
      <c r="J29" s="333"/>
      <c r="K29" s="333"/>
      <c r="L29" s="336"/>
      <c r="M29" s="341"/>
      <c r="N29" s="340"/>
      <c r="O29" s="339"/>
      <c r="P29" s="340">
        <f t="shared" si="19"/>
        <v>0</v>
      </c>
      <c r="Q29" s="341"/>
      <c r="R29" s="340"/>
      <c r="S29" s="342"/>
      <c r="T29" s="249">
        <v>5</v>
      </c>
      <c r="U29" s="211"/>
      <c r="V29" s="213" t="str">
        <f t="shared" si="25"/>
        <v/>
      </c>
      <c r="W29" s="214"/>
      <c r="X29" s="214"/>
      <c r="Y29" s="215" t="str">
        <f t="shared" si="20"/>
        <v/>
      </c>
      <c r="Z29" s="214"/>
      <c r="AA29" s="214"/>
      <c r="AB29" s="214"/>
      <c r="AC29" s="216" t="str">
        <f t="shared" si="26"/>
        <v/>
      </c>
      <c r="AD29" s="217" t="str">
        <f t="shared" si="2"/>
        <v/>
      </c>
      <c r="AE29" s="215" t="str">
        <f t="shared" si="21"/>
        <v/>
      </c>
      <c r="AF29" s="217" t="str">
        <f t="shared" si="4"/>
        <v/>
      </c>
      <c r="AG29" s="215" t="str">
        <f t="shared" si="14"/>
        <v/>
      </c>
      <c r="AH29" s="218"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19"/>
      <c r="AJ29" s="210"/>
      <c r="AK29" s="220"/>
      <c r="AL29" s="220"/>
      <c r="AM29" s="221"/>
      <c r="AN29" s="265"/>
      <c r="AO29" s="267"/>
      <c r="AP29" s="265"/>
    </row>
    <row r="30" spans="1:42" s="222" customFormat="1" ht="14.45" customHeight="1" x14ac:dyDescent="0.2">
      <c r="A30" s="350"/>
      <c r="B30" s="333"/>
      <c r="C30" s="343"/>
      <c r="D30" s="343"/>
      <c r="E30" s="343"/>
      <c r="F30" s="333"/>
      <c r="G30" s="333"/>
      <c r="H30" s="333"/>
      <c r="I30" s="333"/>
      <c r="J30" s="333"/>
      <c r="K30" s="333"/>
      <c r="L30" s="336"/>
      <c r="M30" s="341"/>
      <c r="N30" s="340"/>
      <c r="O30" s="339"/>
      <c r="P30" s="340">
        <f t="shared" si="19"/>
        <v>0</v>
      </c>
      <c r="Q30" s="341"/>
      <c r="R30" s="340"/>
      <c r="S30" s="342"/>
      <c r="T30" s="249">
        <v>6</v>
      </c>
      <c r="U30" s="211"/>
      <c r="V30" s="213" t="str">
        <f t="shared" si="25"/>
        <v/>
      </c>
      <c r="W30" s="214"/>
      <c r="X30" s="214"/>
      <c r="Y30" s="215" t="str">
        <f t="shared" si="20"/>
        <v/>
      </c>
      <c r="Z30" s="214"/>
      <c r="AA30" s="214"/>
      <c r="AB30" s="214"/>
      <c r="AC30" s="216" t="str">
        <f t="shared" si="26"/>
        <v/>
      </c>
      <c r="AD30" s="217" t="str">
        <f t="shared" si="2"/>
        <v/>
      </c>
      <c r="AE30" s="215" t="str">
        <f t="shared" si="21"/>
        <v/>
      </c>
      <c r="AF30" s="217" t="str">
        <f t="shared" si="4"/>
        <v/>
      </c>
      <c r="AG30" s="215" t="str">
        <f t="shared" si="14"/>
        <v/>
      </c>
      <c r="AH30" s="218" t="str">
        <f t="shared" si="27"/>
        <v/>
      </c>
      <c r="AI30" s="219"/>
      <c r="AJ30" s="210"/>
      <c r="AK30" s="220"/>
      <c r="AL30" s="220"/>
      <c r="AM30" s="221"/>
      <c r="AN30" s="265"/>
      <c r="AO30" s="267"/>
      <c r="AP30" s="265"/>
    </row>
    <row r="31" spans="1:42" s="222" customFormat="1" ht="255.6" customHeight="1" x14ac:dyDescent="0.2">
      <c r="A31" s="350">
        <v>4</v>
      </c>
      <c r="B31" s="343" t="s">
        <v>162</v>
      </c>
      <c r="C31" s="343" t="s">
        <v>447</v>
      </c>
      <c r="D31" s="343" t="s">
        <v>448</v>
      </c>
      <c r="E31" s="343" t="s">
        <v>449</v>
      </c>
      <c r="F31" s="343" t="s">
        <v>152</v>
      </c>
      <c r="G31" s="333" t="s">
        <v>153</v>
      </c>
      <c r="H31" s="333"/>
      <c r="I31" s="333"/>
      <c r="J31" s="333"/>
      <c r="K31" s="333"/>
      <c r="L31" s="360">
        <v>365</v>
      </c>
      <c r="M31" s="341" t="str">
        <f>IF(L31&lt;=0,"",IF(L31&lt;=2,"Muy Baja",IF(L31&lt;=24,"Baja",IF(L31&lt;=500,"Media",IF(L31&lt;=5000,"Alta","Muy Alta")))))</f>
        <v>Media</v>
      </c>
      <c r="N31" s="340">
        <f>IF(M31="","",IF(M31="Muy Baja",0.2,IF(M31="Baja",0.4,IF(M31="Media",0.6,IF(M31="Alta",0.8,IF(M31="Muy Alta",1,))))))</f>
        <v>0.6</v>
      </c>
      <c r="O31" s="339" t="s">
        <v>154</v>
      </c>
      <c r="P31" s="340" t="str">
        <f>IF(NOT(ISERROR(MATCH(O31,'Tabla Impacto'!$B$222:$B$224,0))),'Tabla Impacto'!$F$224&amp;"Por favor no seleccionar los criterios de impacto(Afectación Económica o presupuestal y Pérdida Reputacional)",O31)</f>
        <v xml:space="preserve">     El riesgo afecta la imagen de la entidad con algunos usuarios de relevancia frente al logro de los objetivos</v>
      </c>
      <c r="Q31" s="341" t="str">
        <f>IF(OR(P31='Tabla Impacto'!$C$12,P31='Tabla Impacto'!$D$12),"Leve",IF(OR(P31='Tabla Impacto'!$C$13,P31='Tabla Impacto'!$D$13),"Menor",IF(OR(P31='Tabla Impacto'!$C$14,P31='Tabla Impacto'!$D$14),"Moderado",IF(OR(P31='Tabla Impacto'!$C$15,P31='Tabla Impacto'!$D$15),"Mayor",IF(OR(P31='Tabla Impacto'!$C$16,P31='Tabla Impacto'!$D$16),"Catastrófico","")))))</f>
        <v>Moderado</v>
      </c>
      <c r="R31" s="340">
        <f>IF(Q31="","",IF(Q31="Leve",0.2,IF(Q31="Menor",0.4,IF(Q31="Moderado",0.6,IF(Q31="Mayor",0.8,IF(Q31="Catastrófico",1,))))))</f>
        <v>0.6</v>
      </c>
      <c r="S31" s="342"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Moderado</v>
      </c>
      <c r="T31" s="249">
        <v>1</v>
      </c>
      <c r="U31" s="257" t="s">
        <v>450</v>
      </c>
      <c r="V31" s="213" t="str">
        <f>IF(OR(W31="Preventivo",W31="Detectivo"),"Probabilidad",IF(W31="Correctivo","Impacto",""))</f>
        <v>Probabilidad</v>
      </c>
      <c r="W31" s="268" t="s">
        <v>155</v>
      </c>
      <c r="X31" s="268" t="s">
        <v>156</v>
      </c>
      <c r="Y31" s="215" t="str">
        <f>IF(AND(W31="Preventivo",X31="Automático"),"50%",IF(AND(W31="Preventivo",X31="Manual"),"40%",IF(AND(W31="Detectivo",X31="Automático"),"40%",IF(AND(W31="Detectivo",X31="Manual"),"30%",IF(AND(W31="Correctivo",X31="Automático"),"35%",IF(AND(W31="Correctivo",X31="Manual"),"25%",""))))))</f>
        <v>40%</v>
      </c>
      <c r="Z31" s="268" t="s">
        <v>363</v>
      </c>
      <c r="AA31" s="268" t="s">
        <v>160</v>
      </c>
      <c r="AB31" s="268" t="s">
        <v>161</v>
      </c>
      <c r="AC31" s="216">
        <f>IFERROR(IF(V31="Probabilidad",(N31-(+N31*Y31)),IF(V31="Impacto",N31,"")),"")</f>
        <v>0.36</v>
      </c>
      <c r="AD31" s="217" t="str">
        <f>IFERROR(IF(AC31="","",IF(AC31&lt;=0.2,"Muy Baja",IF(AC31&lt;=0.4,"Baja",IF(AC31&lt;=0.6,"Media",IF(AC31&lt;=0.8,"Alta","Muy Alta"))))),"")</f>
        <v>Baja</v>
      </c>
      <c r="AE31" s="215">
        <f>+AC31</f>
        <v>0.36</v>
      </c>
      <c r="AF31" s="217" t="str">
        <f>IFERROR(IF(AG31="","",IF(AG31&lt;=0.2,"Leve",IF(AG31&lt;=0.4,"Menor",IF(AG31&lt;=0.6,"Moderado",IF(AG31&lt;=0.8,"Mayor","Catastrófico"))))),"")</f>
        <v>Moderado</v>
      </c>
      <c r="AG31" s="215">
        <f t="shared" ref="AG31" si="28">IFERROR(IF(V31="Impacto",(R31-(+R31*Y31)),IF(V31="Probabilidad",R31,"")),"")</f>
        <v>0.6</v>
      </c>
      <c r="AH31" s="218"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Moderado</v>
      </c>
      <c r="AI31" s="219" t="s">
        <v>158</v>
      </c>
      <c r="AJ31" s="261" t="s">
        <v>453</v>
      </c>
      <c r="AK31" s="261" t="s">
        <v>454</v>
      </c>
      <c r="AL31" s="261" t="s">
        <v>455</v>
      </c>
      <c r="AM31" s="263">
        <v>44895</v>
      </c>
      <c r="AN31" s="343" t="s">
        <v>456</v>
      </c>
      <c r="AO31" s="343" t="s">
        <v>457</v>
      </c>
      <c r="AP31" s="343" t="s">
        <v>454</v>
      </c>
    </row>
    <row r="32" spans="1:42" s="222" customFormat="1" ht="255.6" customHeight="1" x14ac:dyDescent="0.2">
      <c r="A32" s="350"/>
      <c r="B32" s="343"/>
      <c r="C32" s="343"/>
      <c r="D32" s="343"/>
      <c r="E32" s="343"/>
      <c r="F32" s="343"/>
      <c r="G32" s="333"/>
      <c r="H32" s="333"/>
      <c r="I32" s="333"/>
      <c r="J32" s="333"/>
      <c r="K32" s="333"/>
      <c r="L32" s="360"/>
      <c r="M32" s="341"/>
      <c r="N32" s="340"/>
      <c r="O32" s="339"/>
      <c r="P32" s="340">
        <f t="shared" ref="P32:P36" si="29">IF(NOT(ISERROR(MATCH(O32,_xlfn.ANCHORARRAY(E43),0))),N45&amp;"Por favor no seleccionar los criterios de impacto",O32)</f>
        <v>0</v>
      </c>
      <c r="Q32" s="341"/>
      <c r="R32" s="340"/>
      <c r="S32" s="342"/>
      <c r="T32" s="249">
        <v>2</v>
      </c>
      <c r="U32" s="257" t="s">
        <v>451</v>
      </c>
      <c r="V32" s="213" t="str">
        <f>IF(OR(W32="Preventivo",W32="Detectivo"),"Probabilidad",IF(W32="Correctivo","Impacto",""))</f>
        <v>Probabilidad</v>
      </c>
      <c r="W32" s="268" t="s">
        <v>155</v>
      </c>
      <c r="X32" s="268" t="s">
        <v>156</v>
      </c>
      <c r="Y32" s="215" t="str">
        <f t="shared" ref="Y32:Y36" si="30">IF(AND(W32="Preventivo",X32="Automático"),"50%",IF(AND(W32="Preventivo",X32="Manual"),"40%",IF(AND(W32="Detectivo",X32="Automático"),"40%",IF(AND(W32="Detectivo",X32="Manual"),"30%",IF(AND(W32="Correctivo",X32="Automático"),"35%",IF(AND(W32="Correctivo",X32="Manual"),"25%",""))))))</f>
        <v>40%</v>
      </c>
      <c r="Z32" s="268" t="s">
        <v>363</v>
      </c>
      <c r="AA32" s="268" t="s">
        <v>160</v>
      </c>
      <c r="AB32" s="268" t="s">
        <v>161</v>
      </c>
      <c r="AC32" s="216">
        <f>IFERROR(IF(AND(V31="Probabilidad",V32="Probabilidad"),(AE31-(+AE31*Y32)),IF(V32="Probabilidad",(N31-(+N31*Y32)),IF(V32="Impacto",AE31,""))),"")</f>
        <v>0.216</v>
      </c>
      <c r="AD32" s="217" t="str">
        <f t="shared" si="2"/>
        <v>Baja</v>
      </c>
      <c r="AE32" s="215">
        <f t="shared" ref="AE32:AE36" si="31">+AC32</f>
        <v>0.216</v>
      </c>
      <c r="AF32" s="217" t="str">
        <f t="shared" si="4"/>
        <v>Moderado</v>
      </c>
      <c r="AG32" s="215">
        <f t="shared" ref="AG32" si="32">IFERROR(IF(AND(V31="Impacto",V32="Impacto"),(AG31-(+AG31*Y32)),IF(V32="Impacto",($R$13-(+$R$13*Y32)),IF(V32="Probabilidad",AG31,""))),"")</f>
        <v>0.6</v>
      </c>
      <c r="AH32" s="218"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Moderado</v>
      </c>
      <c r="AI32" s="219" t="s">
        <v>158</v>
      </c>
      <c r="AJ32" s="210"/>
      <c r="AK32" s="220"/>
      <c r="AL32" s="220"/>
      <c r="AM32" s="221"/>
      <c r="AN32" s="343"/>
      <c r="AO32" s="343"/>
      <c r="AP32" s="343"/>
    </row>
    <row r="33" spans="1:42" s="222" customFormat="1" ht="255.6" customHeight="1" x14ac:dyDescent="0.2">
      <c r="A33" s="350"/>
      <c r="B33" s="343"/>
      <c r="C33" s="343"/>
      <c r="D33" s="343"/>
      <c r="E33" s="343"/>
      <c r="F33" s="343"/>
      <c r="G33" s="333"/>
      <c r="H33" s="333"/>
      <c r="I33" s="333"/>
      <c r="J33" s="333"/>
      <c r="K33" s="333"/>
      <c r="L33" s="360"/>
      <c r="M33" s="341"/>
      <c r="N33" s="340"/>
      <c r="O33" s="339"/>
      <c r="P33" s="340">
        <f t="shared" si="29"/>
        <v>0</v>
      </c>
      <c r="Q33" s="341"/>
      <c r="R33" s="340"/>
      <c r="S33" s="342"/>
      <c r="T33" s="249">
        <v>3</v>
      </c>
      <c r="U33" s="257" t="s">
        <v>452</v>
      </c>
      <c r="V33" s="213" t="str">
        <f>IF(OR(W33="Preventivo",W33="Detectivo"),"Probabilidad",IF(W33="Correctivo","Impacto",""))</f>
        <v>Probabilidad</v>
      </c>
      <c r="W33" s="268" t="s">
        <v>155</v>
      </c>
      <c r="X33" s="268" t="s">
        <v>156</v>
      </c>
      <c r="Y33" s="215" t="str">
        <f t="shared" si="30"/>
        <v>40%</v>
      </c>
      <c r="Z33" s="268" t="s">
        <v>363</v>
      </c>
      <c r="AA33" s="268" t="s">
        <v>160</v>
      </c>
      <c r="AB33" s="268" t="s">
        <v>161</v>
      </c>
      <c r="AC33" s="216">
        <f>IFERROR(IF(AND(V32="Probabilidad",V33="Probabilidad"),(AE32-(+AE32*Y33)),IF(AND(V32="Impacto",V33="Probabilidad"),(AE31-(+AE31*Y33)),IF(V33="Impacto",AE32,""))),"")</f>
        <v>0.12959999999999999</v>
      </c>
      <c r="AD33" s="217" t="str">
        <f t="shared" si="2"/>
        <v>Muy Baja</v>
      </c>
      <c r="AE33" s="215">
        <f t="shared" si="31"/>
        <v>0.12959999999999999</v>
      </c>
      <c r="AF33" s="217" t="str">
        <f t="shared" si="4"/>
        <v>Moderado</v>
      </c>
      <c r="AG33" s="215">
        <f t="shared" ref="AG33" si="34">IFERROR(IF(AND(V32="Impacto",V33="Impacto"),(AG32-(+AG32*Y33)),IF(AND(V32="Probabilidad",V33="Impacto"),(AG31-(+AG31*Y33)),IF(V33="Probabilidad",AG32,""))),"")</f>
        <v>0.6</v>
      </c>
      <c r="AH33" s="218" t="str">
        <f t="shared" si="33"/>
        <v>Moderado</v>
      </c>
      <c r="AI33" s="219" t="s">
        <v>158</v>
      </c>
      <c r="AJ33" s="210"/>
      <c r="AK33" s="220"/>
      <c r="AL33" s="220"/>
      <c r="AM33" s="221"/>
      <c r="AN33" s="343"/>
      <c r="AO33" s="343"/>
      <c r="AP33" s="343"/>
    </row>
    <row r="34" spans="1:42" s="222" customFormat="1" ht="37.5" customHeight="1" x14ac:dyDescent="0.2">
      <c r="A34" s="350"/>
      <c r="B34" s="343"/>
      <c r="C34" s="343"/>
      <c r="D34" s="343"/>
      <c r="E34" s="343"/>
      <c r="F34" s="343"/>
      <c r="G34" s="333"/>
      <c r="H34" s="333"/>
      <c r="I34" s="333"/>
      <c r="J34" s="333"/>
      <c r="K34" s="333"/>
      <c r="L34" s="360"/>
      <c r="M34" s="341"/>
      <c r="N34" s="340"/>
      <c r="O34" s="339"/>
      <c r="P34" s="340">
        <f t="shared" si="29"/>
        <v>0</v>
      </c>
      <c r="Q34" s="341"/>
      <c r="R34" s="340"/>
      <c r="S34" s="342"/>
      <c r="T34" s="249">
        <v>4</v>
      </c>
      <c r="U34" s="211"/>
      <c r="V34" s="213" t="str">
        <f t="shared" ref="V34:V36" si="35">IF(OR(W34="Preventivo",W34="Detectivo"),"Probabilidad",IF(W34="Correctivo","Impacto",""))</f>
        <v/>
      </c>
      <c r="W34" s="214"/>
      <c r="X34" s="214"/>
      <c r="Y34" s="215" t="str">
        <f t="shared" si="30"/>
        <v/>
      </c>
      <c r="Z34" s="214"/>
      <c r="AA34" s="214"/>
      <c r="AB34" s="214"/>
      <c r="AC34" s="216" t="str">
        <f t="shared" ref="AC34:AC36" si="36">IFERROR(IF(AND(V33="Probabilidad",V34="Probabilidad"),(AE33-(+AE33*Y34)),IF(AND(V33="Impacto",V34="Probabilidad"),(AE32-(+AE32*Y34)),IF(V34="Impacto",AE33,""))),"")</f>
        <v/>
      </c>
      <c r="AD34" s="217" t="str">
        <f t="shared" si="2"/>
        <v/>
      </c>
      <c r="AE34" s="215" t="str">
        <f t="shared" si="31"/>
        <v/>
      </c>
      <c r="AF34" s="217" t="str">
        <f t="shared" si="4"/>
        <v/>
      </c>
      <c r="AG34" s="215" t="str">
        <f t="shared" si="14"/>
        <v/>
      </c>
      <c r="AH34" s="218"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19"/>
      <c r="AJ34" s="210"/>
      <c r="AK34" s="220"/>
      <c r="AL34" s="220"/>
      <c r="AM34" s="221"/>
      <c r="AN34" s="343"/>
      <c r="AO34" s="343"/>
      <c r="AP34" s="343"/>
    </row>
    <row r="35" spans="1:42" s="222" customFormat="1" ht="37.5" customHeight="1" x14ac:dyDescent="0.2">
      <c r="A35" s="350"/>
      <c r="B35" s="343"/>
      <c r="C35" s="343"/>
      <c r="D35" s="343"/>
      <c r="E35" s="343"/>
      <c r="F35" s="343"/>
      <c r="G35" s="333"/>
      <c r="H35" s="333"/>
      <c r="I35" s="333"/>
      <c r="J35" s="333"/>
      <c r="K35" s="333"/>
      <c r="L35" s="360"/>
      <c r="M35" s="341"/>
      <c r="N35" s="340"/>
      <c r="O35" s="339"/>
      <c r="P35" s="340">
        <f t="shared" si="29"/>
        <v>0</v>
      </c>
      <c r="Q35" s="341"/>
      <c r="R35" s="340"/>
      <c r="S35" s="342"/>
      <c r="T35" s="249">
        <v>5</v>
      </c>
      <c r="U35" s="211"/>
      <c r="V35" s="213" t="str">
        <f t="shared" si="35"/>
        <v/>
      </c>
      <c r="W35" s="214"/>
      <c r="X35" s="214"/>
      <c r="Y35" s="215" t="str">
        <f t="shared" si="30"/>
        <v/>
      </c>
      <c r="Z35" s="214"/>
      <c r="AA35" s="214"/>
      <c r="AB35" s="214"/>
      <c r="AC35" s="216" t="str">
        <f t="shared" si="36"/>
        <v/>
      </c>
      <c r="AD35" s="217" t="str">
        <f>IFERROR(IF(AC35="","",IF(AC35&lt;=0.2,"Muy Baja",IF(AC35&lt;=0.4,"Baja",IF(AC35&lt;=0.6,"Media",IF(AC35&lt;=0.8,"Alta","Muy Alta"))))),"")</f>
        <v/>
      </c>
      <c r="AE35" s="215" t="str">
        <f t="shared" si="31"/>
        <v/>
      </c>
      <c r="AF35" s="217" t="str">
        <f t="shared" si="4"/>
        <v/>
      </c>
      <c r="AG35" s="215" t="str">
        <f t="shared" si="14"/>
        <v/>
      </c>
      <c r="AH35" s="218"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19"/>
      <c r="AJ35" s="210"/>
      <c r="AK35" s="220"/>
      <c r="AL35" s="220"/>
      <c r="AM35" s="221"/>
      <c r="AN35" s="343"/>
      <c r="AO35" s="343"/>
      <c r="AP35" s="343"/>
    </row>
    <row r="36" spans="1:42" s="222" customFormat="1" ht="37.5" customHeight="1" x14ac:dyDescent="0.2">
      <c r="A36" s="350"/>
      <c r="B36" s="343"/>
      <c r="C36" s="343"/>
      <c r="D36" s="343"/>
      <c r="E36" s="343"/>
      <c r="F36" s="343"/>
      <c r="G36" s="333"/>
      <c r="H36" s="333"/>
      <c r="I36" s="333"/>
      <c r="J36" s="333"/>
      <c r="K36" s="333"/>
      <c r="L36" s="360"/>
      <c r="M36" s="341"/>
      <c r="N36" s="340"/>
      <c r="O36" s="339"/>
      <c r="P36" s="340">
        <f t="shared" si="29"/>
        <v>0</v>
      </c>
      <c r="Q36" s="341"/>
      <c r="R36" s="340"/>
      <c r="S36" s="342"/>
      <c r="T36" s="249">
        <v>6</v>
      </c>
      <c r="U36" s="211"/>
      <c r="V36" s="213" t="str">
        <f t="shared" si="35"/>
        <v/>
      </c>
      <c r="W36" s="214"/>
      <c r="X36" s="214"/>
      <c r="Y36" s="215" t="str">
        <f t="shared" si="30"/>
        <v/>
      </c>
      <c r="Z36" s="214"/>
      <c r="AA36" s="214"/>
      <c r="AB36" s="214"/>
      <c r="AC36" s="216" t="str">
        <f t="shared" si="36"/>
        <v/>
      </c>
      <c r="AD36" s="217" t="str">
        <f t="shared" si="2"/>
        <v/>
      </c>
      <c r="AE36" s="215" t="str">
        <f t="shared" si="31"/>
        <v/>
      </c>
      <c r="AF36" s="217" t="str">
        <f t="shared" si="4"/>
        <v/>
      </c>
      <c r="AG36" s="215" t="str">
        <f t="shared" si="14"/>
        <v/>
      </c>
      <c r="AH36" s="218" t="str">
        <f t="shared" si="37"/>
        <v/>
      </c>
      <c r="AI36" s="219"/>
      <c r="AJ36" s="210"/>
      <c r="AK36" s="220"/>
      <c r="AL36" s="220"/>
      <c r="AM36" s="221"/>
      <c r="AN36" s="343"/>
      <c r="AO36" s="343"/>
      <c r="AP36" s="343"/>
    </row>
    <row r="37" spans="1:42" s="222" customFormat="1" ht="37.5" customHeight="1" x14ac:dyDescent="0.2">
      <c r="A37" s="350">
        <v>5</v>
      </c>
      <c r="B37" s="333"/>
      <c r="C37" s="333"/>
      <c r="D37" s="333"/>
      <c r="E37" s="333"/>
      <c r="F37" s="333"/>
      <c r="G37" s="333"/>
      <c r="H37" s="333"/>
      <c r="I37" s="333"/>
      <c r="J37" s="333"/>
      <c r="K37" s="333"/>
      <c r="L37" s="336"/>
      <c r="M37" s="341" t="str">
        <f>IF(L37&lt;=0,"",IF(L37&lt;=2,"Muy Baja",IF(L37&lt;=24,"Baja",IF(L37&lt;=500,"Media",IF(L37&lt;=5000,"Alta","Muy Alta")))))</f>
        <v/>
      </c>
      <c r="N37" s="340" t="str">
        <f>IF(M37="","",IF(M37="Muy Baja",0.2,IF(M37="Baja",0.4,IF(M37="Media",0.6,IF(M37="Alta",0.8,IF(M37="Muy Alta",1,))))))</f>
        <v/>
      </c>
      <c r="O37" s="339"/>
      <c r="P37" s="340">
        <f>IF(NOT(ISERROR(MATCH(O37,'Tabla Impacto'!$B$222:$B$224,0))),'Tabla Impacto'!$F$224&amp;"Por favor no seleccionar los criterios de impacto(Afectación Económica o presupuestal y Pérdida Reputacional)",O37)</f>
        <v>0</v>
      </c>
      <c r="Q37" s="341" t="str">
        <f>IF(OR(P37='Tabla Impacto'!$C$12,P37='Tabla Impacto'!$D$12),"Leve",IF(OR(P37='Tabla Impacto'!$C$13,P37='Tabla Impacto'!$D$13),"Menor",IF(OR(P37='Tabla Impacto'!$C$14,P37='Tabla Impacto'!$D$14),"Moderado",IF(OR(P37='Tabla Impacto'!$C$15,P37='Tabla Impacto'!$D$15),"Mayor",IF(OR(P37='Tabla Impacto'!$C$16,P37='Tabla Impacto'!$D$16),"Catastrófico","")))))</f>
        <v/>
      </c>
      <c r="R37" s="340" t="str">
        <f>IF(Q37="","",IF(Q37="Leve",0.2,IF(Q37="Menor",0.4,IF(Q37="Moderado",0.6,IF(Q37="Mayor",0.8,IF(Q37="Catastrófico",1,))))))</f>
        <v/>
      </c>
      <c r="S37" s="342"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49">
        <v>1</v>
      </c>
      <c r="U37" s="211"/>
      <c r="V37" s="213" t="str">
        <f>IF(OR(W37="Preventivo",W37="Detectivo"),"Probabilidad",IF(W37="Correctivo","Impacto",""))</f>
        <v/>
      </c>
      <c r="W37" s="214"/>
      <c r="X37" s="214"/>
      <c r="Y37" s="215" t="str">
        <f>IF(AND(W37="Preventivo",X37="Automático"),"50%",IF(AND(W37="Preventivo",X37="Manual"),"40%",IF(AND(W37="Detectivo",X37="Automático"),"40%",IF(AND(W37="Detectivo",X37="Manual"),"30%",IF(AND(W37="Correctivo",X37="Automático"),"35%",IF(AND(W37="Correctivo",X37="Manual"),"25%",""))))))</f>
        <v/>
      </c>
      <c r="Z37" s="214"/>
      <c r="AA37" s="214"/>
      <c r="AB37" s="214"/>
      <c r="AC37" s="216" t="str">
        <f>IFERROR(IF(V37="Probabilidad",(N37-(+N37*Y37)),IF(V37="Impacto",N37,"")),"")</f>
        <v/>
      </c>
      <c r="AD37" s="217" t="str">
        <f>IFERROR(IF(AC37="","",IF(AC37&lt;=0.2,"Muy Baja",IF(AC37&lt;=0.4,"Baja",IF(AC37&lt;=0.6,"Media",IF(AC37&lt;=0.8,"Alta","Muy Alta"))))),"")</f>
        <v/>
      </c>
      <c r="AE37" s="215" t="str">
        <f>+AC37</f>
        <v/>
      </c>
      <c r="AF37" s="217" t="str">
        <f>IFERROR(IF(AG37="","",IF(AG37&lt;=0.2,"Leve",IF(AG37&lt;=0.4,"Menor",IF(AG37&lt;=0.6,"Moderado",IF(AG37&lt;=0.8,"Mayor","Catastrófico"))))),"")</f>
        <v/>
      </c>
      <c r="AG37" s="215" t="str">
        <f t="shared" ref="AG37" si="38">IFERROR(IF(V37="Impacto",(R37-(+R37*Y37)),IF(V37="Probabilidad",R37,"")),"")</f>
        <v/>
      </c>
      <c r="AH37" s="218"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19"/>
      <c r="AJ37" s="210"/>
      <c r="AK37" s="220"/>
      <c r="AL37" s="220"/>
      <c r="AM37" s="221"/>
      <c r="AN37" s="336"/>
      <c r="AO37" s="336"/>
      <c r="AP37" s="336"/>
    </row>
    <row r="38" spans="1:42" s="222" customFormat="1" ht="37.5" customHeight="1" x14ac:dyDescent="0.2">
      <c r="A38" s="350"/>
      <c r="B38" s="333"/>
      <c r="C38" s="333"/>
      <c r="D38" s="333"/>
      <c r="E38" s="333"/>
      <c r="F38" s="333"/>
      <c r="G38" s="333"/>
      <c r="H38" s="333"/>
      <c r="I38" s="333"/>
      <c r="J38" s="333"/>
      <c r="K38" s="333"/>
      <c r="L38" s="336"/>
      <c r="M38" s="341"/>
      <c r="N38" s="340"/>
      <c r="O38" s="339"/>
      <c r="P38" s="340">
        <f t="shared" ref="P38:P42" si="39">IF(NOT(ISERROR(MATCH(O38,_xlfn.ANCHORARRAY(E49),0))),N51&amp;"Por favor no seleccionar los criterios de impacto",O38)</f>
        <v>0</v>
      </c>
      <c r="Q38" s="341"/>
      <c r="R38" s="340"/>
      <c r="S38" s="342"/>
      <c r="T38" s="249">
        <v>2</v>
      </c>
      <c r="U38" s="211"/>
      <c r="V38" s="213" t="str">
        <f>IF(OR(W38="Preventivo",W38="Detectivo"),"Probabilidad",IF(W38="Correctivo","Impacto",""))</f>
        <v/>
      </c>
      <c r="W38" s="214"/>
      <c r="X38" s="214"/>
      <c r="Y38" s="215" t="str">
        <f t="shared" ref="Y38:Y42" si="40">IF(AND(W38="Preventivo",X38="Automático"),"50%",IF(AND(W38="Preventivo",X38="Manual"),"40%",IF(AND(W38="Detectivo",X38="Automático"),"40%",IF(AND(W38="Detectivo",X38="Manual"),"30%",IF(AND(W38="Correctivo",X38="Automático"),"35%",IF(AND(W38="Correctivo",X38="Manual"),"25%",""))))))</f>
        <v/>
      </c>
      <c r="Z38" s="214"/>
      <c r="AA38" s="214"/>
      <c r="AB38" s="214"/>
      <c r="AC38" s="216" t="str">
        <f>IFERROR(IF(AND(V37="Probabilidad",V38="Probabilidad"),(AE37-(+AE37*Y38)),IF(V38="Probabilidad",(N37-(+N37*Y38)),IF(V38="Impacto",AE37,""))),"")</f>
        <v/>
      </c>
      <c r="AD38" s="217" t="str">
        <f t="shared" si="2"/>
        <v/>
      </c>
      <c r="AE38" s="215" t="str">
        <f t="shared" ref="AE38:AE42" si="41">+AC38</f>
        <v/>
      </c>
      <c r="AF38" s="217" t="str">
        <f t="shared" si="4"/>
        <v/>
      </c>
      <c r="AG38" s="215" t="str">
        <f t="shared" ref="AG38" si="42">IFERROR(IF(AND(V37="Impacto",V38="Impacto"),(AG37-(+AG37*Y38)),IF(V38="Impacto",($R$13-(+$R$13*Y38)),IF(V38="Probabilidad",AG37,""))),"")</f>
        <v/>
      </c>
      <c r="AH38" s="218"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19"/>
      <c r="AJ38" s="210"/>
      <c r="AK38" s="220"/>
      <c r="AL38" s="220"/>
      <c r="AM38" s="221"/>
      <c r="AN38" s="336"/>
      <c r="AO38" s="336"/>
      <c r="AP38" s="336"/>
    </row>
    <row r="39" spans="1:42" s="222" customFormat="1" ht="37.5" customHeight="1" x14ac:dyDescent="0.2">
      <c r="A39" s="350"/>
      <c r="B39" s="333"/>
      <c r="C39" s="333"/>
      <c r="D39" s="333"/>
      <c r="E39" s="333"/>
      <c r="F39" s="333"/>
      <c r="G39" s="333"/>
      <c r="H39" s="333"/>
      <c r="I39" s="333"/>
      <c r="J39" s="333"/>
      <c r="K39" s="333"/>
      <c r="L39" s="336"/>
      <c r="M39" s="341"/>
      <c r="N39" s="340"/>
      <c r="O39" s="339"/>
      <c r="P39" s="340">
        <f t="shared" si="39"/>
        <v>0</v>
      </c>
      <c r="Q39" s="341"/>
      <c r="R39" s="340"/>
      <c r="S39" s="342"/>
      <c r="T39" s="249">
        <v>3</v>
      </c>
      <c r="U39" s="212"/>
      <c r="V39" s="213" t="str">
        <f>IF(OR(W39="Preventivo",W39="Detectivo"),"Probabilidad",IF(W39="Correctivo","Impacto",""))</f>
        <v/>
      </c>
      <c r="W39" s="214"/>
      <c r="X39" s="214"/>
      <c r="Y39" s="215" t="str">
        <f t="shared" si="40"/>
        <v/>
      </c>
      <c r="Z39" s="214"/>
      <c r="AA39" s="214"/>
      <c r="AB39" s="214"/>
      <c r="AC39" s="216" t="str">
        <f>IFERROR(IF(AND(V38="Probabilidad",V39="Probabilidad"),(AE38-(+AE38*Y39)),IF(AND(V38="Impacto",V39="Probabilidad"),(AE37-(+AE37*Y39)),IF(V39="Impacto",AE38,""))),"")</f>
        <v/>
      </c>
      <c r="AD39" s="217" t="str">
        <f t="shared" si="2"/>
        <v/>
      </c>
      <c r="AE39" s="215" t="str">
        <f t="shared" si="41"/>
        <v/>
      </c>
      <c r="AF39" s="217" t="str">
        <f t="shared" si="4"/>
        <v/>
      </c>
      <c r="AG39" s="215" t="str">
        <f t="shared" ref="AG39" si="44">IFERROR(IF(AND(V38="Impacto",V39="Impacto"),(AG38-(+AG38*Y39)),IF(AND(V38="Probabilidad",V39="Impacto"),(AG37-(+AG37*Y39)),IF(V39="Probabilidad",AG38,""))),"")</f>
        <v/>
      </c>
      <c r="AH39" s="218" t="str">
        <f t="shared" si="43"/>
        <v/>
      </c>
      <c r="AI39" s="219"/>
      <c r="AJ39" s="210"/>
      <c r="AK39" s="220"/>
      <c r="AL39" s="220"/>
      <c r="AM39" s="221"/>
      <c r="AN39" s="336"/>
      <c r="AO39" s="336"/>
      <c r="AP39" s="336"/>
    </row>
    <row r="40" spans="1:42" s="222" customFormat="1" ht="37.5" customHeight="1" x14ac:dyDescent="0.2">
      <c r="A40" s="350"/>
      <c r="B40" s="333"/>
      <c r="C40" s="333"/>
      <c r="D40" s="333"/>
      <c r="E40" s="333"/>
      <c r="F40" s="333"/>
      <c r="G40" s="333"/>
      <c r="H40" s="333"/>
      <c r="I40" s="333"/>
      <c r="J40" s="333"/>
      <c r="K40" s="333"/>
      <c r="L40" s="336"/>
      <c r="M40" s="341"/>
      <c r="N40" s="340"/>
      <c r="O40" s="339"/>
      <c r="P40" s="340">
        <f t="shared" si="39"/>
        <v>0</v>
      </c>
      <c r="Q40" s="341"/>
      <c r="R40" s="340"/>
      <c r="S40" s="342"/>
      <c r="T40" s="249">
        <v>4</v>
      </c>
      <c r="U40" s="211"/>
      <c r="V40" s="213" t="str">
        <f t="shared" ref="V40:V42" si="45">IF(OR(W40="Preventivo",W40="Detectivo"),"Probabilidad",IF(W40="Correctivo","Impacto",""))</f>
        <v/>
      </c>
      <c r="W40" s="214"/>
      <c r="X40" s="214"/>
      <c r="Y40" s="215" t="str">
        <f t="shared" si="40"/>
        <v/>
      </c>
      <c r="Z40" s="214"/>
      <c r="AA40" s="214"/>
      <c r="AB40" s="214"/>
      <c r="AC40" s="216" t="str">
        <f t="shared" ref="AC40:AC42" si="46">IFERROR(IF(AND(V39="Probabilidad",V40="Probabilidad"),(AE39-(+AE39*Y40)),IF(AND(V39="Impacto",V40="Probabilidad"),(AE38-(+AE38*Y40)),IF(V40="Impacto",AE39,""))),"")</f>
        <v/>
      </c>
      <c r="AD40" s="217" t="str">
        <f t="shared" si="2"/>
        <v/>
      </c>
      <c r="AE40" s="215" t="str">
        <f t="shared" si="41"/>
        <v/>
      </c>
      <c r="AF40" s="217" t="str">
        <f t="shared" si="4"/>
        <v/>
      </c>
      <c r="AG40" s="215" t="str">
        <f t="shared" si="14"/>
        <v/>
      </c>
      <c r="AH40" s="218"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19"/>
      <c r="AJ40" s="210"/>
      <c r="AK40" s="220"/>
      <c r="AL40" s="220"/>
      <c r="AM40" s="221"/>
      <c r="AN40" s="336"/>
      <c r="AO40" s="336"/>
      <c r="AP40" s="336"/>
    </row>
    <row r="41" spans="1:42" s="222" customFormat="1" ht="37.5" customHeight="1" x14ac:dyDescent="0.2">
      <c r="A41" s="350"/>
      <c r="B41" s="333"/>
      <c r="C41" s="333"/>
      <c r="D41" s="333"/>
      <c r="E41" s="333"/>
      <c r="F41" s="333"/>
      <c r="G41" s="333"/>
      <c r="H41" s="333"/>
      <c r="I41" s="333"/>
      <c r="J41" s="333"/>
      <c r="K41" s="333"/>
      <c r="L41" s="336"/>
      <c r="M41" s="341"/>
      <c r="N41" s="340"/>
      <c r="O41" s="339"/>
      <c r="P41" s="340">
        <f t="shared" si="39"/>
        <v>0</v>
      </c>
      <c r="Q41" s="341"/>
      <c r="R41" s="340"/>
      <c r="S41" s="342"/>
      <c r="T41" s="249">
        <v>5</v>
      </c>
      <c r="U41" s="211"/>
      <c r="V41" s="213" t="str">
        <f t="shared" si="45"/>
        <v/>
      </c>
      <c r="W41" s="214"/>
      <c r="X41" s="214"/>
      <c r="Y41" s="215" t="str">
        <f t="shared" si="40"/>
        <v/>
      </c>
      <c r="Z41" s="214"/>
      <c r="AA41" s="214"/>
      <c r="AB41" s="214"/>
      <c r="AC41" s="216" t="str">
        <f t="shared" si="46"/>
        <v/>
      </c>
      <c r="AD41" s="217" t="str">
        <f t="shared" si="2"/>
        <v/>
      </c>
      <c r="AE41" s="215" t="str">
        <f t="shared" si="41"/>
        <v/>
      </c>
      <c r="AF41" s="217" t="str">
        <f t="shared" si="4"/>
        <v/>
      </c>
      <c r="AG41" s="215" t="str">
        <f t="shared" si="14"/>
        <v/>
      </c>
      <c r="AH41" s="218"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19"/>
      <c r="AJ41" s="210"/>
      <c r="AK41" s="220"/>
      <c r="AL41" s="220"/>
      <c r="AM41" s="221"/>
      <c r="AN41" s="336"/>
      <c r="AO41" s="336"/>
      <c r="AP41" s="336"/>
    </row>
    <row r="42" spans="1:42" s="222" customFormat="1" ht="37.5" customHeight="1" x14ac:dyDescent="0.2">
      <c r="A42" s="350"/>
      <c r="B42" s="333"/>
      <c r="C42" s="333"/>
      <c r="D42" s="333"/>
      <c r="E42" s="333"/>
      <c r="F42" s="333"/>
      <c r="G42" s="333"/>
      <c r="H42" s="333"/>
      <c r="I42" s="333"/>
      <c r="J42" s="333"/>
      <c r="K42" s="333"/>
      <c r="L42" s="336"/>
      <c r="M42" s="341"/>
      <c r="N42" s="340"/>
      <c r="O42" s="339"/>
      <c r="P42" s="340">
        <f t="shared" si="39"/>
        <v>0</v>
      </c>
      <c r="Q42" s="341"/>
      <c r="R42" s="340"/>
      <c r="S42" s="342"/>
      <c r="T42" s="249">
        <v>6</v>
      </c>
      <c r="U42" s="211"/>
      <c r="V42" s="213" t="str">
        <f t="shared" si="45"/>
        <v/>
      </c>
      <c r="W42" s="214"/>
      <c r="X42" s="214"/>
      <c r="Y42" s="215" t="str">
        <f t="shared" si="40"/>
        <v/>
      </c>
      <c r="Z42" s="214"/>
      <c r="AA42" s="214"/>
      <c r="AB42" s="214"/>
      <c r="AC42" s="216" t="str">
        <f t="shared" si="46"/>
        <v/>
      </c>
      <c r="AD42" s="217" t="str">
        <f t="shared" si="2"/>
        <v/>
      </c>
      <c r="AE42" s="215" t="str">
        <f t="shared" si="41"/>
        <v/>
      </c>
      <c r="AF42" s="217" t="str">
        <f t="shared" si="4"/>
        <v/>
      </c>
      <c r="AG42" s="215" t="str">
        <f t="shared" si="14"/>
        <v/>
      </c>
      <c r="AH42" s="218" t="str">
        <f t="shared" si="47"/>
        <v/>
      </c>
      <c r="AI42" s="219"/>
      <c r="AJ42" s="210"/>
      <c r="AK42" s="220"/>
      <c r="AL42" s="220"/>
      <c r="AM42" s="221"/>
      <c r="AN42" s="336"/>
      <c r="AO42" s="336"/>
      <c r="AP42" s="336"/>
    </row>
    <row r="43" spans="1:42" s="222" customFormat="1" ht="37.5" customHeight="1" x14ac:dyDescent="0.2">
      <c r="A43" s="350">
        <v>6</v>
      </c>
      <c r="B43" s="333"/>
      <c r="C43" s="333"/>
      <c r="D43" s="333"/>
      <c r="E43" s="361"/>
      <c r="F43" s="333"/>
      <c r="G43" s="333"/>
      <c r="H43" s="333"/>
      <c r="I43" s="333"/>
      <c r="J43" s="333"/>
      <c r="K43" s="333"/>
      <c r="L43" s="336"/>
      <c r="M43" s="341" t="str">
        <f>IF(L43&lt;=0,"",IF(L43&lt;=2,"Muy Baja",IF(L43&lt;=24,"Baja",IF(L43&lt;=500,"Media",IF(L43&lt;=5000,"Alta","Muy Alta")))))</f>
        <v/>
      </c>
      <c r="N43" s="340" t="str">
        <f>IF(M43="","",IF(M43="Muy Baja",0.2,IF(M43="Baja",0.4,IF(M43="Media",0.6,IF(M43="Alta",0.8,IF(M43="Muy Alta",1,))))))</f>
        <v/>
      </c>
      <c r="O43" s="339"/>
      <c r="P43" s="340">
        <f>IF(NOT(ISERROR(MATCH(O43,'Tabla Impacto'!$B$222:$B$224,0))),'Tabla Impacto'!$F$224&amp;"Por favor no seleccionar los criterios de impacto(Afectación Económica o presupuestal y Pérdida Reputacional)",O43)</f>
        <v>0</v>
      </c>
      <c r="Q43" s="341" t="str">
        <f>IF(OR(P43='Tabla Impacto'!$C$12,P43='Tabla Impacto'!$D$12),"Leve",IF(OR(P43='Tabla Impacto'!$C$13,P43='Tabla Impacto'!$D$13),"Menor",IF(OR(P43='Tabla Impacto'!$C$14,P43='Tabla Impacto'!$D$14),"Moderado",IF(OR(P43='Tabla Impacto'!$C$15,P43='Tabla Impacto'!$D$15),"Mayor",IF(OR(P43='Tabla Impacto'!$C$16,P43='Tabla Impacto'!$D$16),"Catastrófico","")))))</f>
        <v/>
      </c>
      <c r="R43" s="340" t="str">
        <f>IF(Q43="","",IF(Q43="Leve",0.2,IF(Q43="Menor",0.4,IF(Q43="Moderado",0.6,IF(Q43="Mayor",0.8,IF(Q43="Catastrófico",1,))))))</f>
        <v/>
      </c>
      <c r="S43" s="342"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49">
        <v>1</v>
      </c>
      <c r="U43" s="211"/>
      <c r="V43" s="213" t="str">
        <f>IF(OR(W43="Preventivo",W43="Detectivo"),"Probabilidad",IF(W43="Correctivo","Impacto",""))</f>
        <v/>
      </c>
      <c r="W43" s="214"/>
      <c r="X43" s="214"/>
      <c r="Y43" s="215" t="str">
        <f>IF(AND(W43="Preventivo",X43="Automático"),"50%",IF(AND(W43="Preventivo",X43="Manual"),"40%",IF(AND(W43="Detectivo",X43="Automático"),"40%",IF(AND(W43="Detectivo",X43="Manual"),"30%",IF(AND(W43="Correctivo",X43="Automático"),"35%",IF(AND(W43="Correctivo",X43="Manual"),"25%",""))))))</f>
        <v/>
      </c>
      <c r="Z43" s="214"/>
      <c r="AA43" s="214"/>
      <c r="AB43" s="214"/>
      <c r="AC43" s="216" t="str">
        <f>IFERROR(IF(V43="Probabilidad",(N43-(+N43*Y43)),IF(V43="Impacto",N43,"")),"")</f>
        <v/>
      </c>
      <c r="AD43" s="217" t="str">
        <f>IFERROR(IF(AC43="","",IF(AC43&lt;=0.2,"Muy Baja",IF(AC43&lt;=0.4,"Baja",IF(AC43&lt;=0.6,"Media",IF(AC43&lt;=0.8,"Alta","Muy Alta"))))),"")</f>
        <v/>
      </c>
      <c r="AE43" s="215" t="str">
        <f>+AC43</f>
        <v/>
      </c>
      <c r="AF43" s="217" t="str">
        <f>IFERROR(IF(AG43="","",IF(AG43&lt;=0.2,"Leve",IF(AG43&lt;=0.4,"Menor",IF(AG43&lt;=0.6,"Moderado",IF(AG43&lt;=0.8,"Mayor","Catastrófico"))))),"")</f>
        <v/>
      </c>
      <c r="AG43" s="215" t="str">
        <f t="shared" ref="AG43" si="48">IFERROR(IF(V43="Impacto",(R43-(+R43*Y43)),IF(V43="Probabilidad",R43,"")),"")</f>
        <v/>
      </c>
      <c r="AH43" s="218"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4"/>
      <c r="AJ43" s="210"/>
      <c r="AK43" s="220"/>
      <c r="AL43" s="220"/>
      <c r="AM43" s="221"/>
      <c r="AN43" s="336"/>
      <c r="AO43" s="336"/>
      <c r="AP43" s="336"/>
    </row>
    <row r="44" spans="1:42" s="222" customFormat="1" ht="37.5" customHeight="1" x14ac:dyDescent="0.2">
      <c r="A44" s="350"/>
      <c r="B44" s="333"/>
      <c r="C44" s="333"/>
      <c r="D44" s="333"/>
      <c r="E44" s="362"/>
      <c r="F44" s="333"/>
      <c r="G44" s="333"/>
      <c r="H44" s="333"/>
      <c r="I44" s="333"/>
      <c r="J44" s="333"/>
      <c r="K44" s="333"/>
      <c r="L44" s="336"/>
      <c r="M44" s="341"/>
      <c r="N44" s="340"/>
      <c r="O44" s="339"/>
      <c r="P44" s="340">
        <f t="shared" ref="P44:P48" si="49">IF(NOT(ISERROR(MATCH(O44,_xlfn.ANCHORARRAY(E55),0))),N57&amp;"Por favor no seleccionar los criterios de impacto",O44)</f>
        <v>0</v>
      </c>
      <c r="Q44" s="341"/>
      <c r="R44" s="340"/>
      <c r="S44" s="342"/>
      <c r="T44" s="249">
        <v>2</v>
      </c>
      <c r="U44" s="211"/>
      <c r="V44" s="213" t="str">
        <f>IF(OR(W44="Preventivo",W44="Detectivo"),"Probabilidad",IF(W44="Correctivo","Impacto",""))</f>
        <v/>
      </c>
      <c r="W44" s="214"/>
      <c r="X44" s="214"/>
      <c r="Y44" s="215" t="str">
        <f t="shared" ref="Y44:Y48" si="50">IF(AND(W44="Preventivo",X44="Automático"),"50%",IF(AND(W44="Preventivo",X44="Manual"),"40%",IF(AND(W44="Detectivo",X44="Automático"),"40%",IF(AND(W44="Detectivo",X44="Manual"),"30%",IF(AND(W44="Correctivo",X44="Automático"),"35%",IF(AND(W44="Correctivo",X44="Manual"),"25%",""))))))</f>
        <v/>
      </c>
      <c r="Z44" s="214"/>
      <c r="AA44" s="214"/>
      <c r="AB44" s="214"/>
      <c r="AC44" s="216" t="str">
        <f>IFERROR(IF(AND(V43="Probabilidad",V44="Probabilidad"),(AE43-(+AE43*Y44)),IF(V44="Probabilidad",(N43-(+N43*Y44)),IF(V44="Impacto",AE43,""))),"")</f>
        <v/>
      </c>
      <c r="AD44" s="217" t="str">
        <f t="shared" si="2"/>
        <v/>
      </c>
      <c r="AE44" s="215" t="str">
        <f t="shared" ref="AE44:AE48" si="51">+AC44</f>
        <v/>
      </c>
      <c r="AF44" s="217" t="str">
        <f t="shared" si="4"/>
        <v/>
      </c>
      <c r="AG44" s="215" t="str">
        <f t="shared" ref="AG44" si="52">IFERROR(IF(AND(V43="Impacto",V44="Impacto"),(AG43-(+AG43*Y44)),IF(V44="Impacto",($R$13-(+$R$13*Y44)),IF(V44="Probabilidad",AG43,""))),"")</f>
        <v/>
      </c>
      <c r="AH44" s="218"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19"/>
      <c r="AJ44" s="210"/>
      <c r="AK44" s="220"/>
      <c r="AL44" s="220"/>
      <c r="AM44" s="221"/>
      <c r="AN44" s="336"/>
      <c r="AO44" s="336"/>
      <c r="AP44" s="336"/>
    </row>
    <row r="45" spans="1:42" s="222" customFormat="1" ht="37.5" customHeight="1" x14ac:dyDescent="0.2">
      <c r="A45" s="350"/>
      <c r="B45" s="333"/>
      <c r="C45" s="333"/>
      <c r="D45" s="333"/>
      <c r="E45" s="362"/>
      <c r="F45" s="333"/>
      <c r="G45" s="333"/>
      <c r="H45" s="333"/>
      <c r="I45" s="333"/>
      <c r="J45" s="333"/>
      <c r="K45" s="333"/>
      <c r="L45" s="336"/>
      <c r="M45" s="341"/>
      <c r="N45" s="340"/>
      <c r="O45" s="339"/>
      <c r="P45" s="340">
        <f t="shared" si="49"/>
        <v>0</v>
      </c>
      <c r="Q45" s="341"/>
      <c r="R45" s="340"/>
      <c r="S45" s="342"/>
      <c r="T45" s="249">
        <v>3</v>
      </c>
      <c r="U45" s="212"/>
      <c r="V45" s="213" t="str">
        <f>IF(OR(W45="Preventivo",W45="Detectivo"),"Probabilidad",IF(W45="Correctivo","Impacto",""))</f>
        <v/>
      </c>
      <c r="W45" s="214"/>
      <c r="X45" s="214"/>
      <c r="Y45" s="215" t="str">
        <f t="shared" si="50"/>
        <v/>
      </c>
      <c r="Z45" s="214"/>
      <c r="AA45" s="214"/>
      <c r="AB45" s="214"/>
      <c r="AC45" s="216" t="str">
        <f>IFERROR(IF(AND(V44="Probabilidad",V45="Probabilidad"),(AE44-(+AE44*Y45)),IF(AND(V44="Impacto",V45="Probabilidad"),(AE43-(+AE43*Y45)),IF(V45="Impacto",AE44,""))),"")</f>
        <v/>
      </c>
      <c r="AD45" s="217" t="str">
        <f t="shared" si="2"/>
        <v/>
      </c>
      <c r="AE45" s="215" t="str">
        <f t="shared" si="51"/>
        <v/>
      </c>
      <c r="AF45" s="217" t="str">
        <f t="shared" si="4"/>
        <v/>
      </c>
      <c r="AG45" s="215" t="str">
        <f t="shared" ref="AG45" si="54">IFERROR(IF(AND(V44="Impacto",V45="Impacto"),(AG44-(+AG44*Y45)),IF(AND(V44="Probabilidad",V45="Impacto"),(AG43-(+AG43*Y45)),IF(V45="Probabilidad",AG44,""))),"")</f>
        <v/>
      </c>
      <c r="AH45" s="218" t="str">
        <f t="shared" si="53"/>
        <v/>
      </c>
      <c r="AI45" s="219"/>
      <c r="AJ45" s="210"/>
      <c r="AK45" s="220"/>
      <c r="AL45" s="220"/>
      <c r="AM45" s="221"/>
      <c r="AN45" s="336"/>
      <c r="AO45" s="336"/>
      <c r="AP45" s="336"/>
    </row>
    <row r="46" spans="1:42" s="222" customFormat="1" ht="37.5" customHeight="1" x14ac:dyDescent="0.2">
      <c r="A46" s="350"/>
      <c r="B46" s="333"/>
      <c r="C46" s="333"/>
      <c r="D46" s="333"/>
      <c r="E46" s="362"/>
      <c r="F46" s="333"/>
      <c r="G46" s="333"/>
      <c r="H46" s="333"/>
      <c r="I46" s="333"/>
      <c r="J46" s="333"/>
      <c r="K46" s="333"/>
      <c r="L46" s="336"/>
      <c r="M46" s="341"/>
      <c r="N46" s="340"/>
      <c r="O46" s="339"/>
      <c r="P46" s="340">
        <f t="shared" si="49"/>
        <v>0</v>
      </c>
      <c r="Q46" s="341"/>
      <c r="R46" s="340"/>
      <c r="S46" s="342"/>
      <c r="T46" s="249">
        <v>4</v>
      </c>
      <c r="U46" s="211"/>
      <c r="V46" s="213" t="str">
        <f t="shared" ref="V46:V48" si="55">IF(OR(W46="Preventivo",W46="Detectivo"),"Probabilidad",IF(W46="Correctivo","Impacto",""))</f>
        <v/>
      </c>
      <c r="W46" s="214"/>
      <c r="X46" s="214"/>
      <c r="Y46" s="215" t="str">
        <f t="shared" si="50"/>
        <v/>
      </c>
      <c r="Z46" s="214"/>
      <c r="AA46" s="214"/>
      <c r="AB46" s="214"/>
      <c r="AC46" s="216" t="str">
        <f t="shared" ref="AC46:AC48" si="56">IFERROR(IF(AND(V45="Probabilidad",V46="Probabilidad"),(AE45-(+AE45*Y46)),IF(AND(V45="Impacto",V46="Probabilidad"),(AE44-(+AE44*Y46)),IF(V46="Impacto",AE45,""))),"")</f>
        <v/>
      </c>
      <c r="AD46" s="217" t="str">
        <f t="shared" si="2"/>
        <v/>
      </c>
      <c r="AE46" s="215" t="str">
        <f t="shared" si="51"/>
        <v/>
      </c>
      <c r="AF46" s="217" t="str">
        <f t="shared" si="4"/>
        <v/>
      </c>
      <c r="AG46" s="215" t="str">
        <f t="shared" si="14"/>
        <v/>
      </c>
      <c r="AH46" s="218"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19"/>
      <c r="AJ46" s="210"/>
      <c r="AK46" s="220"/>
      <c r="AL46" s="220"/>
      <c r="AM46" s="221"/>
      <c r="AN46" s="336"/>
      <c r="AO46" s="336"/>
      <c r="AP46" s="336"/>
    </row>
    <row r="47" spans="1:42" s="222" customFormat="1" ht="37.5" customHeight="1" x14ac:dyDescent="0.2">
      <c r="A47" s="350"/>
      <c r="B47" s="333"/>
      <c r="C47" s="333"/>
      <c r="D47" s="333"/>
      <c r="E47" s="362"/>
      <c r="F47" s="333"/>
      <c r="G47" s="333"/>
      <c r="H47" s="333"/>
      <c r="I47" s="333"/>
      <c r="J47" s="333"/>
      <c r="K47" s="333"/>
      <c r="L47" s="336"/>
      <c r="M47" s="341"/>
      <c r="N47" s="340"/>
      <c r="O47" s="339"/>
      <c r="P47" s="340">
        <f t="shared" si="49"/>
        <v>0</v>
      </c>
      <c r="Q47" s="341"/>
      <c r="R47" s="340"/>
      <c r="S47" s="342"/>
      <c r="T47" s="249">
        <v>5</v>
      </c>
      <c r="U47" s="211"/>
      <c r="V47" s="213" t="str">
        <f t="shared" si="55"/>
        <v/>
      </c>
      <c r="W47" s="214"/>
      <c r="X47" s="214"/>
      <c r="Y47" s="215" t="str">
        <f t="shared" si="50"/>
        <v/>
      </c>
      <c r="Z47" s="214"/>
      <c r="AA47" s="214"/>
      <c r="AB47" s="214"/>
      <c r="AC47" s="216" t="str">
        <f t="shared" si="56"/>
        <v/>
      </c>
      <c r="AD47" s="217" t="str">
        <f t="shared" si="2"/>
        <v/>
      </c>
      <c r="AE47" s="215" t="str">
        <f t="shared" si="51"/>
        <v/>
      </c>
      <c r="AF47" s="217" t="str">
        <f t="shared" si="4"/>
        <v/>
      </c>
      <c r="AG47" s="215" t="str">
        <f t="shared" si="14"/>
        <v/>
      </c>
      <c r="AH47" s="218"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19"/>
      <c r="AJ47" s="210"/>
      <c r="AK47" s="220"/>
      <c r="AL47" s="220"/>
      <c r="AM47" s="221"/>
      <c r="AN47" s="336"/>
      <c r="AO47" s="336"/>
      <c r="AP47" s="336"/>
    </row>
    <row r="48" spans="1:42" s="222" customFormat="1" ht="37.5" customHeight="1" x14ac:dyDescent="0.2">
      <c r="A48" s="350"/>
      <c r="B48" s="333"/>
      <c r="C48" s="333"/>
      <c r="D48" s="333"/>
      <c r="E48" s="363"/>
      <c r="F48" s="333"/>
      <c r="G48" s="333"/>
      <c r="H48" s="333"/>
      <c r="I48" s="333"/>
      <c r="J48" s="333"/>
      <c r="K48" s="333"/>
      <c r="L48" s="336"/>
      <c r="M48" s="341"/>
      <c r="N48" s="340"/>
      <c r="O48" s="339"/>
      <c r="P48" s="340">
        <f t="shared" si="49"/>
        <v>0</v>
      </c>
      <c r="Q48" s="341"/>
      <c r="R48" s="340"/>
      <c r="S48" s="342"/>
      <c r="T48" s="249">
        <v>6</v>
      </c>
      <c r="U48" s="211"/>
      <c r="V48" s="213" t="str">
        <f t="shared" si="55"/>
        <v/>
      </c>
      <c r="W48" s="214"/>
      <c r="X48" s="214"/>
      <c r="Y48" s="215" t="str">
        <f t="shared" si="50"/>
        <v/>
      </c>
      <c r="Z48" s="214"/>
      <c r="AA48" s="214"/>
      <c r="AB48" s="214"/>
      <c r="AC48" s="216" t="str">
        <f t="shared" si="56"/>
        <v/>
      </c>
      <c r="AD48" s="217" t="str">
        <f t="shared" si="2"/>
        <v/>
      </c>
      <c r="AE48" s="215" t="str">
        <f t="shared" si="51"/>
        <v/>
      </c>
      <c r="AF48" s="217" t="str">
        <f>IFERROR(IF(AG48="","",IF(AG48&lt;=0.2,"Leve",IF(AG48&lt;=0.4,"Menor",IF(AG48&lt;=0.6,"Moderado",IF(AG48&lt;=0.8,"Mayor","Catastrófico"))))),"")</f>
        <v/>
      </c>
      <c r="AG48" s="215" t="str">
        <f t="shared" si="14"/>
        <v/>
      </c>
      <c r="AH48" s="218"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19"/>
      <c r="AJ48" s="210"/>
      <c r="AK48" s="220"/>
      <c r="AL48" s="220"/>
      <c r="AM48" s="221"/>
      <c r="AN48" s="336"/>
      <c r="AO48" s="336"/>
      <c r="AP48" s="336"/>
    </row>
    <row r="49" spans="1:42" s="222" customFormat="1" ht="37.5" customHeight="1" x14ac:dyDescent="0.2">
      <c r="A49" s="350">
        <v>7</v>
      </c>
      <c r="B49" s="333"/>
      <c r="C49" s="333"/>
      <c r="D49" s="364"/>
      <c r="E49" s="333"/>
      <c r="F49" s="333"/>
      <c r="G49" s="333"/>
      <c r="H49" s="333"/>
      <c r="I49" s="333"/>
      <c r="J49" s="333"/>
      <c r="K49" s="333"/>
      <c r="L49" s="336"/>
      <c r="M49" s="341" t="str">
        <f>IF(L49&lt;=0,"",IF(L49&lt;=2,"Muy Baja",IF(L49&lt;=24,"Baja",IF(L49&lt;=500,"Media",IF(L49&lt;=5000,"Alta","Muy Alta")))))</f>
        <v/>
      </c>
      <c r="N49" s="340" t="str">
        <f>IF(M49="","",IF(M49="Muy Baja",0.2,IF(M49="Baja",0.4,IF(M49="Media",0.6,IF(M49="Alta",0.8,IF(M49="Muy Alta",1,))))))</f>
        <v/>
      </c>
      <c r="O49" s="339"/>
      <c r="P49" s="340">
        <f>IF(NOT(ISERROR(MATCH(O49,'Tabla Impacto'!$B$222:$B$224,0))),'Tabla Impacto'!$F$224&amp;"Por favor no seleccionar los criterios de impacto(Afectación Económica o presupuestal y Pérdida Reputacional)",O49)</f>
        <v>0</v>
      </c>
      <c r="Q49" s="341" t="str">
        <f>IF(OR(P49='Tabla Impacto'!$C$12,P49='Tabla Impacto'!$D$12),"Leve",IF(OR(P49='Tabla Impacto'!$C$13,P49='Tabla Impacto'!$D$13),"Menor",IF(OR(P49='Tabla Impacto'!$C$14,P49='Tabla Impacto'!$D$14),"Moderado",IF(OR(P49='Tabla Impacto'!$C$15,P49='Tabla Impacto'!$D$15),"Mayor",IF(OR(P49='Tabla Impacto'!$C$16,P49='Tabla Impacto'!$D$16),"Catastrófico","")))))</f>
        <v/>
      </c>
      <c r="R49" s="340" t="str">
        <f>IF(Q49="","",IF(Q49="Leve",0.2,IF(Q49="Menor",0.4,IF(Q49="Moderado",0.6,IF(Q49="Mayor",0.8,IF(Q49="Catastrófico",1,))))))</f>
        <v/>
      </c>
      <c r="S49" s="342"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49">
        <v>1</v>
      </c>
      <c r="U49" s="223"/>
      <c r="V49" s="213" t="str">
        <f>IF(OR(W49="Preventivo",W49="Detectivo"),"Probabilidad",IF(W49="Correctivo","Impacto",""))</f>
        <v/>
      </c>
      <c r="W49" s="214"/>
      <c r="X49" s="214"/>
      <c r="Y49" s="215" t="str">
        <f>IF(AND(W49="Preventivo",X49="Automático"),"50%",IF(AND(W49="Preventivo",X49="Manual"),"40%",IF(AND(W49="Detectivo",X49="Automático"),"40%",IF(AND(W49="Detectivo",X49="Manual"),"30%",IF(AND(W49="Correctivo",X49="Automático"),"35%",IF(AND(W49="Correctivo",X49="Manual"),"25%",""))))))</f>
        <v/>
      </c>
      <c r="Z49" s="214"/>
      <c r="AA49" s="214"/>
      <c r="AB49" s="214"/>
      <c r="AC49" s="216" t="str">
        <f>IFERROR(IF(V49="Probabilidad",(N49-(+N49*Y49)),IF(V49="Impacto",N49,"")),"")</f>
        <v/>
      </c>
      <c r="AD49" s="217" t="str">
        <f>IFERROR(IF(AC49="","",IF(AC49&lt;=0.2,"Muy Baja",IF(AC49&lt;=0.4,"Baja",IF(AC49&lt;=0.6,"Media",IF(AC49&lt;=0.8,"Alta","Muy Alta"))))),"")</f>
        <v/>
      </c>
      <c r="AE49" s="215" t="str">
        <f>+AC49</f>
        <v/>
      </c>
      <c r="AF49" s="217" t="str">
        <f>IFERROR(IF(AG49="","",IF(AG49&lt;=0.2,"Leve",IF(AG49&lt;=0.4,"Menor",IF(AG49&lt;=0.6,"Moderado",IF(AG49&lt;=0.8,"Mayor","Catastrófico"))))),"")</f>
        <v/>
      </c>
      <c r="AG49" s="215" t="str">
        <f t="shared" ref="AG49" si="58">IFERROR(IF(V49="Impacto",(R49-(+R49*Y49)),IF(V49="Probabilidad",R49,"")),"")</f>
        <v/>
      </c>
      <c r="AH49" s="218"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19"/>
      <c r="AJ49" s="210"/>
      <c r="AK49" s="220"/>
      <c r="AL49" s="220"/>
      <c r="AM49" s="221"/>
      <c r="AN49" s="336"/>
      <c r="AO49" s="336"/>
      <c r="AP49" s="336"/>
    </row>
    <row r="50" spans="1:42" s="222" customFormat="1" ht="37.5" customHeight="1" x14ac:dyDescent="0.2">
      <c r="A50" s="350"/>
      <c r="B50" s="333"/>
      <c r="C50" s="333"/>
      <c r="D50" s="364"/>
      <c r="E50" s="333"/>
      <c r="F50" s="333"/>
      <c r="G50" s="333"/>
      <c r="H50" s="333"/>
      <c r="I50" s="333"/>
      <c r="J50" s="333"/>
      <c r="K50" s="333"/>
      <c r="L50" s="336"/>
      <c r="M50" s="341"/>
      <c r="N50" s="340"/>
      <c r="O50" s="339"/>
      <c r="P50" s="340">
        <f t="shared" ref="P50:P54" si="59">IF(NOT(ISERROR(MATCH(O50,_xlfn.ANCHORARRAY(E61),0))),N63&amp;"Por favor no seleccionar los criterios de impacto",O50)</f>
        <v>0</v>
      </c>
      <c r="Q50" s="341"/>
      <c r="R50" s="340"/>
      <c r="S50" s="342"/>
      <c r="T50" s="249">
        <v>2</v>
      </c>
      <c r="U50" s="211"/>
      <c r="V50" s="213" t="str">
        <f>IF(OR(W50="Preventivo",W50="Detectivo"),"Probabilidad",IF(W50="Correctivo","Impacto",""))</f>
        <v/>
      </c>
      <c r="W50" s="214"/>
      <c r="X50" s="214"/>
      <c r="Y50" s="215" t="str">
        <f t="shared" ref="Y50:Y54" si="60">IF(AND(W50="Preventivo",X50="Automático"),"50%",IF(AND(W50="Preventivo",X50="Manual"),"40%",IF(AND(W50="Detectivo",X50="Automático"),"40%",IF(AND(W50="Detectivo",X50="Manual"),"30%",IF(AND(W50="Correctivo",X50="Automático"),"35%",IF(AND(W50="Correctivo",X50="Manual"),"25%",""))))))</f>
        <v/>
      </c>
      <c r="Z50" s="214"/>
      <c r="AA50" s="214"/>
      <c r="AB50" s="214"/>
      <c r="AC50" s="216" t="str">
        <f>IFERROR(IF(AND(V49="Probabilidad",V50="Probabilidad"),(AE49-(+AE49*Y50)),IF(V50="Probabilidad",(N49-(+N49*Y50)),IF(V50="Impacto",AE49,""))),"")</f>
        <v/>
      </c>
      <c r="AD50" s="217" t="str">
        <f t="shared" si="2"/>
        <v/>
      </c>
      <c r="AE50" s="215" t="str">
        <f t="shared" ref="AE50:AE54" si="61">+AC50</f>
        <v/>
      </c>
      <c r="AF50" s="217" t="str">
        <f t="shared" si="4"/>
        <v/>
      </c>
      <c r="AG50" s="215" t="str">
        <f t="shared" ref="AG50" si="62">IFERROR(IF(AND(V49="Impacto",V50="Impacto"),(AG49-(+AG49*Y50)),IF(V50="Impacto",($R$13-(+$R$13*Y50)),IF(V50="Probabilidad",AG49,""))),"")</f>
        <v/>
      </c>
      <c r="AH50" s="218"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19"/>
      <c r="AJ50" s="210"/>
      <c r="AK50" s="220"/>
      <c r="AL50" s="220"/>
      <c r="AM50" s="221"/>
      <c r="AN50" s="336"/>
      <c r="AO50" s="336"/>
      <c r="AP50" s="336"/>
    </row>
    <row r="51" spans="1:42" s="222" customFormat="1" ht="37.5" customHeight="1" x14ac:dyDescent="0.2">
      <c r="A51" s="350"/>
      <c r="B51" s="333"/>
      <c r="C51" s="333"/>
      <c r="D51" s="364"/>
      <c r="E51" s="333"/>
      <c r="F51" s="333"/>
      <c r="G51" s="333"/>
      <c r="H51" s="333"/>
      <c r="I51" s="333"/>
      <c r="J51" s="333"/>
      <c r="K51" s="333"/>
      <c r="L51" s="336"/>
      <c r="M51" s="341"/>
      <c r="N51" s="340"/>
      <c r="O51" s="339"/>
      <c r="P51" s="340">
        <f t="shared" si="59"/>
        <v>0</v>
      </c>
      <c r="Q51" s="341"/>
      <c r="R51" s="340"/>
      <c r="S51" s="342"/>
      <c r="T51" s="249">
        <v>3</v>
      </c>
      <c r="U51" s="212"/>
      <c r="V51" s="213" t="str">
        <f>IF(OR(W51="Preventivo",W51="Detectivo"),"Probabilidad",IF(W51="Correctivo","Impacto",""))</f>
        <v/>
      </c>
      <c r="W51" s="214"/>
      <c r="X51" s="214"/>
      <c r="Y51" s="215" t="str">
        <f t="shared" si="60"/>
        <v/>
      </c>
      <c r="Z51" s="214"/>
      <c r="AA51" s="214"/>
      <c r="AB51" s="214"/>
      <c r="AC51" s="216" t="str">
        <f>IFERROR(IF(AND(V50="Probabilidad",V51="Probabilidad"),(AE50-(+AE50*Y51)),IF(AND(V50="Impacto",V51="Probabilidad"),(AE49-(+AE49*Y51)),IF(V51="Impacto",AE50,""))),"")</f>
        <v/>
      </c>
      <c r="AD51" s="217" t="str">
        <f t="shared" si="2"/>
        <v/>
      </c>
      <c r="AE51" s="215" t="str">
        <f t="shared" si="61"/>
        <v/>
      </c>
      <c r="AF51" s="217" t="str">
        <f t="shared" si="4"/>
        <v/>
      </c>
      <c r="AG51" s="215" t="str">
        <f t="shared" ref="AG51" si="64">IFERROR(IF(AND(V50="Impacto",V51="Impacto"),(AG50-(+AG50*Y51)),IF(AND(V50="Probabilidad",V51="Impacto"),(AG49-(+AG49*Y51)),IF(V51="Probabilidad",AG50,""))),"")</f>
        <v/>
      </c>
      <c r="AH51" s="218" t="str">
        <f t="shared" si="63"/>
        <v/>
      </c>
      <c r="AI51" s="219"/>
      <c r="AJ51" s="210"/>
      <c r="AK51" s="220"/>
      <c r="AL51" s="220"/>
      <c r="AM51" s="221"/>
      <c r="AN51" s="336"/>
      <c r="AO51" s="336"/>
      <c r="AP51" s="336"/>
    </row>
    <row r="52" spans="1:42" s="222" customFormat="1" ht="37.5" customHeight="1" x14ac:dyDescent="0.2">
      <c r="A52" s="350"/>
      <c r="B52" s="333"/>
      <c r="C52" s="333"/>
      <c r="D52" s="364"/>
      <c r="E52" s="333"/>
      <c r="F52" s="333"/>
      <c r="G52" s="333"/>
      <c r="H52" s="333"/>
      <c r="I52" s="333"/>
      <c r="J52" s="333"/>
      <c r="K52" s="333"/>
      <c r="L52" s="336"/>
      <c r="M52" s="341"/>
      <c r="N52" s="340"/>
      <c r="O52" s="339"/>
      <c r="P52" s="340">
        <f t="shared" si="59"/>
        <v>0</v>
      </c>
      <c r="Q52" s="341"/>
      <c r="R52" s="340"/>
      <c r="S52" s="342"/>
      <c r="T52" s="249">
        <v>4</v>
      </c>
      <c r="U52" s="211"/>
      <c r="V52" s="213" t="str">
        <f t="shared" ref="V52:V54" si="65">IF(OR(W52="Preventivo",W52="Detectivo"),"Probabilidad",IF(W52="Correctivo","Impacto",""))</f>
        <v/>
      </c>
      <c r="W52" s="214"/>
      <c r="X52" s="214"/>
      <c r="Y52" s="215" t="str">
        <f t="shared" si="60"/>
        <v/>
      </c>
      <c r="Z52" s="214"/>
      <c r="AA52" s="214"/>
      <c r="AB52" s="214"/>
      <c r="AC52" s="216" t="str">
        <f t="shared" ref="AC52:AC54" si="66">IFERROR(IF(AND(V51="Probabilidad",V52="Probabilidad"),(AE51-(+AE51*Y52)),IF(AND(V51="Impacto",V52="Probabilidad"),(AE50-(+AE50*Y52)),IF(V52="Impacto",AE51,""))),"")</f>
        <v/>
      </c>
      <c r="AD52" s="217" t="str">
        <f t="shared" si="2"/>
        <v/>
      </c>
      <c r="AE52" s="215" t="str">
        <f t="shared" si="61"/>
        <v/>
      </c>
      <c r="AF52" s="217" t="str">
        <f t="shared" si="4"/>
        <v/>
      </c>
      <c r="AG52" s="215" t="str">
        <f t="shared" si="14"/>
        <v/>
      </c>
      <c r="AH52" s="218"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19"/>
      <c r="AJ52" s="210"/>
      <c r="AK52" s="220"/>
      <c r="AL52" s="220"/>
      <c r="AM52" s="221"/>
      <c r="AN52" s="336"/>
      <c r="AO52" s="336"/>
      <c r="AP52" s="336"/>
    </row>
    <row r="53" spans="1:42" s="222" customFormat="1" ht="37.5" customHeight="1" x14ac:dyDescent="0.2">
      <c r="A53" s="350"/>
      <c r="B53" s="333"/>
      <c r="C53" s="333"/>
      <c r="D53" s="364"/>
      <c r="E53" s="333"/>
      <c r="F53" s="333"/>
      <c r="G53" s="333"/>
      <c r="H53" s="333"/>
      <c r="I53" s="333"/>
      <c r="J53" s="333"/>
      <c r="K53" s="333"/>
      <c r="L53" s="336"/>
      <c r="M53" s="341"/>
      <c r="N53" s="340"/>
      <c r="O53" s="339"/>
      <c r="P53" s="340">
        <f t="shared" si="59"/>
        <v>0</v>
      </c>
      <c r="Q53" s="341"/>
      <c r="R53" s="340"/>
      <c r="S53" s="342"/>
      <c r="T53" s="249">
        <v>5</v>
      </c>
      <c r="U53" s="211"/>
      <c r="V53" s="213" t="str">
        <f t="shared" si="65"/>
        <v/>
      </c>
      <c r="W53" s="214"/>
      <c r="X53" s="214"/>
      <c r="Y53" s="215" t="str">
        <f t="shared" si="60"/>
        <v/>
      </c>
      <c r="Z53" s="214"/>
      <c r="AA53" s="214"/>
      <c r="AB53" s="214"/>
      <c r="AC53" s="216" t="str">
        <f t="shared" si="66"/>
        <v/>
      </c>
      <c r="AD53" s="217" t="str">
        <f t="shared" si="2"/>
        <v/>
      </c>
      <c r="AE53" s="215" t="str">
        <f t="shared" si="61"/>
        <v/>
      </c>
      <c r="AF53" s="217" t="str">
        <f t="shared" si="4"/>
        <v/>
      </c>
      <c r="AG53" s="215" t="str">
        <f t="shared" si="14"/>
        <v/>
      </c>
      <c r="AH53" s="218"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19"/>
      <c r="AJ53" s="210"/>
      <c r="AK53" s="220"/>
      <c r="AL53" s="220"/>
      <c r="AM53" s="221"/>
      <c r="AN53" s="336"/>
      <c r="AO53" s="336"/>
      <c r="AP53" s="336"/>
    </row>
    <row r="54" spans="1:42" s="222" customFormat="1" ht="37.5" customHeight="1" x14ac:dyDescent="0.2">
      <c r="A54" s="350"/>
      <c r="B54" s="333"/>
      <c r="C54" s="333"/>
      <c r="D54" s="364"/>
      <c r="E54" s="333"/>
      <c r="F54" s="333"/>
      <c r="G54" s="333"/>
      <c r="H54" s="333"/>
      <c r="I54" s="333"/>
      <c r="J54" s="333"/>
      <c r="K54" s="333"/>
      <c r="L54" s="336"/>
      <c r="M54" s="341"/>
      <c r="N54" s="340"/>
      <c r="O54" s="339"/>
      <c r="P54" s="340">
        <f t="shared" si="59"/>
        <v>0</v>
      </c>
      <c r="Q54" s="341"/>
      <c r="R54" s="340"/>
      <c r="S54" s="342"/>
      <c r="T54" s="249">
        <v>6</v>
      </c>
      <c r="U54" s="211"/>
      <c r="V54" s="213" t="str">
        <f t="shared" si="65"/>
        <v/>
      </c>
      <c r="W54" s="214"/>
      <c r="X54" s="214"/>
      <c r="Y54" s="215" t="str">
        <f t="shared" si="60"/>
        <v/>
      </c>
      <c r="Z54" s="214"/>
      <c r="AA54" s="214"/>
      <c r="AB54" s="214"/>
      <c r="AC54" s="216" t="str">
        <f t="shared" si="66"/>
        <v/>
      </c>
      <c r="AD54" s="217" t="str">
        <f t="shared" si="2"/>
        <v/>
      </c>
      <c r="AE54" s="215" t="str">
        <f t="shared" si="61"/>
        <v/>
      </c>
      <c r="AF54" s="217" t="str">
        <f t="shared" si="4"/>
        <v/>
      </c>
      <c r="AG54" s="215" t="str">
        <f t="shared" si="14"/>
        <v/>
      </c>
      <c r="AH54" s="218" t="str">
        <f t="shared" si="67"/>
        <v/>
      </c>
      <c r="AI54" s="219"/>
      <c r="AJ54" s="210"/>
      <c r="AK54" s="220"/>
      <c r="AL54" s="220"/>
      <c r="AM54" s="221"/>
      <c r="AN54" s="336"/>
      <c r="AO54" s="336"/>
      <c r="AP54" s="336"/>
    </row>
    <row r="55" spans="1:42" s="222" customFormat="1" ht="37.5" customHeight="1" x14ac:dyDescent="0.2">
      <c r="A55" s="350">
        <v>8</v>
      </c>
      <c r="B55" s="333"/>
      <c r="C55" s="333"/>
      <c r="D55" s="333"/>
      <c r="E55" s="333"/>
      <c r="F55" s="333"/>
      <c r="G55" s="333"/>
      <c r="H55" s="333"/>
      <c r="I55" s="333"/>
      <c r="J55" s="333"/>
      <c r="K55" s="333"/>
      <c r="L55" s="336"/>
      <c r="M55" s="341" t="str">
        <f>IF(L55&lt;=0,"",IF(L55&lt;=2,"Muy Baja",IF(L55&lt;=24,"Baja",IF(L55&lt;=500,"Media",IF(L55&lt;=5000,"Alta","Muy Alta")))))</f>
        <v/>
      </c>
      <c r="N55" s="340" t="str">
        <f>IF(M55="","",IF(M55="Muy Baja",0.2,IF(M55="Baja",0.4,IF(M55="Media",0.6,IF(M55="Alta",0.8,IF(M55="Muy Alta",1,))))))</f>
        <v/>
      </c>
      <c r="O55" s="339"/>
      <c r="P55" s="340">
        <f>IF(NOT(ISERROR(MATCH(O55,'Tabla Impacto'!$B$222:$B$224,0))),'Tabla Impacto'!$F$224&amp;"Por favor no seleccionar los criterios de impacto(Afectación Económica o presupuestal y Pérdida Reputacional)",O55)</f>
        <v>0</v>
      </c>
      <c r="Q55" s="341" t="str">
        <f>IF(OR(P55='Tabla Impacto'!$C$12,P55='Tabla Impacto'!$D$12),"Leve",IF(OR(P55='Tabla Impacto'!$C$13,P55='Tabla Impacto'!$D$13),"Menor",IF(OR(P55='Tabla Impacto'!$C$14,P55='Tabla Impacto'!$D$14),"Moderado",IF(OR(P55='Tabla Impacto'!$C$15,P55='Tabla Impacto'!$D$15),"Mayor",IF(OR(P55='Tabla Impacto'!$C$16,P55='Tabla Impacto'!$D$16),"Catastrófico","")))))</f>
        <v/>
      </c>
      <c r="R55" s="340" t="str">
        <f>IF(Q55="","",IF(Q55="Leve",0.2,IF(Q55="Menor",0.4,IF(Q55="Moderado",0.6,IF(Q55="Mayor",0.8,IF(Q55="Catastrófico",1,))))))</f>
        <v/>
      </c>
      <c r="S55" s="342"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49">
        <v>1</v>
      </c>
      <c r="U55" s="211"/>
      <c r="V55" s="213" t="str">
        <f>IF(OR(W55="Preventivo",W55="Detectivo"),"Probabilidad",IF(W55="Correctivo","Impacto",""))</f>
        <v/>
      </c>
      <c r="W55" s="214"/>
      <c r="X55" s="214"/>
      <c r="Y55" s="215" t="str">
        <f>IF(AND(W55="Preventivo",X55="Automático"),"50%",IF(AND(W55="Preventivo",X55="Manual"),"40%",IF(AND(W55="Detectivo",X55="Automático"),"40%",IF(AND(W55="Detectivo",X55="Manual"),"30%",IF(AND(W55="Correctivo",X55="Automático"),"35%",IF(AND(W55="Correctivo",X55="Manual"),"25%",""))))))</f>
        <v/>
      </c>
      <c r="Z55" s="214"/>
      <c r="AA55" s="214"/>
      <c r="AB55" s="214"/>
      <c r="AC55" s="216" t="str">
        <f>IFERROR(IF(V55="Probabilidad",(N55-(+N55*Y55)),IF(V55="Impacto",N55,"")),"")</f>
        <v/>
      </c>
      <c r="AD55" s="217" t="str">
        <f>IFERROR(IF(AC55="","",IF(AC55&lt;=0.2,"Muy Baja",IF(AC55&lt;=0.4,"Baja",IF(AC55&lt;=0.6,"Media",IF(AC55&lt;=0.8,"Alta","Muy Alta"))))),"")</f>
        <v/>
      </c>
      <c r="AE55" s="215" t="str">
        <f>+AC55</f>
        <v/>
      </c>
      <c r="AF55" s="217" t="str">
        <f>IFERROR(IF(AG55="","",IF(AG55&lt;=0.2,"Leve",IF(AG55&lt;=0.4,"Menor",IF(AG55&lt;=0.6,"Moderado",IF(AG55&lt;=0.8,"Mayor","Catastrófico"))))),"")</f>
        <v/>
      </c>
      <c r="AG55" s="215" t="str">
        <f t="shared" ref="AG55" si="68">IFERROR(IF(V55="Impacto",(R55-(+R55*Y55)),IF(V55="Probabilidad",R55,"")),"")</f>
        <v/>
      </c>
      <c r="AH55" s="218"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19"/>
      <c r="AJ55" s="210"/>
      <c r="AK55" s="220"/>
      <c r="AL55" s="220"/>
      <c r="AM55" s="221"/>
      <c r="AN55" s="336"/>
      <c r="AO55" s="336"/>
      <c r="AP55" s="336"/>
    </row>
    <row r="56" spans="1:42" s="222" customFormat="1" ht="37.5" customHeight="1" x14ac:dyDescent="0.2">
      <c r="A56" s="350"/>
      <c r="B56" s="333"/>
      <c r="C56" s="333"/>
      <c r="D56" s="333"/>
      <c r="E56" s="333"/>
      <c r="F56" s="333"/>
      <c r="G56" s="333"/>
      <c r="H56" s="333"/>
      <c r="I56" s="333"/>
      <c r="J56" s="333"/>
      <c r="K56" s="333"/>
      <c r="L56" s="336"/>
      <c r="M56" s="341"/>
      <c r="N56" s="340"/>
      <c r="O56" s="339"/>
      <c r="P56" s="340">
        <f>IF(NOT(ISERROR(MATCH(O56,_xlfn.ANCHORARRAY(E67),0))),N69&amp;"Por favor no seleccionar los criterios de impacto",O56)</f>
        <v>0</v>
      </c>
      <c r="Q56" s="341"/>
      <c r="R56" s="340"/>
      <c r="S56" s="342"/>
      <c r="T56" s="249">
        <v>2</v>
      </c>
      <c r="U56" s="211"/>
      <c r="V56" s="213" t="str">
        <f>IF(OR(W56="Preventivo",W56="Detectivo"),"Probabilidad",IF(W56="Correctivo","Impacto",""))</f>
        <v/>
      </c>
      <c r="W56" s="214"/>
      <c r="X56" s="214"/>
      <c r="Y56" s="215" t="str">
        <f t="shared" ref="Y56:Y60" si="69">IF(AND(W56="Preventivo",X56="Automático"),"50%",IF(AND(W56="Preventivo",X56="Manual"),"40%",IF(AND(W56="Detectivo",X56="Automático"),"40%",IF(AND(W56="Detectivo",X56="Manual"),"30%",IF(AND(W56="Correctivo",X56="Automático"),"35%",IF(AND(W56="Correctivo",X56="Manual"),"25%",""))))))</f>
        <v/>
      </c>
      <c r="Z56" s="214"/>
      <c r="AA56" s="214"/>
      <c r="AB56" s="214"/>
      <c r="AC56" s="216" t="str">
        <f>IFERROR(IF(AND(V55="Probabilidad",V56="Probabilidad"),(AE55-(+AE55*Y56)),IF(V56="Probabilidad",(N55-(+N55*Y56)),IF(V56="Impacto",AE55,""))),"")</f>
        <v/>
      </c>
      <c r="AD56" s="217" t="str">
        <f t="shared" si="2"/>
        <v/>
      </c>
      <c r="AE56" s="215" t="str">
        <f t="shared" ref="AE56:AE60" si="70">+AC56</f>
        <v/>
      </c>
      <c r="AF56" s="217" t="str">
        <f t="shared" si="4"/>
        <v/>
      </c>
      <c r="AG56" s="215" t="str">
        <f t="shared" ref="AG56" si="71">IFERROR(IF(AND(V55="Impacto",V56="Impacto"),(AG55-(+AG55*Y56)),IF(V56="Impacto",($R$13-(+$R$13*Y56)),IF(V56="Probabilidad",AG55,""))),"")</f>
        <v/>
      </c>
      <c r="AH56" s="218"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19"/>
      <c r="AJ56" s="210"/>
      <c r="AK56" s="220"/>
      <c r="AL56" s="220"/>
      <c r="AM56" s="221"/>
      <c r="AN56" s="336"/>
      <c r="AO56" s="336"/>
      <c r="AP56" s="336"/>
    </row>
    <row r="57" spans="1:42" s="222" customFormat="1" ht="37.5" customHeight="1" x14ac:dyDescent="0.2">
      <c r="A57" s="350"/>
      <c r="B57" s="333"/>
      <c r="C57" s="333"/>
      <c r="D57" s="333"/>
      <c r="E57" s="333"/>
      <c r="F57" s="333"/>
      <c r="G57" s="333"/>
      <c r="H57" s="333"/>
      <c r="I57" s="333"/>
      <c r="J57" s="333"/>
      <c r="K57" s="333"/>
      <c r="L57" s="336"/>
      <c r="M57" s="341"/>
      <c r="N57" s="340"/>
      <c r="O57" s="339"/>
      <c r="P57" s="340">
        <f>IF(NOT(ISERROR(MATCH(O57,_xlfn.ANCHORARRAY(E68),0))),N70&amp;"Por favor no seleccionar los criterios de impacto",O57)</f>
        <v>0</v>
      </c>
      <c r="Q57" s="341"/>
      <c r="R57" s="340"/>
      <c r="S57" s="342"/>
      <c r="T57" s="249">
        <v>3</v>
      </c>
      <c r="U57" s="212"/>
      <c r="V57" s="213" t="str">
        <f>IF(OR(W57="Preventivo",W57="Detectivo"),"Probabilidad",IF(W57="Correctivo","Impacto",""))</f>
        <v/>
      </c>
      <c r="W57" s="214"/>
      <c r="X57" s="214"/>
      <c r="Y57" s="215" t="str">
        <f t="shared" si="69"/>
        <v/>
      </c>
      <c r="Z57" s="214"/>
      <c r="AA57" s="214"/>
      <c r="AB57" s="214"/>
      <c r="AC57" s="216" t="str">
        <f>IFERROR(IF(AND(V56="Probabilidad",V57="Probabilidad"),(AE56-(+AE56*Y57)),IF(AND(V56="Impacto",V57="Probabilidad"),(AE55-(+AE55*Y57)),IF(V57="Impacto",AE56,""))),"")</f>
        <v/>
      </c>
      <c r="AD57" s="217" t="str">
        <f t="shared" si="2"/>
        <v/>
      </c>
      <c r="AE57" s="215" t="str">
        <f t="shared" si="70"/>
        <v/>
      </c>
      <c r="AF57" s="217" t="str">
        <f t="shared" si="4"/>
        <v/>
      </c>
      <c r="AG57" s="215" t="str">
        <f t="shared" ref="AG57" si="73">IFERROR(IF(AND(V56="Impacto",V57="Impacto"),(AG56-(+AG56*Y57)),IF(AND(V56="Probabilidad",V57="Impacto"),(AG55-(+AG55*Y57)),IF(V57="Probabilidad",AG56,""))),"")</f>
        <v/>
      </c>
      <c r="AH57" s="218" t="str">
        <f t="shared" si="72"/>
        <v/>
      </c>
      <c r="AI57" s="219"/>
      <c r="AJ57" s="210"/>
      <c r="AK57" s="220"/>
      <c r="AL57" s="220"/>
      <c r="AM57" s="221"/>
      <c r="AN57" s="336"/>
      <c r="AO57" s="336"/>
      <c r="AP57" s="336"/>
    </row>
    <row r="58" spans="1:42" s="222" customFormat="1" ht="37.5" customHeight="1" x14ac:dyDescent="0.2">
      <c r="A58" s="350"/>
      <c r="B58" s="333"/>
      <c r="C58" s="333"/>
      <c r="D58" s="333"/>
      <c r="E58" s="333"/>
      <c r="F58" s="333"/>
      <c r="G58" s="333"/>
      <c r="H58" s="333"/>
      <c r="I58" s="333"/>
      <c r="J58" s="333"/>
      <c r="K58" s="333"/>
      <c r="L58" s="336"/>
      <c r="M58" s="341"/>
      <c r="N58" s="340"/>
      <c r="O58" s="339"/>
      <c r="P58" s="340">
        <f>IF(NOT(ISERROR(MATCH(O58,_xlfn.ANCHORARRAY(E69),0))),N71&amp;"Por favor no seleccionar los criterios de impacto",O58)</f>
        <v>0</v>
      </c>
      <c r="Q58" s="341"/>
      <c r="R58" s="340"/>
      <c r="S58" s="342"/>
      <c r="T58" s="249">
        <v>4</v>
      </c>
      <c r="U58" s="211"/>
      <c r="V58" s="213" t="str">
        <f t="shared" ref="V58:V60" si="74">IF(OR(W58="Preventivo",W58="Detectivo"),"Probabilidad",IF(W58="Correctivo","Impacto",""))</f>
        <v/>
      </c>
      <c r="W58" s="214"/>
      <c r="X58" s="214"/>
      <c r="Y58" s="215" t="str">
        <f t="shared" si="69"/>
        <v/>
      </c>
      <c r="Z58" s="214"/>
      <c r="AA58" s="214"/>
      <c r="AB58" s="214"/>
      <c r="AC58" s="216" t="str">
        <f t="shared" ref="AC58:AC60" si="75">IFERROR(IF(AND(V57="Probabilidad",V58="Probabilidad"),(AE57-(+AE57*Y58)),IF(AND(V57="Impacto",V58="Probabilidad"),(AE56-(+AE56*Y58)),IF(V58="Impacto",AE57,""))),"")</f>
        <v/>
      </c>
      <c r="AD58" s="217" t="str">
        <f t="shared" si="2"/>
        <v/>
      </c>
      <c r="AE58" s="215" t="str">
        <f t="shared" si="70"/>
        <v/>
      </c>
      <c r="AF58" s="217" t="str">
        <f t="shared" si="4"/>
        <v/>
      </c>
      <c r="AG58" s="215" t="str">
        <f t="shared" si="14"/>
        <v/>
      </c>
      <c r="AH58" s="218"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19"/>
      <c r="AJ58" s="210"/>
      <c r="AK58" s="220"/>
      <c r="AL58" s="220"/>
      <c r="AM58" s="221"/>
      <c r="AN58" s="336"/>
      <c r="AO58" s="336"/>
      <c r="AP58" s="336"/>
    </row>
    <row r="59" spans="1:42" s="222" customFormat="1" ht="37.5" customHeight="1" x14ac:dyDescent="0.2">
      <c r="A59" s="350"/>
      <c r="B59" s="333"/>
      <c r="C59" s="333"/>
      <c r="D59" s="333"/>
      <c r="E59" s="333"/>
      <c r="F59" s="333"/>
      <c r="G59" s="333"/>
      <c r="H59" s="333"/>
      <c r="I59" s="333"/>
      <c r="J59" s="333"/>
      <c r="K59" s="333"/>
      <c r="L59" s="336"/>
      <c r="M59" s="341"/>
      <c r="N59" s="340"/>
      <c r="O59" s="339"/>
      <c r="P59" s="340">
        <f>IF(NOT(ISERROR(MATCH(O59,_xlfn.ANCHORARRAY(E70),0))),N72&amp;"Por favor no seleccionar los criterios de impacto",O59)</f>
        <v>0</v>
      </c>
      <c r="Q59" s="341"/>
      <c r="R59" s="340"/>
      <c r="S59" s="342"/>
      <c r="T59" s="249">
        <v>5</v>
      </c>
      <c r="U59" s="211"/>
      <c r="V59" s="213" t="str">
        <f t="shared" si="74"/>
        <v/>
      </c>
      <c r="W59" s="214"/>
      <c r="X59" s="214"/>
      <c r="Y59" s="215" t="str">
        <f t="shared" si="69"/>
        <v/>
      </c>
      <c r="Z59" s="214"/>
      <c r="AA59" s="214"/>
      <c r="AB59" s="214"/>
      <c r="AC59" s="216" t="str">
        <f t="shared" si="75"/>
        <v/>
      </c>
      <c r="AD59" s="217" t="str">
        <f t="shared" si="2"/>
        <v/>
      </c>
      <c r="AE59" s="215" t="str">
        <f t="shared" si="70"/>
        <v/>
      </c>
      <c r="AF59" s="217" t="str">
        <f t="shared" si="4"/>
        <v/>
      </c>
      <c r="AG59" s="215" t="str">
        <f t="shared" si="14"/>
        <v/>
      </c>
      <c r="AH59" s="218"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19"/>
      <c r="AJ59" s="210"/>
      <c r="AK59" s="220"/>
      <c r="AL59" s="220"/>
      <c r="AM59" s="221"/>
      <c r="AN59" s="336"/>
      <c r="AO59" s="336"/>
      <c r="AP59" s="336"/>
    </row>
    <row r="60" spans="1:42" s="222" customFormat="1" ht="37.5" customHeight="1" x14ac:dyDescent="0.2">
      <c r="A60" s="350"/>
      <c r="B60" s="333"/>
      <c r="C60" s="333"/>
      <c r="D60" s="333"/>
      <c r="E60" s="333"/>
      <c r="F60" s="333"/>
      <c r="G60" s="333"/>
      <c r="H60" s="333"/>
      <c r="I60" s="333"/>
      <c r="J60" s="333"/>
      <c r="K60" s="333"/>
      <c r="L60" s="336"/>
      <c r="M60" s="341"/>
      <c r="N60" s="340"/>
      <c r="O60" s="339"/>
      <c r="P60" s="340">
        <f>IF(NOT(ISERROR(MATCH(O60,_xlfn.ANCHORARRAY(E71),0))),N73&amp;"Por favor no seleccionar los criterios de impacto",O60)</f>
        <v>0</v>
      </c>
      <c r="Q60" s="341"/>
      <c r="R60" s="340"/>
      <c r="S60" s="342"/>
      <c r="T60" s="249">
        <v>6</v>
      </c>
      <c r="U60" s="211"/>
      <c r="V60" s="213" t="str">
        <f t="shared" si="74"/>
        <v/>
      </c>
      <c r="W60" s="214"/>
      <c r="X60" s="214"/>
      <c r="Y60" s="215" t="str">
        <f t="shared" si="69"/>
        <v/>
      </c>
      <c r="Z60" s="214"/>
      <c r="AA60" s="214"/>
      <c r="AB60" s="214"/>
      <c r="AC60" s="216" t="str">
        <f t="shared" si="75"/>
        <v/>
      </c>
      <c r="AD60" s="217" t="str">
        <f t="shared" si="2"/>
        <v/>
      </c>
      <c r="AE60" s="215" t="str">
        <f t="shared" si="70"/>
        <v/>
      </c>
      <c r="AF60" s="217" t="str">
        <f t="shared" si="4"/>
        <v/>
      </c>
      <c r="AG60" s="215" t="str">
        <f t="shared" si="14"/>
        <v/>
      </c>
      <c r="AH60" s="218" t="str">
        <f t="shared" si="76"/>
        <v/>
      </c>
      <c r="AI60" s="219"/>
      <c r="AJ60" s="210"/>
      <c r="AK60" s="220"/>
      <c r="AL60" s="220"/>
      <c r="AM60" s="221"/>
      <c r="AN60" s="336"/>
      <c r="AO60" s="336"/>
      <c r="AP60" s="336"/>
    </row>
    <row r="61" spans="1:42" s="222" customFormat="1" ht="37.5" customHeight="1" x14ac:dyDescent="0.2">
      <c r="A61" s="350">
        <v>9</v>
      </c>
      <c r="B61" s="333"/>
      <c r="C61" s="333"/>
      <c r="D61" s="333"/>
      <c r="E61" s="333"/>
      <c r="F61" s="333"/>
      <c r="G61" s="333"/>
      <c r="H61" s="333"/>
      <c r="I61" s="333"/>
      <c r="J61" s="333"/>
      <c r="K61" s="333"/>
      <c r="L61" s="336"/>
      <c r="M61" s="341" t="str">
        <f>IF(L61&lt;=0,"",IF(L61&lt;=2,"Muy Baja",IF(L61&lt;=24,"Baja",IF(L61&lt;=500,"Media",IF(L61&lt;=5000,"Alta","Muy Alta")))))</f>
        <v/>
      </c>
      <c r="N61" s="340" t="str">
        <f>IF(M61="","",IF(M61="Muy Baja",0.2,IF(M61="Baja",0.4,IF(M61="Media",0.6,IF(M61="Alta",0.8,IF(M61="Muy Alta",1,))))))</f>
        <v/>
      </c>
      <c r="O61" s="339"/>
      <c r="P61" s="340">
        <f>IF(NOT(ISERROR(MATCH(O61,'Tabla Impacto'!$B$222:$B$224,0))),'Tabla Impacto'!$F$224&amp;"Por favor no seleccionar los criterios de impacto(Afectación Económica o presupuestal y Pérdida Reputacional)",O61)</f>
        <v>0</v>
      </c>
      <c r="Q61" s="341" t="str">
        <f>IF(OR(P61='Tabla Impacto'!$C$12,P61='Tabla Impacto'!$D$12),"Leve",IF(OR(P61='Tabla Impacto'!$C$13,P61='Tabla Impacto'!$D$13),"Menor",IF(OR(P61='Tabla Impacto'!$C$14,P61='Tabla Impacto'!$D$14),"Moderado",IF(OR(P61='Tabla Impacto'!$C$15,P61='Tabla Impacto'!$D$15),"Mayor",IF(OR(P61='Tabla Impacto'!$C$16,P61='Tabla Impacto'!$D$16),"Catastrófico","")))))</f>
        <v/>
      </c>
      <c r="R61" s="340" t="str">
        <f>IF(Q61="","",IF(Q61="Leve",0.2,IF(Q61="Menor",0.4,IF(Q61="Moderado",0.6,IF(Q61="Mayor",0.8,IF(Q61="Catastrófico",1,))))))</f>
        <v/>
      </c>
      <c r="S61" s="342"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49">
        <v>1</v>
      </c>
      <c r="U61" s="211"/>
      <c r="V61" s="213" t="str">
        <f>IF(OR(W61="Preventivo",W61="Detectivo"),"Probabilidad",IF(W61="Correctivo","Impacto",""))</f>
        <v/>
      </c>
      <c r="W61" s="214"/>
      <c r="X61" s="214"/>
      <c r="Y61" s="215" t="str">
        <f>IF(AND(W61="Preventivo",X61="Automático"),"50%",IF(AND(W61="Preventivo",X61="Manual"),"40%",IF(AND(W61="Detectivo",X61="Automático"),"40%",IF(AND(W61="Detectivo",X61="Manual"),"30%",IF(AND(W61="Correctivo",X61="Automático"),"35%",IF(AND(W61="Correctivo",X61="Manual"),"25%",""))))))</f>
        <v/>
      </c>
      <c r="Z61" s="214"/>
      <c r="AA61" s="214"/>
      <c r="AB61" s="214"/>
      <c r="AC61" s="216" t="str">
        <f>IFERROR(IF(V61="Probabilidad",(N61-(+N61*Y61)),IF(V61="Impacto",N61,"")),"")</f>
        <v/>
      </c>
      <c r="AD61" s="217" t="str">
        <f>IFERROR(IF(AC61="","",IF(AC61&lt;=0.2,"Muy Baja",IF(AC61&lt;=0.4,"Baja",IF(AC61&lt;=0.6,"Media",IF(AC61&lt;=0.8,"Alta","Muy Alta"))))),"")</f>
        <v/>
      </c>
      <c r="AE61" s="215" t="str">
        <f>+AC61</f>
        <v/>
      </c>
      <c r="AF61" s="217" t="str">
        <f>IFERROR(IF(AG61="","",IF(AG61&lt;=0.2,"Leve",IF(AG61&lt;=0.4,"Menor",IF(AG61&lt;=0.6,"Moderado",IF(AG61&lt;=0.8,"Mayor","Catastrófico"))))),"")</f>
        <v/>
      </c>
      <c r="AG61" s="215" t="str">
        <f t="shared" ref="AG61" si="77">IFERROR(IF(V61="Impacto",(R61-(+R61*Y61)),IF(V61="Probabilidad",R61,"")),"")</f>
        <v/>
      </c>
      <c r="AH61" s="218"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19"/>
      <c r="AJ61" s="210"/>
      <c r="AK61" s="220"/>
      <c r="AL61" s="220"/>
      <c r="AM61" s="221"/>
      <c r="AN61" s="336"/>
      <c r="AO61" s="336"/>
      <c r="AP61" s="336"/>
    </row>
    <row r="62" spans="1:42" s="222" customFormat="1" ht="37.5" customHeight="1" x14ac:dyDescent="0.2">
      <c r="A62" s="350"/>
      <c r="B62" s="333"/>
      <c r="C62" s="333"/>
      <c r="D62" s="333"/>
      <c r="E62" s="333"/>
      <c r="F62" s="333"/>
      <c r="G62" s="333"/>
      <c r="H62" s="333"/>
      <c r="I62" s="333"/>
      <c r="J62" s="333"/>
      <c r="K62" s="333"/>
      <c r="L62" s="336"/>
      <c r="M62" s="341"/>
      <c r="N62" s="340"/>
      <c r="O62" s="339"/>
      <c r="P62" s="340">
        <f>IF(NOT(ISERROR(MATCH(O62,_xlfn.ANCHORARRAY(E73),0))),N75&amp;"Por favor no seleccionar los criterios de impacto",O62)</f>
        <v>0</v>
      </c>
      <c r="Q62" s="341"/>
      <c r="R62" s="340"/>
      <c r="S62" s="342"/>
      <c r="T62" s="249">
        <v>2</v>
      </c>
      <c r="U62" s="211"/>
      <c r="V62" s="213" t="str">
        <f>IF(OR(W62="Preventivo",W62="Detectivo"),"Probabilidad",IF(W62="Correctivo","Impacto",""))</f>
        <v/>
      </c>
      <c r="W62" s="214"/>
      <c r="X62" s="214"/>
      <c r="Y62" s="215" t="str">
        <f t="shared" ref="Y62:Y66" si="78">IF(AND(W62="Preventivo",X62="Automático"),"50%",IF(AND(W62="Preventivo",X62="Manual"),"40%",IF(AND(W62="Detectivo",X62="Automático"),"40%",IF(AND(W62="Detectivo",X62="Manual"),"30%",IF(AND(W62="Correctivo",X62="Automático"),"35%",IF(AND(W62="Correctivo",X62="Manual"),"25%",""))))))</f>
        <v/>
      </c>
      <c r="Z62" s="214"/>
      <c r="AA62" s="214"/>
      <c r="AB62" s="214"/>
      <c r="AC62" s="216" t="str">
        <f>IFERROR(IF(AND(V61="Probabilidad",V62="Probabilidad"),(AE61-(+AE61*Y62)),IF(V62="Probabilidad",(N61-(+N61*Y62)),IF(V62="Impacto",AE61,""))),"")</f>
        <v/>
      </c>
      <c r="AD62" s="217" t="str">
        <f t="shared" si="2"/>
        <v/>
      </c>
      <c r="AE62" s="215" t="str">
        <f t="shared" ref="AE62:AE66" si="79">+AC62</f>
        <v/>
      </c>
      <c r="AF62" s="217" t="str">
        <f t="shared" si="4"/>
        <v/>
      </c>
      <c r="AG62" s="215" t="str">
        <f t="shared" ref="AG62" si="80">IFERROR(IF(AND(V61="Impacto",V62="Impacto"),(AG61-(+AG61*Y62)),IF(V62="Impacto",($R$13-(+$R$13*Y62)),IF(V62="Probabilidad",AG61,""))),"")</f>
        <v/>
      </c>
      <c r="AH62" s="218"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19"/>
      <c r="AJ62" s="210"/>
      <c r="AK62" s="220"/>
      <c r="AL62" s="220"/>
      <c r="AM62" s="221"/>
      <c r="AN62" s="336"/>
      <c r="AO62" s="336"/>
      <c r="AP62" s="336"/>
    </row>
    <row r="63" spans="1:42" s="222" customFormat="1" ht="37.5" customHeight="1" x14ac:dyDescent="0.2">
      <c r="A63" s="350"/>
      <c r="B63" s="333"/>
      <c r="C63" s="333"/>
      <c r="D63" s="333"/>
      <c r="E63" s="333"/>
      <c r="F63" s="333"/>
      <c r="G63" s="333"/>
      <c r="H63" s="333"/>
      <c r="I63" s="333"/>
      <c r="J63" s="333"/>
      <c r="K63" s="333"/>
      <c r="L63" s="336"/>
      <c r="M63" s="341"/>
      <c r="N63" s="340"/>
      <c r="O63" s="339"/>
      <c r="P63" s="340">
        <f>IF(NOT(ISERROR(MATCH(O63,_xlfn.ANCHORARRAY(E74),0))),N76&amp;"Por favor no seleccionar los criterios de impacto",O63)</f>
        <v>0</v>
      </c>
      <c r="Q63" s="341"/>
      <c r="R63" s="340"/>
      <c r="S63" s="342"/>
      <c r="T63" s="249">
        <v>3</v>
      </c>
      <c r="U63" s="211"/>
      <c r="V63" s="213" t="str">
        <f>IF(OR(W63="Preventivo",W63="Detectivo"),"Probabilidad",IF(W63="Correctivo","Impacto",""))</f>
        <v/>
      </c>
      <c r="W63" s="214"/>
      <c r="X63" s="214"/>
      <c r="Y63" s="215" t="str">
        <f t="shared" si="78"/>
        <v/>
      </c>
      <c r="Z63" s="214"/>
      <c r="AA63" s="214"/>
      <c r="AB63" s="214"/>
      <c r="AC63" s="216" t="str">
        <f>IFERROR(IF(AND(V62="Probabilidad",V63="Probabilidad"),(AE62-(+AE62*Y63)),IF(AND(V62="Impacto",V63="Probabilidad"),(AE61-(+AE61*Y63)),IF(V63="Impacto",AE62,""))),"")</f>
        <v/>
      </c>
      <c r="AD63" s="217" t="str">
        <f t="shared" si="2"/>
        <v/>
      </c>
      <c r="AE63" s="215" t="str">
        <f t="shared" si="79"/>
        <v/>
      </c>
      <c r="AF63" s="217" t="str">
        <f t="shared" si="4"/>
        <v/>
      </c>
      <c r="AG63" s="215" t="str">
        <f t="shared" ref="AG63" si="82">IFERROR(IF(AND(V62="Impacto",V63="Impacto"),(AG62-(+AG62*Y63)),IF(AND(V62="Probabilidad",V63="Impacto"),(AG61-(+AG61*Y63)),IF(V63="Probabilidad",AG62,""))),"")</f>
        <v/>
      </c>
      <c r="AH63" s="218" t="str">
        <f t="shared" si="81"/>
        <v/>
      </c>
      <c r="AI63" s="219"/>
      <c r="AJ63" s="210"/>
      <c r="AK63" s="220"/>
      <c r="AL63" s="220"/>
      <c r="AM63" s="221"/>
      <c r="AN63" s="336"/>
      <c r="AO63" s="336"/>
      <c r="AP63" s="336"/>
    </row>
    <row r="64" spans="1:42" s="222" customFormat="1" ht="37.5" customHeight="1" x14ac:dyDescent="0.2">
      <c r="A64" s="350"/>
      <c r="B64" s="333"/>
      <c r="C64" s="333"/>
      <c r="D64" s="333"/>
      <c r="E64" s="333"/>
      <c r="F64" s="333"/>
      <c r="G64" s="333"/>
      <c r="H64" s="333"/>
      <c r="I64" s="333"/>
      <c r="J64" s="333"/>
      <c r="K64" s="333"/>
      <c r="L64" s="336"/>
      <c r="M64" s="341"/>
      <c r="N64" s="340"/>
      <c r="O64" s="339"/>
      <c r="P64" s="340">
        <f>IF(NOT(ISERROR(MATCH(O64,_xlfn.ANCHORARRAY(E75),0))),N77&amp;"Por favor no seleccionar los criterios de impacto",O64)</f>
        <v>0</v>
      </c>
      <c r="Q64" s="341"/>
      <c r="R64" s="340"/>
      <c r="S64" s="342"/>
      <c r="T64" s="249">
        <v>4</v>
      </c>
      <c r="U64" s="211"/>
      <c r="V64" s="213" t="str">
        <f t="shared" ref="V64:V66" si="83">IF(OR(W64="Preventivo",W64="Detectivo"),"Probabilidad",IF(W64="Correctivo","Impacto",""))</f>
        <v/>
      </c>
      <c r="W64" s="214"/>
      <c r="X64" s="214"/>
      <c r="Y64" s="215" t="str">
        <f t="shared" si="78"/>
        <v/>
      </c>
      <c r="Z64" s="214"/>
      <c r="AA64" s="214"/>
      <c r="AB64" s="214"/>
      <c r="AC64" s="216" t="str">
        <f t="shared" ref="AC64:AC66" si="84">IFERROR(IF(AND(V63="Probabilidad",V64="Probabilidad"),(AE63-(+AE63*Y64)),IF(AND(V63="Impacto",V64="Probabilidad"),(AE62-(+AE62*Y64)),IF(V64="Impacto",AE63,""))),"")</f>
        <v/>
      </c>
      <c r="AD64" s="217" t="str">
        <f t="shared" si="2"/>
        <v/>
      </c>
      <c r="AE64" s="215" t="str">
        <f t="shared" si="79"/>
        <v/>
      </c>
      <c r="AF64" s="217" t="str">
        <f t="shared" si="4"/>
        <v/>
      </c>
      <c r="AG64" s="215" t="str">
        <f t="shared" si="14"/>
        <v/>
      </c>
      <c r="AH64" s="218"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19"/>
      <c r="AJ64" s="210"/>
      <c r="AK64" s="220"/>
      <c r="AL64" s="220"/>
      <c r="AM64" s="221"/>
      <c r="AN64" s="336"/>
      <c r="AO64" s="336"/>
      <c r="AP64" s="336"/>
    </row>
    <row r="65" spans="1:42" s="222" customFormat="1" ht="37.5" customHeight="1" x14ac:dyDescent="0.2">
      <c r="A65" s="350"/>
      <c r="B65" s="333"/>
      <c r="C65" s="333"/>
      <c r="D65" s="333"/>
      <c r="E65" s="333"/>
      <c r="F65" s="333"/>
      <c r="G65" s="333"/>
      <c r="H65" s="333"/>
      <c r="I65" s="333"/>
      <c r="J65" s="333"/>
      <c r="K65" s="333"/>
      <c r="L65" s="336"/>
      <c r="M65" s="341"/>
      <c r="N65" s="340"/>
      <c r="O65" s="339"/>
      <c r="P65" s="340">
        <f>IF(NOT(ISERROR(MATCH(O65,_xlfn.ANCHORARRAY(E76),0))),N78&amp;"Por favor no seleccionar los criterios de impacto",O65)</f>
        <v>0</v>
      </c>
      <c r="Q65" s="341"/>
      <c r="R65" s="340"/>
      <c r="S65" s="342"/>
      <c r="T65" s="249">
        <v>5</v>
      </c>
      <c r="U65" s="211"/>
      <c r="V65" s="213" t="str">
        <f t="shared" si="83"/>
        <v/>
      </c>
      <c r="W65" s="214"/>
      <c r="X65" s="214"/>
      <c r="Y65" s="215" t="str">
        <f t="shared" si="78"/>
        <v/>
      </c>
      <c r="Z65" s="214"/>
      <c r="AA65" s="214"/>
      <c r="AB65" s="214"/>
      <c r="AC65" s="216" t="str">
        <f t="shared" si="84"/>
        <v/>
      </c>
      <c r="AD65" s="217" t="str">
        <f t="shared" si="2"/>
        <v/>
      </c>
      <c r="AE65" s="215" t="str">
        <f t="shared" si="79"/>
        <v/>
      </c>
      <c r="AF65" s="217" t="str">
        <f t="shared" si="4"/>
        <v/>
      </c>
      <c r="AG65" s="215" t="str">
        <f t="shared" si="14"/>
        <v/>
      </c>
      <c r="AH65" s="218"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19"/>
      <c r="AJ65" s="210"/>
      <c r="AK65" s="220"/>
      <c r="AL65" s="220"/>
      <c r="AM65" s="221"/>
      <c r="AN65" s="336"/>
      <c r="AO65" s="336"/>
      <c r="AP65" s="336"/>
    </row>
    <row r="66" spans="1:42" s="222" customFormat="1" ht="37.5" customHeight="1" x14ac:dyDescent="0.2">
      <c r="A66" s="350"/>
      <c r="B66" s="333"/>
      <c r="C66" s="333"/>
      <c r="D66" s="333"/>
      <c r="E66" s="333"/>
      <c r="F66" s="333"/>
      <c r="G66" s="333"/>
      <c r="H66" s="333"/>
      <c r="I66" s="333"/>
      <c r="J66" s="333"/>
      <c r="K66" s="333"/>
      <c r="L66" s="336"/>
      <c r="M66" s="341"/>
      <c r="N66" s="340"/>
      <c r="O66" s="339"/>
      <c r="P66" s="340">
        <f>IF(NOT(ISERROR(MATCH(O66,_xlfn.ANCHORARRAY(E77),0))),N79&amp;"Por favor no seleccionar los criterios de impacto",O66)</f>
        <v>0</v>
      </c>
      <c r="Q66" s="341"/>
      <c r="R66" s="340"/>
      <c r="S66" s="342"/>
      <c r="T66" s="249">
        <v>6</v>
      </c>
      <c r="U66" s="211"/>
      <c r="V66" s="213" t="str">
        <f t="shared" si="83"/>
        <v/>
      </c>
      <c r="W66" s="214"/>
      <c r="X66" s="214"/>
      <c r="Y66" s="215" t="str">
        <f t="shared" si="78"/>
        <v/>
      </c>
      <c r="Z66" s="214"/>
      <c r="AA66" s="214"/>
      <c r="AB66" s="214"/>
      <c r="AC66" s="216" t="str">
        <f t="shared" si="84"/>
        <v/>
      </c>
      <c r="AD66" s="217" t="str">
        <f t="shared" si="2"/>
        <v/>
      </c>
      <c r="AE66" s="215" t="str">
        <f t="shared" si="79"/>
        <v/>
      </c>
      <c r="AF66" s="217" t="str">
        <f t="shared" si="4"/>
        <v/>
      </c>
      <c r="AG66" s="215" t="str">
        <f t="shared" si="14"/>
        <v/>
      </c>
      <c r="AH66" s="218" t="str">
        <f t="shared" si="85"/>
        <v/>
      </c>
      <c r="AI66" s="219"/>
      <c r="AJ66" s="210"/>
      <c r="AK66" s="220"/>
      <c r="AL66" s="220"/>
      <c r="AM66" s="221"/>
      <c r="AN66" s="336"/>
      <c r="AO66" s="336"/>
      <c r="AP66" s="336"/>
    </row>
    <row r="67" spans="1:42" s="222" customFormat="1" ht="37.5" customHeight="1" x14ac:dyDescent="0.2">
      <c r="A67" s="350">
        <v>10</v>
      </c>
      <c r="B67" s="333"/>
      <c r="C67" s="333"/>
      <c r="D67" s="333"/>
      <c r="E67" s="333"/>
      <c r="F67" s="333"/>
      <c r="G67" s="333"/>
      <c r="H67" s="333"/>
      <c r="I67" s="333"/>
      <c r="J67" s="333"/>
      <c r="K67" s="333"/>
      <c r="L67" s="336"/>
      <c r="M67" s="341" t="str">
        <f>IF(L67&lt;=0,"",IF(L67&lt;=2,"Muy Baja",IF(L67&lt;=24,"Baja",IF(L67&lt;=500,"Media",IF(L67&lt;=5000,"Alta","Muy Alta")))))</f>
        <v/>
      </c>
      <c r="N67" s="340" t="str">
        <f>IF(M67="","",IF(M67="Muy Baja",0.2,IF(M67="Baja",0.4,IF(M67="Media",0.6,IF(M67="Alta",0.8,IF(M67="Muy Alta",1,))))))</f>
        <v/>
      </c>
      <c r="O67" s="339"/>
      <c r="P67" s="340">
        <f>IF(NOT(ISERROR(MATCH(O67,'Tabla Impacto'!$B$222:$B$224,0))),'Tabla Impacto'!$F$224&amp;"Por favor no seleccionar los criterios de impacto(Afectación Económica o presupuestal y Pérdida Reputacional)",O67)</f>
        <v>0</v>
      </c>
      <c r="Q67" s="341" t="str">
        <f>IF(OR(P67='Tabla Impacto'!$C$12,P67='Tabla Impacto'!$D$12),"Leve",IF(OR(P67='Tabla Impacto'!$C$13,P67='Tabla Impacto'!$D$13),"Menor",IF(OR(P67='Tabla Impacto'!$C$14,P67='Tabla Impacto'!$D$14),"Moderado",IF(OR(P67='Tabla Impacto'!$C$15,P67='Tabla Impacto'!$D$15),"Mayor",IF(OR(P67='Tabla Impacto'!$C$16,P67='Tabla Impacto'!$D$16),"Catastrófico","")))))</f>
        <v/>
      </c>
      <c r="R67" s="340" t="str">
        <f>IF(Q67="","",IF(Q67="Leve",0.2,IF(Q67="Menor",0.4,IF(Q67="Moderado",0.6,IF(Q67="Mayor",0.8,IF(Q67="Catastrófico",1,))))))</f>
        <v/>
      </c>
      <c r="S67" s="342"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49">
        <v>1</v>
      </c>
      <c r="U67" s="211"/>
      <c r="V67" s="213" t="str">
        <f>IF(OR(W67="Preventivo",W67="Detectivo"),"Probabilidad",IF(W67="Correctivo","Impacto",""))</f>
        <v/>
      </c>
      <c r="W67" s="214"/>
      <c r="X67" s="214"/>
      <c r="Y67" s="215" t="str">
        <f>IF(AND(W67="Preventivo",X67="Automático"),"50%",IF(AND(W67="Preventivo",X67="Manual"),"40%",IF(AND(W67="Detectivo",X67="Automático"),"40%",IF(AND(W67="Detectivo",X67="Manual"),"30%",IF(AND(W67="Correctivo",X67="Automático"),"35%",IF(AND(W67="Correctivo",X67="Manual"),"25%",""))))))</f>
        <v/>
      </c>
      <c r="Z67" s="214"/>
      <c r="AA67" s="214"/>
      <c r="AB67" s="214"/>
      <c r="AC67" s="216" t="str">
        <f>IFERROR(IF(V67="Probabilidad",(N67-(+N67*Y67)),IF(V67="Impacto",N67,"")),"")</f>
        <v/>
      </c>
      <c r="AD67" s="217" t="str">
        <f>IFERROR(IF(AC67="","",IF(AC67&lt;=0.2,"Muy Baja",IF(AC67&lt;=0.4,"Baja",IF(AC67&lt;=0.6,"Media",IF(AC67&lt;=0.8,"Alta","Muy Alta"))))),"")</f>
        <v/>
      </c>
      <c r="AE67" s="215" t="str">
        <f>+AC67</f>
        <v/>
      </c>
      <c r="AF67" s="217" t="str">
        <f>IFERROR(IF(AG67="","",IF(AG67&lt;=0.2,"Leve",IF(AG67&lt;=0.4,"Menor",IF(AG67&lt;=0.6,"Moderado",IF(AG67&lt;=0.8,"Mayor","Catastrófico"))))),"")</f>
        <v/>
      </c>
      <c r="AG67" s="215" t="str">
        <f t="shared" ref="AG67" si="86">IFERROR(IF(V67="Impacto",(R67-(+R67*Y67)),IF(V67="Probabilidad",R67,"")),"")</f>
        <v/>
      </c>
      <c r="AH67" s="218"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19"/>
      <c r="AJ67" s="210"/>
      <c r="AK67" s="220"/>
      <c r="AL67" s="220"/>
      <c r="AM67" s="221"/>
      <c r="AN67" s="336"/>
      <c r="AO67" s="336"/>
      <c r="AP67" s="336"/>
    </row>
    <row r="68" spans="1:42" s="222" customFormat="1" ht="37.5" customHeight="1" x14ac:dyDescent="0.2">
      <c r="A68" s="350"/>
      <c r="B68" s="333"/>
      <c r="C68" s="333"/>
      <c r="D68" s="333"/>
      <c r="E68" s="333"/>
      <c r="F68" s="333"/>
      <c r="G68" s="333"/>
      <c r="H68" s="333"/>
      <c r="I68" s="333"/>
      <c r="J68" s="333"/>
      <c r="K68" s="333"/>
      <c r="L68" s="336"/>
      <c r="M68" s="341"/>
      <c r="N68" s="340"/>
      <c r="O68" s="339"/>
      <c r="P68" s="340">
        <f>IF(NOT(ISERROR(MATCH(O68,_xlfn.ANCHORARRAY(E79),0))),N81&amp;"Por favor no seleccionar los criterios de impacto",O68)</f>
        <v>0</v>
      </c>
      <c r="Q68" s="341"/>
      <c r="R68" s="340"/>
      <c r="S68" s="342"/>
      <c r="T68" s="249">
        <v>2</v>
      </c>
      <c r="U68" s="211"/>
      <c r="V68" s="213" t="str">
        <f>IF(OR(W68="Preventivo",W68="Detectivo"),"Probabilidad",IF(W68="Correctivo","Impacto",""))</f>
        <v/>
      </c>
      <c r="W68" s="214"/>
      <c r="X68" s="214"/>
      <c r="Y68" s="215" t="str">
        <f t="shared" ref="Y68:Y72" si="87">IF(AND(W68="Preventivo",X68="Automático"),"50%",IF(AND(W68="Preventivo",X68="Manual"),"40%",IF(AND(W68="Detectivo",X68="Automático"),"40%",IF(AND(W68="Detectivo",X68="Manual"),"30%",IF(AND(W68="Correctivo",X68="Automático"),"35%",IF(AND(W68="Correctivo",X68="Manual"),"25%",""))))))</f>
        <v/>
      </c>
      <c r="Z68" s="214"/>
      <c r="AA68" s="214"/>
      <c r="AB68" s="214"/>
      <c r="AC68" s="216" t="str">
        <f>IFERROR(IF(AND(V67="Probabilidad",V68="Probabilidad"),(AE67-(+AE67*Y68)),IF(V68="Probabilidad",(N67-(+N67*Y68)),IF(V68="Impacto",AE67,""))),"")</f>
        <v/>
      </c>
      <c r="AD68" s="217" t="str">
        <f t="shared" si="2"/>
        <v/>
      </c>
      <c r="AE68" s="215" t="str">
        <f t="shared" ref="AE68:AE72" si="88">+AC68</f>
        <v/>
      </c>
      <c r="AF68" s="217" t="str">
        <f t="shared" si="4"/>
        <v/>
      </c>
      <c r="AG68" s="215" t="str">
        <f t="shared" ref="AG68" si="89">IFERROR(IF(AND(V67="Impacto",V68="Impacto"),(AG67-(+AG67*Y68)),IF(V68="Impacto",($R$13-(+$R$13*Y68)),IF(V68="Probabilidad",AG67,""))),"")</f>
        <v/>
      </c>
      <c r="AH68" s="218"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19"/>
      <c r="AJ68" s="210"/>
      <c r="AK68" s="220"/>
      <c r="AL68" s="220"/>
      <c r="AM68" s="221"/>
      <c r="AN68" s="336"/>
      <c r="AO68" s="336"/>
      <c r="AP68" s="336"/>
    </row>
    <row r="69" spans="1:42" s="222" customFormat="1" ht="37.5" customHeight="1" x14ac:dyDescent="0.2">
      <c r="A69" s="350"/>
      <c r="B69" s="333"/>
      <c r="C69" s="333"/>
      <c r="D69" s="333"/>
      <c r="E69" s="333"/>
      <c r="F69" s="333"/>
      <c r="G69" s="333"/>
      <c r="H69" s="333"/>
      <c r="I69" s="333"/>
      <c r="J69" s="333"/>
      <c r="K69" s="333"/>
      <c r="L69" s="336"/>
      <c r="M69" s="341"/>
      <c r="N69" s="340"/>
      <c r="O69" s="339"/>
      <c r="P69" s="340">
        <f>IF(NOT(ISERROR(MATCH(O69,_xlfn.ANCHORARRAY(E80),0))),N82&amp;"Por favor no seleccionar los criterios de impacto",O69)</f>
        <v>0</v>
      </c>
      <c r="Q69" s="341"/>
      <c r="R69" s="340"/>
      <c r="S69" s="342"/>
      <c r="T69" s="249">
        <v>3</v>
      </c>
      <c r="U69" s="211"/>
      <c r="V69" s="213" t="str">
        <f>IF(OR(W69="Preventivo",W69="Detectivo"),"Probabilidad",IF(W69="Correctivo","Impacto",""))</f>
        <v/>
      </c>
      <c r="W69" s="214"/>
      <c r="X69" s="214"/>
      <c r="Y69" s="215" t="str">
        <f t="shared" si="87"/>
        <v/>
      </c>
      <c r="Z69" s="214"/>
      <c r="AA69" s="214"/>
      <c r="AB69" s="214"/>
      <c r="AC69" s="216" t="str">
        <f>IFERROR(IF(AND(V68="Probabilidad",V69="Probabilidad"),(AE68-(+AE68*Y69)),IF(AND(V68="Impacto",V69="Probabilidad"),(AE67-(+AE67*Y69)),IF(V69="Impacto",AE68,""))),"")</f>
        <v/>
      </c>
      <c r="AD69" s="217" t="str">
        <f t="shared" si="2"/>
        <v/>
      </c>
      <c r="AE69" s="215" t="str">
        <f t="shared" si="88"/>
        <v/>
      </c>
      <c r="AF69" s="217" t="str">
        <f t="shared" si="4"/>
        <v/>
      </c>
      <c r="AG69" s="215" t="str">
        <f t="shared" ref="AG69" si="91">IFERROR(IF(AND(V68="Impacto",V69="Impacto"),(AG68-(+AG68*Y69)),IF(AND(V68="Probabilidad",V69="Impacto"),(AG67-(+AG67*Y69)),IF(V69="Probabilidad",AG68,""))),"")</f>
        <v/>
      </c>
      <c r="AH69" s="218" t="str">
        <f t="shared" si="90"/>
        <v/>
      </c>
      <c r="AI69" s="219"/>
      <c r="AJ69" s="210"/>
      <c r="AK69" s="220"/>
      <c r="AL69" s="220"/>
      <c r="AM69" s="221"/>
      <c r="AN69" s="336"/>
      <c r="AO69" s="336"/>
      <c r="AP69" s="336"/>
    </row>
    <row r="70" spans="1:42" s="222" customFormat="1" ht="37.5" customHeight="1" x14ac:dyDescent="0.2">
      <c r="A70" s="350"/>
      <c r="B70" s="333"/>
      <c r="C70" s="333"/>
      <c r="D70" s="333"/>
      <c r="E70" s="333"/>
      <c r="F70" s="333"/>
      <c r="G70" s="333"/>
      <c r="H70" s="333"/>
      <c r="I70" s="333"/>
      <c r="J70" s="333"/>
      <c r="K70" s="333"/>
      <c r="L70" s="336"/>
      <c r="M70" s="341"/>
      <c r="N70" s="340"/>
      <c r="O70" s="339"/>
      <c r="P70" s="340">
        <f>IF(NOT(ISERROR(MATCH(O70,_xlfn.ANCHORARRAY(E81),0))),N83&amp;"Por favor no seleccionar los criterios de impacto",O70)</f>
        <v>0</v>
      </c>
      <c r="Q70" s="341"/>
      <c r="R70" s="340"/>
      <c r="S70" s="342"/>
      <c r="T70" s="249">
        <v>4</v>
      </c>
      <c r="U70" s="211"/>
      <c r="V70" s="213" t="str">
        <f t="shared" ref="V70:V72" si="92">IF(OR(W70="Preventivo",W70="Detectivo"),"Probabilidad",IF(W70="Correctivo","Impacto",""))</f>
        <v/>
      </c>
      <c r="W70" s="214"/>
      <c r="X70" s="214"/>
      <c r="Y70" s="215" t="str">
        <f t="shared" si="87"/>
        <v/>
      </c>
      <c r="Z70" s="214"/>
      <c r="AA70" s="214"/>
      <c r="AB70" s="214"/>
      <c r="AC70" s="216" t="str">
        <f t="shared" ref="AC70:AC72" si="93">IFERROR(IF(AND(V69="Probabilidad",V70="Probabilidad"),(AE69-(+AE69*Y70)),IF(AND(V69="Impacto",V70="Probabilidad"),(AE68-(+AE68*Y70)),IF(V70="Impacto",AE69,""))),"")</f>
        <v/>
      </c>
      <c r="AD70" s="217" t="str">
        <f t="shared" si="2"/>
        <v/>
      </c>
      <c r="AE70" s="215" t="str">
        <f t="shared" si="88"/>
        <v/>
      </c>
      <c r="AF70" s="217" t="str">
        <f t="shared" si="4"/>
        <v/>
      </c>
      <c r="AG70" s="215" t="str">
        <f t="shared" si="14"/>
        <v/>
      </c>
      <c r="AH70" s="218"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19"/>
      <c r="AJ70" s="210"/>
      <c r="AK70" s="220"/>
      <c r="AL70" s="220"/>
      <c r="AM70" s="221"/>
      <c r="AN70" s="336"/>
      <c r="AO70" s="336"/>
      <c r="AP70" s="336"/>
    </row>
    <row r="71" spans="1:42" s="222" customFormat="1" ht="37.5" customHeight="1" x14ac:dyDescent="0.2">
      <c r="A71" s="350"/>
      <c r="B71" s="333"/>
      <c r="C71" s="333"/>
      <c r="D71" s="333"/>
      <c r="E71" s="333"/>
      <c r="F71" s="333"/>
      <c r="G71" s="333"/>
      <c r="H71" s="333"/>
      <c r="I71" s="333"/>
      <c r="J71" s="333"/>
      <c r="K71" s="333"/>
      <c r="L71" s="336"/>
      <c r="M71" s="341"/>
      <c r="N71" s="340"/>
      <c r="O71" s="339"/>
      <c r="P71" s="340">
        <f>IF(NOT(ISERROR(MATCH(O71,_xlfn.ANCHORARRAY(E82),0))),N84&amp;"Por favor no seleccionar los criterios de impacto",O71)</f>
        <v>0</v>
      </c>
      <c r="Q71" s="341"/>
      <c r="R71" s="340"/>
      <c r="S71" s="342"/>
      <c r="T71" s="249">
        <v>5</v>
      </c>
      <c r="U71" s="211"/>
      <c r="V71" s="213" t="str">
        <f t="shared" si="92"/>
        <v/>
      </c>
      <c r="W71" s="214"/>
      <c r="X71" s="214"/>
      <c r="Y71" s="215" t="str">
        <f t="shared" si="87"/>
        <v/>
      </c>
      <c r="Z71" s="214"/>
      <c r="AA71" s="214"/>
      <c r="AB71" s="214"/>
      <c r="AC71" s="216" t="str">
        <f t="shared" si="93"/>
        <v/>
      </c>
      <c r="AD71" s="217" t="str">
        <f t="shared" si="2"/>
        <v/>
      </c>
      <c r="AE71" s="215" t="str">
        <f t="shared" si="88"/>
        <v/>
      </c>
      <c r="AF71" s="217" t="str">
        <f t="shared" si="4"/>
        <v/>
      </c>
      <c r="AG71" s="215" t="str">
        <f t="shared" si="14"/>
        <v/>
      </c>
      <c r="AH71" s="218"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19"/>
      <c r="AJ71" s="210"/>
      <c r="AK71" s="220"/>
      <c r="AL71" s="220"/>
      <c r="AM71" s="221"/>
      <c r="AN71" s="336"/>
      <c r="AO71" s="336"/>
      <c r="AP71" s="336"/>
    </row>
    <row r="72" spans="1:42" s="222" customFormat="1" ht="37.5" customHeight="1" x14ac:dyDescent="0.2">
      <c r="A72" s="350"/>
      <c r="B72" s="333"/>
      <c r="C72" s="333"/>
      <c r="D72" s="333"/>
      <c r="E72" s="333"/>
      <c r="F72" s="333"/>
      <c r="G72" s="333"/>
      <c r="H72" s="333"/>
      <c r="I72" s="333"/>
      <c r="J72" s="333"/>
      <c r="K72" s="333"/>
      <c r="L72" s="336"/>
      <c r="M72" s="341"/>
      <c r="N72" s="340"/>
      <c r="O72" s="339"/>
      <c r="P72" s="340">
        <f>IF(NOT(ISERROR(MATCH(O72,_xlfn.ANCHORARRAY(E83),0))),N85&amp;"Por favor no seleccionar los criterios de impacto",O72)</f>
        <v>0</v>
      </c>
      <c r="Q72" s="341"/>
      <c r="R72" s="340"/>
      <c r="S72" s="342"/>
      <c r="T72" s="249">
        <v>6</v>
      </c>
      <c r="U72" s="211"/>
      <c r="V72" s="213" t="str">
        <f t="shared" si="92"/>
        <v/>
      </c>
      <c r="W72" s="214"/>
      <c r="X72" s="214"/>
      <c r="Y72" s="215" t="str">
        <f t="shared" si="87"/>
        <v/>
      </c>
      <c r="Z72" s="214"/>
      <c r="AA72" s="214"/>
      <c r="AB72" s="214"/>
      <c r="AC72" s="216" t="str">
        <f t="shared" si="93"/>
        <v/>
      </c>
      <c r="AD72" s="217" t="str">
        <f t="shared" si="2"/>
        <v/>
      </c>
      <c r="AE72" s="215" t="str">
        <f t="shared" si="88"/>
        <v/>
      </c>
      <c r="AF72" s="217" t="str">
        <f t="shared" si="4"/>
        <v/>
      </c>
      <c r="AG72" s="215" t="str">
        <f t="shared" si="14"/>
        <v/>
      </c>
      <c r="AH72" s="218" t="str">
        <f t="shared" si="94"/>
        <v/>
      </c>
      <c r="AI72" s="219"/>
      <c r="AJ72" s="210"/>
      <c r="AK72" s="220"/>
      <c r="AL72" s="220"/>
      <c r="AM72" s="221"/>
      <c r="AN72" s="336"/>
      <c r="AO72" s="336"/>
      <c r="AP72" s="336"/>
    </row>
    <row r="73" spans="1:42" ht="49.5" customHeight="1" x14ac:dyDescent="0.2">
      <c r="A73" s="251"/>
      <c r="B73" s="365" t="s">
        <v>391</v>
      </c>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row>
    <row r="75" spans="1:42" ht="15.75" x14ac:dyDescent="0.2">
      <c r="A75" s="234"/>
      <c r="B75" s="241" t="s">
        <v>173</v>
      </c>
      <c r="C75" s="234"/>
      <c r="D75" s="234"/>
      <c r="G75" s="234"/>
      <c r="H75" s="234"/>
      <c r="I75" s="234"/>
      <c r="J75" s="234"/>
      <c r="K75" s="234"/>
    </row>
  </sheetData>
  <dataConsolidate/>
  <mergeCells count="277">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55:B60"/>
    <mergeCell ref="C55:C60"/>
    <mergeCell ref="D55:D60"/>
    <mergeCell ref="E55:E60"/>
    <mergeCell ref="A49:A54"/>
    <mergeCell ref="B49:B54"/>
    <mergeCell ref="C49:C54"/>
    <mergeCell ref="D49:D54"/>
    <mergeCell ref="E49:E54"/>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A31:A36"/>
    <mergeCell ref="B31:B36"/>
    <mergeCell ref="C31:C36"/>
    <mergeCell ref="D31:D36"/>
    <mergeCell ref="E31:E36"/>
    <mergeCell ref="G31:G36"/>
    <mergeCell ref="L31:L36"/>
    <mergeCell ref="M31:M36"/>
    <mergeCell ref="N31:N36"/>
    <mergeCell ref="H31:H36"/>
    <mergeCell ref="F31:F36"/>
    <mergeCell ref="E25:E30"/>
    <mergeCell ref="G25:G30"/>
    <mergeCell ref="L25:L30"/>
    <mergeCell ref="M25:M30"/>
    <mergeCell ref="N25:N30"/>
    <mergeCell ref="H25:H30"/>
    <mergeCell ref="F25:F30"/>
    <mergeCell ref="G19:G24"/>
    <mergeCell ref="L19:L24"/>
    <mergeCell ref="M19:M24"/>
    <mergeCell ref="N19:N24"/>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AN10:AP10"/>
    <mergeCell ref="AN11:AN12"/>
    <mergeCell ref="AO11:AO12"/>
    <mergeCell ref="AP11:AP12"/>
    <mergeCell ref="AN13:AN18"/>
    <mergeCell ref="AO13:AO18"/>
    <mergeCell ref="AP13:AP18"/>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AP43:AP48"/>
    <mergeCell ref="AN49:AN54"/>
    <mergeCell ref="AO49:AO54"/>
    <mergeCell ref="AP49:AP54"/>
    <mergeCell ref="AN55:AN60"/>
    <mergeCell ref="AO55:AO60"/>
    <mergeCell ref="AP55:AP60"/>
    <mergeCell ref="AN31:AN36"/>
    <mergeCell ref="AO31:AO36"/>
    <mergeCell ref="AP31:AP36"/>
    <mergeCell ref="AN37:AN42"/>
    <mergeCell ref="AO37:AO42"/>
    <mergeCell ref="AP37:AP42"/>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s>
  <conditionalFormatting sqref="M13 M19">
    <cfRule type="cellIs" dxfId="238" priority="324" operator="equal">
      <formula>"Muy Alta"</formula>
    </cfRule>
    <cfRule type="cellIs" dxfId="237" priority="325" operator="equal">
      <formula>"Alta"</formula>
    </cfRule>
    <cfRule type="cellIs" dxfId="236" priority="326" operator="equal">
      <formula>"Media"</formula>
    </cfRule>
    <cfRule type="cellIs" dxfId="235" priority="327" operator="equal">
      <formula>"Baja"</formula>
    </cfRule>
    <cfRule type="cellIs" dxfId="234" priority="328" operator="equal">
      <formula>"Muy Baja"</formula>
    </cfRule>
  </conditionalFormatting>
  <conditionalFormatting sqref="Q13 Q19 Q25 Q31 Q37 Q43 Q49 Q55 Q61 Q67">
    <cfRule type="cellIs" dxfId="233" priority="319" operator="equal">
      <formula>"Catastrófico"</formula>
    </cfRule>
    <cfRule type="cellIs" dxfId="232" priority="320" operator="equal">
      <formula>"Mayor"</formula>
    </cfRule>
    <cfRule type="cellIs" dxfId="231" priority="321" operator="equal">
      <formula>"Moderado"</formula>
    </cfRule>
    <cfRule type="cellIs" dxfId="230" priority="322" operator="equal">
      <formula>"Menor"</formula>
    </cfRule>
    <cfRule type="cellIs" dxfId="229" priority="323" operator="equal">
      <formula>"Leve"</formula>
    </cfRule>
  </conditionalFormatting>
  <conditionalFormatting sqref="S13">
    <cfRule type="cellIs" dxfId="228" priority="315" operator="equal">
      <formula>"Extremo"</formula>
    </cfRule>
    <cfRule type="cellIs" dxfId="227" priority="316" operator="equal">
      <formula>"Alto"</formula>
    </cfRule>
    <cfRule type="cellIs" dxfId="226" priority="317" operator="equal">
      <formula>"Moderado"</formula>
    </cfRule>
    <cfRule type="cellIs" dxfId="225" priority="318" operator="equal">
      <formula>"Bajo"</formula>
    </cfRule>
  </conditionalFormatting>
  <conditionalFormatting sqref="AD13:AD18">
    <cfRule type="cellIs" dxfId="224" priority="310" operator="equal">
      <formula>"Muy Alta"</formula>
    </cfRule>
    <cfRule type="cellIs" dxfId="223" priority="311" operator="equal">
      <formula>"Alta"</formula>
    </cfRule>
    <cfRule type="cellIs" dxfId="222" priority="312" operator="equal">
      <formula>"Media"</formula>
    </cfRule>
    <cfRule type="cellIs" dxfId="221" priority="313" operator="equal">
      <formula>"Baja"</formula>
    </cfRule>
    <cfRule type="cellIs" dxfId="220" priority="314" operator="equal">
      <formula>"Muy Baja"</formula>
    </cfRule>
  </conditionalFormatting>
  <conditionalFormatting sqref="AF13:AF18">
    <cfRule type="cellIs" dxfId="219" priority="305" operator="equal">
      <formula>"Catastrófico"</formula>
    </cfRule>
    <cfRule type="cellIs" dxfId="218" priority="306" operator="equal">
      <formula>"Mayor"</formula>
    </cfRule>
    <cfRule type="cellIs" dxfId="217" priority="307" operator="equal">
      <formula>"Moderado"</formula>
    </cfRule>
    <cfRule type="cellIs" dxfId="216" priority="308" operator="equal">
      <formula>"Menor"</formula>
    </cfRule>
    <cfRule type="cellIs" dxfId="215" priority="309" operator="equal">
      <formula>"Leve"</formula>
    </cfRule>
  </conditionalFormatting>
  <conditionalFormatting sqref="AH13:AH18">
    <cfRule type="cellIs" dxfId="214" priority="301" operator="equal">
      <formula>"Extremo"</formula>
    </cfRule>
    <cfRule type="cellIs" dxfId="213" priority="302" operator="equal">
      <formula>"Alto"</formula>
    </cfRule>
    <cfRule type="cellIs" dxfId="212" priority="303" operator="equal">
      <formula>"Moderado"</formula>
    </cfRule>
    <cfRule type="cellIs" dxfId="211" priority="304" operator="equal">
      <formula>"Bajo"</formula>
    </cfRule>
  </conditionalFormatting>
  <conditionalFormatting sqref="M61">
    <cfRule type="cellIs" dxfId="210" priority="58" operator="equal">
      <formula>"Muy Alta"</formula>
    </cfRule>
    <cfRule type="cellIs" dxfId="209" priority="59" operator="equal">
      <formula>"Alta"</formula>
    </cfRule>
    <cfRule type="cellIs" dxfId="208" priority="60" operator="equal">
      <formula>"Media"</formula>
    </cfRule>
    <cfRule type="cellIs" dxfId="207" priority="61" operator="equal">
      <formula>"Baja"</formula>
    </cfRule>
    <cfRule type="cellIs" dxfId="206" priority="62" operator="equal">
      <formula>"Muy Baja"</formula>
    </cfRule>
  </conditionalFormatting>
  <conditionalFormatting sqref="S19">
    <cfRule type="cellIs" dxfId="205" priority="245" operator="equal">
      <formula>"Extremo"</formula>
    </cfRule>
    <cfRule type="cellIs" dxfId="204" priority="246" operator="equal">
      <formula>"Alto"</formula>
    </cfRule>
    <cfRule type="cellIs" dxfId="203" priority="247" operator="equal">
      <formula>"Moderado"</formula>
    </cfRule>
    <cfRule type="cellIs" dxfId="202" priority="248" operator="equal">
      <formula>"Bajo"</formula>
    </cfRule>
  </conditionalFormatting>
  <conditionalFormatting sqref="AD19:AD24">
    <cfRule type="cellIs" dxfId="201" priority="240" operator="equal">
      <formula>"Muy Alta"</formula>
    </cfRule>
    <cfRule type="cellIs" dxfId="200" priority="241" operator="equal">
      <formula>"Alta"</formula>
    </cfRule>
    <cfRule type="cellIs" dxfId="199" priority="242" operator="equal">
      <formula>"Media"</formula>
    </cfRule>
    <cfRule type="cellIs" dxfId="198" priority="243" operator="equal">
      <formula>"Baja"</formula>
    </cfRule>
    <cfRule type="cellIs" dxfId="197" priority="244" operator="equal">
      <formula>"Muy Baja"</formula>
    </cfRule>
  </conditionalFormatting>
  <conditionalFormatting sqref="AF19:AF24">
    <cfRule type="cellIs" dxfId="196" priority="235" operator="equal">
      <formula>"Catastrófico"</formula>
    </cfRule>
    <cfRule type="cellIs" dxfId="195" priority="236" operator="equal">
      <formula>"Mayor"</formula>
    </cfRule>
    <cfRule type="cellIs" dxfId="194" priority="237" operator="equal">
      <formula>"Moderado"</formula>
    </cfRule>
    <cfRule type="cellIs" dxfId="193" priority="238" operator="equal">
      <formula>"Menor"</formula>
    </cfRule>
    <cfRule type="cellIs" dxfId="192" priority="239" operator="equal">
      <formula>"Leve"</formula>
    </cfRule>
  </conditionalFormatting>
  <conditionalFormatting sqref="AH19:AH24">
    <cfRule type="cellIs" dxfId="191" priority="231" operator="equal">
      <formula>"Extremo"</formula>
    </cfRule>
    <cfRule type="cellIs" dxfId="190" priority="232" operator="equal">
      <formula>"Alto"</formula>
    </cfRule>
    <cfRule type="cellIs" dxfId="189" priority="233" operator="equal">
      <formula>"Moderado"</formula>
    </cfRule>
    <cfRule type="cellIs" dxfId="188" priority="234" operator="equal">
      <formula>"Bajo"</formula>
    </cfRule>
  </conditionalFormatting>
  <conditionalFormatting sqref="M25">
    <cfRule type="cellIs" dxfId="187" priority="226" operator="equal">
      <formula>"Muy Alta"</formula>
    </cfRule>
    <cfRule type="cellIs" dxfId="186" priority="227" operator="equal">
      <formula>"Alta"</formula>
    </cfRule>
    <cfRule type="cellIs" dxfId="185" priority="228" operator="equal">
      <formula>"Media"</formula>
    </cfRule>
    <cfRule type="cellIs" dxfId="184" priority="229" operator="equal">
      <formula>"Baja"</formula>
    </cfRule>
    <cfRule type="cellIs" dxfId="183" priority="230" operator="equal">
      <formula>"Muy Baja"</formula>
    </cfRule>
  </conditionalFormatting>
  <conditionalFormatting sqref="S25">
    <cfRule type="cellIs" dxfId="182" priority="217" operator="equal">
      <formula>"Extremo"</formula>
    </cfRule>
    <cfRule type="cellIs" dxfId="181" priority="218" operator="equal">
      <formula>"Alto"</formula>
    </cfRule>
    <cfRule type="cellIs" dxfId="180" priority="219" operator="equal">
      <formula>"Moderado"</formula>
    </cfRule>
    <cfRule type="cellIs" dxfId="179" priority="220" operator="equal">
      <formula>"Bajo"</formula>
    </cfRule>
  </conditionalFormatting>
  <conditionalFormatting sqref="AD25:AD30">
    <cfRule type="cellIs" dxfId="178" priority="212" operator="equal">
      <formula>"Muy Alta"</formula>
    </cfRule>
    <cfRule type="cellIs" dxfId="177" priority="213" operator="equal">
      <formula>"Alta"</formula>
    </cfRule>
    <cfRule type="cellIs" dxfId="176" priority="214" operator="equal">
      <formula>"Media"</formula>
    </cfRule>
    <cfRule type="cellIs" dxfId="175" priority="215" operator="equal">
      <formula>"Baja"</formula>
    </cfRule>
    <cfRule type="cellIs" dxfId="174" priority="216" operator="equal">
      <formula>"Muy Baja"</formula>
    </cfRule>
  </conditionalFormatting>
  <conditionalFormatting sqref="AF25:AF30">
    <cfRule type="cellIs" dxfId="173" priority="207" operator="equal">
      <formula>"Catastrófico"</formula>
    </cfRule>
    <cfRule type="cellIs" dxfId="172" priority="208" operator="equal">
      <formula>"Mayor"</formula>
    </cfRule>
    <cfRule type="cellIs" dxfId="171" priority="209" operator="equal">
      <formula>"Moderado"</formula>
    </cfRule>
    <cfRule type="cellIs" dxfId="170" priority="210" operator="equal">
      <formula>"Menor"</formula>
    </cfRule>
    <cfRule type="cellIs" dxfId="169" priority="211" operator="equal">
      <formula>"Leve"</formula>
    </cfRule>
  </conditionalFormatting>
  <conditionalFormatting sqref="AH25:AH30">
    <cfRule type="cellIs" dxfId="168" priority="203" operator="equal">
      <formula>"Extremo"</formula>
    </cfRule>
    <cfRule type="cellIs" dxfId="167" priority="204" operator="equal">
      <formula>"Alto"</formula>
    </cfRule>
    <cfRule type="cellIs" dxfId="166" priority="205" operator="equal">
      <formula>"Moderado"</formula>
    </cfRule>
    <cfRule type="cellIs" dxfId="165" priority="206" operator="equal">
      <formula>"Bajo"</formula>
    </cfRule>
  </conditionalFormatting>
  <conditionalFormatting sqref="M31">
    <cfRule type="cellIs" dxfId="164" priority="198" operator="equal">
      <formula>"Muy Alta"</formula>
    </cfRule>
    <cfRule type="cellIs" dxfId="163" priority="199" operator="equal">
      <formula>"Alta"</formula>
    </cfRule>
    <cfRule type="cellIs" dxfId="162" priority="200" operator="equal">
      <formula>"Media"</formula>
    </cfRule>
    <cfRule type="cellIs" dxfId="161" priority="201" operator="equal">
      <formula>"Baja"</formula>
    </cfRule>
    <cfRule type="cellIs" dxfId="160" priority="202" operator="equal">
      <formula>"Muy Baja"</formula>
    </cfRule>
  </conditionalFormatting>
  <conditionalFormatting sqref="S31">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AD31:AD36">
    <cfRule type="cellIs" dxfId="155" priority="184" operator="equal">
      <formula>"Muy Alta"</formula>
    </cfRule>
    <cfRule type="cellIs" dxfId="154" priority="185" operator="equal">
      <formula>"Alta"</formula>
    </cfRule>
    <cfRule type="cellIs" dxfId="153" priority="186" operator="equal">
      <formula>"Media"</formula>
    </cfRule>
    <cfRule type="cellIs" dxfId="152" priority="187" operator="equal">
      <formula>"Baja"</formula>
    </cfRule>
    <cfRule type="cellIs" dxfId="151" priority="188" operator="equal">
      <formula>"Muy Baja"</formula>
    </cfRule>
  </conditionalFormatting>
  <conditionalFormatting sqref="AF31:AF36">
    <cfRule type="cellIs" dxfId="150" priority="179" operator="equal">
      <formula>"Catastrófico"</formula>
    </cfRule>
    <cfRule type="cellIs" dxfId="149" priority="180" operator="equal">
      <formula>"Mayor"</formula>
    </cfRule>
    <cfRule type="cellIs" dxfId="148" priority="181" operator="equal">
      <formula>"Moderado"</formula>
    </cfRule>
    <cfRule type="cellIs" dxfId="147" priority="182" operator="equal">
      <formula>"Menor"</formula>
    </cfRule>
    <cfRule type="cellIs" dxfId="146" priority="183" operator="equal">
      <formula>"Leve"</formula>
    </cfRule>
  </conditionalFormatting>
  <conditionalFormatting sqref="AH31:AH36">
    <cfRule type="cellIs" dxfId="145" priority="175" operator="equal">
      <formula>"Extremo"</formula>
    </cfRule>
    <cfRule type="cellIs" dxfId="144" priority="176" operator="equal">
      <formula>"Alto"</formula>
    </cfRule>
    <cfRule type="cellIs" dxfId="143" priority="177" operator="equal">
      <formula>"Moderado"</formula>
    </cfRule>
    <cfRule type="cellIs" dxfId="142" priority="178" operator="equal">
      <formula>"Bajo"</formula>
    </cfRule>
  </conditionalFormatting>
  <conditionalFormatting sqref="M37">
    <cfRule type="cellIs" dxfId="141" priority="170" operator="equal">
      <formula>"Muy Alta"</formula>
    </cfRule>
    <cfRule type="cellIs" dxfId="140" priority="171" operator="equal">
      <formula>"Alta"</formula>
    </cfRule>
    <cfRule type="cellIs" dxfId="139" priority="172" operator="equal">
      <formula>"Media"</formula>
    </cfRule>
    <cfRule type="cellIs" dxfId="138" priority="173" operator="equal">
      <formula>"Baja"</formula>
    </cfRule>
    <cfRule type="cellIs" dxfId="137" priority="174" operator="equal">
      <formula>"Muy Baja"</formula>
    </cfRule>
  </conditionalFormatting>
  <conditionalFormatting sqref="S37">
    <cfRule type="cellIs" dxfId="136" priority="161" operator="equal">
      <formula>"Extremo"</formula>
    </cfRule>
    <cfRule type="cellIs" dxfId="135" priority="162" operator="equal">
      <formula>"Alto"</formula>
    </cfRule>
    <cfRule type="cellIs" dxfId="134" priority="163" operator="equal">
      <formula>"Moderado"</formula>
    </cfRule>
    <cfRule type="cellIs" dxfId="133" priority="164" operator="equal">
      <formula>"Bajo"</formula>
    </cfRule>
  </conditionalFormatting>
  <conditionalFormatting sqref="AD37:AD42">
    <cfRule type="cellIs" dxfId="132" priority="156" operator="equal">
      <formula>"Muy Alta"</formula>
    </cfRule>
    <cfRule type="cellIs" dxfId="131" priority="157" operator="equal">
      <formula>"Alta"</formula>
    </cfRule>
    <cfRule type="cellIs" dxfId="130" priority="158" operator="equal">
      <formula>"Media"</formula>
    </cfRule>
    <cfRule type="cellIs" dxfId="129" priority="159" operator="equal">
      <formula>"Baja"</formula>
    </cfRule>
    <cfRule type="cellIs" dxfId="128" priority="160" operator="equal">
      <formula>"Muy Baja"</formula>
    </cfRule>
  </conditionalFormatting>
  <conditionalFormatting sqref="AF37:AF42">
    <cfRule type="cellIs" dxfId="127" priority="151" operator="equal">
      <formula>"Catastrófico"</formula>
    </cfRule>
    <cfRule type="cellIs" dxfId="126" priority="152" operator="equal">
      <formula>"Mayor"</formula>
    </cfRule>
    <cfRule type="cellIs" dxfId="125" priority="153" operator="equal">
      <formula>"Moderado"</formula>
    </cfRule>
    <cfRule type="cellIs" dxfId="124" priority="154" operator="equal">
      <formula>"Menor"</formula>
    </cfRule>
    <cfRule type="cellIs" dxfId="123" priority="155" operator="equal">
      <formula>"Leve"</formula>
    </cfRule>
  </conditionalFormatting>
  <conditionalFormatting sqref="AH37:AH42">
    <cfRule type="cellIs" dxfId="122" priority="147" operator="equal">
      <formula>"Extremo"</formula>
    </cfRule>
    <cfRule type="cellIs" dxfId="121" priority="148" operator="equal">
      <formula>"Alto"</formula>
    </cfRule>
    <cfRule type="cellIs" dxfId="120" priority="149" operator="equal">
      <formula>"Moderado"</formula>
    </cfRule>
    <cfRule type="cellIs" dxfId="119" priority="150" operator="equal">
      <formula>"Bajo"</formula>
    </cfRule>
  </conditionalFormatting>
  <conditionalFormatting sqref="M43">
    <cfRule type="cellIs" dxfId="118" priority="142" operator="equal">
      <formula>"Muy Alta"</formula>
    </cfRule>
    <cfRule type="cellIs" dxfId="117" priority="143" operator="equal">
      <formula>"Alta"</formula>
    </cfRule>
    <cfRule type="cellIs" dxfId="116" priority="144" operator="equal">
      <formula>"Media"</formula>
    </cfRule>
    <cfRule type="cellIs" dxfId="115" priority="145" operator="equal">
      <formula>"Baja"</formula>
    </cfRule>
    <cfRule type="cellIs" dxfId="114" priority="146" operator="equal">
      <formula>"Muy Baja"</formula>
    </cfRule>
  </conditionalFormatting>
  <conditionalFormatting sqref="S43">
    <cfRule type="cellIs" dxfId="113" priority="133" operator="equal">
      <formula>"Extremo"</formula>
    </cfRule>
    <cfRule type="cellIs" dxfId="112" priority="134" operator="equal">
      <formula>"Alto"</formula>
    </cfRule>
    <cfRule type="cellIs" dxfId="111" priority="135" operator="equal">
      <formula>"Moderado"</formula>
    </cfRule>
    <cfRule type="cellIs" dxfId="110" priority="136" operator="equal">
      <formula>"Bajo"</formula>
    </cfRule>
  </conditionalFormatting>
  <conditionalFormatting sqref="AD43:AD48">
    <cfRule type="cellIs" dxfId="109" priority="128" operator="equal">
      <formula>"Muy Alta"</formula>
    </cfRule>
    <cfRule type="cellIs" dxfId="108" priority="129" operator="equal">
      <formula>"Alta"</formula>
    </cfRule>
    <cfRule type="cellIs" dxfId="107" priority="130" operator="equal">
      <formula>"Media"</formula>
    </cfRule>
    <cfRule type="cellIs" dxfId="106" priority="131" operator="equal">
      <formula>"Baja"</formula>
    </cfRule>
    <cfRule type="cellIs" dxfId="105" priority="132" operator="equal">
      <formula>"Muy Baja"</formula>
    </cfRule>
  </conditionalFormatting>
  <conditionalFormatting sqref="AF43:AF48">
    <cfRule type="cellIs" dxfId="104" priority="123" operator="equal">
      <formula>"Catastrófico"</formula>
    </cfRule>
    <cfRule type="cellIs" dxfId="103" priority="124" operator="equal">
      <formula>"Mayor"</formula>
    </cfRule>
    <cfRule type="cellIs" dxfId="102" priority="125" operator="equal">
      <formula>"Moderado"</formula>
    </cfRule>
    <cfRule type="cellIs" dxfId="101" priority="126" operator="equal">
      <formula>"Menor"</formula>
    </cfRule>
    <cfRule type="cellIs" dxfId="100" priority="127" operator="equal">
      <formula>"Leve"</formula>
    </cfRule>
  </conditionalFormatting>
  <conditionalFormatting sqref="AH43:AH48">
    <cfRule type="cellIs" dxfId="99" priority="119" operator="equal">
      <formula>"Extremo"</formula>
    </cfRule>
    <cfRule type="cellIs" dxfId="98" priority="120" operator="equal">
      <formula>"Alto"</formula>
    </cfRule>
    <cfRule type="cellIs" dxfId="97" priority="121" operator="equal">
      <formula>"Moderado"</formula>
    </cfRule>
    <cfRule type="cellIs" dxfId="96" priority="122" operator="equal">
      <formula>"Bajo"</formula>
    </cfRule>
  </conditionalFormatting>
  <conditionalFormatting sqref="M49">
    <cfRule type="cellIs" dxfId="95" priority="114" operator="equal">
      <formula>"Muy Alta"</formula>
    </cfRule>
    <cfRule type="cellIs" dxfId="94" priority="115" operator="equal">
      <formula>"Alta"</formula>
    </cfRule>
    <cfRule type="cellIs" dxfId="93" priority="116" operator="equal">
      <formula>"Media"</formula>
    </cfRule>
    <cfRule type="cellIs" dxfId="92" priority="117" operator="equal">
      <formula>"Baja"</formula>
    </cfRule>
    <cfRule type="cellIs" dxfId="91" priority="118" operator="equal">
      <formula>"Muy Baja"</formula>
    </cfRule>
  </conditionalFormatting>
  <conditionalFormatting sqref="S49">
    <cfRule type="cellIs" dxfId="90" priority="105" operator="equal">
      <formula>"Extremo"</formula>
    </cfRule>
    <cfRule type="cellIs" dxfId="89" priority="106" operator="equal">
      <formula>"Alto"</formula>
    </cfRule>
    <cfRule type="cellIs" dxfId="88" priority="107" operator="equal">
      <formula>"Moderado"</formula>
    </cfRule>
    <cfRule type="cellIs" dxfId="87" priority="108" operator="equal">
      <formula>"Bajo"</formula>
    </cfRule>
  </conditionalFormatting>
  <conditionalFormatting sqref="AD49:AD54">
    <cfRule type="cellIs" dxfId="86" priority="100" operator="equal">
      <formula>"Muy Alta"</formula>
    </cfRule>
    <cfRule type="cellIs" dxfId="85" priority="101" operator="equal">
      <formula>"Alta"</formula>
    </cfRule>
    <cfRule type="cellIs" dxfId="84" priority="102" operator="equal">
      <formula>"Media"</formula>
    </cfRule>
    <cfRule type="cellIs" dxfId="83" priority="103" operator="equal">
      <formula>"Baja"</formula>
    </cfRule>
    <cfRule type="cellIs" dxfId="82" priority="104" operator="equal">
      <formula>"Muy Baja"</formula>
    </cfRule>
  </conditionalFormatting>
  <conditionalFormatting sqref="AF49:AF54">
    <cfRule type="cellIs" dxfId="81" priority="95" operator="equal">
      <formula>"Catastrófico"</formula>
    </cfRule>
    <cfRule type="cellIs" dxfId="80" priority="96" operator="equal">
      <formula>"Mayor"</formula>
    </cfRule>
    <cfRule type="cellIs" dxfId="79" priority="97" operator="equal">
      <formula>"Moderado"</formula>
    </cfRule>
    <cfRule type="cellIs" dxfId="78" priority="98" operator="equal">
      <formula>"Menor"</formula>
    </cfRule>
    <cfRule type="cellIs" dxfId="77" priority="99" operator="equal">
      <formula>"Leve"</formula>
    </cfRule>
  </conditionalFormatting>
  <conditionalFormatting sqref="AH49:AH54">
    <cfRule type="cellIs" dxfId="76" priority="91" operator="equal">
      <formula>"Extremo"</formula>
    </cfRule>
    <cfRule type="cellIs" dxfId="75" priority="92" operator="equal">
      <formula>"Alto"</formula>
    </cfRule>
    <cfRule type="cellIs" dxfId="74" priority="93" operator="equal">
      <formula>"Moderado"</formula>
    </cfRule>
    <cfRule type="cellIs" dxfId="73" priority="94" operator="equal">
      <formula>"Bajo"</formula>
    </cfRule>
  </conditionalFormatting>
  <conditionalFormatting sqref="S55">
    <cfRule type="cellIs" dxfId="72" priority="77" operator="equal">
      <formula>"Extremo"</formula>
    </cfRule>
    <cfRule type="cellIs" dxfId="71" priority="78" operator="equal">
      <formula>"Alto"</formula>
    </cfRule>
    <cfRule type="cellIs" dxfId="70" priority="79" operator="equal">
      <formula>"Moderado"</formula>
    </cfRule>
    <cfRule type="cellIs" dxfId="69" priority="80" operator="equal">
      <formula>"Bajo"</formula>
    </cfRule>
  </conditionalFormatting>
  <conditionalFormatting sqref="AD55:AD60">
    <cfRule type="cellIs" dxfId="68" priority="72" operator="equal">
      <formula>"Muy Alta"</formula>
    </cfRule>
    <cfRule type="cellIs" dxfId="67" priority="73" operator="equal">
      <formula>"Alta"</formula>
    </cfRule>
    <cfRule type="cellIs" dxfId="66" priority="74" operator="equal">
      <formula>"Media"</formula>
    </cfRule>
    <cfRule type="cellIs" dxfId="65" priority="75" operator="equal">
      <formula>"Baja"</formula>
    </cfRule>
    <cfRule type="cellIs" dxfId="64" priority="76" operator="equal">
      <formula>"Muy Baja"</formula>
    </cfRule>
  </conditionalFormatting>
  <conditionalFormatting sqref="AF55:AF60">
    <cfRule type="cellIs" dxfId="63" priority="67" operator="equal">
      <formula>"Catastrófico"</formula>
    </cfRule>
    <cfRule type="cellIs" dxfId="62" priority="68" operator="equal">
      <formula>"Mayor"</formula>
    </cfRule>
    <cfRule type="cellIs" dxfId="61" priority="69" operator="equal">
      <formula>"Moderado"</formula>
    </cfRule>
    <cfRule type="cellIs" dxfId="60" priority="70" operator="equal">
      <formula>"Menor"</formula>
    </cfRule>
    <cfRule type="cellIs" dxfId="59" priority="71" operator="equal">
      <formula>"Leve"</formula>
    </cfRule>
  </conditionalFormatting>
  <conditionalFormatting sqref="AH55:AH60">
    <cfRule type="cellIs" dxfId="58" priority="63" operator="equal">
      <formula>"Extremo"</formula>
    </cfRule>
    <cfRule type="cellIs" dxfId="57" priority="64" operator="equal">
      <formula>"Alto"</formula>
    </cfRule>
    <cfRule type="cellIs" dxfId="56" priority="65" operator="equal">
      <formula>"Moderado"</formula>
    </cfRule>
    <cfRule type="cellIs" dxfId="55" priority="66" operator="equal">
      <formula>"Bajo"</formula>
    </cfRule>
  </conditionalFormatting>
  <conditionalFormatting sqref="S61">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AD61:AD66">
    <cfRule type="cellIs" dxfId="50" priority="44" operator="equal">
      <formula>"Muy Alta"</formula>
    </cfRule>
    <cfRule type="cellIs" dxfId="49" priority="45" operator="equal">
      <formula>"Alta"</formula>
    </cfRule>
    <cfRule type="cellIs" dxfId="48" priority="46" operator="equal">
      <formula>"Media"</formula>
    </cfRule>
    <cfRule type="cellIs" dxfId="47" priority="47" operator="equal">
      <formula>"Baja"</formula>
    </cfRule>
    <cfRule type="cellIs" dxfId="46" priority="48" operator="equal">
      <formula>"Muy Baja"</formula>
    </cfRule>
  </conditionalFormatting>
  <conditionalFormatting sqref="AF61:AF66">
    <cfRule type="cellIs" dxfId="45" priority="39" operator="equal">
      <formula>"Catastrófico"</formula>
    </cfRule>
    <cfRule type="cellIs" dxfId="44" priority="40" operator="equal">
      <formula>"Mayor"</formula>
    </cfRule>
    <cfRule type="cellIs" dxfId="43" priority="41" operator="equal">
      <formula>"Moderado"</formula>
    </cfRule>
    <cfRule type="cellIs" dxfId="42" priority="42" operator="equal">
      <formula>"Menor"</formula>
    </cfRule>
    <cfRule type="cellIs" dxfId="41" priority="43" operator="equal">
      <formula>"Leve"</formula>
    </cfRule>
  </conditionalFormatting>
  <conditionalFormatting sqref="AH61:AH66">
    <cfRule type="cellIs" dxfId="40" priority="35" operator="equal">
      <formula>"Extremo"</formula>
    </cfRule>
    <cfRule type="cellIs" dxfId="39" priority="36" operator="equal">
      <formula>"Alto"</formula>
    </cfRule>
    <cfRule type="cellIs" dxfId="38" priority="37" operator="equal">
      <formula>"Moderado"</formula>
    </cfRule>
    <cfRule type="cellIs" dxfId="37" priority="38" operator="equal">
      <formula>"Bajo"</formula>
    </cfRule>
  </conditionalFormatting>
  <conditionalFormatting sqref="M67">
    <cfRule type="cellIs" dxfId="36" priority="30" operator="equal">
      <formula>"Muy Alta"</formula>
    </cfRule>
    <cfRule type="cellIs" dxfId="35" priority="31" operator="equal">
      <formula>"Alta"</formula>
    </cfRule>
    <cfRule type="cellIs" dxfId="34" priority="32" operator="equal">
      <formula>"Media"</formula>
    </cfRule>
    <cfRule type="cellIs" dxfId="33" priority="33" operator="equal">
      <formula>"Baja"</formula>
    </cfRule>
    <cfRule type="cellIs" dxfId="32" priority="34" operator="equal">
      <formula>"Muy Baja"</formula>
    </cfRule>
  </conditionalFormatting>
  <conditionalFormatting sqref="S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D67:AD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F67:AF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H67:AH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P13:P72">
    <cfRule type="containsText" dxfId="13" priority="6" operator="containsText" text="❌">
      <formula>NOT(ISERROR(SEARCH("❌",P13)))</formula>
    </cfRule>
  </conditionalFormatting>
  <conditionalFormatting sqref="M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dataValidations count="1">
    <dataValidation type="list" allowBlank="1" showInputMessage="1" showErrorMessage="1" sqref="J67 J55 J61" xr:uid="{00000000-0002-0000-0300-000000000000}">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300-000001000000}">
          <x14:formula1>
            <xm:f>'Tabla Valoración controles'!$D$4:$D$6</xm:f>
          </x14:formula1>
          <xm:sqref>W13:W30 W34:W72</xm:sqref>
        </x14:dataValidation>
        <x14:dataValidation type="list" allowBlank="1" showInputMessage="1" showErrorMessage="1" xr:uid="{00000000-0002-0000-0300-000002000000}">
          <x14:formula1>
            <xm:f>'Tabla Valoración controles'!$D$7:$D$8</xm:f>
          </x14:formula1>
          <xm:sqref>X13:X30 X34:X72</xm:sqref>
        </x14:dataValidation>
        <x14:dataValidation type="list" allowBlank="1" showInputMessage="1" showErrorMessage="1" xr:uid="{00000000-0002-0000-0300-000003000000}">
          <x14:formula1>
            <xm:f>'Tabla Valoración controles'!$D$9:$D$10</xm:f>
          </x14:formula1>
          <xm:sqref>Z13:Z30 Z34:Z72</xm:sqref>
        </x14:dataValidation>
        <x14:dataValidation type="list" allowBlank="1" showInputMessage="1" showErrorMessage="1" xr:uid="{00000000-0002-0000-0300-000004000000}">
          <x14:formula1>
            <xm:f>'Tabla Valoración controles'!$D$11:$D$12</xm:f>
          </x14:formula1>
          <xm:sqref>AA13:AA30 AA34:AA72</xm:sqref>
        </x14:dataValidation>
        <x14:dataValidation type="list" allowBlank="1" showInputMessage="1" showErrorMessage="1" xr:uid="{00000000-0002-0000-0300-000005000000}">
          <x14:formula1>
            <xm:f>'Tabla Valoración controles'!$D$13:$D$14</xm:f>
          </x14:formula1>
          <xm:sqref>AB13:AB30 AB34:AB72</xm:sqref>
        </x14:dataValidation>
        <x14:dataValidation type="list" allowBlank="1" showInputMessage="1" showErrorMessage="1" xr:uid="{00000000-0002-0000-0300-000006000000}">
          <x14:formula1>
            <xm:f>'Opciones Tratamiento'!$E$2:$E$4</xm:f>
          </x14:formula1>
          <xm:sqref>B13:B30 B37:B72</xm:sqref>
        </x14:dataValidation>
        <x14:dataValidation type="list" allowBlank="1" showInputMessage="1" showErrorMessage="1" xr:uid="{00000000-0002-0000-0300-000007000000}">
          <x14:formula1>
            <xm:f>'Opciones Tratamiento'!$B$2:$B$5</xm:f>
          </x14:formula1>
          <xm:sqref>AI13:AI72</xm:sqref>
        </x14:dataValidation>
        <x14:dataValidation type="list" allowBlank="1" showInputMessage="1" showErrorMessage="1" xr:uid="{00000000-0002-0000-0300-000008000000}">
          <x14:formula1>
            <xm:f>'Tabla Impacto'!$F$211:$F$222</xm:f>
          </x14:formula1>
          <xm:sqref>O13:O72</xm:sqref>
        </x14:dataValidation>
        <x14:dataValidation type="custom" allowBlank="1" showInputMessage="1" showErrorMessage="1" error="Recuerde que las acciones se generan bajo la medida de mitigar el riesgo" xr:uid="{00000000-0002-0000-0300-000009000000}">
          <x14:formula1>
            <xm:f>IF(OR(AI13='Opciones Tratamiento'!$B$2,AI13='Opciones Tratamiento'!$B$3,AI13='Opciones Tratamiento'!$B$4),ISBLANK(AI13),ISTEXT(AI13))</xm:f>
          </x14:formula1>
          <xm:sqref>AJ13:AJ18 AJ20:AJ30 AJ32:AJ72</xm:sqref>
        </x14:dataValidation>
        <x14:dataValidation type="custom" allowBlank="1" showInputMessage="1" showErrorMessage="1" error="Recuerde que las acciones se generan bajo la medida de mitigar el riesgo" xr:uid="{00000000-0002-0000-0300-00000A000000}">
          <x14:formula1>
            <xm:f>IF(OR(AI13='Opciones Tratamiento'!$B$2,AI13='Opciones Tratamiento'!$B$3,AI13='Opciones Tratamiento'!$B$4),ISBLANK(AI13),ISTEXT(AI13))</xm:f>
          </x14:formula1>
          <xm:sqref>AK13:AL18 AK20:AL30 AK32:AL72</xm:sqref>
        </x14:dataValidation>
        <x14:dataValidation type="custom" allowBlank="1" showInputMessage="1" showErrorMessage="1" error="Recuerde que las acciones se generan bajo la medida de mitigar el riesgo" xr:uid="{00000000-0002-0000-0300-00000B000000}">
          <x14:formula1>
            <xm:f>IF(OR(AI13='Opciones Tratamiento'!$B$2,AI13='Opciones Tratamiento'!$B$3,AI13='Opciones Tratamiento'!$B$4),ISBLANK(AI13),ISTEXT(AI13))</xm:f>
          </x14:formula1>
          <xm:sqref>AM13:AM18 AM20:AM30 AM32:AM72</xm:sqref>
        </x14:dataValidation>
        <x14:dataValidation type="list" allowBlank="1" showInputMessage="1" showErrorMessage="1" xr:uid="{00000000-0002-0000-0300-00000C000000}">
          <x14:formula1>
            <xm:f>'Opciones Tratamiento'!$B$13:$B$23</xm:f>
          </x14:formula1>
          <xm:sqref>G13:G72</xm:sqref>
        </x14:dataValidation>
        <x14:dataValidation type="list" allowBlank="1" showInputMessage="1" showErrorMessage="1" xr:uid="{00000000-0002-0000-0300-00000D000000}">
          <x14:formula1>
            <xm:f>'Opciones Tratamiento'!$B$28:$B$35</xm:f>
          </x14:formula1>
          <xm:sqref>J13 J31 J19 J25 J37 J49 J43</xm:sqref>
        </x14:dataValidation>
        <x14:dataValidation type="list" allowBlank="1" showInputMessage="1" showErrorMessage="1" xr:uid="{00000000-0002-0000-0300-00000E000000}">
          <x14:formula1>
            <xm:f>'Tipo de riesgos'!$AX$3:$AX$5</xm:f>
          </x14:formula1>
          <xm:sqref>F13:F30 F37:F72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AN37:AP37 AN67:AP67 AN61:AP61 AN55:AP55 AN49:AP49 AN43:AP43</xm:sqref>
        </x14:dataValidation>
        <x14:dataValidation type="list" allowBlank="1" showInputMessage="1" showErrorMessage="1" xr:uid="{00000000-0002-0000-0300-000011000000}">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15" t="s">
        <v>174</v>
      </c>
      <c r="C2" s="415"/>
      <c r="D2" s="415"/>
      <c r="E2" s="415"/>
      <c r="F2" s="415"/>
      <c r="G2" s="415"/>
      <c r="H2" s="415"/>
      <c r="I2" s="415"/>
      <c r="J2" s="452" t="s">
        <v>15</v>
      </c>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15"/>
      <c r="C3" s="415"/>
      <c r="D3" s="415"/>
      <c r="E3" s="415"/>
      <c r="F3" s="415"/>
      <c r="G3" s="415"/>
      <c r="H3" s="415"/>
      <c r="I3" s="415"/>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15"/>
      <c r="C4" s="415"/>
      <c r="D4" s="415"/>
      <c r="E4" s="415"/>
      <c r="F4" s="415"/>
      <c r="G4" s="415"/>
      <c r="H4" s="415"/>
      <c r="I4" s="415"/>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63" t="s">
        <v>175</v>
      </c>
      <c r="C6" s="463"/>
      <c r="D6" s="464"/>
      <c r="E6" s="453" t="s">
        <v>176</v>
      </c>
      <c r="F6" s="454"/>
      <c r="G6" s="454"/>
      <c r="H6" s="454"/>
      <c r="I6" s="455"/>
      <c r="J6" s="449" t="str">
        <f>IF(AND('Mapa riesgos'!$M$13="Muy Alta",'Mapa riesgos'!$Q$13="Leve"),CONCATENATE("R",'Mapa riesgos'!$A$13),"")</f>
        <v/>
      </c>
      <c r="K6" s="450"/>
      <c r="L6" s="450" t="str">
        <f>IF(AND('Mapa riesgos'!$M$19="Muy Alta",'Mapa riesgos'!$Q$19="Leve"),CONCATENATE("R",'Mapa riesgos'!$A$19),"")</f>
        <v/>
      </c>
      <c r="M6" s="450"/>
      <c r="N6" s="450" t="str">
        <f>IF(AND('Mapa riesgos'!$M$25="Muy Alta",'Mapa riesgos'!$Q$25="Leve"),CONCATENATE("R",'Mapa riesgos'!$A$25),"")</f>
        <v/>
      </c>
      <c r="O6" s="451"/>
      <c r="P6" s="449" t="str">
        <f>IF(AND('Mapa riesgos'!$M$13="Muy Alta",'Mapa riesgos'!$Q$13="Menor"),CONCATENATE("R",'Mapa riesgos'!$A$13),"")</f>
        <v/>
      </c>
      <c r="Q6" s="450"/>
      <c r="R6" s="450" t="str">
        <f>IF(AND('Mapa riesgos'!$M$19="Muy Alta",'Mapa riesgos'!$Q$19="Menor"),CONCATENATE("R",'Mapa riesgos'!$A$19),"")</f>
        <v/>
      </c>
      <c r="S6" s="450"/>
      <c r="T6" s="450" t="str">
        <f>IF(AND('Mapa riesgos'!$M$25="Muy Alta",'Mapa riesgos'!$Q$25="Menor"),CONCATENATE("R",'Mapa riesgos'!$A$25),"")</f>
        <v/>
      </c>
      <c r="U6" s="451"/>
      <c r="V6" s="449" t="str">
        <f>IF(AND('Mapa riesgos'!$M$13="Muy Alta",'Mapa riesgos'!$Q$13="Moderado"),CONCATENATE("R",'Mapa riesgos'!$A$13),"")</f>
        <v/>
      </c>
      <c r="W6" s="450"/>
      <c r="X6" s="450" t="str">
        <f>IF(AND('Mapa riesgos'!$M$19="Muy Alta",'Mapa riesgos'!$Q$19="Moderado"),CONCATENATE("R",'Mapa riesgos'!$A$19),"")</f>
        <v/>
      </c>
      <c r="Y6" s="450"/>
      <c r="Z6" s="450" t="str">
        <f>IF(AND('Mapa riesgos'!$M$25="Muy Alta",'Mapa riesgos'!$Q$25="Moderado"),CONCATENATE("R",'Mapa riesgos'!$A$25),"")</f>
        <v/>
      </c>
      <c r="AA6" s="451"/>
      <c r="AB6" s="449" t="str">
        <f>IF(AND('Mapa riesgos'!$M$13="Muy Alta",'Mapa riesgos'!$Q$13="Mayor"),CONCATENATE("R",'Mapa riesgos'!$A$13),"")</f>
        <v/>
      </c>
      <c r="AC6" s="450"/>
      <c r="AD6" s="450" t="str">
        <f>IF(AND('Mapa riesgos'!$M$19="Muy Alta",'Mapa riesgos'!$Q$19="Mayor"),CONCATENATE("R",'Mapa riesgos'!$A$19),"")</f>
        <v/>
      </c>
      <c r="AE6" s="450"/>
      <c r="AF6" s="450" t="str">
        <f>IF(AND('Mapa riesgos'!$M$25="Muy Alta",'Mapa riesgos'!$Q$25="Mayor"),CONCATENATE("R",'Mapa riesgos'!$A$25),"")</f>
        <v/>
      </c>
      <c r="AG6" s="451"/>
      <c r="AH6" s="440" t="str">
        <f>IF(AND('Mapa riesgos'!$M$13="Muy Alta",'Mapa riesgos'!$Q$13="Catastrófico"),CONCATENATE("R",'Mapa riesgos'!$A$13),"")</f>
        <v/>
      </c>
      <c r="AI6" s="441"/>
      <c r="AJ6" s="441" t="str">
        <f>IF(AND('Mapa riesgos'!$M$19="Muy Alta",'Mapa riesgos'!$Q$19="Catastrófico"),CONCATENATE("R",'Mapa riesgos'!$A$19),"")</f>
        <v/>
      </c>
      <c r="AK6" s="441"/>
      <c r="AL6" s="441" t="str">
        <f>IF(AND('Mapa riesgos'!$M$25="Muy Alta",'Mapa riesgos'!$Q$25="Catastrófico"),CONCATENATE("R",'Mapa riesgos'!$A$25),"")</f>
        <v/>
      </c>
      <c r="AM6" s="442"/>
      <c r="AO6" s="465" t="s">
        <v>177</v>
      </c>
      <c r="AP6" s="466"/>
      <c r="AQ6" s="466"/>
      <c r="AR6" s="466"/>
      <c r="AS6" s="466"/>
      <c r="AT6" s="467"/>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63"/>
      <c r="C7" s="463"/>
      <c r="D7" s="464"/>
      <c r="E7" s="456"/>
      <c r="F7" s="457"/>
      <c r="G7" s="457"/>
      <c r="H7" s="457"/>
      <c r="I7" s="458"/>
      <c r="J7" s="443"/>
      <c r="K7" s="444"/>
      <c r="L7" s="444"/>
      <c r="M7" s="444"/>
      <c r="N7" s="444"/>
      <c r="O7" s="445"/>
      <c r="P7" s="443"/>
      <c r="Q7" s="444"/>
      <c r="R7" s="444"/>
      <c r="S7" s="444"/>
      <c r="T7" s="444"/>
      <c r="U7" s="445"/>
      <c r="V7" s="443"/>
      <c r="W7" s="444"/>
      <c r="X7" s="444"/>
      <c r="Y7" s="444"/>
      <c r="Z7" s="444"/>
      <c r="AA7" s="445"/>
      <c r="AB7" s="443"/>
      <c r="AC7" s="444"/>
      <c r="AD7" s="444"/>
      <c r="AE7" s="444"/>
      <c r="AF7" s="444"/>
      <c r="AG7" s="445"/>
      <c r="AH7" s="434"/>
      <c r="AI7" s="435"/>
      <c r="AJ7" s="435"/>
      <c r="AK7" s="435"/>
      <c r="AL7" s="435"/>
      <c r="AM7" s="436"/>
      <c r="AN7" s="66"/>
      <c r="AO7" s="468"/>
      <c r="AP7" s="469"/>
      <c r="AQ7" s="469"/>
      <c r="AR7" s="469"/>
      <c r="AS7" s="469"/>
      <c r="AT7" s="470"/>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63"/>
      <c r="C8" s="463"/>
      <c r="D8" s="464"/>
      <c r="E8" s="456"/>
      <c r="F8" s="457"/>
      <c r="G8" s="457"/>
      <c r="H8" s="457"/>
      <c r="I8" s="458"/>
      <c r="J8" s="443" t="str">
        <f>IF(AND('Mapa riesgos'!$M$31="Muy Alta",'Mapa riesgos'!$Q$31="Leve"),CONCATENATE("R",'Mapa riesgos'!$A$31),"")</f>
        <v/>
      </c>
      <c r="K8" s="444"/>
      <c r="L8" s="444" t="str">
        <f>IF(AND('Mapa riesgos'!$M$37="Muy Alta",'Mapa riesgos'!$Q$37="Leve"),CONCATENATE("R",'Mapa riesgos'!$A$37),"")</f>
        <v/>
      </c>
      <c r="M8" s="444"/>
      <c r="N8" s="444" t="str">
        <f>IF(AND('Mapa riesgos'!$M$43="Muy Alta",'Mapa riesgos'!$Q$43="Leve"),CONCATENATE("R",'Mapa riesgos'!$A$43),"")</f>
        <v/>
      </c>
      <c r="O8" s="445"/>
      <c r="P8" s="443" t="str">
        <f>IF(AND('Mapa riesgos'!$M$31="Muy Alta",'Mapa riesgos'!$Q$31="Menor"),CONCATENATE("R",'Mapa riesgos'!$A$31),"")</f>
        <v/>
      </c>
      <c r="Q8" s="444"/>
      <c r="R8" s="444" t="str">
        <f>IF(AND('Mapa riesgos'!$M$37="Muy Alta",'Mapa riesgos'!$Q$37="Menor"),CONCATENATE("R",'Mapa riesgos'!$A$37),"")</f>
        <v/>
      </c>
      <c r="S8" s="444"/>
      <c r="T8" s="444" t="str">
        <f>IF(AND('Mapa riesgos'!$M$43="Muy Alta",'Mapa riesgos'!$Q$43="Menor"),CONCATENATE("R",'Mapa riesgos'!$A$43),"")</f>
        <v/>
      </c>
      <c r="U8" s="445"/>
      <c r="V8" s="443" t="str">
        <f>IF(AND('Mapa riesgos'!$M$31="Muy Alta",'Mapa riesgos'!$Q$31="Moderado"),CONCATENATE("R",'Mapa riesgos'!$A$31),"")</f>
        <v/>
      </c>
      <c r="W8" s="444"/>
      <c r="X8" s="444" t="str">
        <f>IF(AND('Mapa riesgos'!$M$37="Muy Alta",'Mapa riesgos'!$Q$37="Moderado"),CONCATENATE("R",'Mapa riesgos'!$A$37),"")</f>
        <v/>
      </c>
      <c r="Y8" s="444"/>
      <c r="Z8" s="444" t="str">
        <f>IF(AND('Mapa riesgos'!$M$43="Muy Alta",'Mapa riesgos'!$Q$43="Moderado"),CONCATENATE("R",'Mapa riesgos'!$A$43),"")</f>
        <v/>
      </c>
      <c r="AA8" s="445"/>
      <c r="AB8" s="443" t="str">
        <f>IF(AND('Mapa riesgos'!$M$31="Muy Alta",'Mapa riesgos'!$Q$31="Mayor"),CONCATENATE("R",'Mapa riesgos'!$A$31),"")</f>
        <v/>
      </c>
      <c r="AC8" s="444"/>
      <c r="AD8" s="444" t="str">
        <f>IF(AND('Mapa riesgos'!$M$37="Muy Alta",'Mapa riesgos'!$Q$37="Mayor"),CONCATENATE("R",'Mapa riesgos'!$A$37),"")</f>
        <v/>
      </c>
      <c r="AE8" s="444"/>
      <c r="AF8" s="444" t="str">
        <f>IF(AND('Mapa riesgos'!$M$43="Muy Alta",'Mapa riesgos'!$Q$43="Mayor"),CONCATENATE("R",'Mapa riesgos'!$A$43),"")</f>
        <v/>
      </c>
      <c r="AG8" s="445"/>
      <c r="AH8" s="434" t="str">
        <f>IF(AND('Mapa riesgos'!$M$31="Muy Alta",'Mapa riesgos'!$Q$31="Catastrófico"),CONCATENATE("R",'Mapa riesgos'!$A$31),"")</f>
        <v/>
      </c>
      <c r="AI8" s="435"/>
      <c r="AJ8" s="435" t="str">
        <f>IF(AND('Mapa riesgos'!$M$37="Muy Alta",'Mapa riesgos'!$Q$37="Catastrófico"),CONCATENATE("R",'Mapa riesgos'!$A$37),"")</f>
        <v/>
      </c>
      <c r="AK8" s="435"/>
      <c r="AL8" s="435" t="str">
        <f>IF(AND('Mapa riesgos'!$M$43="Muy Alta",'Mapa riesgos'!$Q$43="Catastrófico"),CONCATENATE("R",'Mapa riesgos'!$A$43),"")</f>
        <v/>
      </c>
      <c r="AM8" s="436"/>
      <c r="AN8" s="66"/>
      <c r="AO8" s="468"/>
      <c r="AP8" s="469"/>
      <c r="AQ8" s="469"/>
      <c r="AR8" s="469"/>
      <c r="AS8" s="469"/>
      <c r="AT8" s="470"/>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63"/>
      <c r="C9" s="463"/>
      <c r="D9" s="464"/>
      <c r="E9" s="456"/>
      <c r="F9" s="457"/>
      <c r="G9" s="457"/>
      <c r="H9" s="457"/>
      <c r="I9" s="458"/>
      <c r="J9" s="443"/>
      <c r="K9" s="444"/>
      <c r="L9" s="444"/>
      <c r="M9" s="444"/>
      <c r="N9" s="444"/>
      <c r="O9" s="445"/>
      <c r="P9" s="443"/>
      <c r="Q9" s="444"/>
      <c r="R9" s="444"/>
      <c r="S9" s="444"/>
      <c r="T9" s="444"/>
      <c r="U9" s="445"/>
      <c r="V9" s="443"/>
      <c r="W9" s="444"/>
      <c r="X9" s="444"/>
      <c r="Y9" s="444"/>
      <c r="Z9" s="444"/>
      <c r="AA9" s="445"/>
      <c r="AB9" s="443"/>
      <c r="AC9" s="444"/>
      <c r="AD9" s="444"/>
      <c r="AE9" s="444"/>
      <c r="AF9" s="444"/>
      <c r="AG9" s="445"/>
      <c r="AH9" s="434"/>
      <c r="AI9" s="435"/>
      <c r="AJ9" s="435"/>
      <c r="AK9" s="435"/>
      <c r="AL9" s="435"/>
      <c r="AM9" s="436"/>
      <c r="AN9" s="66"/>
      <c r="AO9" s="468"/>
      <c r="AP9" s="469"/>
      <c r="AQ9" s="469"/>
      <c r="AR9" s="469"/>
      <c r="AS9" s="469"/>
      <c r="AT9" s="470"/>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63"/>
      <c r="C10" s="463"/>
      <c r="D10" s="464"/>
      <c r="E10" s="456"/>
      <c r="F10" s="457"/>
      <c r="G10" s="457"/>
      <c r="H10" s="457"/>
      <c r="I10" s="458"/>
      <c r="J10" s="443" t="str">
        <f>IF(AND('Mapa riesgos'!$M$49="Muy Alta",'Mapa riesgos'!$Q$49="Leve"),CONCATENATE("R",'Mapa riesgos'!$A$49),"")</f>
        <v/>
      </c>
      <c r="K10" s="444"/>
      <c r="L10" s="444" t="str">
        <f>IF(AND('Mapa riesgos'!$M$55="Muy Alta",'Mapa riesgos'!$Q$55="Leve"),CONCATENATE("R",'Mapa riesgos'!$A$55),"")</f>
        <v/>
      </c>
      <c r="M10" s="444"/>
      <c r="N10" s="444" t="str">
        <f>IF(AND('Mapa riesgos'!$M$61="Muy Alta",'Mapa riesgos'!$Q$61="Leve"),CONCATENATE("R",'Mapa riesgos'!$A$61),"")</f>
        <v/>
      </c>
      <c r="O10" s="445"/>
      <c r="P10" s="443" t="str">
        <f>IF(AND('Mapa riesgos'!$M$49="Muy Alta",'Mapa riesgos'!$Q$49="Menor"),CONCATENATE("R",'Mapa riesgos'!$A$49),"")</f>
        <v/>
      </c>
      <c r="Q10" s="444"/>
      <c r="R10" s="444" t="str">
        <f>IF(AND('Mapa riesgos'!$M$55="Muy Alta",'Mapa riesgos'!$Q$55="Menor"),CONCATENATE("R",'Mapa riesgos'!$A$55),"")</f>
        <v/>
      </c>
      <c r="S10" s="444"/>
      <c r="T10" s="444" t="str">
        <f>IF(AND('Mapa riesgos'!$M$61="Muy Alta",'Mapa riesgos'!$Q$61="Menor"),CONCATENATE("R",'Mapa riesgos'!$A$61),"")</f>
        <v/>
      </c>
      <c r="U10" s="445"/>
      <c r="V10" s="443" t="str">
        <f>IF(AND('Mapa riesgos'!$M$49="Muy Alta",'Mapa riesgos'!$Q$49="Moderado"),CONCATENATE("R",'Mapa riesgos'!$A$49),"")</f>
        <v/>
      </c>
      <c r="W10" s="444"/>
      <c r="X10" s="444" t="str">
        <f>IF(AND('Mapa riesgos'!$M$55="Muy Alta",'Mapa riesgos'!$Q$55="Moderado"),CONCATENATE("R",'Mapa riesgos'!$A$55),"")</f>
        <v/>
      </c>
      <c r="Y10" s="444"/>
      <c r="Z10" s="444" t="str">
        <f>IF(AND('Mapa riesgos'!$M$61="Muy Alta",'Mapa riesgos'!$Q$61="Moderado"),CONCATENATE("R",'Mapa riesgos'!$A$61),"")</f>
        <v/>
      </c>
      <c r="AA10" s="445"/>
      <c r="AB10" s="443" t="str">
        <f>IF(AND('Mapa riesgos'!$M$49="Muy Alta",'Mapa riesgos'!$Q$49="Mayor"),CONCATENATE("R",'Mapa riesgos'!$A$49),"")</f>
        <v/>
      </c>
      <c r="AC10" s="444"/>
      <c r="AD10" s="444" t="str">
        <f>IF(AND('Mapa riesgos'!$M$55="Muy Alta",'Mapa riesgos'!$Q$55="Mayor"),CONCATENATE("R",'Mapa riesgos'!$A$55),"")</f>
        <v/>
      </c>
      <c r="AE10" s="444"/>
      <c r="AF10" s="444" t="str">
        <f>IF(AND('Mapa riesgos'!$M$61="Muy Alta",'Mapa riesgos'!$Q$61="Mayor"),CONCATENATE("R",'Mapa riesgos'!$A$61),"")</f>
        <v/>
      </c>
      <c r="AG10" s="445"/>
      <c r="AH10" s="434" t="str">
        <f>IF(AND('Mapa riesgos'!$M$49="Muy Alta",'Mapa riesgos'!$Q$49="Catastrófico"),CONCATENATE("R",'Mapa riesgos'!$A$49),"")</f>
        <v/>
      </c>
      <c r="AI10" s="435"/>
      <c r="AJ10" s="435" t="str">
        <f>IF(AND('Mapa riesgos'!$M$55="Muy Alta",'Mapa riesgos'!$Q$55="Catastrófico"),CONCATENATE("R",'Mapa riesgos'!$A$55),"")</f>
        <v/>
      </c>
      <c r="AK10" s="435"/>
      <c r="AL10" s="435" t="str">
        <f>IF(AND('Mapa riesgos'!$M$61="Muy Alta",'Mapa riesgos'!$Q$61="Catastrófico"),CONCATENATE("R",'Mapa riesgos'!$A$61),"")</f>
        <v/>
      </c>
      <c r="AM10" s="436"/>
      <c r="AN10" s="66"/>
      <c r="AO10" s="468"/>
      <c r="AP10" s="469"/>
      <c r="AQ10" s="469"/>
      <c r="AR10" s="469"/>
      <c r="AS10" s="469"/>
      <c r="AT10" s="470"/>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63"/>
      <c r="C11" s="463"/>
      <c r="D11" s="464"/>
      <c r="E11" s="456"/>
      <c r="F11" s="457"/>
      <c r="G11" s="457"/>
      <c r="H11" s="457"/>
      <c r="I11" s="458"/>
      <c r="J11" s="443"/>
      <c r="K11" s="444"/>
      <c r="L11" s="444"/>
      <c r="M11" s="444"/>
      <c r="N11" s="444"/>
      <c r="O11" s="445"/>
      <c r="P11" s="443"/>
      <c r="Q11" s="444"/>
      <c r="R11" s="444"/>
      <c r="S11" s="444"/>
      <c r="T11" s="444"/>
      <c r="U11" s="445"/>
      <c r="V11" s="443"/>
      <c r="W11" s="444"/>
      <c r="X11" s="444"/>
      <c r="Y11" s="444"/>
      <c r="Z11" s="444"/>
      <c r="AA11" s="445"/>
      <c r="AB11" s="443"/>
      <c r="AC11" s="444"/>
      <c r="AD11" s="444"/>
      <c r="AE11" s="444"/>
      <c r="AF11" s="444"/>
      <c r="AG11" s="445"/>
      <c r="AH11" s="434"/>
      <c r="AI11" s="435"/>
      <c r="AJ11" s="435"/>
      <c r="AK11" s="435"/>
      <c r="AL11" s="435"/>
      <c r="AM11" s="436"/>
      <c r="AN11" s="66"/>
      <c r="AO11" s="468"/>
      <c r="AP11" s="469"/>
      <c r="AQ11" s="469"/>
      <c r="AR11" s="469"/>
      <c r="AS11" s="469"/>
      <c r="AT11" s="470"/>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63"/>
      <c r="C12" s="463"/>
      <c r="D12" s="464"/>
      <c r="E12" s="456"/>
      <c r="F12" s="457"/>
      <c r="G12" s="457"/>
      <c r="H12" s="457"/>
      <c r="I12" s="458"/>
      <c r="J12" s="443" t="str">
        <f>IF(AND('Mapa riesgos'!$M$67="Muy Alta",'Mapa riesgos'!$Q$67="Leve"),CONCATENATE("R",'Mapa riesgos'!$A$67),"")</f>
        <v/>
      </c>
      <c r="K12" s="444"/>
      <c r="L12" s="444" t="str">
        <f>IF(AND('Mapa riesgos'!$M$73="Muy Alta",'Mapa riesgos'!$Q$73="Leve"),CONCATENATE("R",'Mapa riesgos'!$A$73),"")</f>
        <v/>
      </c>
      <c r="M12" s="444"/>
      <c r="N12" s="444" t="str">
        <f>IF(AND('Mapa riesgos'!$M$79="Muy Alta",'Mapa riesgos'!$Q$79="Leve"),CONCATENATE("R",'Mapa riesgos'!$A$79),"")</f>
        <v/>
      </c>
      <c r="O12" s="445"/>
      <c r="P12" s="443" t="str">
        <f>IF(AND('Mapa riesgos'!$M$67="Muy Alta",'Mapa riesgos'!$Q$67="Menor"),CONCATENATE("R",'Mapa riesgos'!$A$67),"")</f>
        <v/>
      </c>
      <c r="Q12" s="444"/>
      <c r="R12" s="444" t="str">
        <f>IF(AND('Mapa riesgos'!$M$73="Muy Alta",'Mapa riesgos'!$Q$73="Menor"),CONCATENATE("R",'Mapa riesgos'!$A$73),"")</f>
        <v/>
      </c>
      <c r="S12" s="444"/>
      <c r="T12" s="444" t="str">
        <f>IF(AND('Mapa riesgos'!$M$79="Muy Alta",'Mapa riesgos'!$Q$79="Menor"),CONCATENATE("R",'Mapa riesgos'!$A$79),"")</f>
        <v/>
      </c>
      <c r="U12" s="445"/>
      <c r="V12" s="443" t="str">
        <f>IF(AND('Mapa riesgos'!$M$67="Muy Alta",'Mapa riesgos'!$Q$67="Moderado"),CONCATENATE("R",'Mapa riesgos'!$A$67),"")</f>
        <v/>
      </c>
      <c r="W12" s="444"/>
      <c r="X12" s="444" t="str">
        <f>IF(AND('Mapa riesgos'!$M$73="Muy Alta",'Mapa riesgos'!$Q$73="Moderado"),CONCATENATE("R",'Mapa riesgos'!$A$73),"")</f>
        <v/>
      </c>
      <c r="Y12" s="444"/>
      <c r="Z12" s="444" t="str">
        <f>IF(AND('Mapa riesgos'!$M$79="Muy Alta",'Mapa riesgos'!$Q$79="Moderado"),CONCATENATE("R",'Mapa riesgos'!$A$79),"")</f>
        <v/>
      </c>
      <c r="AA12" s="445"/>
      <c r="AB12" s="443" t="str">
        <f>IF(AND('Mapa riesgos'!$M$67="Muy Alta",'Mapa riesgos'!$Q$67="Mayor"),CONCATENATE("R",'Mapa riesgos'!$A$67),"")</f>
        <v/>
      </c>
      <c r="AC12" s="444"/>
      <c r="AD12" s="444" t="str">
        <f>IF(AND('Mapa riesgos'!$M$73="Muy Alta",'Mapa riesgos'!$Q$73="Mayor"),CONCATENATE("R",'Mapa riesgos'!$A$73),"")</f>
        <v/>
      </c>
      <c r="AE12" s="444"/>
      <c r="AF12" s="444" t="str">
        <f>IF(AND('Mapa riesgos'!$M$79="Muy Alta",'Mapa riesgos'!$Q$79="Mayor"),CONCATENATE("R",'Mapa riesgos'!$A$79),"")</f>
        <v/>
      </c>
      <c r="AG12" s="445"/>
      <c r="AH12" s="434" t="str">
        <f>IF(AND('Mapa riesgos'!$M$67="Muy Alta",'Mapa riesgos'!$Q$67="Catastrófico"),CONCATENATE("R",'Mapa riesgos'!$A$67),"")</f>
        <v/>
      </c>
      <c r="AI12" s="435"/>
      <c r="AJ12" s="435" t="str">
        <f>IF(AND('Mapa riesgos'!$M$73="Muy Alta",'Mapa riesgos'!$Q$73="Catastrófico"),CONCATENATE("R",'Mapa riesgos'!$A$73),"")</f>
        <v/>
      </c>
      <c r="AK12" s="435"/>
      <c r="AL12" s="435" t="str">
        <f>IF(AND('Mapa riesgos'!$M$79="Muy Alta",'Mapa riesgos'!$Q$79="Catastrófico"),CONCATENATE("R",'Mapa riesgos'!$A$79),"")</f>
        <v/>
      </c>
      <c r="AM12" s="436"/>
      <c r="AN12" s="66"/>
      <c r="AO12" s="468"/>
      <c r="AP12" s="469"/>
      <c r="AQ12" s="469"/>
      <c r="AR12" s="469"/>
      <c r="AS12" s="469"/>
      <c r="AT12" s="470"/>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63"/>
      <c r="C13" s="463"/>
      <c r="D13" s="464"/>
      <c r="E13" s="459"/>
      <c r="F13" s="460"/>
      <c r="G13" s="460"/>
      <c r="H13" s="460"/>
      <c r="I13" s="461"/>
      <c r="J13" s="443"/>
      <c r="K13" s="444"/>
      <c r="L13" s="444"/>
      <c r="M13" s="444"/>
      <c r="N13" s="444"/>
      <c r="O13" s="445"/>
      <c r="P13" s="443"/>
      <c r="Q13" s="444"/>
      <c r="R13" s="444"/>
      <c r="S13" s="444"/>
      <c r="T13" s="444"/>
      <c r="U13" s="445"/>
      <c r="V13" s="443"/>
      <c r="W13" s="444"/>
      <c r="X13" s="444"/>
      <c r="Y13" s="444"/>
      <c r="Z13" s="444"/>
      <c r="AA13" s="445"/>
      <c r="AB13" s="443"/>
      <c r="AC13" s="444"/>
      <c r="AD13" s="444"/>
      <c r="AE13" s="444"/>
      <c r="AF13" s="444"/>
      <c r="AG13" s="445"/>
      <c r="AH13" s="437"/>
      <c r="AI13" s="438"/>
      <c r="AJ13" s="438"/>
      <c r="AK13" s="438"/>
      <c r="AL13" s="438"/>
      <c r="AM13" s="439"/>
      <c r="AN13" s="66"/>
      <c r="AO13" s="471"/>
      <c r="AP13" s="472"/>
      <c r="AQ13" s="472"/>
      <c r="AR13" s="472"/>
      <c r="AS13" s="472"/>
      <c r="AT13" s="47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63"/>
      <c r="C14" s="463"/>
      <c r="D14" s="464"/>
      <c r="E14" s="453" t="s">
        <v>178</v>
      </c>
      <c r="F14" s="454"/>
      <c r="G14" s="454"/>
      <c r="H14" s="454"/>
      <c r="I14" s="454"/>
      <c r="J14" s="431" t="str">
        <f>IF(AND('Mapa riesgos'!$M$13="Alta",'Mapa riesgos'!$Q$13="Leve"),CONCATENATE("R",'Mapa riesgos'!$A$13),"")</f>
        <v/>
      </c>
      <c r="K14" s="432"/>
      <c r="L14" s="432" t="str">
        <f>IF(AND('Mapa riesgos'!$M$19="Alta",'Mapa riesgos'!$Q$19="Leve"),CONCATENATE("R",'Mapa riesgos'!$A$19),"")</f>
        <v/>
      </c>
      <c r="M14" s="432"/>
      <c r="N14" s="432" t="str">
        <f>IF(AND('Mapa riesgos'!$M$25="Alta",'Mapa riesgos'!$Q$25="Leve"),CONCATENATE("R",'Mapa riesgos'!$A$25),"")</f>
        <v/>
      </c>
      <c r="O14" s="433"/>
      <c r="P14" s="431" t="str">
        <f>IF(AND('Mapa riesgos'!$M$13="Alta",'Mapa riesgos'!$Q$13="Menor"),CONCATENATE("R",'Mapa riesgos'!$A$13),"")</f>
        <v/>
      </c>
      <c r="Q14" s="432"/>
      <c r="R14" s="432" t="str">
        <f>IF(AND('Mapa riesgos'!$M$19="Alta",'Mapa riesgos'!$Q$19="Menor"),CONCATENATE("R",'Mapa riesgos'!$A$19),"")</f>
        <v/>
      </c>
      <c r="S14" s="432"/>
      <c r="T14" s="432" t="str">
        <f>IF(AND('Mapa riesgos'!$M$25="Alta",'Mapa riesgos'!$Q$25="Menor"),CONCATENATE("R",'Mapa riesgos'!$A$25),"")</f>
        <v/>
      </c>
      <c r="U14" s="433"/>
      <c r="V14" s="449" t="str">
        <f>IF(AND('Mapa riesgos'!$M$13="Alta",'Mapa riesgos'!$Q$13="Moderado"),CONCATENATE("R",'Mapa riesgos'!$A$13),"")</f>
        <v/>
      </c>
      <c r="W14" s="450"/>
      <c r="X14" s="450" t="str">
        <f>IF(AND('Mapa riesgos'!$M$19="Alta",'Mapa riesgos'!$Q$19="Moderado"),CONCATENATE("R",'Mapa riesgos'!$A$19),"")</f>
        <v/>
      </c>
      <c r="Y14" s="450"/>
      <c r="Z14" s="450" t="str">
        <f>IF(AND('Mapa riesgos'!$M$25="Alta",'Mapa riesgos'!$Q$25="Moderado"),CONCATENATE("R",'Mapa riesgos'!$A$25),"")</f>
        <v/>
      </c>
      <c r="AA14" s="451"/>
      <c r="AB14" s="449" t="str">
        <f>IF(AND('Mapa riesgos'!$M$13="Alta",'Mapa riesgos'!$Q$13="Mayor"),CONCATENATE("R",'Mapa riesgos'!$A$13),"")</f>
        <v/>
      </c>
      <c r="AC14" s="450"/>
      <c r="AD14" s="450" t="str">
        <f>IF(AND('Mapa riesgos'!$M$19="Alta",'Mapa riesgos'!$Q$19="Mayor"),CONCATENATE("R",'Mapa riesgos'!$A$19),"")</f>
        <v/>
      </c>
      <c r="AE14" s="450"/>
      <c r="AF14" s="450" t="str">
        <f>IF(AND('Mapa riesgos'!$M$25="Alta",'Mapa riesgos'!$Q$25="Mayor"),CONCATENATE("R",'Mapa riesgos'!$A$25),"")</f>
        <v/>
      </c>
      <c r="AG14" s="451"/>
      <c r="AH14" s="440" t="str">
        <f>IF(AND('Mapa riesgos'!$M$13="Alta",'Mapa riesgos'!$Q$13="Catastrófico"),CONCATENATE("R",'Mapa riesgos'!$A$13),"")</f>
        <v/>
      </c>
      <c r="AI14" s="441"/>
      <c r="AJ14" s="441" t="str">
        <f>IF(AND('Mapa riesgos'!$M$19="Alta",'Mapa riesgos'!$Q$19="Catastrófico"),CONCATENATE("R",'Mapa riesgos'!$A$19),"")</f>
        <v/>
      </c>
      <c r="AK14" s="441"/>
      <c r="AL14" s="441" t="str">
        <f>IF(AND('Mapa riesgos'!$M$25="Alta",'Mapa riesgos'!$Q$25="Catastrófico"),CONCATENATE("R",'Mapa riesgos'!$A$25),"")</f>
        <v/>
      </c>
      <c r="AM14" s="442"/>
      <c r="AN14" s="66"/>
      <c r="AO14" s="474" t="s">
        <v>179</v>
      </c>
      <c r="AP14" s="475"/>
      <c r="AQ14" s="475"/>
      <c r="AR14" s="475"/>
      <c r="AS14" s="475"/>
      <c r="AT14" s="47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63"/>
      <c r="C15" s="463"/>
      <c r="D15" s="464"/>
      <c r="E15" s="456"/>
      <c r="F15" s="457"/>
      <c r="G15" s="457"/>
      <c r="H15" s="457"/>
      <c r="I15" s="457"/>
      <c r="J15" s="425"/>
      <c r="K15" s="426"/>
      <c r="L15" s="426"/>
      <c r="M15" s="426"/>
      <c r="N15" s="426"/>
      <c r="O15" s="427"/>
      <c r="P15" s="425"/>
      <c r="Q15" s="426"/>
      <c r="R15" s="426"/>
      <c r="S15" s="426"/>
      <c r="T15" s="426"/>
      <c r="U15" s="427"/>
      <c r="V15" s="443"/>
      <c r="W15" s="444"/>
      <c r="X15" s="444"/>
      <c r="Y15" s="444"/>
      <c r="Z15" s="444"/>
      <c r="AA15" s="445"/>
      <c r="AB15" s="443"/>
      <c r="AC15" s="444"/>
      <c r="AD15" s="444"/>
      <c r="AE15" s="444"/>
      <c r="AF15" s="444"/>
      <c r="AG15" s="445"/>
      <c r="AH15" s="434"/>
      <c r="AI15" s="435"/>
      <c r="AJ15" s="435"/>
      <c r="AK15" s="435"/>
      <c r="AL15" s="435"/>
      <c r="AM15" s="436"/>
      <c r="AN15" s="66"/>
      <c r="AO15" s="477"/>
      <c r="AP15" s="478"/>
      <c r="AQ15" s="478"/>
      <c r="AR15" s="478"/>
      <c r="AS15" s="478"/>
      <c r="AT15" s="479"/>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63"/>
      <c r="C16" s="463"/>
      <c r="D16" s="464"/>
      <c r="E16" s="456"/>
      <c r="F16" s="457"/>
      <c r="G16" s="457"/>
      <c r="H16" s="457"/>
      <c r="I16" s="457"/>
      <c r="J16" s="425" t="str">
        <f>IF(AND('Mapa riesgos'!$M$31="Alta",'Mapa riesgos'!$Q$31="Leve"),CONCATENATE("R",'Mapa riesgos'!$A$31),"")</f>
        <v/>
      </c>
      <c r="K16" s="426"/>
      <c r="L16" s="426" t="str">
        <f>IF(AND('Mapa riesgos'!$M$37="Alta",'Mapa riesgos'!$Q$37="Leve"),CONCATENATE("R",'Mapa riesgos'!$A$37),"")</f>
        <v/>
      </c>
      <c r="M16" s="426"/>
      <c r="N16" s="426" t="str">
        <f>IF(AND('Mapa riesgos'!$M$43="Alta",'Mapa riesgos'!$Q$43="Leve"),CONCATENATE("R",'Mapa riesgos'!$A$43),"")</f>
        <v/>
      </c>
      <c r="O16" s="427"/>
      <c r="P16" s="425" t="str">
        <f>IF(AND('Mapa riesgos'!$M$31="Alta",'Mapa riesgos'!$Q$31="Menor"),CONCATENATE("R",'Mapa riesgos'!$A$31),"")</f>
        <v/>
      </c>
      <c r="Q16" s="426"/>
      <c r="R16" s="426" t="str">
        <f>IF(AND('Mapa riesgos'!$M$37="Alta",'Mapa riesgos'!$Q$37="Menor"),CONCATENATE("R",'Mapa riesgos'!$A$37),"")</f>
        <v/>
      </c>
      <c r="S16" s="426"/>
      <c r="T16" s="426" t="str">
        <f>IF(AND('Mapa riesgos'!$M$43="Alta",'Mapa riesgos'!$Q$43="Menor"),CONCATENATE("R",'Mapa riesgos'!$A$43),"")</f>
        <v/>
      </c>
      <c r="U16" s="427"/>
      <c r="V16" s="443" t="str">
        <f>IF(AND('Mapa riesgos'!$M$31="Alta",'Mapa riesgos'!$Q$31="Moderado"),CONCATENATE("R",'Mapa riesgos'!$A$31),"")</f>
        <v/>
      </c>
      <c r="W16" s="444"/>
      <c r="X16" s="444" t="str">
        <f>IF(AND('Mapa riesgos'!$M$37="Alta",'Mapa riesgos'!$Q$37="Moderado"),CONCATENATE("R",'Mapa riesgos'!$A$37),"")</f>
        <v/>
      </c>
      <c r="Y16" s="444"/>
      <c r="Z16" s="444" t="str">
        <f>IF(AND('Mapa riesgos'!$M$43="Alta",'Mapa riesgos'!$Q$43="Moderado"),CONCATENATE("R",'Mapa riesgos'!$A$43),"")</f>
        <v/>
      </c>
      <c r="AA16" s="445"/>
      <c r="AB16" s="443" t="str">
        <f>IF(AND('Mapa riesgos'!$M$31="Alta",'Mapa riesgos'!$Q$31="Mayor"),CONCATENATE("R",'Mapa riesgos'!$A$31),"")</f>
        <v/>
      </c>
      <c r="AC16" s="444"/>
      <c r="AD16" s="444" t="str">
        <f>IF(AND('Mapa riesgos'!$M$37="Alta",'Mapa riesgos'!$Q$37="Mayor"),CONCATENATE("R",'Mapa riesgos'!$A$37),"")</f>
        <v/>
      </c>
      <c r="AE16" s="444"/>
      <c r="AF16" s="444" t="str">
        <f>IF(AND('Mapa riesgos'!$M$43="Alta",'Mapa riesgos'!$Q$43="Mayor"),CONCATENATE("R",'Mapa riesgos'!$A$43),"")</f>
        <v/>
      </c>
      <c r="AG16" s="445"/>
      <c r="AH16" s="434" t="str">
        <f>IF(AND('Mapa riesgos'!$M$31="Alta",'Mapa riesgos'!$Q$31="Catastrófico"),CONCATENATE("R",'Mapa riesgos'!$A$31),"")</f>
        <v/>
      </c>
      <c r="AI16" s="435"/>
      <c r="AJ16" s="435" t="str">
        <f>IF(AND('Mapa riesgos'!$M$37="Alta",'Mapa riesgos'!$Q$37="Catastrófico"),CONCATENATE("R",'Mapa riesgos'!$A$37),"")</f>
        <v/>
      </c>
      <c r="AK16" s="435"/>
      <c r="AL16" s="435" t="str">
        <f>IF(AND('Mapa riesgos'!$M$43="Alta",'Mapa riesgos'!$Q$43="Catastrófico"),CONCATENATE("R",'Mapa riesgos'!$A$43),"")</f>
        <v/>
      </c>
      <c r="AM16" s="436"/>
      <c r="AN16" s="66"/>
      <c r="AO16" s="477"/>
      <c r="AP16" s="478"/>
      <c r="AQ16" s="478"/>
      <c r="AR16" s="478"/>
      <c r="AS16" s="478"/>
      <c r="AT16" s="479"/>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63"/>
      <c r="C17" s="463"/>
      <c r="D17" s="464"/>
      <c r="E17" s="456"/>
      <c r="F17" s="457"/>
      <c r="G17" s="457"/>
      <c r="H17" s="457"/>
      <c r="I17" s="457"/>
      <c r="J17" s="425"/>
      <c r="K17" s="426"/>
      <c r="L17" s="426"/>
      <c r="M17" s="426"/>
      <c r="N17" s="426"/>
      <c r="O17" s="427"/>
      <c r="P17" s="425"/>
      <c r="Q17" s="426"/>
      <c r="R17" s="426"/>
      <c r="S17" s="426"/>
      <c r="T17" s="426"/>
      <c r="U17" s="427"/>
      <c r="V17" s="443"/>
      <c r="W17" s="444"/>
      <c r="X17" s="444"/>
      <c r="Y17" s="444"/>
      <c r="Z17" s="444"/>
      <c r="AA17" s="445"/>
      <c r="AB17" s="443"/>
      <c r="AC17" s="444"/>
      <c r="AD17" s="444"/>
      <c r="AE17" s="444"/>
      <c r="AF17" s="444"/>
      <c r="AG17" s="445"/>
      <c r="AH17" s="434"/>
      <c r="AI17" s="435"/>
      <c r="AJ17" s="435"/>
      <c r="AK17" s="435"/>
      <c r="AL17" s="435"/>
      <c r="AM17" s="436"/>
      <c r="AN17" s="66"/>
      <c r="AO17" s="477"/>
      <c r="AP17" s="478"/>
      <c r="AQ17" s="478"/>
      <c r="AR17" s="478"/>
      <c r="AS17" s="478"/>
      <c r="AT17" s="479"/>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63"/>
      <c r="C18" s="463"/>
      <c r="D18" s="464"/>
      <c r="E18" s="456"/>
      <c r="F18" s="457"/>
      <c r="G18" s="457"/>
      <c r="H18" s="457"/>
      <c r="I18" s="457"/>
      <c r="J18" s="425" t="str">
        <f>IF(AND('Mapa riesgos'!$M$49="Alta",'Mapa riesgos'!$Q$49="Leve"),CONCATENATE("R",'Mapa riesgos'!$A$49),"")</f>
        <v/>
      </c>
      <c r="K18" s="426"/>
      <c r="L18" s="426" t="str">
        <f>IF(AND('Mapa riesgos'!$M$55="Alta",'Mapa riesgos'!$Q$55="Leve"),CONCATENATE("R",'Mapa riesgos'!$A$55),"")</f>
        <v/>
      </c>
      <c r="M18" s="426"/>
      <c r="N18" s="426" t="str">
        <f>IF(AND('Mapa riesgos'!$M$61="Alta",'Mapa riesgos'!$Q$61="Leve"),CONCATENATE("R",'Mapa riesgos'!$A$61),"")</f>
        <v/>
      </c>
      <c r="O18" s="427"/>
      <c r="P18" s="425" t="str">
        <f>IF(AND('Mapa riesgos'!$M$49="Alta",'Mapa riesgos'!$Q$49="Menor"),CONCATENATE("R",'Mapa riesgos'!$A$49),"")</f>
        <v/>
      </c>
      <c r="Q18" s="426"/>
      <c r="R18" s="426" t="str">
        <f>IF(AND('Mapa riesgos'!$M$55="Alta",'Mapa riesgos'!$Q$55="Menor"),CONCATENATE("R",'Mapa riesgos'!$A$55),"")</f>
        <v/>
      </c>
      <c r="S18" s="426"/>
      <c r="T18" s="426" t="str">
        <f>IF(AND('Mapa riesgos'!$M$61="Alta",'Mapa riesgos'!$Q$61="Menor"),CONCATENATE("R",'Mapa riesgos'!$A$61),"")</f>
        <v/>
      </c>
      <c r="U18" s="427"/>
      <c r="V18" s="443" t="str">
        <f>IF(AND('Mapa riesgos'!$M$49="Alta",'Mapa riesgos'!$Q$49="Moderado"),CONCATENATE("R",'Mapa riesgos'!$A$49),"")</f>
        <v/>
      </c>
      <c r="W18" s="444"/>
      <c r="X18" s="444" t="str">
        <f>IF(AND('Mapa riesgos'!$M$55="Alta",'Mapa riesgos'!$Q$55="Moderado"),CONCATENATE("R",'Mapa riesgos'!$A$55),"")</f>
        <v/>
      </c>
      <c r="Y18" s="444"/>
      <c r="Z18" s="444" t="str">
        <f>IF(AND('Mapa riesgos'!$M$61="Alta",'Mapa riesgos'!$Q$61="Moderado"),CONCATENATE("R",'Mapa riesgos'!$A$61),"")</f>
        <v/>
      </c>
      <c r="AA18" s="445"/>
      <c r="AB18" s="443" t="str">
        <f>IF(AND('Mapa riesgos'!$M$49="Alta",'Mapa riesgos'!$Q$49="Mayor"),CONCATENATE("R",'Mapa riesgos'!$A$49),"")</f>
        <v/>
      </c>
      <c r="AC18" s="444"/>
      <c r="AD18" s="444" t="str">
        <f>IF(AND('Mapa riesgos'!$M$55="Alta",'Mapa riesgos'!$Q$55="Mayor"),CONCATENATE("R",'Mapa riesgos'!$A$55),"")</f>
        <v/>
      </c>
      <c r="AE18" s="444"/>
      <c r="AF18" s="444" t="str">
        <f>IF(AND('Mapa riesgos'!$M$61="Alta",'Mapa riesgos'!$Q$61="Mayor"),CONCATENATE("R",'Mapa riesgos'!$A$61),"")</f>
        <v/>
      </c>
      <c r="AG18" s="445"/>
      <c r="AH18" s="434" t="str">
        <f>IF(AND('Mapa riesgos'!$M$49="Alta",'Mapa riesgos'!$Q$49="Catastrófico"),CONCATENATE("R",'Mapa riesgos'!$A$49),"")</f>
        <v/>
      </c>
      <c r="AI18" s="435"/>
      <c r="AJ18" s="435" t="str">
        <f>IF(AND('Mapa riesgos'!$M$55="Alta",'Mapa riesgos'!$Q$55="Catastrófico"),CONCATENATE("R",'Mapa riesgos'!$A$55),"")</f>
        <v/>
      </c>
      <c r="AK18" s="435"/>
      <c r="AL18" s="435" t="str">
        <f>IF(AND('Mapa riesgos'!$M$61="Alta",'Mapa riesgos'!$Q$61="Catastrófico"),CONCATENATE("R",'Mapa riesgos'!$A$61),"")</f>
        <v/>
      </c>
      <c r="AM18" s="436"/>
      <c r="AN18" s="66"/>
      <c r="AO18" s="477"/>
      <c r="AP18" s="478"/>
      <c r="AQ18" s="478"/>
      <c r="AR18" s="478"/>
      <c r="AS18" s="478"/>
      <c r="AT18" s="479"/>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63"/>
      <c r="C19" s="463"/>
      <c r="D19" s="464"/>
      <c r="E19" s="456"/>
      <c r="F19" s="457"/>
      <c r="G19" s="457"/>
      <c r="H19" s="457"/>
      <c r="I19" s="457"/>
      <c r="J19" s="425"/>
      <c r="K19" s="426"/>
      <c r="L19" s="426"/>
      <c r="M19" s="426"/>
      <c r="N19" s="426"/>
      <c r="O19" s="427"/>
      <c r="P19" s="425"/>
      <c r="Q19" s="426"/>
      <c r="R19" s="426"/>
      <c r="S19" s="426"/>
      <c r="T19" s="426"/>
      <c r="U19" s="427"/>
      <c r="V19" s="443"/>
      <c r="W19" s="444"/>
      <c r="X19" s="444"/>
      <c r="Y19" s="444"/>
      <c r="Z19" s="444"/>
      <c r="AA19" s="445"/>
      <c r="AB19" s="443"/>
      <c r="AC19" s="444"/>
      <c r="AD19" s="444"/>
      <c r="AE19" s="444"/>
      <c r="AF19" s="444"/>
      <c r="AG19" s="445"/>
      <c r="AH19" s="434"/>
      <c r="AI19" s="435"/>
      <c r="AJ19" s="435"/>
      <c r="AK19" s="435"/>
      <c r="AL19" s="435"/>
      <c r="AM19" s="436"/>
      <c r="AN19" s="66"/>
      <c r="AO19" s="477"/>
      <c r="AP19" s="478"/>
      <c r="AQ19" s="478"/>
      <c r="AR19" s="478"/>
      <c r="AS19" s="478"/>
      <c r="AT19" s="479"/>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63"/>
      <c r="C20" s="463"/>
      <c r="D20" s="464"/>
      <c r="E20" s="456"/>
      <c r="F20" s="457"/>
      <c r="G20" s="457"/>
      <c r="H20" s="457"/>
      <c r="I20" s="457"/>
      <c r="J20" s="425" t="str">
        <f>IF(AND('Mapa riesgos'!$M$67="Alta",'Mapa riesgos'!$Q$67="Leve"),CONCATENATE("R",'Mapa riesgos'!$A$67),"")</f>
        <v/>
      </c>
      <c r="K20" s="426"/>
      <c r="L20" s="426" t="str">
        <f>IF(AND('Mapa riesgos'!$M$73="Alta",'Mapa riesgos'!$Q$73="Leve"),CONCATENATE("R",'Mapa riesgos'!$A$73),"")</f>
        <v/>
      </c>
      <c r="M20" s="426"/>
      <c r="N20" s="426" t="str">
        <f>IF(AND('Mapa riesgos'!$M$79="Alta",'Mapa riesgos'!$Q$79="Leve"),CONCATENATE("R",'Mapa riesgos'!$A$79),"")</f>
        <v/>
      </c>
      <c r="O20" s="427"/>
      <c r="P20" s="425" t="str">
        <f>IF(AND('Mapa riesgos'!$M$67="Alta",'Mapa riesgos'!$Q$67="Menor"),CONCATENATE("R",'Mapa riesgos'!$A$67),"")</f>
        <v/>
      </c>
      <c r="Q20" s="426"/>
      <c r="R20" s="426" t="str">
        <f>IF(AND('Mapa riesgos'!$M$73="Alta",'Mapa riesgos'!$Q$73="Menor"),CONCATENATE("R",'Mapa riesgos'!$A$73),"")</f>
        <v/>
      </c>
      <c r="S20" s="426"/>
      <c r="T20" s="426" t="str">
        <f>IF(AND('Mapa riesgos'!$M$79="Alta",'Mapa riesgos'!$Q$79="Menor"),CONCATENATE("R",'Mapa riesgos'!$A$79),"")</f>
        <v/>
      </c>
      <c r="U20" s="427"/>
      <c r="V20" s="443" t="str">
        <f>IF(AND('Mapa riesgos'!$M$67="Alta",'Mapa riesgos'!$Q$67="Moderado"),CONCATENATE("R",'Mapa riesgos'!$A$67),"")</f>
        <v/>
      </c>
      <c r="W20" s="444"/>
      <c r="X20" s="444" t="str">
        <f>IF(AND('Mapa riesgos'!$M$73="Alta",'Mapa riesgos'!$Q$73="Moderado"),CONCATENATE("R",'Mapa riesgos'!$A$73),"")</f>
        <v/>
      </c>
      <c r="Y20" s="444"/>
      <c r="Z20" s="444" t="str">
        <f>IF(AND('Mapa riesgos'!$M$79="Alta",'Mapa riesgos'!$Q$79="Moderado"),CONCATENATE("R",'Mapa riesgos'!$A$79),"")</f>
        <v/>
      </c>
      <c r="AA20" s="445"/>
      <c r="AB20" s="443" t="str">
        <f>IF(AND('Mapa riesgos'!$M$67="Alta",'Mapa riesgos'!$Q$67="Mayor"),CONCATENATE("R",'Mapa riesgos'!$A$67),"")</f>
        <v/>
      </c>
      <c r="AC20" s="444"/>
      <c r="AD20" s="444" t="str">
        <f>IF(AND('Mapa riesgos'!$M$73="Alta",'Mapa riesgos'!$Q$73="Mayor"),CONCATENATE("R",'Mapa riesgos'!$A$73),"")</f>
        <v/>
      </c>
      <c r="AE20" s="444"/>
      <c r="AF20" s="444" t="str">
        <f>IF(AND('Mapa riesgos'!$M$79="Alta",'Mapa riesgos'!$Q$79="Mayor"),CONCATENATE("R",'Mapa riesgos'!$A$79),"")</f>
        <v/>
      </c>
      <c r="AG20" s="445"/>
      <c r="AH20" s="434" t="str">
        <f>IF(AND('Mapa riesgos'!$M$67="Alta",'Mapa riesgos'!$Q$67="Catastrófico"),CONCATENATE("R",'Mapa riesgos'!$A$67),"")</f>
        <v/>
      </c>
      <c r="AI20" s="435"/>
      <c r="AJ20" s="435" t="str">
        <f>IF(AND('Mapa riesgos'!$M$73="Alta",'Mapa riesgos'!$Q$73="Catastrófico"),CONCATENATE("R",'Mapa riesgos'!$A$73),"")</f>
        <v/>
      </c>
      <c r="AK20" s="435"/>
      <c r="AL20" s="435" t="str">
        <f>IF(AND('Mapa riesgos'!$M$79="Alta",'Mapa riesgos'!$Q$79="Catastrófico"),CONCATENATE("R",'Mapa riesgos'!$A$79),"")</f>
        <v/>
      </c>
      <c r="AM20" s="436"/>
      <c r="AN20" s="66"/>
      <c r="AO20" s="477"/>
      <c r="AP20" s="478"/>
      <c r="AQ20" s="478"/>
      <c r="AR20" s="478"/>
      <c r="AS20" s="478"/>
      <c r="AT20" s="479"/>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63"/>
      <c r="C21" s="463"/>
      <c r="D21" s="464"/>
      <c r="E21" s="459"/>
      <c r="F21" s="460"/>
      <c r="G21" s="460"/>
      <c r="H21" s="460"/>
      <c r="I21" s="460"/>
      <c r="J21" s="428"/>
      <c r="K21" s="429"/>
      <c r="L21" s="429"/>
      <c r="M21" s="429"/>
      <c r="N21" s="429"/>
      <c r="O21" s="430"/>
      <c r="P21" s="428"/>
      <c r="Q21" s="429"/>
      <c r="R21" s="429"/>
      <c r="S21" s="429"/>
      <c r="T21" s="429"/>
      <c r="U21" s="430"/>
      <c r="V21" s="446"/>
      <c r="W21" s="447"/>
      <c r="X21" s="447"/>
      <c r="Y21" s="447"/>
      <c r="Z21" s="447"/>
      <c r="AA21" s="448"/>
      <c r="AB21" s="446"/>
      <c r="AC21" s="447"/>
      <c r="AD21" s="447"/>
      <c r="AE21" s="447"/>
      <c r="AF21" s="447"/>
      <c r="AG21" s="448"/>
      <c r="AH21" s="437"/>
      <c r="AI21" s="438"/>
      <c r="AJ21" s="438"/>
      <c r="AK21" s="438"/>
      <c r="AL21" s="438"/>
      <c r="AM21" s="439"/>
      <c r="AN21" s="66"/>
      <c r="AO21" s="480"/>
      <c r="AP21" s="481"/>
      <c r="AQ21" s="481"/>
      <c r="AR21" s="481"/>
      <c r="AS21" s="481"/>
      <c r="AT21" s="482"/>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63"/>
      <c r="C22" s="463"/>
      <c r="D22" s="464"/>
      <c r="E22" s="453" t="s">
        <v>180</v>
      </c>
      <c r="F22" s="454"/>
      <c r="G22" s="454"/>
      <c r="H22" s="454"/>
      <c r="I22" s="455"/>
      <c r="J22" s="431" t="str">
        <f>IF(AND('Mapa riesgos'!$M$13="Media",'Mapa riesgos'!$Q$13="Leve"),CONCATENATE("R",'Mapa riesgos'!$A$13),"")</f>
        <v/>
      </c>
      <c r="K22" s="432"/>
      <c r="L22" s="432" t="str">
        <f>IF(AND('Mapa riesgos'!$M$19="Media",'Mapa riesgos'!$Q$19="Leve"),CONCATENATE("R",'Mapa riesgos'!$A$19),"")</f>
        <v/>
      </c>
      <c r="M22" s="432"/>
      <c r="N22" s="432" t="str">
        <f>IF(AND('Mapa riesgos'!$M$25="Media",'Mapa riesgos'!$Q$25="Leve"),CONCATENATE("R",'Mapa riesgos'!$A$25),"")</f>
        <v>R3</v>
      </c>
      <c r="O22" s="433"/>
      <c r="P22" s="431" t="str">
        <f>IF(AND('Mapa riesgos'!$M$13="Media",'Mapa riesgos'!$Q$13="Menor"),CONCATENATE("R",'Mapa riesgos'!$A$13),"")</f>
        <v/>
      </c>
      <c r="Q22" s="432"/>
      <c r="R22" s="432" t="str">
        <f>IF(AND('Mapa riesgos'!$M$19="Media",'Mapa riesgos'!$Q$19="Menor"),CONCATENATE("R",'Mapa riesgos'!$A$19),"")</f>
        <v/>
      </c>
      <c r="S22" s="432"/>
      <c r="T22" s="432" t="str">
        <f>IF(AND('Mapa riesgos'!$M$25="Media",'Mapa riesgos'!$Q$25="Menor"),CONCATENATE("R",'Mapa riesgos'!$A$25),"")</f>
        <v/>
      </c>
      <c r="U22" s="433"/>
      <c r="V22" s="431" t="str">
        <f>IF(AND('Mapa riesgos'!$M$13="Media",'Mapa riesgos'!$Q$13="Moderado"),CONCATENATE("R",'Mapa riesgos'!$A$13),"")</f>
        <v/>
      </c>
      <c r="W22" s="432"/>
      <c r="X22" s="432" t="str">
        <f>IF(AND('Mapa riesgos'!$M$19="Media",'Mapa riesgos'!$Q$19="Moderado"),CONCATENATE("R",'Mapa riesgos'!$A$19),"")</f>
        <v>R2</v>
      </c>
      <c r="Y22" s="432"/>
      <c r="Z22" s="432" t="str">
        <f>IF(AND('Mapa riesgos'!$M$25="Media",'Mapa riesgos'!$Q$25="Moderado"),CONCATENATE("R",'Mapa riesgos'!$A$25),"")</f>
        <v/>
      </c>
      <c r="AA22" s="433"/>
      <c r="AB22" s="449" t="str">
        <f>IF(AND('Mapa riesgos'!$M$13="Media",'Mapa riesgos'!$Q$13="Mayor"),CONCATENATE("R",'Mapa riesgos'!$A$13),"")</f>
        <v/>
      </c>
      <c r="AC22" s="450"/>
      <c r="AD22" s="450" t="str">
        <f>IF(AND('Mapa riesgos'!$M$19="Media",'Mapa riesgos'!$Q$19="Mayor"),CONCATENATE("R",'Mapa riesgos'!$A$19),"")</f>
        <v/>
      </c>
      <c r="AE22" s="450"/>
      <c r="AF22" s="450" t="str">
        <f>IF(AND('Mapa riesgos'!$M$25="Media",'Mapa riesgos'!$Q$25="Mayor"),CONCATENATE("R",'Mapa riesgos'!$A$25),"")</f>
        <v/>
      </c>
      <c r="AG22" s="451"/>
      <c r="AH22" s="440" t="str">
        <f>IF(AND('Mapa riesgos'!$M$13="Media",'Mapa riesgos'!$Q$13="Catastrófico"),CONCATENATE("R",'Mapa riesgos'!$A$13),"")</f>
        <v/>
      </c>
      <c r="AI22" s="441"/>
      <c r="AJ22" s="441" t="str">
        <f>IF(AND('Mapa riesgos'!$M$19="Media",'Mapa riesgos'!$Q$19="Catastrófico"),CONCATENATE("R",'Mapa riesgos'!$A$19),"")</f>
        <v/>
      </c>
      <c r="AK22" s="441"/>
      <c r="AL22" s="441" t="str">
        <f>IF(AND('Mapa riesgos'!$M$25="Media",'Mapa riesgos'!$Q$25="Catastrófico"),CONCATENATE("R",'Mapa riesgos'!$A$25),"")</f>
        <v/>
      </c>
      <c r="AM22" s="442"/>
      <c r="AN22" s="66"/>
      <c r="AO22" s="483" t="s">
        <v>181</v>
      </c>
      <c r="AP22" s="484"/>
      <c r="AQ22" s="484"/>
      <c r="AR22" s="484"/>
      <c r="AS22" s="484"/>
      <c r="AT22" s="485"/>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63"/>
      <c r="C23" s="463"/>
      <c r="D23" s="464"/>
      <c r="E23" s="456"/>
      <c r="F23" s="457"/>
      <c r="G23" s="457"/>
      <c r="H23" s="457"/>
      <c r="I23" s="458"/>
      <c r="J23" s="425"/>
      <c r="K23" s="426"/>
      <c r="L23" s="426"/>
      <c r="M23" s="426"/>
      <c r="N23" s="426"/>
      <c r="O23" s="427"/>
      <c r="P23" s="425"/>
      <c r="Q23" s="426"/>
      <c r="R23" s="426"/>
      <c r="S23" s="426"/>
      <c r="T23" s="426"/>
      <c r="U23" s="427"/>
      <c r="V23" s="425"/>
      <c r="W23" s="426"/>
      <c r="X23" s="426"/>
      <c r="Y23" s="426"/>
      <c r="Z23" s="426"/>
      <c r="AA23" s="427"/>
      <c r="AB23" s="443"/>
      <c r="AC23" s="444"/>
      <c r="AD23" s="444"/>
      <c r="AE23" s="444"/>
      <c r="AF23" s="444"/>
      <c r="AG23" s="445"/>
      <c r="AH23" s="434"/>
      <c r="AI23" s="435"/>
      <c r="AJ23" s="435"/>
      <c r="AK23" s="435"/>
      <c r="AL23" s="435"/>
      <c r="AM23" s="436"/>
      <c r="AN23" s="66"/>
      <c r="AO23" s="486"/>
      <c r="AP23" s="487"/>
      <c r="AQ23" s="487"/>
      <c r="AR23" s="487"/>
      <c r="AS23" s="487"/>
      <c r="AT23" s="488"/>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63"/>
      <c r="C24" s="463"/>
      <c r="D24" s="464"/>
      <c r="E24" s="456"/>
      <c r="F24" s="457"/>
      <c r="G24" s="457"/>
      <c r="H24" s="457"/>
      <c r="I24" s="458"/>
      <c r="J24" s="425" t="str">
        <f>IF(AND('Mapa riesgos'!$M$31="Media",'Mapa riesgos'!$Q$31="Leve"),CONCATENATE("R",'Mapa riesgos'!$A$31),"")</f>
        <v/>
      </c>
      <c r="K24" s="426"/>
      <c r="L24" s="426" t="str">
        <f>IF(AND('Mapa riesgos'!$M$37="Media",'Mapa riesgos'!$Q$37="Leve"),CONCATENATE("R",'Mapa riesgos'!$A$37),"")</f>
        <v/>
      </c>
      <c r="M24" s="426"/>
      <c r="N24" s="426" t="str">
        <f>IF(AND('Mapa riesgos'!$M$43="Media",'Mapa riesgos'!$Q$43="Leve"),CONCATENATE("R",'Mapa riesgos'!$A$43),"")</f>
        <v/>
      </c>
      <c r="O24" s="427"/>
      <c r="P24" s="425" t="str">
        <f>IF(AND('Mapa riesgos'!$M$31="Media",'Mapa riesgos'!$Q$31="Menor"),CONCATENATE("R",'Mapa riesgos'!$A$31),"")</f>
        <v/>
      </c>
      <c r="Q24" s="426"/>
      <c r="R24" s="426" t="str">
        <f>IF(AND('Mapa riesgos'!$M$37="Media",'Mapa riesgos'!$Q$37="Menor"),CONCATENATE("R",'Mapa riesgos'!$A$37),"")</f>
        <v/>
      </c>
      <c r="S24" s="426"/>
      <c r="T24" s="426" t="str">
        <f>IF(AND('Mapa riesgos'!$M$43="Media",'Mapa riesgos'!$Q$43="Menor"),CONCATENATE("R",'Mapa riesgos'!$A$43),"")</f>
        <v/>
      </c>
      <c r="U24" s="427"/>
      <c r="V24" s="425" t="str">
        <f>IF(AND('Mapa riesgos'!$M$31="Media",'Mapa riesgos'!$Q$31="Moderado"),CONCATENATE("R",'Mapa riesgos'!$A$31),"")</f>
        <v>R4</v>
      </c>
      <c r="W24" s="426"/>
      <c r="X24" s="426" t="str">
        <f>IF(AND('Mapa riesgos'!$M$37="Media",'Mapa riesgos'!$Q$37="Moderado"),CONCATENATE("R",'Mapa riesgos'!$A$37),"")</f>
        <v/>
      </c>
      <c r="Y24" s="426"/>
      <c r="Z24" s="426" t="str">
        <f>IF(AND('Mapa riesgos'!$M$43="Media",'Mapa riesgos'!$Q$43="Moderado"),CONCATENATE("R",'Mapa riesgos'!$A$43),"")</f>
        <v/>
      </c>
      <c r="AA24" s="427"/>
      <c r="AB24" s="443" t="str">
        <f>IF(AND('Mapa riesgos'!$M$31="Media",'Mapa riesgos'!$Q$31="Mayor"),CONCATENATE("R",'Mapa riesgos'!$A$31),"")</f>
        <v/>
      </c>
      <c r="AC24" s="444"/>
      <c r="AD24" s="444" t="str">
        <f>IF(AND('Mapa riesgos'!$M$37="Media",'Mapa riesgos'!$Q$37="Mayor"),CONCATENATE("R",'Mapa riesgos'!$A$37),"")</f>
        <v/>
      </c>
      <c r="AE24" s="444"/>
      <c r="AF24" s="444" t="str">
        <f>IF(AND('Mapa riesgos'!$M$43="Media",'Mapa riesgos'!$Q$43="Mayor"),CONCATENATE("R",'Mapa riesgos'!$A$43),"")</f>
        <v/>
      </c>
      <c r="AG24" s="445"/>
      <c r="AH24" s="434" t="str">
        <f>IF(AND('Mapa riesgos'!$M$31="Media",'Mapa riesgos'!$Q$31="Catastrófico"),CONCATENATE("R",'Mapa riesgos'!$A$31),"")</f>
        <v/>
      </c>
      <c r="AI24" s="435"/>
      <c r="AJ24" s="435" t="str">
        <f>IF(AND('Mapa riesgos'!$M$37="Media",'Mapa riesgos'!$Q$37="Catastrófico"),CONCATENATE("R",'Mapa riesgos'!$A$37),"")</f>
        <v/>
      </c>
      <c r="AK24" s="435"/>
      <c r="AL24" s="435" t="str">
        <f>IF(AND('Mapa riesgos'!$M$43="Media",'Mapa riesgos'!$Q$43="Catastrófico"),CONCATENATE("R",'Mapa riesgos'!$A$43),"")</f>
        <v/>
      </c>
      <c r="AM24" s="436"/>
      <c r="AN24" s="66"/>
      <c r="AO24" s="486"/>
      <c r="AP24" s="487"/>
      <c r="AQ24" s="487"/>
      <c r="AR24" s="487"/>
      <c r="AS24" s="487"/>
      <c r="AT24" s="488"/>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63"/>
      <c r="C25" s="463"/>
      <c r="D25" s="464"/>
      <c r="E25" s="456"/>
      <c r="F25" s="457"/>
      <c r="G25" s="457"/>
      <c r="H25" s="457"/>
      <c r="I25" s="458"/>
      <c r="J25" s="425"/>
      <c r="K25" s="426"/>
      <c r="L25" s="426"/>
      <c r="M25" s="426"/>
      <c r="N25" s="426"/>
      <c r="O25" s="427"/>
      <c r="P25" s="425"/>
      <c r="Q25" s="426"/>
      <c r="R25" s="426"/>
      <c r="S25" s="426"/>
      <c r="T25" s="426"/>
      <c r="U25" s="427"/>
      <c r="V25" s="425"/>
      <c r="W25" s="426"/>
      <c r="X25" s="426"/>
      <c r="Y25" s="426"/>
      <c r="Z25" s="426"/>
      <c r="AA25" s="427"/>
      <c r="AB25" s="443"/>
      <c r="AC25" s="444"/>
      <c r="AD25" s="444"/>
      <c r="AE25" s="444"/>
      <c r="AF25" s="444"/>
      <c r="AG25" s="445"/>
      <c r="AH25" s="434"/>
      <c r="AI25" s="435"/>
      <c r="AJ25" s="435"/>
      <c r="AK25" s="435"/>
      <c r="AL25" s="435"/>
      <c r="AM25" s="436"/>
      <c r="AN25" s="66"/>
      <c r="AO25" s="486"/>
      <c r="AP25" s="487"/>
      <c r="AQ25" s="487"/>
      <c r="AR25" s="487"/>
      <c r="AS25" s="487"/>
      <c r="AT25" s="488"/>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63"/>
      <c r="C26" s="463"/>
      <c r="D26" s="464"/>
      <c r="E26" s="456"/>
      <c r="F26" s="457"/>
      <c r="G26" s="457"/>
      <c r="H26" s="457"/>
      <c r="I26" s="458"/>
      <c r="J26" s="425" t="str">
        <f>IF(AND('Mapa riesgos'!$M$49="Media",'Mapa riesgos'!$Q$49="Leve"),CONCATENATE("R",'Mapa riesgos'!$A$49),"")</f>
        <v/>
      </c>
      <c r="K26" s="426"/>
      <c r="L26" s="426" t="str">
        <f>IF(AND('Mapa riesgos'!$M$55="Media",'Mapa riesgos'!$Q$55="Leve"),CONCATENATE("R",'Mapa riesgos'!$A$55),"")</f>
        <v/>
      </c>
      <c r="M26" s="426"/>
      <c r="N26" s="426" t="str">
        <f>IF(AND('Mapa riesgos'!$M$61="Media",'Mapa riesgos'!$Q$61="Leve"),CONCATENATE("R",'Mapa riesgos'!$A$61),"")</f>
        <v/>
      </c>
      <c r="O26" s="427"/>
      <c r="P26" s="425" t="str">
        <f>IF(AND('Mapa riesgos'!$M$49="Media",'Mapa riesgos'!$Q$49="Menor"),CONCATENATE("R",'Mapa riesgos'!$A$49),"")</f>
        <v/>
      </c>
      <c r="Q26" s="426"/>
      <c r="R26" s="426" t="str">
        <f>IF(AND('Mapa riesgos'!$M$55="Media",'Mapa riesgos'!$Q$55="Menor"),CONCATENATE("R",'Mapa riesgos'!$A$55),"")</f>
        <v/>
      </c>
      <c r="S26" s="426"/>
      <c r="T26" s="426" t="str">
        <f>IF(AND('Mapa riesgos'!$M$61="Media",'Mapa riesgos'!$Q$61="Menor"),CONCATENATE("R",'Mapa riesgos'!$A$61),"")</f>
        <v/>
      </c>
      <c r="U26" s="427"/>
      <c r="V26" s="425" t="str">
        <f>IF(AND('Mapa riesgos'!$M$49="Media",'Mapa riesgos'!$Q$49="Moderado"),CONCATENATE("R",'Mapa riesgos'!$A$49),"")</f>
        <v/>
      </c>
      <c r="W26" s="426"/>
      <c r="X26" s="426" t="str">
        <f>IF(AND('Mapa riesgos'!$M$55="Media",'Mapa riesgos'!$Q$55="Moderado"),CONCATENATE("R",'Mapa riesgos'!$A$55),"")</f>
        <v/>
      </c>
      <c r="Y26" s="426"/>
      <c r="Z26" s="426" t="str">
        <f>IF(AND('Mapa riesgos'!$M$61="Media",'Mapa riesgos'!$Q$61="Moderado"),CONCATENATE("R",'Mapa riesgos'!$A$61),"")</f>
        <v/>
      </c>
      <c r="AA26" s="427"/>
      <c r="AB26" s="443" t="str">
        <f>IF(AND('Mapa riesgos'!$M$49="Media",'Mapa riesgos'!$Q$49="Mayor"),CONCATENATE("R",'Mapa riesgos'!$A$49),"")</f>
        <v/>
      </c>
      <c r="AC26" s="444"/>
      <c r="AD26" s="444" t="str">
        <f>IF(AND('Mapa riesgos'!$M$55="Media",'Mapa riesgos'!$Q$55="Mayor"),CONCATENATE("R",'Mapa riesgos'!$A$55),"")</f>
        <v/>
      </c>
      <c r="AE26" s="444"/>
      <c r="AF26" s="444" t="str">
        <f>IF(AND('Mapa riesgos'!$M$61="Media",'Mapa riesgos'!$Q$61="Mayor"),CONCATENATE("R",'Mapa riesgos'!$A$61),"")</f>
        <v/>
      </c>
      <c r="AG26" s="445"/>
      <c r="AH26" s="434" t="str">
        <f>IF(AND('Mapa riesgos'!$M$49="Media",'Mapa riesgos'!$Q$49="Catastrófico"),CONCATENATE("R",'Mapa riesgos'!$A$49),"")</f>
        <v/>
      </c>
      <c r="AI26" s="435"/>
      <c r="AJ26" s="435" t="str">
        <f>IF(AND('Mapa riesgos'!$M$55="Media",'Mapa riesgos'!$Q$55="Catastrófico"),CONCATENATE("R",'Mapa riesgos'!$A$55),"")</f>
        <v/>
      </c>
      <c r="AK26" s="435"/>
      <c r="AL26" s="435" t="str">
        <f>IF(AND('Mapa riesgos'!$M$61="Media",'Mapa riesgos'!$Q$61="Catastrófico"),CONCATENATE("R",'Mapa riesgos'!$A$61),"")</f>
        <v/>
      </c>
      <c r="AM26" s="436"/>
      <c r="AN26" s="66"/>
      <c r="AO26" s="486"/>
      <c r="AP26" s="487"/>
      <c r="AQ26" s="487"/>
      <c r="AR26" s="487"/>
      <c r="AS26" s="487"/>
      <c r="AT26" s="488"/>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63"/>
      <c r="C27" s="463"/>
      <c r="D27" s="464"/>
      <c r="E27" s="456"/>
      <c r="F27" s="457"/>
      <c r="G27" s="457"/>
      <c r="H27" s="457"/>
      <c r="I27" s="458"/>
      <c r="J27" s="425"/>
      <c r="K27" s="426"/>
      <c r="L27" s="426"/>
      <c r="M27" s="426"/>
      <c r="N27" s="426"/>
      <c r="O27" s="427"/>
      <c r="P27" s="425"/>
      <c r="Q27" s="426"/>
      <c r="R27" s="426"/>
      <c r="S27" s="426"/>
      <c r="T27" s="426"/>
      <c r="U27" s="427"/>
      <c r="V27" s="425"/>
      <c r="W27" s="426"/>
      <c r="X27" s="426"/>
      <c r="Y27" s="426"/>
      <c r="Z27" s="426"/>
      <c r="AA27" s="427"/>
      <c r="AB27" s="443"/>
      <c r="AC27" s="444"/>
      <c r="AD27" s="444"/>
      <c r="AE27" s="444"/>
      <c r="AF27" s="444"/>
      <c r="AG27" s="445"/>
      <c r="AH27" s="434"/>
      <c r="AI27" s="435"/>
      <c r="AJ27" s="435"/>
      <c r="AK27" s="435"/>
      <c r="AL27" s="435"/>
      <c r="AM27" s="436"/>
      <c r="AN27" s="66"/>
      <c r="AO27" s="486"/>
      <c r="AP27" s="487"/>
      <c r="AQ27" s="487"/>
      <c r="AR27" s="487"/>
      <c r="AS27" s="487"/>
      <c r="AT27" s="488"/>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63"/>
      <c r="C28" s="463"/>
      <c r="D28" s="464"/>
      <c r="E28" s="456"/>
      <c r="F28" s="457"/>
      <c r="G28" s="457"/>
      <c r="H28" s="457"/>
      <c r="I28" s="458"/>
      <c r="J28" s="425" t="str">
        <f>IF(AND('Mapa riesgos'!$M$67="Media",'Mapa riesgos'!$Q$67="Leve"),CONCATENATE("R",'Mapa riesgos'!$A$67),"")</f>
        <v/>
      </c>
      <c r="K28" s="426"/>
      <c r="L28" s="426" t="str">
        <f>IF(AND('Mapa riesgos'!$M$73="Media",'Mapa riesgos'!$Q$73="Leve"),CONCATENATE("R",'Mapa riesgos'!$A$73),"")</f>
        <v/>
      </c>
      <c r="M28" s="426"/>
      <c r="N28" s="426" t="str">
        <f>IF(AND('Mapa riesgos'!$M$79="Media",'Mapa riesgos'!$Q$79="Leve"),CONCATENATE("R",'Mapa riesgos'!$A$79),"")</f>
        <v/>
      </c>
      <c r="O28" s="427"/>
      <c r="P28" s="425" t="str">
        <f>IF(AND('Mapa riesgos'!$M$67="Media",'Mapa riesgos'!$Q$67="Menor"),CONCATENATE("R",'Mapa riesgos'!$A$67),"")</f>
        <v/>
      </c>
      <c r="Q28" s="426"/>
      <c r="R28" s="426" t="str">
        <f>IF(AND('Mapa riesgos'!$M$73="Media",'Mapa riesgos'!$Q$73="Menor"),CONCATENATE("R",'Mapa riesgos'!$A$73),"")</f>
        <v/>
      </c>
      <c r="S28" s="426"/>
      <c r="T28" s="426" t="str">
        <f>IF(AND('Mapa riesgos'!$M$79="Media",'Mapa riesgos'!$Q$79="Menor"),CONCATENATE("R",'Mapa riesgos'!$A$79),"")</f>
        <v/>
      </c>
      <c r="U28" s="427"/>
      <c r="V28" s="425" t="str">
        <f>IF(AND('Mapa riesgos'!$M$67="Media",'Mapa riesgos'!$Q$67="Moderado"),CONCATENATE("R",'Mapa riesgos'!$A$67),"")</f>
        <v/>
      </c>
      <c r="W28" s="426"/>
      <c r="X28" s="426" t="str">
        <f>IF(AND('Mapa riesgos'!$M$73="Media",'Mapa riesgos'!$Q$73="Moderado"),CONCATENATE("R",'Mapa riesgos'!$A$73),"")</f>
        <v/>
      </c>
      <c r="Y28" s="426"/>
      <c r="Z28" s="426" t="str">
        <f>IF(AND('Mapa riesgos'!$M$79="Media",'Mapa riesgos'!$Q$79="Moderado"),CONCATENATE("R",'Mapa riesgos'!$A$79),"")</f>
        <v/>
      </c>
      <c r="AA28" s="427"/>
      <c r="AB28" s="443" t="str">
        <f>IF(AND('Mapa riesgos'!$M$67="Media",'Mapa riesgos'!$Q$67="Mayor"),CONCATENATE("R",'Mapa riesgos'!$A$67),"")</f>
        <v/>
      </c>
      <c r="AC28" s="444"/>
      <c r="AD28" s="444" t="str">
        <f>IF(AND('Mapa riesgos'!$M$73="Media",'Mapa riesgos'!$Q$73="Mayor"),CONCATENATE("R",'Mapa riesgos'!$A$73),"")</f>
        <v/>
      </c>
      <c r="AE28" s="444"/>
      <c r="AF28" s="444" t="str">
        <f>IF(AND('Mapa riesgos'!$M$79="Media",'Mapa riesgos'!$Q$79="Mayor"),CONCATENATE("R",'Mapa riesgos'!$A$79),"")</f>
        <v/>
      </c>
      <c r="AG28" s="445"/>
      <c r="AH28" s="434" t="str">
        <f>IF(AND('Mapa riesgos'!$M$67="Media",'Mapa riesgos'!$Q$67="Catastrófico"),CONCATENATE("R",'Mapa riesgos'!$A$67),"")</f>
        <v/>
      </c>
      <c r="AI28" s="435"/>
      <c r="AJ28" s="435" t="str">
        <f>IF(AND('Mapa riesgos'!$M$73="Media",'Mapa riesgos'!$Q$73="Catastrófico"),CONCATENATE("R",'Mapa riesgos'!$A$73),"")</f>
        <v/>
      </c>
      <c r="AK28" s="435"/>
      <c r="AL28" s="435" t="str">
        <f>IF(AND('Mapa riesgos'!$M$79="Media",'Mapa riesgos'!$Q$79="Catastrófico"),CONCATENATE("R",'Mapa riesgos'!$A$79),"")</f>
        <v/>
      </c>
      <c r="AM28" s="436"/>
      <c r="AN28" s="66"/>
      <c r="AO28" s="486"/>
      <c r="AP28" s="487"/>
      <c r="AQ28" s="487"/>
      <c r="AR28" s="487"/>
      <c r="AS28" s="487"/>
      <c r="AT28" s="488"/>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63"/>
      <c r="C29" s="463"/>
      <c r="D29" s="464"/>
      <c r="E29" s="459"/>
      <c r="F29" s="460"/>
      <c r="G29" s="460"/>
      <c r="H29" s="460"/>
      <c r="I29" s="461"/>
      <c r="J29" s="425"/>
      <c r="K29" s="426"/>
      <c r="L29" s="426"/>
      <c r="M29" s="426"/>
      <c r="N29" s="426"/>
      <c r="O29" s="427"/>
      <c r="P29" s="428"/>
      <c r="Q29" s="429"/>
      <c r="R29" s="429"/>
      <c r="S29" s="429"/>
      <c r="T29" s="429"/>
      <c r="U29" s="430"/>
      <c r="V29" s="428"/>
      <c r="W29" s="429"/>
      <c r="X29" s="429"/>
      <c r="Y29" s="429"/>
      <c r="Z29" s="429"/>
      <c r="AA29" s="430"/>
      <c r="AB29" s="446"/>
      <c r="AC29" s="447"/>
      <c r="AD29" s="447"/>
      <c r="AE29" s="447"/>
      <c r="AF29" s="447"/>
      <c r="AG29" s="448"/>
      <c r="AH29" s="437"/>
      <c r="AI29" s="438"/>
      <c r="AJ29" s="438"/>
      <c r="AK29" s="438"/>
      <c r="AL29" s="438"/>
      <c r="AM29" s="439"/>
      <c r="AN29" s="66"/>
      <c r="AO29" s="489"/>
      <c r="AP29" s="490"/>
      <c r="AQ29" s="490"/>
      <c r="AR29" s="490"/>
      <c r="AS29" s="490"/>
      <c r="AT29" s="491"/>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63"/>
      <c r="C30" s="463"/>
      <c r="D30" s="464"/>
      <c r="E30" s="453" t="s">
        <v>182</v>
      </c>
      <c r="F30" s="454"/>
      <c r="G30" s="454"/>
      <c r="H30" s="454"/>
      <c r="I30" s="454"/>
      <c r="J30" s="422" t="str">
        <f>IF(AND('Mapa riesgos'!$M$13="Baja",'Mapa riesgos'!$Q$13="Leve"),CONCATENATE("R",'Mapa riesgos'!$A$13),"")</f>
        <v>R1</v>
      </c>
      <c r="K30" s="423"/>
      <c r="L30" s="423" t="str">
        <f>IF(AND('Mapa riesgos'!$M$19="Baja",'Mapa riesgos'!$Q$19="Leve"),CONCATENATE("R",'Mapa riesgos'!$A$19),"")</f>
        <v/>
      </c>
      <c r="M30" s="423"/>
      <c r="N30" s="423" t="str">
        <f>IF(AND('Mapa riesgos'!$M$25="Baja",'Mapa riesgos'!$Q$25="Leve"),CONCATENATE("R",'Mapa riesgos'!$A$25),"")</f>
        <v/>
      </c>
      <c r="O30" s="424"/>
      <c r="P30" s="432" t="str">
        <f>IF(AND('Mapa riesgos'!$M$13="Baja",'Mapa riesgos'!$Q$13="Menor"),CONCATENATE("R",'Mapa riesgos'!$A$13),"")</f>
        <v/>
      </c>
      <c r="Q30" s="432"/>
      <c r="R30" s="432" t="str">
        <f>IF(AND('Mapa riesgos'!$M$19="Baja",'Mapa riesgos'!$Q$19="Menor"),CONCATENATE("R",'Mapa riesgos'!$A$19),"")</f>
        <v/>
      </c>
      <c r="S30" s="432"/>
      <c r="T30" s="432" t="str">
        <f>IF(AND('Mapa riesgos'!$M$25="Baja",'Mapa riesgos'!$Q$25="Menor"),CONCATENATE("R",'Mapa riesgos'!$A$25),"")</f>
        <v/>
      </c>
      <c r="U30" s="433"/>
      <c r="V30" s="431" t="str">
        <f>IF(AND('Mapa riesgos'!$M$13="Baja",'Mapa riesgos'!$Q$13="Moderado"),CONCATENATE("R",'Mapa riesgos'!$A$13),"")</f>
        <v/>
      </c>
      <c r="W30" s="432"/>
      <c r="X30" s="432" t="str">
        <f>IF(AND('Mapa riesgos'!$M$19="Baja",'Mapa riesgos'!$Q$19="Moderado"),CONCATENATE("R",'Mapa riesgos'!$A$19),"")</f>
        <v/>
      </c>
      <c r="Y30" s="432"/>
      <c r="Z30" s="432" t="str">
        <f>IF(AND('Mapa riesgos'!$M$25="Baja",'Mapa riesgos'!$Q$25="Moderado"),CONCATENATE("R",'Mapa riesgos'!$A$25),"")</f>
        <v/>
      </c>
      <c r="AA30" s="433"/>
      <c r="AB30" s="449" t="str">
        <f>IF(AND('Mapa riesgos'!$M$13="Baja",'Mapa riesgos'!$Q$13="Mayor"),CONCATENATE("R",'Mapa riesgos'!$A$13),"")</f>
        <v/>
      </c>
      <c r="AC30" s="450"/>
      <c r="AD30" s="450" t="str">
        <f>IF(AND('Mapa riesgos'!$M$19="Baja",'Mapa riesgos'!$Q$19="Mayor"),CONCATENATE("R",'Mapa riesgos'!$A$19),"")</f>
        <v/>
      </c>
      <c r="AE30" s="450"/>
      <c r="AF30" s="450" t="str">
        <f>IF(AND('Mapa riesgos'!$M$25="Baja",'Mapa riesgos'!$Q$25="Mayor"),CONCATENATE("R",'Mapa riesgos'!$A$25),"")</f>
        <v/>
      </c>
      <c r="AG30" s="451"/>
      <c r="AH30" s="440" t="str">
        <f>IF(AND('Mapa riesgos'!$M$13="Baja",'Mapa riesgos'!$Q$13="Catastrófico"),CONCATENATE("R",'Mapa riesgos'!$A$13),"")</f>
        <v/>
      </c>
      <c r="AI30" s="441"/>
      <c r="AJ30" s="441" t="str">
        <f>IF(AND('Mapa riesgos'!$M$19="Baja",'Mapa riesgos'!$Q$19="Catastrófico"),CONCATENATE("R",'Mapa riesgos'!$A$19),"")</f>
        <v/>
      </c>
      <c r="AK30" s="441"/>
      <c r="AL30" s="441" t="str">
        <f>IF(AND('Mapa riesgos'!$M$25="Baja",'Mapa riesgos'!$Q$25="Catastrófico"),CONCATENATE("R",'Mapa riesgos'!$A$25),"")</f>
        <v/>
      </c>
      <c r="AM30" s="442"/>
      <c r="AN30" s="66"/>
      <c r="AO30" s="492" t="s">
        <v>183</v>
      </c>
      <c r="AP30" s="493"/>
      <c r="AQ30" s="493"/>
      <c r="AR30" s="493"/>
      <c r="AS30" s="493"/>
      <c r="AT30" s="494"/>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63"/>
      <c r="C31" s="463"/>
      <c r="D31" s="464"/>
      <c r="E31" s="456"/>
      <c r="F31" s="457"/>
      <c r="G31" s="457"/>
      <c r="H31" s="457"/>
      <c r="I31" s="457"/>
      <c r="J31" s="416"/>
      <c r="K31" s="417"/>
      <c r="L31" s="417"/>
      <c r="M31" s="417"/>
      <c r="N31" s="417"/>
      <c r="O31" s="418"/>
      <c r="P31" s="426"/>
      <c r="Q31" s="426"/>
      <c r="R31" s="426"/>
      <c r="S31" s="426"/>
      <c r="T31" s="426"/>
      <c r="U31" s="427"/>
      <c r="V31" s="425"/>
      <c r="W31" s="426"/>
      <c r="X31" s="426"/>
      <c r="Y31" s="426"/>
      <c r="Z31" s="426"/>
      <c r="AA31" s="427"/>
      <c r="AB31" s="443"/>
      <c r="AC31" s="444"/>
      <c r="AD31" s="444"/>
      <c r="AE31" s="444"/>
      <c r="AF31" s="444"/>
      <c r="AG31" s="445"/>
      <c r="AH31" s="434"/>
      <c r="AI31" s="435"/>
      <c r="AJ31" s="435"/>
      <c r="AK31" s="435"/>
      <c r="AL31" s="435"/>
      <c r="AM31" s="436"/>
      <c r="AN31" s="66"/>
      <c r="AO31" s="495"/>
      <c r="AP31" s="496"/>
      <c r="AQ31" s="496"/>
      <c r="AR31" s="496"/>
      <c r="AS31" s="496"/>
      <c r="AT31" s="497"/>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63"/>
      <c r="C32" s="463"/>
      <c r="D32" s="464"/>
      <c r="E32" s="456"/>
      <c r="F32" s="457"/>
      <c r="G32" s="457"/>
      <c r="H32" s="457"/>
      <c r="I32" s="457"/>
      <c r="J32" s="416" t="str">
        <f>IF(AND('Mapa riesgos'!$M$31="Baja",'Mapa riesgos'!$Q$31="Leve"),CONCATENATE("R",'Mapa riesgos'!$A$31),"")</f>
        <v/>
      </c>
      <c r="K32" s="417"/>
      <c r="L32" s="417" t="str">
        <f>IF(AND('Mapa riesgos'!$M$37="Baja",'Mapa riesgos'!$Q$37="Leve"),CONCATENATE("R",'Mapa riesgos'!$A$37),"")</f>
        <v/>
      </c>
      <c r="M32" s="417"/>
      <c r="N32" s="417" t="str">
        <f>IF(AND('Mapa riesgos'!$M$43="Baja",'Mapa riesgos'!$Q$43="Leve"),CONCATENATE("R",'Mapa riesgos'!$A$43),"")</f>
        <v/>
      </c>
      <c r="O32" s="418"/>
      <c r="P32" s="426" t="str">
        <f>IF(AND('Mapa riesgos'!$M$31="Baja",'Mapa riesgos'!$Q$31="Menor"),CONCATENATE("R",'Mapa riesgos'!$A$31),"")</f>
        <v/>
      </c>
      <c r="Q32" s="426"/>
      <c r="R32" s="426" t="str">
        <f>IF(AND('Mapa riesgos'!$M$37="Baja",'Mapa riesgos'!$Q$37="Menor"),CONCATENATE("R",'Mapa riesgos'!$A$37),"")</f>
        <v/>
      </c>
      <c r="S32" s="426"/>
      <c r="T32" s="426" t="str">
        <f>IF(AND('Mapa riesgos'!$M$43="Baja",'Mapa riesgos'!$Q$43="Menor"),CONCATENATE("R",'Mapa riesgos'!$A$43),"")</f>
        <v/>
      </c>
      <c r="U32" s="427"/>
      <c r="V32" s="425" t="str">
        <f>IF(AND('Mapa riesgos'!$M$31="Baja",'Mapa riesgos'!$Q$31="Moderado"),CONCATENATE("R",'Mapa riesgos'!$A$31),"")</f>
        <v/>
      </c>
      <c r="W32" s="426"/>
      <c r="X32" s="426" t="str">
        <f>IF(AND('Mapa riesgos'!$M$37="Baja",'Mapa riesgos'!$Q$37="Moderado"),CONCATENATE("R",'Mapa riesgos'!$A$37),"")</f>
        <v/>
      </c>
      <c r="Y32" s="426"/>
      <c r="Z32" s="426" t="str">
        <f>IF(AND('Mapa riesgos'!$M$43="Baja",'Mapa riesgos'!$Q$43="Moderado"),CONCATENATE("R",'Mapa riesgos'!$A$43),"")</f>
        <v/>
      </c>
      <c r="AA32" s="427"/>
      <c r="AB32" s="443" t="str">
        <f>IF(AND('Mapa riesgos'!$M$31="Baja",'Mapa riesgos'!$Q$31="Mayor"),CONCATENATE("R",'Mapa riesgos'!$A$31),"")</f>
        <v/>
      </c>
      <c r="AC32" s="444"/>
      <c r="AD32" s="444" t="str">
        <f>IF(AND('Mapa riesgos'!$M$37="Baja",'Mapa riesgos'!$Q$37="Mayor"),CONCATENATE("R",'Mapa riesgos'!$A$37),"")</f>
        <v/>
      </c>
      <c r="AE32" s="444"/>
      <c r="AF32" s="444" t="str">
        <f>IF(AND('Mapa riesgos'!$M$43="Baja",'Mapa riesgos'!$Q$43="Mayor"),CONCATENATE("R",'Mapa riesgos'!$A$43),"")</f>
        <v/>
      </c>
      <c r="AG32" s="445"/>
      <c r="AH32" s="434" t="str">
        <f>IF(AND('Mapa riesgos'!$M$31="Baja",'Mapa riesgos'!$Q$31="Catastrófico"),CONCATENATE("R",'Mapa riesgos'!$A$31),"")</f>
        <v/>
      </c>
      <c r="AI32" s="435"/>
      <c r="AJ32" s="435" t="str">
        <f>IF(AND('Mapa riesgos'!$M$37="Baja",'Mapa riesgos'!$Q$37="Catastrófico"),CONCATENATE("R",'Mapa riesgos'!$A$37),"")</f>
        <v/>
      </c>
      <c r="AK32" s="435"/>
      <c r="AL32" s="435" t="str">
        <f>IF(AND('Mapa riesgos'!$M$43="Baja",'Mapa riesgos'!$Q$43="Catastrófico"),CONCATENATE("R",'Mapa riesgos'!$A$43),"")</f>
        <v/>
      </c>
      <c r="AM32" s="436"/>
      <c r="AN32" s="66"/>
      <c r="AO32" s="495"/>
      <c r="AP32" s="496"/>
      <c r="AQ32" s="496"/>
      <c r="AR32" s="496"/>
      <c r="AS32" s="496"/>
      <c r="AT32" s="497"/>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63"/>
      <c r="C33" s="463"/>
      <c r="D33" s="464"/>
      <c r="E33" s="456"/>
      <c r="F33" s="457"/>
      <c r="G33" s="457"/>
      <c r="H33" s="457"/>
      <c r="I33" s="457"/>
      <c r="J33" s="416"/>
      <c r="K33" s="417"/>
      <c r="L33" s="417"/>
      <c r="M33" s="417"/>
      <c r="N33" s="417"/>
      <c r="O33" s="418"/>
      <c r="P33" s="426"/>
      <c r="Q33" s="426"/>
      <c r="R33" s="426"/>
      <c r="S33" s="426"/>
      <c r="T33" s="426"/>
      <c r="U33" s="427"/>
      <c r="V33" s="425"/>
      <c r="W33" s="426"/>
      <c r="X33" s="426"/>
      <c r="Y33" s="426"/>
      <c r="Z33" s="426"/>
      <c r="AA33" s="427"/>
      <c r="AB33" s="443"/>
      <c r="AC33" s="444"/>
      <c r="AD33" s="444"/>
      <c r="AE33" s="444"/>
      <c r="AF33" s="444"/>
      <c r="AG33" s="445"/>
      <c r="AH33" s="434"/>
      <c r="AI33" s="435"/>
      <c r="AJ33" s="435"/>
      <c r="AK33" s="435"/>
      <c r="AL33" s="435"/>
      <c r="AM33" s="436"/>
      <c r="AN33" s="66"/>
      <c r="AO33" s="495"/>
      <c r="AP33" s="496"/>
      <c r="AQ33" s="496"/>
      <c r="AR33" s="496"/>
      <c r="AS33" s="496"/>
      <c r="AT33" s="497"/>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63"/>
      <c r="C34" s="463"/>
      <c r="D34" s="464"/>
      <c r="E34" s="456"/>
      <c r="F34" s="457"/>
      <c r="G34" s="457"/>
      <c r="H34" s="457"/>
      <c r="I34" s="457"/>
      <c r="J34" s="416" t="str">
        <f>IF(AND('Mapa riesgos'!$M$49="Baja",'Mapa riesgos'!$Q$49="Leve"),CONCATENATE("R",'Mapa riesgos'!$A$49),"")</f>
        <v/>
      </c>
      <c r="K34" s="417"/>
      <c r="L34" s="417" t="str">
        <f>IF(AND('Mapa riesgos'!$M$55="Baja",'Mapa riesgos'!$Q$55="Leve"),CONCATENATE("R",'Mapa riesgos'!$A$55),"")</f>
        <v/>
      </c>
      <c r="M34" s="417"/>
      <c r="N34" s="417" t="str">
        <f>IF(AND('Mapa riesgos'!$M$61="Baja",'Mapa riesgos'!$Q$61="Leve"),CONCATENATE("R",'Mapa riesgos'!$A$61),"")</f>
        <v/>
      </c>
      <c r="O34" s="418"/>
      <c r="P34" s="426" t="str">
        <f>IF(AND('Mapa riesgos'!$M$49="Baja",'Mapa riesgos'!$Q$49="Menor"),CONCATENATE("R",'Mapa riesgos'!$A$49),"")</f>
        <v/>
      </c>
      <c r="Q34" s="426"/>
      <c r="R34" s="426" t="str">
        <f>IF(AND('Mapa riesgos'!$M$55="Baja",'Mapa riesgos'!$Q$55="Menor"),CONCATENATE("R",'Mapa riesgos'!$A$55),"")</f>
        <v/>
      </c>
      <c r="S34" s="426"/>
      <c r="T34" s="426" t="str">
        <f>IF(AND('Mapa riesgos'!$M$61="Baja",'Mapa riesgos'!$Q$61="Menor"),CONCATENATE("R",'Mapa riesgos'!$A$61),"")</f>
        <v/>
      </c>
      <c r="U34" s="427"/>
      <c r="V34" s="425" t="str">
        <f>IF(AND('Mapa riesgos'!$M$49="Baja",'Mapa riesgos'!$Q$49="Moderado"),CONCATENATE("R",'Mapa riesgos'!$A$49),"")</f>
        <v/>
      </c>
      <c r="W34" s="426"/>
      <c r="X34" s="426" t="str">
        <f>IF(AND('Mapa riesgos'!$M$55="Baja",'Mapa riesgos'!$Q$55="Moderado"),CONCATENATE("R",'Mapa riesgos'!$A$55),"")</f>
        <v/>
      </c>
      <c r="Y34" s="426"/>
      <c r="Z34" s="426" t="str">
        <f>IF(AND('Mapa riesgos'!$M$61="Baja",'Mapa riesgos'!$Q$61="Moderado"),CONCATENATE("R",'Mapa riesgos'!$A$61),"")</f>
        <v/>
      </c>
      <c r="AA34" s="427"/>
      <c r="AB34" s="443" t="str">
        <f>IF(AND('Mapa riesgos'!$M$49="Baja",'Mapa riesgos'!$Q$49="Mayor"),CONCATENATE("R",'Mapa riesgos'!$A$49),"")</f>
        <v/>
      </c>
      <c r="AC34" s="444"/>
      <c r="AD34" s="444" t="str">
        <f>IF(AND('Mapa riesgos'!$M$55="Baja",'Mapa riesgos'!$Q$55="Mayor"),CONCATENATE("R",'Mapa riesgos'!$A$55),"")</f>
        <v/>
      </c>
      <c r="AE34" s="444"/>
      <c r="AF34" s="444" t="str">
        <f>IF(AND('Mapa riesgos'!$M$61="Baja",'Mapa riesgos'!$Q$61="Mayor"),CONCATENATE("R",'Mapa riesgos'!$A$61),"")</f>
        <v/>
      </c>
      <c r="AG34" s="445"/>
      <c r="AH34" s="434" t="str">
        <f>IF(AND('Mapa riesgos'!$M$49="Baja",'Mapa riesgos'!$Q$49="Catastrófico"),CONCATENATE("R",'Mapa riesgos'!$A$49),"")</f>
        <v/>
      </c>
      <c r="AI34" s="435"/>
      <c r="AJ34" s="435" t="str">
        <f>IF(AND('Mapa riesgos'!$M$55="Baja",'Mapa riesgos'!$Q$55="Catastrófico"),CONCATENATE("R",'Mapa riesgos'!$A$55),"")</f>
        <v/>
      </c>
      <c r="AK34" s="435"/>
      <c r="AL34" s="435" t="str">
        <f>IF(AND('Mapa riesgos'!$M$61="Baja",'Mapa riesgos'!$Q$61="Catastrófico"),CONCATENATE("R",'Mapa riesgos'!$A$61),"")</f>
        <v/>
      </c>
      <c r="AM34" s="436"/>
      <c r="AN34" s="66"/>
      <c r="AO34" s="495"/>
      <c r="AP34" s="496"/>
      <c r="AQ34" s="496"/>
      <c r="AR34" s="496"/>
      <c r="AS34" s="496"/>
      <c r="AT34" s="497"/>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63"/>
      <c r="C35" s="463"/>
      <c r="D35" s="464"/>
      <c r="E35" s="456"/>
      <c r="F35" s="457"/>
      <c r="G35" s="457"/>
      <c r="H35" s="457"/>
      <c r="I35" s="457"/>
      <c r="J35" s="416"/>
      <c r="K35" s="417"/>
      <c r="L35" s="417"/>
      <c r="M35" s="417"/>
      <c r="N35" s="417"/>
      <c r="O35" s="418"/>
      <c r="P35" s="426"/>
      <c r="Q35" s="426"/>
      <c r="R35" s="426"/>
      <c r="S35" s="426"/>
      <c r="T35" s="426"/>
      <c r="U35" s="427"/>
      <c r="V35" s="425"/>
      <c r="W35" s="426"/>
      <c r="X35" s="426"/>
      <c r="Y35" s="426"/>
      <c r="Z35" s="426"/>
      <c r="AA35" s="427"/>
      <c r="AB35" s="443"/>
      <c r="AC35" s="444"/>
      <c r="AD35" s="444"/>
      <c r="AE35" s="444"/>
      <c r="AF35" s="444"/>
      <c r="AG35" s="445"/>
      <c r="AH35" s="434"/>
      <c r="AI35" s="435"/>
      <c r="AJ35" s="435"/>
      <c r="AK35" s="435"/>
      <c r="AL35" s="435"/>
      <c r="AM35" s="436"/>
      <c r="AN35" s="66"/>
      <c r="AO35" s="495"/>
      <c r="AP35" s="496"/>
      <c r="AQ35" s="496"/>
      <c r="AR35" s="496"/>
      <c r="AS35" s="496"/>
      <c r="AT35" s="497"/>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63"/>
      <c r="C36" s="463"/>
      <c r="D36" s="464"/>
      <c r="E36" s="456"/>
      <c r="F36" s="457"/>
      <c r="G36" s="457"/>
      <c r="H36" s="457"/>
      <c r="I36" s="457"/>
      <c r="J36" s="416" t="str">
        <f>IF(AND('Mapa riesgos'!$M$67="Baja",'Mapa riesgos'!$Q$67="Leve"),CONCATENATE("R",'Mapa riesgos'!$A$67),"")</f>
        <v/>
      </c>
      <c r="K36" s="417"/>
      <c r="L36" s="417" t="str">
        <f>IF(AND('Mapa riesgos'!$M$73="Baja",'Mapa riesgos'!$Q$73="Leve"),CONCATENATE("R",'Mapa riesgos'!$A$73),"")</f>
        <v/>
      </c>
      <c r="M36" s="417"/>
      <c r="N36" s="417" t="str">
        <f>IF(AND('Mapa riesgos'!$M$79="Baja",'Mapa riesgos'!$Q$79="Leve"),CONCATENATE("R",'Mapa riesgos'!$A$79),"")</f>
        <v/>
      </c>
      <c r="O36" s="418"/>
      <c r="P36" s="426" t="str">
        <f>IF(AND('Mapa riesgos'!$M$67="Baja",'Mapa riesgos'!$Q$67="Menor"),CONCATENATE("R",'Mapa riesgos'!$A$67),"")</f>
        <v/>
      </c>
      <c r="Q36" s="426"/>
      <c r="R36" s="426" t="str">
        <f>IF(AND('Mapa riesgos'!$M$73="Baja",'Mapa riesgos'!$Q$73="Menor"),CONCATENATE("R",'Mapa riesgos'!$A$73),"")</f>
        <v/>
      </c>
      <c r="S36" s="426"/>
      <c r="T36" s="426" t="str">
        <f>IF(AND('Mapa riesgos'!$M$79="Baja",'Mapa riesgos'!$Q$79="Menor"),CONCATENATE("R",'Mapa riesgos'!$A$79),"")</f>
        <v/>
      </c>
      <c r="U36" s="427"/>
      <c r="V36" s="425" t="str">
        <f>IF(AND('Mapa riesgos'!$M$67="Baja",'Mapa riesgos'!$Q$67="Moderado"),CONCATENATE("R",'Mapa riesgos'!$A$67),"")</f>
        <v/>
      </c>
      <c r="W36" s="426"/>
      <c r="X36" s="426" t="str">
        <f>IF(AND('Mapa riesgos'!$M$73="Baja",'Mapa riesgos'!$Q$73="Moderado"),CONCATENATE("R",'Mapa riesgos'!$A$73),"")</f>
        <v/>
      </c>
      <c r="Y36" s="426"/>
      <c r="Z36" s="426" t="str">
        <f>IF(AND('Mapa riesgos'!$M$79="Baja",'Mapa riesgos'!$Q$79="Moderado"),CONCATENATE("R",'Mapa riesgos'!$A$79),"")</f>
        <v/>
      </c>
      <c r="AA36" s="427"/>
      <c r="AB36" s="443" t="str">
        <f>IF(AND('Mapa riesgos'!$M$67="Baja",'Mapa riesgos'!$Q$67="Mayor"),CONCATENATE("R",'Mapa riesgos'!$A$67),"")</f>
        <v/>
      </c>
      <c r="AC36" s="444"/>
      <c r="AD36" s="444" t="str">
        <f>IF(AND('Mapa riesgos'!$M$73="Baja",'Mapa riesgos'!$Q$73="Mayor"),CONCATENATE("R",'Mapa riesgos'!$A$73),"")</f>
        <v/>
      </c>
      <c r="AE36" s="444"/>
      <c r="AF36" s="444" t="str">
        <f>IF(AND('Mapa riesgos'!$M$79="Baja",'Mapa riesgos'!$Q$79="Mayor"),CONCATENATE("R",'Mapa riesgos'!$A$79),"")</f>
        <v/>
      </c>
      <c r="AG36" s="445"/>
      <c r="AH36" s="434" t="str">
        <f>IF(AND('Mapa riesgos'!$M$67="Baja",'Mapa riesgos'!$Q$67="Catastrófico"),CONCATENATE("R",'Mapa riesgos'!$A$67),"")</f>
        <v/>
      </c>
      <c r="AI36" s="435"/>
      <c r="AJ36" s="435" t="str">
        <f>IF(AND('Mapa riesgos'!$M$73="Baja",'Mapa riesgos'!$Q$73="Catastrófico"),CONCATENATE("R",'Mapa riesgos'!$A$73),"")</f>
        <v/>
      </c>
      <c r="AK36" s="435"/>
      <c r="AL36" s="435" t="str">
        <f>IF(AND('Mapa riesgos'!$M$79="Baja",'Mapa riesgos'!$Q$79="Catastrófico"),CONCATENATE("R",'Mapa riesgos'!$A$79),"")</f>
        <v/>
      </c>
      <c r="AM36" s="436"/>
      <c r="AN36" s="66"/>
      <c r="AO36" s="495"/>
      <c r="AP36" s="496"/>
      <c r="AQ36" s="496"/>
      <c r="AR36" s="496"/>
      <c r="AS36" s="496"/>
      <c r="AT36" s="497"/>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63"/>
      <c r="C37" s="463"/>
      <c r="D37" s="464"/>
      <c r="E37" s="459"/>
      <c r="F37" s="460"/>
      <c r="G37" s="460"/>
      <c r="H37" s="460"/>
      <c r="I37" s="460"/>
      <c r="J37" s="419"/>
      <c r="K37" s="420"/>
      <c r="L37" s="420"/>
      <c r="M37" s="420"/>
      <c r="N37" s="420"/>
      <c r="O37" s="421"/>
      <c r="P37" s="429"/>
      <c r="Q37" s="429"/>
      <c r="R37" s="429"/>
      <c r="S37" s="429"/>
      <c r="T37" s="429"/>
      <c r="U37" s="430"/>
      <c r="V37" s="428"/>
      <c r="W37" s="429"/>
      <c r="X37" s="429"/>
      <c r="Y37" s="429"/>
      <c r="Z37" s="429"/>
      <c r="AA37" s="430"/>
      <c r="AB37" s="446"/>
      <c r="AC37" s="447"/>
      <c r="AD37" s="447"/>
      <c r="AE37" s="447"/>
      <c r="AF37" s="447"/>
      <c r="AG37" s="448"/>
      <c r="AH37" s="437"/>
      <c r="AI37" s="438"/>
      <c r="AJ37" s="438"/>
      <c r="AK37" s="438"/>
      <c r="AL37" s="438"/>
      <c r="AM37" s="439"/>
      <c r="AN37" s="66"/>
      <c r="AO37" s="498"/>
      <c r="AP37" s="499"/>
      <c r="AQ37" s="499"/>
      <c r="AR37" s="499"/>
      <c r="AS37" s="499"/>
      <c r="AT37" s="500"/>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63"/>
      <c r="C38" s="463"/>
      <c r="D38" s="464"/>
      <c r="E38" s="453" t="s">
        <v>184</v>
      </c>
      <c r="F38" s="454"/>
      <c r="G38" s="454"/>
      <c r="H38" s="454"/>
      <c r="I38" s="455"/>
      <c r="J38" s="422" t="str">
        <f>IF(AND('Mapa riesgos'!$M$13="Muy Baja",'Mapa riesgos'!$Q$13="Leve"),CONCATENATE("R",'Mapa riesgos'!$A$13),"")</f>
        <v/>
      </c>
      <c r="K38" s="423"/>
      <c r="L38" s="423" t="str">
        <f>IF(AND('Mapa riesgos'!$M$19="Muy Baja",'Mapa riesgos'!$Q$19="Leve"),CONCATENATE("R",'Mapa riesgos'!$A$19),"")</f>
        <v/>
      </c>
      <c r="M38" s="423"/>
      <c r="N38" s="423" t="str">
        <f>IF(AND('Mapa riesgos'!$M$25="Muy Baja",'Mapa riesgos'!$Q$25="Leve"),CONCATENATE("R",'Mapa riesgos'!$A$25),"")</f>
        <v/>
      </c>
      <c r="O38" s="424"/>
      <c r="P38" s="422" t="str">
        <f>IF(AND('Mapa riesgos'!$M$13="Muy Baja",'Mapa riesgos'!$Q$13="Menor"),CONCATENATE("R",'Mapa riesgos'!$A$13),"")</f>
        <v/>
      </c>
      <c r="Q38" s="423"/>
      <c r="R38" s="423" t="str">
        <f>IF(AND('Mapa riesgos'!$M$19="Muy Baja",'Mapa riesgos'!$Q$19="Menor"),CONCATENATE("R",'Mapa riesgos'!$A$19),"")</f>
        <v/>
      </c>
      <c r="S38" s="423"/>
      <c r="T38" s="423" t="str">
        <f>IF(AND('Mapa riesgos'!$M$25="Muy Baja",'Mapa riesgos'!$Q$25="Menor"),CONCATENATE("R",'Mapa riesgos'!$A$25),"")</f>
        <v/>
      </c>
      <c r="U38" s="424"/>
      <c r="V38" s="431" t="str">
        <f>IF(AND('Mapa riesgos'!$M$13="Muy Baja",'Mapa riesgos'!$Q$13="Moderado"),CONCATENATE("R",'Mapa riesgos'!$A$13),"")</f>
        <v/>
      </c>
      <c r="W38" s="432"/>
      <c r="X38" s="432" t="str">
        <f>IF(AND('Mapa riesgos'!$M$19="Muy Baja",'Mapa riesgos'!$Q$19="Moderado"),CONCATENATE("R",'Mapa riesgos'!$A$19),"")</f>
        <v/>
      </c>
      <c r="Y38" s="432"/>
      <c r="Z38" s="432" t="str">
        <f>IF(AND('Mapa riesgos'!$M$25="Muy Baja",'Mapa riesgos'!$Q$25="Moderado"),CONCATENATE("R",'Mapa riesgos'!$A$25),"")</f>
        <v/>
      </c>
      <c r="AA38" s="433"/>
      <c r="AB38" s="449" t="str">
        <f>IF(AND('Mapa riesgos'!$M$13="Muy Baja",'Mapa riesgos'!$Q$13="Mayor"),CONCATENATE("R",'Mapa riesgos'!$A$13),"")</f>
        <v/>
      </c>
      <c r="AC38" s="450"/>
      <c r="AD38" s="450" t="str">
        <f>IF(AND('Mapa riesgos'!$M$19="Muy Baja",'Mapa riesgos'!$Q$19="Mayor"),CONCATENATE("R",'Mapa riesgos'!$A$19),"")</f>
        <v/>
      </c>
      <c r="AE38" s="450"/>
      <c r="AF38" s="450" t="str">
        <f>IF(AND('Mapa riesgos'!$M$25="Muy Baja",'Mapa riesgos'!$Q$25="Mayor"),CONCATENATE("R",'Mapa riesgos'!$A$25),"")</f>
        <v/>
      </c>
      <c r="AG38" s="451"/>
      <c r="AH38" s="440" t="str">
        <f>IF(AND('Mapa riesgos'!$M$13="Muy Baja",'Mapa riesgos'!$Q$13="Catastrófico"),CONCATENATE("R",'Mapa riesgos'!$A$13),"")</f>
        <v/>
      </c>
      <c r="AI38" s="441"/>
      <c r="AJ38" s="441" t="str">
        <f>IF(AND('Mapa riesgos'!$M$19="Muy Baja",'Mapa riesgos'!$Q$19="Catastrófico"),CONCATENATE("R",'Mapa riesgos'!$A$19),"")</f>
        <v/>
      </c>
      <c r="AK38" s="441"/>
      <c r="AL38" s="441" t="str">
        <f>IF(AND('Mapa riesgos'!$M$25="Muy Baja",'Mapa riesgos'!$Q$25="Catastrófico"),CONCATENATE("R",'Mapa riesgos'!$A$25),"")</f>
        <v/>
      </c>
      <c r="AM38" s="442"/>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63"/>
      <c r="C39" s="463"/>
      <c r="D39" s="464"/>
      <c r="E39" s="456"/>
      <c r="F39" s="457"/>
      <c r="G39" s="457"/>
      <c r="H39" s="457"/>
      <c r="I39" s="458"/>
      <c r="J39" s="416"/>
      <c r="K39" s="417"/>
      <c r="L39" s="417"/>
      <c r="M39" s="417"/>
      <c r="N39" s="417"/>
      <c r="O39" s="418"/>
      <c r="P39" s="416"/>
      <c r="Q39" s="417"/>
      <c r="R39" s="417"/>
      <c r="S39" s="417"/>
      <c r="T39" s="417"/>
      <c r="U39" s="418"/>
      <c r="V39" s="425"/>
      <c r="W39" s="426"/>
      <c r="X39" s="426"/>
      <c r="Y39" s="426"/>
      <c r="Z39" s="426"/>
      <c r="AA39" s="427"/>
      <c r="AB39" s="443"/>
      <c r="AC39" s="444"/>
      <c r="AD39" s="444"/>
      <c r="AE39" s="444"/>
      <c r="AF39" s="444"/>
      <c r="AG39" s="445"/>
      <c r="AH39" s="434"/>
      <c r="AI39" s="435"/>
      <c r="AJ39" s="435"/>
      <c r="AK39" s="435"/>
      <c r="AL39" s="435"/>
      <c r="AM39" s="43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63"/>
      <c r="C40" s="463"/>
      <c r="D40" s="464"/>
      <c r="E40" s="456"/>
      <c r="F40" s="457"/>
      <c r="G40" s="457"/>
      <c r="H40" s="457"/>
      <c r="I40" s="458"/>
      <c r="J40" s="416" t="str">
        <f>IF(AND('Mapa riesgos'!$M$31="Muy Baja",'Mapa riesgos'!$Q$31="Leve"),CONCATENATE("R",'Mapa riesgos'!$A$31),"")</f>
        <v/>
      </c>
      <c r="K40" s="417"/>
      <c r="L40" s="417" t="str">
        <f>IF(AND('Mapa riesgos'!$M$37="Muy Baja",'Mapa riesgos'!$Q$37="Leve"),CONCATENATE("R",'Mapa riesgos'!$A$37),"")</f>
        <v/>
      </c>
      <c r="M40" s="417"/>
      <c r="N40" s="417" t="str">
        <f>IF(AND('Mapa riesgos'!$M$43="Muy Baja",'Mapa riesgos'!$Q$43="Leve"),CONCATENATE("R",'Mapa riesgos'!$A$43),"")</f>
        <v/>
      </c>
      <c r="O40" s="418"/>
      <c r="P40" s="416" t="str">
        <f>IF(AND('Mapa riesgos'!$M$31="Muy Baja",'Mapa riesgos'!$Q$31="Menor"),CONCATENATE("R",'Mapa riesgos'!$A$31),"")</f>
        <v/>
      </c>
      <c r="Q40" s="417"/>
      <c r="R40" s="417" t="str">
        <f>IF(AND('Mapa riesgos'!$M$37="Muy Baja",'Mapa riesgos'!$Q$37="Menor"),CONCATENATE("R",'Mapa riesgos'!$A$37),"")</f>
        <v/>
      </c>
      <c r="S40" s="417"/>
      <c r="T40" s="417" t="str">
        <f>IF(AND('Mapa riesgos'!$M$43="Muy Baja",'Mapa riesgos'!$Q$43="Menor"),CONCATENATE("R",'Mapa riesgos'!$A$43),"")</f>
        <v/>
      </c>
      <c r="U40" s="418"/>
      <c r="V40" s="425" t="str">
        <f>IF(AND('Mapa riesgos'!$M$31="Muy Baja",'Mapa riesgos'!$Q$31="Moderado"),CONCATENATE("R",'Mapa riesgos'!$A$31),"")</f>
        <v/>
      </c>
      <c r="W40" s="426"/>
      <c r="X40" s="426" t="str">
        <f>IF(AND('Mapa riesgos'!$M$37="Muy Baja",'Mapa riesgos'!$Q$37="Moderado"),CONCATENATE("R",'Mapa riesgos'!$A$37),"")</f>
        <v/>
      </c>
      <c r="Y40" s="426"/>
      <c r="Z40" s="426" t="str">
        <f>IF(AND('Mapa riesgos'!$M$43="Muy Baja",'Mapa riesgos'!$Q$43="Moderado"),CONCATENATE("R",'Mapa riesgos'!$A$43),"")</f>
        <v/>
      </c>
      <c r="AA40" s="427"/>
      <c r="AB40" s="443" t="str">
        <f>IF(AND('Mapa riesgos'!$M$31="Muy Baja",'Mapa riesgos'!$Q$31="Mayor"),CONCATENATE("R",'Mapa riesgos'!$A$31),"")</f>
        <v/>
      </c>
      <c r="AC40" s="444"/>
      <c r="AD40" s="444" t="str">
        <f>IF(AND('Mapa riesgos'!$M$37="Muy Baja",'Mapa riesgos'!$Q$37="Mayor"),CONCATENATE("R",'Mapa riesgos'!$A$37),"")</f>
        <v/>
      </c>
      <c r="AE40" s="444"/>
      <c r="AF40" s="444" t="str">
        <f>IF(AND('Mapa riesgos'!$M$43="Muy Baja",'Mapa riesgos'!$Q$43="Mayor"),CONCATENATE("R",'Mapa riesgos'!$A$43),"")</f>
        <v/>
      </c>
      <c r="AG40" s="445"/>
      <c r="AH40" s="434" t="str">
        <f>IF(AND('Mapa riesgos'!$M$31="Muy Baja",'Mapa riesgos'!$Q$31="Catastrófico"),CONCATENATE("R",'Mapa riesgos'!$A$31),"")</f>
        <v/>
      </c>
      <c r="AI40" s="435"/>
      <c r="AJ40" s="435" t="str">
        <f>IF(AND('Mapa riesgos'!$M$37="Muy Baja",'Mapa riesgos'!$Q$37="Catastrófico"),CONCATENATE("R",'Mapa riesgos'!$A$37),"")</f>
        <v/>
      </c>
      <c r="AK40" s="435"/>
      <c r="AL40" s="435" t="str">
        <f>IF(AND('Mapa riesgos'!$M$43="Muy Baja",'Mapa riesgos'!$Q$43="Catastrófico"),CONCATENATE("R",'Mapa riesgos'!$A$43),"")</f>
        <v/>
      </c>
      <c r="AM40" s="43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63"/>
      <c r="C41" s="463"/>
      <c r="D41" s="464"/>
      <c r="E41" s="456"/>
      <c r="F41" s="457"/>
      <c r="G41" s="457"/>
      <c r="H41" s="457"/>
      <c r="I41" s="458"/>
      <c r="J41" s="416"/>
      <c r="K41" s="417"/>
      <c r="L41" s="417"/>
      <c r="M41" s="417"/>
      <c r="N41" s="417"/>
      <c r="O41" s="418"/>
      <c r="P41" s="416"/>
      <c r="Q41" s="417"/>
      <c r="R41" s="417"/>
      <c r="S41" s="417"/>
      <c r="T41" s="417"/>
      <c r="U41" s="418"/>
      <c r="V41" s="425"/>
      <c r="W41" s="426"/>
      <c r="X41" s="426"/>
      <c r="Y41" s="426"/>
      <c r="Z41" s="426"/>
      <c r="AA41" s="427"/>
      <c r="AB41" s="443"/>
      <c r="AC41" s="444"/>
      <c r="AD41" s="444"/>
      <c r="AE41" s="444"/>
      <c r="AF41" s="444"/>
      <c r="AG41" s="445"/>
      <c r="AH41" s="434"/>
      <c r="AI41" s="435"/>
      <c r="AJ41" s="435"/>
      <c r="AK41" s="435"/>
      <c r="AL41" s="435"/>
      <c r="AM41" s="43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63"/>
      <c r="C42" s="463"/>
      <c r="D42" s="464"/>
      <c r="E42" s="456"/>
      <c r="F42" s="457"/>
      <c r="G42" s="457"/>
      <c r="H42" s="457"/>
      <c r="I42" s="458"/>
      <c r="J42" s="416" t="str">
        <f>IF(AND('Mapa riesgos'!$M$49="Muy Baja",'Mapa riesgos'!$Q$49="Leve"),CONCATENATE("R",'Mapa riesgos'!$A$49),"")</f>
        <v/>
      </c>
      <c r="K42" s="417"/>
      <c r="L42" s="417" t="str">
        <f>IF(AND('Mapa riesgos'!$M$55="Muy Baja",'Mapa riesgos'!$Q$55="Leve"),CONCATENATE("R",'Mapa riesgos'!$A$55),"")</f>
        <v/>
      </c>
      <c r="M42" s="417"/>
      <c r="N42" s="417" t="str">
        <f>IF(AND('Mapa riesgos'!$M$61="Muy Baja",'Mapa riesgos'!$Q$61="Leve"),CONCATENATE("R",'Mapa riesgos'!$A$61),"")</f>
        <v/>
      </c>
      <c r="O42" s="418"/>
      <c r="P42" s="416" t="str">
        <f>IF(AND('Mapa riesgos'!$M$49="Muy Baja",'Mapa riesgos'!$Q$49="Menor"),CONCATENATE("R",'Mapa riesgos'!$A$49),"")</f>
        <v/>
      </c>
      <c r="Q42" s="417"/>
      <c r="R42" s="417" t="str">
        <f>IF(AND('Mapa riesgos'!$M$55="Muy Baja",'Mapa riesgos'!$Q$55="Menor"),CONCATENATE("R",'Mapa riesgos'!$A$55),"")</f>
        <v/>
      </c>
      <c r="S42" s="417"/>
      <c r="T42" s="417" t="str">
        <f>IF(AND('Mapa riesgos'!$M$61="Muy Baja",'Mapa riesgos'!$Q$61="Menor"),CONCATENATE("R",'Mapa riesgos'!$A$61),"")</f>
        <v/>
      </c>
      <c r="U42" s="418"/>
      <c r="V42" s="425" t="str">
        <f>IF(AND('Mapa riesgos'!$M$49="Muy Baja",'Mapa riesgos'!$Q$49="Moderado"),CONCATENATE("R",'Mapa riesgos'!$A$49),"")</f>
        <v/>
      </c>
      <c r="W42" s="426"/>
      <c r="X42" s="426" t="str">
        <f>IF(AND('Mapa riesgos'!$M$55="Muy Baja",'Mapa riesgos'!$Q$55="Moderado"),CONCATENATE("R",'Mapa riesgos'!$A$55),"")</f>
        <v/>
      </c>
      <c r="Y42" s="426"/>
      <c r="Z42" s="426" t="str">
        <f>IF(AND('Mapa riesgos'!$M$61="Muy Baja",'Mapa riesgos'!$Q$61="Moderado"),CONCATENATE("R",'Mapa riesgos'!$A$61),"")</f>
        <v/>
      </c>
      <c r="AA42" s="427"/>
      <c r="AB42" s="443" t="str">
        <f>IF(AND('Mapa riesgos'!$M$49="Muy Baja",'Mapa riesgos'!$Q$49="Mayor"),CONCATENATE("R",'Mapa riesgos'!$A$49),"")</f>
        <v/>
      </c>
      <c r="AC42" s="444"/>
      <c r="AD42" s="444" t="str">
        <f>IF(AND('Mapa riesgos'!$M$55="Muy Baja",'Mapa riesgos'!$Q$55="Mayor"),CONCATENATE("R",'Mapa riesgos'!$A$55),"")</f>
        <v/>
      </c>
      <c r="AE42" s="444"/>
      <c r="AF42" s="444" t="str">
        <f>IF(AND('Mapa riesgos'!$M$61="Muy Baja",'Mapa riesgos'!$Q$61="Mayor"),CONCATENATE("R",'Mapa riesgos'!$A$61),"")</f>
        <v/>
      </c>
      <c r="AG42" s="445"/>
      <c r="AH42" s="434" t="str">
        <f>IF(AND('Mapa riesgos'!$M$49="Muy Baja",'Mapa riesgos'!$Q$49="Catastrófico"),CONCATENATE("R",'Mapa riesgos'!$A$49),"")</f>
        <v/>
      </c>
      <c r="AI42" s="435"/>
      <c r="AJ42" s="435" t="str">
        <f>IF(AND('Mapa riesgos'!$M$55="Muy Baja",'Mapa riesgos'!$Q$55="Catastrófico"),CONCATENATE("R",'Mapa riesgos'!$A$55),"")</f>
        <v/>
      </c>
      <c r="AK42" s="435"/>
      <c r="AL42" s="435" t="str">
        <f>IF(AND('Mapa riesgos'!$M$61="Muy Baja",'Mapa riesgos'!$Q$61="Catastrófico"),CONCATENATE("R",'Mapa riesgos'!$A$61),"")</f>
        <v/>
      </c>
      <c r="AM42" s="43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63"/>
      <c r="C43" s="463"/>
      <c r="D43" s="464"/>
      <c r="E43" s="456"/>
      <c r="F43" s="457"/>
      <c r="G43" s="457"/>
      <c r="H43" s="457"/>
      <c r="I43" s="458"/>
      <c r="J43" s="416"/>
      <c r="K43" s="417"/>
      <c r="L43" s="417"/>
      <c r="M43" s="417"/>
      <c r="N43" s="417"/>
      <c r="O43" s="418"/>
      <c r="P43" s="416"/>
      <c r="Q43" s="417"/>
      <c r="R43" s="417"/>
      <c r="S43" s="417"/>
      <c r="T43" s="417"/>
      <c r="U43" s="418"/>
      <c r="V43" s="425"/>
      <c r="W43" s="426"/>
      <c r="X43" s="426"/>
      <c r="Y43" s="426"/>
      <c r="Z43" s="426"/>
      <c r="AA43" s="427"/>
      <c r="AB43" s="443"/>
      <c r="AC43" s="444"/>
      <c r="AD43" s="444"/>
      <c r="AE43" s="444"/>
      <c r="AF43" s="444"/>
      <c r="AG43" s="445"/>
      <c r="AH43" s="434"/>
      <c r="AI43" s="435"/>
      <c r="AJ43" s="435"/>
      <c r="AK43" s="435"/>
      <c r="AL43" s="435"/>
      <c r="AM43" s="43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63"/>
      <c r="C44" s="463"/>
      <c r="D44" s="464"/>
      <c r="E44" s="456"/>
      <c r="F44" s="457"/>
      <c r="G44" s="457"/>
      <c r="H44" s="457"/>
      <c r="I44" s="458"/>
      <c r="J44" s="416" t="str">
        <f>IF(AND('Mapa riesgos'!$M$67="Muy Baja",'Mapa riesgos'!$Q$67="Leve"),CONCATENATE("R",'Mapa riesgos'!$A$67),"")</f>
        <v/>
      </c>
      <c r="K44" s="417"/>
      <c r="L44" s="417" t="str">
        <f>IF(AND('Mapa riesgos'!$M$73="Muy Baja",'Mapa riesgos'!$Q$73="Leve"),CONCATENATE("R",'Mapa riesgos'!$A$73),"")</f>
        <v/>
      </c>
      <c r="M44" s="417"/>
      <c r="N44" s="417" t="str">
        <f>IF(AND('Mapa riesgos'!$M$79="Muy Baja",'Mapa riesgos'!$Q$79="Leve"),CONCATENATE("R",'Mapa riesgos'!$A$79),"")</f>
        <v/>
      </c>
      <c r="O44" s="418"/>
      <c r="P44" s="416" t="str">
        <f>IF(AND('Mapa riesgos'!$M$67="Muy Baja",'Mapa riesgos'!$Q$67="Menor"),CONCATENATE("R",'Mapa riesgos'!$A$67),"")</f>
        <v/>
      </c>
      <c r="Q44" s="417"/>
      <c r="R44" s="417" t="str">
        <f>IF(AND('Mapa riesgos'!$M$73="Muy Baja",'Mapa riesgos'!$Q$73="Menor"),CONCATENATE("R",'Mapa riesgos'!$A$73),"")</f>
        <v/>
      </c>
      <c r="S44" s="417"/>
      <c r="T44" s="417" t="str">
        <f>IF(AND('Mapa riesgos'!$M$79="Muy Baja",'Mapa riesgos'!$Q$79="Menor"),CONCATENATE("R",'Mapa riesgos'!$A$79),"")</f>
        <v/>
      </c>
      <c r="U44" s="418"/>
      <c r="V44" s="425" t="str">
        <f>IF(AND('Mapa riesgos'!$M$67="Muy Baja",'Mapa riesgos'!$Q$67="Moderado"),CONCATENATE("R",'Mapa riesgos'!$A$67),"")</f>
        <v/>
      </c>
      <c r="W44" s="426"/>
      <c r="X44" s="426" t="str">
        <f>IF(AND('Mapa riesgos'!$M$73="Muy Baja",'Mapa riesgos'!$Q$73="Moderado"),CONCATENATE("R",'Mapa riesgos'!$A$73),"")</f>
        <v/>
      </c>
      <c r="Y44" s="426"/>
      <c r="Z44" s="426" t="str">
        <f>IF(AND('Mapa riesgos'!$M$79="Muy Baja",'Mapa riesgos'!$Q$79="Moderado"),CONCATENATE("R",'Mapa riesgos'!$A$79),"")</f>
        <v/>
      </c>
      <c r="AA44" s="427"/>
      <c r="AB44" s="443" t="str">
        <f>IF(AND('Mapa riesgos'!$M$67="Muy Baja",'Mapa riesgos'!$Q$67="Mayor"),CONCATENATE("R",'Mapa riesgos'!$A$67),"")</f>
        <v/>
      </c>
      <c r="AC44" s="444"/>
      <c r="AD44" s="444" t="str">
        <f>IF(AND('Mapa riesgos'!$M$73="Muy Baja",'Mapa riesgos'!$Q$73="Mayor"),CONCATENATE("R",'Mapa riesgos'!$A$73),"")</f>
        <v/>
      </c>
      <c r="AE44" s="444"/>
      <c r="AF44" s="444" t="str">
        <f>IF(AND('Mapa riesgos'!$M$79="Muy Baja",'Mapa riesgos'!$Q$79="Mayor"),CONCATENATE("R",'Mapa riesgos'!$A$79),"")</f>
        <v/>
      </c>
      <c r="AG44" s="445"/>
      <c r="AH44" s="434" t="str">
        <f>IF(AND('Mapa riesgos'!$M$67="Muy Baja",'Mapa riesgos'!$Q$67="Catastrófico"),CONCATENATE("R",'Mapa riesgos'!$A$67),"")</f>
        <v/>
      </c>
      <c r="AI44" s="435"/>
      <c r="AJ44" s="435" t="str">
        <f>IF(AND('Mapa riesgos'!$M$73="Muy Baja",'Mapa riesgos'!$Q$73="Catastrófico"),CONCATENATE("R",'Mapa riesgos'!$A$73),"")</f>
        <v/>
      </c>
      <c r="AK44" s="435"/>
      <c r="AL44" s="435" t="str">
        <f>IF(AND('Mapa riesgos'!$M$79="Muy Baja",'Mapa riesgos'!$Q$79="Catastrófico"),CONCATENATE("R",'Mapa riesgos'!$A$79),"")</f>
        <v/>
      </c>
      <c r="AM44" s="43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63"/>
      <c r="C45" s="463"/>
      <c r="D45" s="464"/>
      <c r="E45" s="459"/>
      <c r="F45" s="460"/>
      <c r="G45" s="460"/>
      <c r="H45" s="460"/>
      <c r="I45" s="461"/>
      <c r="J45" s="419"/>
      <c r="K45" s="420"/>
      <c r="L45" s="420"/>
      <c r="M45" s="420"/>
      <c r="N45" s="420"/>
      <c r="O45" s="421"/>
      <c r="P45" s="419"/>
      <c r="Q45" s="420"/>
      <c r="R45" s="420"/>
      <c r="S45" s="420"/>
      <c r="T45" s="420"/>
      <c r="U45" s="421"/>
      <c r="V45" s="428"/>
      <c r="W45" s="429"/>
      <c r="X45" s="429"/>
      <c r="Y45" s="429"/>
      <c r="Z45" s="429"/>
      <c r="AA45" s="430"/>
      <c r="AB45" s="446"/>
      <c r="AC45" s="447"/>
      <c r="AD45" s="447"/>
      <c r="AE45" s="447"/>
      <c r="AF45" s="447"/>
      <c r="AG45" s="448"/>
      <c r="AH45" s="437"/>
      <c r="AI45" s="438"/>
      <c r="AJ45" s="438"/>
      <c r="AK45" s="438"/>
      <c r="AL45" s="438"/>
      <c r="AM45" s="439"/>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53" t="s">
        <v>185</v>
      </c>
      <c r="K46" s="454"/>
      <c r="L46" s="454"/>
      <c r="M46" s="454"/>
      <c r="N46" s="454"/>
      <c r="O46" s="455"/>
      <c r="P46" s="453" t="s">
        <v>186</v>
      </c>
      <c r="Q46" s="454"/>
      <c r="R46" s="454"/>
      <c r="S46" s="454"/>
      <c r="T46" s="454"/>
      <c r="U46" s="455"/>
      <c r="V46" s="453" t="s">
        <v>187</v>
      </c>
      <c r="W46" s="454"/>
      <c r="X46" s="454"/>
      <c r="Y46" s="454"/>
      <c r="Z46" s="454"/>
      <c r="AA46" s="455"/>
      <c r="AB46" s="453" t="s">
        <v>188</v>
      </c>
      <c r="AC46" s="462"/>
      <c r="AD46" s="454"/>
      <c r="AE46" s="454"/>
      <c r="AF46" s="454"/>
      <c r="AG46" s="455"/>
      <c r="AH46" s="453" t="s">
        <v>189</v>
      </c>
      <c r="AI46" s="454"/>
      <c r="AJ46" s="454"/>
      <c r="AK46" s="454"/>
      <c r="AL46" s="454"/>
      <c r="AM46" s="455"/>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56"/>
      <c r="K47" s="457"/>
      <c r="L47" s="457"/>
      <c r="M47" s="457"/>
      <c r="N47" s="457"/>
      <c r="O47" s="458"/>
      <c r="P47" s="456"/>
      <c r="Q47" s="457"/>
      <c r="R47" s="457"/>
      <c r="S47" s="457"/>
      <c r="T47" s="457"/>
      <c r="U47" s="458"/>
      <c r="V47" s="456"/>
      <c r="W47" s="457"/>
      <c r="X47" s="457"/>
      <c r="Y47" s="457"/>
      <c r="Z47" s="457"/>
      <c r="AA47" s="458"/>
      <c r="AB47" s="456"/>
      <c r="AC47" s="457"/>
      <c r="AD47" s="457"/>
      <c r="AE47" s="457"/>
      <c r="AF47" s="457"/>
      <c r="AG47" s="458"/>
      <c r="AH47" s="456"/>
      <c r="AI47" s="457"/>
      <c r="AJ47" s="457"/>
      <c r="AK47" s="457"/>
      <c r="AL47" s="457"/>
      <c r="AM47" s="458"/>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56"/>
      <c r="K48" s="457"/>
      <c r="L48" s="457"/>
      <c r="M48" s="457"/>
      <c r="N48" s="457"/>
      <c r="O48" s="458"/>
      <c r="P48" s="456"/>
      <c r="Q48" s="457"/>
      <c r="R48" s="457"/>
      <c r="S48" s="457"/>
      <c r="T48" s="457"/>
      <c r="U48" s="458"/>
      <c r="V48" s="456"/>
      <c r="W48" s="457"/>
      <c r="X48" s="457"/>
      <c r="Y48" s="457"/>
      <c r="Z48" s="457"/>
      <c r="AA48" s="458"/>
      <c r="AB48" s="456"/>
      <c r="AC48" s="457"/>
      <c r="AD48" s="457"/>
      <c r="AE48" s="457"/>
      <c r="AF48" s="457"/>
      <c r="AG48" s="458"/>
      <c r="AH48" s="456"/>
      <c r="AI48" s="457"/>
      <c r="AJ48" s="457"/>
      <c r="AK48" s="457"/>
      <c r="AL48" s="457"/>
      <c r="AM48" s="458"/>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56"/>
      <c r="K49" s="457"/>
      <c r="L49" s="457"/>
      <c r="M49" s="457"/>
      <c r="N49" s="457"/>
      <c r="O49" s="458"/>
      <c r="P49" s="456"/>
      <c r="Q49" s="457"/>
      <c r="R49" s="457"/>
      <c r="S49" s="457"/>
      <c r="T49" s="457"/>
      <c r="U49" s="458"/>
      <c r="V49" s="456"/>
      <c r="W49" s="457"/>
      <c r="X49" s="457"/>
      <c r="Y49" s="457"/>
      <c r="Z49" s="457"/>
      <c r="AA49" s="458"/>
      <c r="AB49" s="456"/>
      <c r="AC49" s="457"/>
      <c r="AD49" s="457"/>
      <c r="AE49" s="457"/>
      <c r="AF49" s="457"/>
      <c r="AG49" s="458"/>
      <c r="AH49" s="456"/>
      <c r="AI49" s="457"/>
      <c r="AJ49" s="457"/>
      <c r="AK49" s="457"/>
      <c r="AL49" s="457"/>
      <c r="AM49" s="458"/>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56"/>
      <c r="K50" s="457"/>
      <c r="L50" s="457"/>
      <c r="M50" s="457"/>
      <c r="N50" s="457"/>
      <c r="O50" s="458"/>
      <c r="P50" s="456"/>
      <c r="Q50" s="457"/>
      <c r="R50" s="457"/>
      <c r="S50" s="457"/>
      <c r="T50" s="457"/>
      <c r="U50" s="458"/>
      <c r="V50" s="456"/>
      <c r="W50" s="457"/>
      <c r="X50" s="457"/>
      <c r="Y50" s="457"/>
      <c r="Z50" s="457"/>
      <c r="AA50" s="458"/>
      <c r="AB50" s="456"/>
      <c r="AC50" s="457"/>
      <c r="AD50" s="457"/>
      <c r="AE50" s="457"/>
      <c r="AF50" s="457"/>
      <c r="AG50" s="458"/>
      <c r="AH50" s="456"/>
      <c r="AI50" s="457"/>
      <c r="AJ50" s="457"/>
      <c r="AK50" s="457"/>
      <c r="AL50" s="457"/>
      <c r="AM50" s="458"/>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59"/>
      <c r="K51" s="460"/>
      <c r="L51" s="460"/>
      <c r="M51" s="460"/>
      <c r="N51" s="460"/>
      <c r="O51" s="461"/>
      <c r="P51" s="459"/>
      <c r="Q51" s="460"/>
      <c r="R51" s="460"/>
      <c r="S51" s="460"/>
      <c r="T51" s="460"/>
      <c r="U51" s="461"/>
      <c r="V51" s="459"/>
      <c r="W51" s="460"/>
      <c r="X51" s="460"/>
      <c r="Y51" s="460"/>
      <c r="Z51" s="460"/>
      <c r="AA51" s="461"/>
      <c r="AB51" s="459"/>
      <c r="AC51" s="460"/>
      <c r="AD51" s="460"/>
      <c r="AE51" s="460"/>
      <c r="AF51" s="460"/>
      <c r="AG51" s="461"/>
      <c r="AH51" s="459"/>
      <c r="AI51" s="460"/>
      <c r="AJ51" s="460"/>
      <c r="AK51" s="460"/>
      <c r="AL51" s="460"/>
      <c r="AM51" s="461"/>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W45" sqref="W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30" t="s">
        <v>190</v>
      </c>
      <c r="C2" s="531"/>
      <c r="D2" s="531"/>
      <c r="E2" s="531"/>
      <c r="F2" s="531"/>
      <c r="G2" s="531"/>
      <c r="H2" s="531"/>
      <c r="I2" s="531"/>
      <c r="J2" s="452" t="s">
        <v>15</v>
      </c>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31"/>
      <c r="C3" s="531"/>
      <c r="D3" s="531"/>
      <c r="E3" s="531"/>
      <c r="F3" s="531"/>
      <c r="G3" s="531"/>
      <c r="H3" s="531"/>
      <c r="I3" s="531"/>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31"/>
      <c r="C4" s="531"/>
      <c r="D4" s="531"/>
      <c r="E4" s="531"/>
      <c r="F4" s="531"/>
      <c r="G4" s="531"/>
      <c r="H4" s="531"/>
      <c r="I4" s="531"/>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63" t="s">
        <v>175</v>
      </c>
      <c r="C6" s="463"/>
      <c r="D6" s="464"/>
      <c r="E6" s="501" t="s">
        <v>176</v>
      </c>
      <c r="F6" s="502"/>
      <c r="G6" s="502"/>
      <c r="H6" s="502"/>
      <c r="I6" s="503"/>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21" t="s">
        <v>177</v>
      </c>
      <c r="AP6" s="522"/>
      <c r="AQ6" s="522"/>
      <c r="AR6" s="522"/>
      <c r="AS6" s="522"/>
      <c r="AT6" s="523"/>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63"/>
      <c r="C7" s="463"/>
      <c r="D7" s="464"/>
      <c r="E7" s="504"/>
      <c r="F7" s="505"/>
      <c r="G7" s="505"/>
      <c r="H7" s="505"/>
      <c r="I7" s="506"/>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24"/>
      <c r="AP7" s="525"/>
      <c r="AQ7" s="525"/>
      <c r="AR7" s="525"/>
      <c r="AS7" s="525"/>
      <c r="AT7" s="52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63"/>
      <c r="C8" s="463"/>
      <c r="D8" s="464"/>
      <c r="E8" s="504"/>
      <c r="F8" s="505"/>
      <c r="G8" s="505"/>
      <c r="H8" s="505"/>
      <c r="I8" s="506"/>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24"/>
      <c r="AP8" s="525"/>
      <c r="AQ8" s="525"/>
      <c r="AR8" s="525"/>
      <c r="AS8" s="525"/>
      <c r="AT8" s="52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63"/>
      <c r="C9" s="463"/>
      <c r="D9" s="464"/>
      <c r="E9" s="504"/>
      <c r="F9" s="505"/>
      <c r="G9" s="505"/>
      <c r="H9" s="505"/>
      <c r="I9" s="506"/>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24"/>
      <c r="AP9" s="525"/>
      <c r="AQ9" s="525"/>
      <c r="AR9" s="525"/>
      <c r="AS9" s="525"/>
      <c r="AT9" s="52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63"/>
      <c r="C10" s="463"/>
      <c r="D10" s="464"/>
      <c r="E10" s="504"/>
      <c r="F10" s="505"/>
      <c r="G10" s="505"/>
      <c r="H10" s="505"/>
      <c r="I10" s="506"/>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24"/>
      <c r="AP10" s="525"/>
      <c r="AQ10" s="525"/>
      <c r="AR10" s="525"/>
      <c r="AS10" s="525"/>
      <c r="AT10" s="52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63"/>
      <c r="C11" s="463"/>
      <c r="D11" s="464"/>
      <c r="E11" s="504"/>
      <c r="F11" s="505"/>
      <c r="G11" s="505"/>
      <c r="H11" s="505"/>
      <c r="I11" s="506"/>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24"/>
      <c r="AP11" s="525"/>
      <c r="AQ11" s="525"/>
      <c r="AR11" s="525"/>
      <c r="AS11" s="525"/>
      <c r="AT11" s="52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63"/>
      <c r="C12" s="463"/>
      <c r="D12" s="464"/>
      <c r="E12" s="504"/>
      <c r="F12" s="505"/>
      <c r="G12" s="505"/>
      <c r="H12" s="505"/>
      <c r="I12" s="506"/>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24"/>
      <c r="AP12" s="525"/>
      <c r="AQ12" s="525"/>
      <c r="AR12" s="525"/>
      <c r="AS12" s="525"/>
      <c r="AT12" s="52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63"/>
      <c r="C13" s="463"/>
      <c r="D13" s="464"/>
      <c r="E13" s="504"/>
      <c r="F13" s="505"/>
      <c r="G13" s="505"/>
      <c r="H13" s="505"/>
      <c r="I13" s="506"/>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24"/>
      <c r="AP13" s="525"/>
      <c r="AQ13" s="525"/>
      <c r="AR13" s="525"/>
      <c r="AS13" s="525"/>
      <c r="AT13" s="52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63"/>
      <c r="C14" s="463"/>
      <c r="D14" s="464"/>
      <c r="E14" s="504"/>
      <c r="F14" s="505"/>
      <c r="G14" s="505"/>
      <c r="H14" s="505"/>
      <c r="I14" s="506"/>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24"/>
      <c r="AP14" s="525"/>
      <c r="AQ14" s="525"/>
      <c r="AR14" s="525"/>
      <c r="AS14" s="525"/>
      <c r="AT14" s="52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63"/>
      <c r="C15" s="463"/>
      <c r="D15" s="464"/>
      <c r="E15" s="507"/>
      <c r="F15" s="508"/>
      <c r="G15" s="508"/>
      <c r="H15" s="508"/>
      <c r="I15" s="509"/>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27"/>
      <c r="AP15" s="528"/>
      <c r="AQ15" s="528"/>
      <c r="AR15" s="528"/>
      <c r="AS15" s="528"/>
      <c r="AT15" s="529"/>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63"/>
      <c r="C16" s="463"/>
      <c r="D16" s="464"/>
      <c r="E16" s="501" t="s">
        <v>178</v>
      </c>
      <c r="F16" s="502"/>
      <c r="G16" s="502"/>
      <c r="H16" s="502"/>
      <c r="I16" s="502"/>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511" t="s">
        <v>179</v>
      </c>
      <c r="AP16" s="512"/>
      <c r="AQ16" s="512"/>
      <c r="AR16" s="512"/>
      <c r="AS16" s="512"/>
      <c r="AT16" s="513"/>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63"/>
      <c r="C17" s="463"/>
      <c r="D17" s="464"/>
      <c r="E17" s="520"/>
      <c r="F17" s="505"/>
      <c r="G17" s="505"/>
      <c r="H17" s="505"/>
      <c r="I17" s="505"/>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514"/>
      <c r="AP17" s="515"/>
      <c r="AQ17" s="515"/>
      <c r="AR17" s="515"/>
      <c r="AS17" s="515"/>
      <c r="AT17" s="51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63"/>
      <c r="C18" s="463"/>
      <c r="D18" s="464"/>
      <c r="E18" s="504"/>
      <c r="F18" s="505"/>
      <c r="G18" s="505"/>
      <c r="H18" s="505"/>
      <c r="I18" s="505"/>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514"/>
      <c r="AP18" s="515"/>
      <c r="AQ18" s="515"/>
      <c r="AR18" s="515"/>
      <c r="AS18" s="515"/>
      <c r="AT18" s="51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63"/>
      <c r="C19" s="463"/>
      <c r="D19" s="464"/>
      <c r="E19" s="504"/>
      <c r="F19" s="505"/>
      <c r="G19" s="505"/>
      <c r="H19" s="505"/>
      <c r="I19" s="505"/>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514"/>
      <c r="AP19" s="515"/>
      <c r="AQ19" s="515"/>
      <c r="AR19" s="515"/>
      <c r="AS19" s="515"/>
      <c r="AT19" s="51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63"/>
      <c r="C20" s="463"/>
      <c r="D20" s="464"/>
      <c r="E20" s="504"/>
      <c r="F20" s="505"/>
      <c r="G20" s="505"/>
      <c r="H20" s="505"/>
      <c r="I20" s="505"/>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514"/>
      <c r="AP20" s="515"/>
      <c r="AQ20" s="515"/>
      <c r="AR20" s="515"/>
      <c r="AS20" s="515"/>
      <c r="AT20" s="51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63"/>
      <c r="C21" s="463"/>
      <c r="D21" s="464"/>
      <c r="E21" s="504"/>
      <c r="F21" s="505"/>
      <c r="G21" s="505"/>
      <c r="H21" s="505"/>
      <c r="I21" s="505"/>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514"/>
      <c r="AP21" s="515"/>
      <c r="AQ21" s="515"/>
      <c r="AR21" s="515"/>
      <c r="AS21" s="515"/>
      <c r="AT21" s="51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63"/>
      <c r="C22" s="463"/>
      <c r="D22" s="464"/>
      <c r="E22" s="504"/>
      <c r="F22" s="505"/>
      <c r="G22" s="505"/>
      <c r="H22" s="505"/>
      <c r="I22" s="505"/>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514"/>
      <c r="AP22" s="515"/>
      <c r="AQ22" s="515"/>
      <c r="AR22" s="515"/>
      <c r="AS22" s="515"/>
      <c r="AT22" s="51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63"/>
      <c r="C23" s="463"/>
      <c r="D23" s="464"/>
      <c r="E23" s="504"/>
      <c r="F23" s="505"/>
      <c r="G23" s="505"/>
      <c r="H23" s="505"/>
      <c r="I23" s="505"/>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514"/>
      <c r="AP23" s="515"/>
      <c r="AQ23" s="515"/>
      <c r="AR23" s="515"/>
      <c r="AS23" s="515"/>
      <c r="AT23" s="51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63"/>
      <c r="C24" s="463"/>
      <c r="D24" s="464"/>
      <c r="E24" s="504"/>
      <c r="F24" s="505"/>
      <c r="G24" s="505"/>
      <c r="H24" s="505"/>
      <c r="I24" s="505"/>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514"/>
      <c r="AP24" s="515"/>
      <c r="AQ24" s="515"/>
      <c r="AR24" s="515"/>
      <c r="AS24" s="515"/>
      <c r="AT24" s="51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63"/>
      <c r="C25" s="463"/>
      <c r="D25" s="464"/>
      <c r="E25" s="507"/>
      <c r="F25" s="508"/>
      <c r="G25" s="508"/>
      <c r="H25" s="508"/>
      <c r="I25" s="508"/>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17"/>
      <c r="AP25" s="518"/>
      <c r="AQ25" s="518"/>
      <c r="AR25" s="518"/>
      <c r="AS25" s="518"/>
      <c r="AT25" s="519"/>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63"/>
      <c r="C26" s="463"/>
      <c r="D26" s="464"/>
      <c r="E26" s="501" t="s">
        <v>180</v>
      </c>
      <c r="F26" s="502"/>
      <c r="G26" s="502"/>
      <c r="H26" s="502"/>
      <c r="I26" s="503"/>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41" t="s">
        <v>181</v>
      </c>
      <c r="AP26" s="542"/>
      <c r="AQ26" s="542"/>
      <c r="AR26" s="542"/>
      <c r="AS26" s="542"/>
      <c r="AT26" s="543"/>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63"/>
      <c r="C27" s="463"/>
      <c r="D27" s="464"/>
      <c r="E27" s="520"/>
      <c r="F27" s="505"/>
      <c r="G27" s="505"/>
      <c r="H27" s="505"/>
      <c r="I27" s="506"/>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44"/>
      <c r="AP27" s="545"/>
      <c r="AQ27" s="545"/>
      <c r="AR27" s="545"/>
      <c r="AS27" s="545"/>
      <c r="AT27" s="54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63"/>
      <c r="C28" s="463"/>
      <c r="D28" s="464"/>
      <c r="E28" s="504"/>
      <c r="F28" s="505"/>
      <c r="G28" s="505"/>
      <c r="H28" s="505"/>
      <c r="I28" s="506"/>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44"/>
      <c r="AP28" s="545"/>
      <c r="AQ28" s="545"/>
      <c r="AR28" s="545"/>
      <c r="AS28" s="545"/>
      <c r="AT28" s="54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63"/>
      <c r="C29" s="463"/>
      <c r="D29" s="464"/>
      <c r="E29" s="504"/>
      <c r="F29" s="505"/>
      <c r="G29" s="505"/>
      <c r="H29" s="505"/>
      <c r="I29" s="506"/>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44"/>
      <c r="AP29" s="545"/>
      <c r="AQ29" s="545"/>
      <c r="AR29" s="545"/>
      <c r="AS29" s="545"/>
      <c r="AT29" s="54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63"/>
      <c r="C30" s="463"/>
      <c r="D30" s="464"/>
      <c r="E30" s="504"/>
      <c r="F30" s="505"/>
      <c r="G30" s="505"/>
      <c r="H30" s="505"/>
      <c r="I30" s="506"/>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44"/>
      <c r="AP30" s="545"/>
      <c r="AQ30" s="545"/>
      <c r="AR30" s="545"/>
      <c r="AS30" s="545"/>
      <c r="AT30" s="54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63"/>
      <c r="C31" s="463"/>
      <c r="D31" s="464"/>
      <c r="E31" s="504"/>
      <c r="F31" s="505"/>
      <c r="G31" s="505"/>
      <c r="H31" s="505"/>
      <c r="I31" s="506"/>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44"/>
      <c r="AP31" s="545"/>
      <c r="AQ31" s="545"/>
      <c r="AR31" s="545"/>
      <c r="AS31" s="545"/>
      <c r="AT31" s="54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63"/>
      <c r="C32" s="463"/>
      <c r="D32" s="464"/>
      <c r="E32" s="504"/>
      <c r="F32" s="505"/>
      <c r="G32" s="505"/>
      <c r="H32" s="505"/>
      <c r="I32" s="506"/>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44"/>
      <c r="AP32" s="545"/>
      <c r="AQ32" s="545"/>
      <c r="AR32" s="545"/>
      <c r="AS32" s="545"/>
      <c r="AT32" s="54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63"/>
      <c r="C33" s="463"/>
      <c r="D33" s="464"/>
      <c r="E33" s="504"/>
      <c r="F33" s="505"/>
      <c r="G33" s="505"/>
      <c r="H33" s="505"/>
      <c r="I33" s="506"/>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44"/>
      <c r="AP33" s="545"/>
      <c r="AQ33" s="545"/>
      <c r="AR33" s="545"/>
      <c r="AS33" s="545"/>
      <c r="AT33" s="54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63"/>
      <c r="C34" s="463"/>
      <c r="D34" s="464"/>
      <c r="E34" s="504"/>
      <c r="F34" s="505"/>
      <c r="G34" s="505"/>
      <c r="H34" s="505"/>
      <c r="I34" s="506"/>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44"/>
      <c r="AP34" s="545"/>
      <c r="AQ34" s="545"/>
      <c r="AR34" s="545"/>
      <c r="AS34" s="545"/>
      <c r="AT34" s="54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63"/>
      <c r="C35" s="463"/>
      <c r="D35" s="464"/>
      <c r="E35" s="507"/>
      <c r="F35" s="508"/>
      <c r="G35" s="508"/>
      <c r="H35" s="508"/>
      <c r="I35" s="509"/>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47"/>
      <c r="AP35" s="548"/>
      <c r="AQ35" s="548"/>
      <c r="AR35" s="548"/>
      <c r="AS35" s="548"/>
      <c r="AT35" s="549"/>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63"/>
      <c r="C36" s="463"/>
      <c r="D36" s="464"/>
      <c r="E36" s="501" t="s">
        <v>182</v>
      </c>
      <c r="F36" s="502"/>
      <c r="G36" s="502"/>
      <c r="H36" s="502"/>
      <c r="I36" s="502"/>
      <c r="J36" s="56" t="str">
        <f>IF(AND('Mapa riesgos'!$AD$13="Baja",'Mapa riesgos'!$AF$13="Leve"),CONCATENATE("R1C",'Mapa riesgos'!$T$13),"")</f>
        <v>R1C1</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
      </c>
      <c r="W36" s="48" t="str">
        <f>IF(AND('Mapa riesgos'!$AD$14="Baja",'Mapa riesgos'!$AF$14="Moderado"),CONCATENATE("R1C",'Mapa riesgos'!$T$14),"")</f>
        <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32" t="s">
        <v>183</v>
      </c>
      <c r="AP36" s="533"/>
      <c r="AQ36" s="533"/>
      <c r="AR36" s="533"/>
      <c r="AS36" s="533"/>
      <c r="AT36" s="53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63"/>
      <c r="C37" s="463"/>
      <c r="D37" s="464"/>
      <c r="E37" s="520"/>
      <c r="F37" s="505"/>
      <c r="G37" s="505"/>
      <c r="H37" s="505"/>
      <c r="I37" s="505"/>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
      </c>
      <c r="Q37" s="51" t="str">
        <f>IF(AND('Mapa riesgos'!$AD$20="Baja",'Mapa riesgos'!$AF$20="Menor"),CONCATENATE("R2C",'Mapa riesgos'!$T$20),"")</f>
        <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R2C1</v>
      </c>
      <c r="W37" s="51" t="str">
        <f>IF(AND('Mapa riesgos'!$AD$20="Baja",'Mapa riesgos'!$AF$20="Moderado"),CONCATENATE("R2C",'Mapa riesgos'!$T$20),"")</f>
        <v>R2C2</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35"/>
      <c r="AP37" s="536"/>
      <c r="AQ37" s="536"/>
      <c r="AR37" s="536"/>
      <c r="AS37" s="536"/>
      <c r="AT37" s="53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63"/>
      <c r="C38" s="463"/>
      <c r="D38" s="464"/>
      <c r="E38" s="504"/>
      <c r="F38" s="505"/>
      <c r="G38" s="505"/>
      <c r="H38" s="505"/>
      <c r="I38" s="505"/>
      <c r="J38" s="59" t="str">
        <f>IF(AND('Mapa riesgos'!$AD$25="Baja",'Mapa riesgos'!$AF$25="Leve"),CONCATENATE("R3C",'Mapa riesgos'!$T$25),"")</f>
        <v>R3C1</v>
      </c>
      <c r="K38" s="60" t="str">
        <f>IF(AND('Mapa riesgos'!$AD$26="Baja",'Mapa riesgos'!$AF$26="Leve"),CONCATENATE("R3C",'Mapa riesgos'!$T$26),"")</f>
        <v>R3C2</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35"/>
      <c r="AP38" s="536"/>
      <c r="AQ38" s="536"/>
      <c r="AR38" s="536"/>
      <c r="AS38" s="536"/>
      <c r="AT38" s="537"/>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63"/>
      <c r="C39" s="463"/>
      <c r="D39" s="464"/>
      <c r="E39" s="504"/>
      <c r="F39" s="505"/>
      <c r="G39" s="505"/>
      <c r="H39" s="505"/>
      <c r="I39" s="505"/>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R4C1</v>
      </c>
      <c r="W39" s="51" t="str">
        <f>IF(AND('Mapa riesgos'!$AD$32="Baja",'Mapa riesgos'!$AF$32="Moderado"),CONCATENATE("R4C",'Mapa riesgos'!$T$32),"")</f>
        <v>R4C2</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35"/>
      <c r="AP39" s="536"/>
      <c r="AQ39" s="536"/>
      <c r="AR39" s="536"/>
      <c r="AS39" s="536"/>
      <c r="AT39" s="537"/>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63"/>
      <c r="C40" s="463"/>
      <c r="D40" s="464"/>
      <c r="E40" s="504"/>
      <c r="F40" s="505"/>
      <c r="G40" s="505"/>
      <c r="H40" s="505"/>
      <c r="I40" s="505"/>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35"/>
      <c r="AP40" s="536"/>
      <c r="AQ40" s="536"/>
      <c r="AR40" s="536"/>
      <c r="AS40" s="536"/>
      <c r="AT40" s="537"/>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63"/>
      <c r="C41" s="463"/>
      <c r="D41" s="464"/>
      <c r="E41" s="504"/>
      <c r="F41" s="505"/>
      <c r="G41" s="505"/>
      <c r="H41" s="505"/>
      <c r="I41" s="505"/>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35"/>
      <c r="AP41" s="536"/>
      <c r="AQ41" s="536"/>
      <c r="AR41" s="536"/>
      <c r="AS41" s="536"/>
      <c r="AT41" s="537"/>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63"/>
      <c r="C42" s="463"/>
      <c r="D42" s="464"/>
      <c r="E42" s="504"/>
      <c r="F42" s="505"/>
      <c r="G42" s="505"/>
      <c r="H42" s="505"/>
      <c r="I42" s="505"/>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35"/>
      <c r="AP42" s="536"/>
      <c r="AQ42" s="536"/>
      <c r="AR42" s="536"/>
      <c r="AS42" s="536"/>
      <c r="AT42" s="537"/>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63"/>
      <c r="C43" s="463"/>
      <c r="D43" s="464"/>
      <c r="E43" s="504"/>
      <c r="F43" s="505"/>
      <c r="G43" s="505"/>
      <c r="H43" s="505"/>
      <c r="I43" s="505"/>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35"/>
      <c r="AP43" s="536"/>
      <c r="AQ43" s="536"/>
      <c r="AR43" s="536"/>
      <c r="AS43" s="536"/>
      <c r="AT43" s="537"/>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63"/>
      <c r="C44" s="463"/>
      <c r="D44" s="464"/>
      <c r="E44" s="504"/>
      <c r="F44" s="505"/>
      <c r="G44" s="505"/>
      <c r="H44" s="505"/>
      <c r="I44" s="505"/>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35"/>
      <c r="AP44" s="536"/>
      <c r="AQ44" s="536"/>
      <c r="AR44" s="536"/>
      <c r="AS44" s="536"/>
      <c r="AT44" s="537"/>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63"/>
      <c r="C45" s="463"/>
      <c r="D45" s="464"/>
      <c r="E45" s="507"/>
      <c r="F45" s="508"/>
      <c r="G45" s="508"/>
      <c r="H45" s="508"/>
      <c r="I45" s="508"/>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38"/>
      <c r="AP45" s="539"/>
      <c r="AQ45" s="539"/>
      <c r="AR45" s="539"/>
      <c r="AS45" s="539"/>
      <c r="AT45" s="540"/>
    </row>
    <row r="46" spans="1:80" ht="46.5" customHeight="1" x14ac:dyDescent="0.35">
      <c r="A46" s="66"/>
      <c r="B46" s="463"/>
      <c r="C46" s="463"/>
      <c r="D46" s="464"/>
      <c r="E46" s="501" t="s">
        <v>184</v>
      </c>
      <c r="F46" s="502"/>
      <c r="G46" s="502"/>
      <c r="H46" s="502"/>
      <c r="I46" s="503"/>
      <c r="J46" s="56" t="str">
        <f>IF(AND('Mapa riesgos'!$AD$13="Muy Baja",'Mapa riesgos'!$AF$13="Leve"),CONCATENATE("R1C",'Mapa riesgos'!$T$13),"")</f>
        <v/>
      </c>
      <c r="K46" s="57" t="str">
        <f>IF(AND('Mapa riesgos'!$AD$14="Muy Baja",'Mapa riesgos'!$AF$14="Leve"),CONCATENATE("R1C",'Mapa riesgos'!$T$14),"")</f>
        <v>R1C2</v>
      </c>
      <c r="L46" s="57" t="str">
        <f>IF(AND('Mapa riesgos'!$AD$15="Muy Baja",'Mapa riesgos'!$AF$15="Leve"),CONCATENATE("R1C",'Mapa riesgos'!$T$15),"")</f>
        <v>R1C3</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63"/>
      <c r="C47" s="463"/>
      <c r="D47" s="464"/>
      <c r="E47" s="520"/>
      <c r="F47" s="505"/>
      <c r="G47" s="505"/>
      <c r="H47" s="505"/>
      <c r="I47" s="506"/>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63"/>
      <c r="C48" s="463"/>
      <c r="D48" s="464"/>
      <c r="E48" s="520"/>
      <c r="F48" s="505"/>
      <c r="G48" s="505"/>
      <c r="H48" s="505"/>
      <c r="I48" s="506"/>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63"/>
      <c r="C49" s="463"/>
      <c r="D49" s="464"/>
      <c r="E49" s="504"/>
      <c r="F49" s="505"/>
      <c r="G49" s="505"/>
      <c r="H49" s="505"/>
      <c r="I49" s="506"/>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R4C3</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63"/>
      <c r="C50" s="463"/>
      <c r="D50" s="464"/>
      <c r="E50" s="504"/>
      <c r="F50" s="505"/>
      <c r="G50" s="505"/>
      <c r="H50" s="505"/>
      <c r="I50" s="506"/>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63"/>
      <c r="C51" s="463"/>
      <c r="D51" s="464"/>
      <c r="E51" s="504"/>
      <c r="F51" s="505"/>
      <c r="G51" s="505"/>
      <c r="H51" s="505"/>
      <c r="I51" s="506"/>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63"/>
      <c r="C52" s="463"/>
      <c r="D52" s="464"/>
      <c r="E52" s="504"/>
      <c r="F52" s="505"/>
      <c r="G52" s="505"/>
      <c r="H52" s="505"/>
      <c r="I52" s="506"/>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63"/>
      <c r="C53" s="463"/>
      <c r="D53" s="464"/>
      <c r="E53" s="504"/>
      <c r="F53" s="505"/>
      <c r="G53" s="505"/>
      <c r="H53" s="505"/>
      <c r="I53" s="506"/>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63"/>
      <c r="C54" s="463"/>
      <c r="D54" s="464"/>
      <c r="E54" s="504"/>
      <c r="F54" s="505"/>
      <c r="G54" s="505"/>
      <c r="H54" s="505"/>
      <c r="I54" s="506"/>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63"/>
      <c r="C55" s="463"/>
      <c r="D55" s="464"/>
      <c r="E55" s="507"/>
      <c r="F55" s="508"/>
      <c r="G55" s="508"/>
      <c r="H55" s="508"/>
      <c r="I55" s="509"/>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501" t="s">
        <v>185</v>
      </c>
      <c r="K56" s="502"/>
      <c r="L56" s="502"/>
      <c r="M56" s="502"/>
      <c r="N56" s="502"/>
      <c r="O56" s="503"/>
      <c r="P56" s="501" t="s">
        <v>186</v>
      </c>
      <c r="Q56" s="502"/>
      <c r="R56" s="502"/>
      <c r="S56" s="502"/>
      <c r="T56" s="502"/>
      <c r="U56" s="503"/>
      <c r="V56" s="501" t="s">
        <v>187</v>
      </c>
      <c r="W56" s="502"/>
      <c r="X56" s="502"/>
      <c r="Y56" s="502"/>
      <c r="Z56" s="502"/>
      <c r="AA56" s="503"/>
      <c r="AB56" s="501" t="s">
        <v>188</v>
      </c>
      <c r="AC56" s="510"/>
      <c r="AD56" s="502"/>
      <c r="AE56" s="502"/>
      <c r="AF56" s="502"/>
      <c r="AG56" s="503"/>
      <c r="AH56" s="501" t="s">
        <v>189</v>
      </c>
      <c r="AI56" s="502"/>
      <c r="AJ56" s="502"/>
      <c r="AK56" s="502"/>
      <c r="AL56" s="502"/>
      <c r="AM56" s="503"/>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04"/>
      <c r="K57" s="505"/>
      <c r="L57" s="505"/>
      <c r="M57" s="505"/>
      <c r="N57" s="505"/>
      <c r="O57" s="506"/>
      <c r="P57" s="504"/>
      <c r="Q57" s="505"/>
      <c r="R57" s="505"/>
      <c r="S57" s="505"/>
      <c r="T57" s="505"/>
      <c r="U57" s="506"/>
      <c r="V57" s="504"/>
      <c r="W57" s="505"/>
      <c r="X57" s="505"/>
      <c r="Y57" s="505"/>
      <c r="Z57" s="505"/>
      <c r="AA57" s="506"/>
      <c r="AB57" s="504"/>
      <c r="AC57" s="505"/>
      <c r="AD57" s="505"/>
      <c r="AE57" s="505"/>
      <c r="AF57" s="505"/>
      <c r="AG57" s="506"/>
      <c r="AH57" s="504"/>
      <c r="AI57" s="505"/>
      <c r="AJ57" s="505"/>
      <c r="AK57" s="505"/>
      <c r="AL57" s="505"/>
      <c r="AM57" s="50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04"/>
      <c r="K58" s="505"/>
      <c r="L58" s="505"/>
      <c r="M58" s="505"/>
      <c r="N58" s="505"/>
      <c r="O58" s="506"/>
      <c r="P58" s="504"/>
      <c r="Q58" s="505"/>
      <c r="R58" s="505"/>
      <c r="S58" s="505"/>
      <c r="T58" s="505"/>
      <c r="U58" s="506"/>
      <c r="V58" s="504"/>
      <c r="W58" s="505"/>
      <c r="X58" s="505"/>
      <c r="Y58" s="505"/>
      <c r="Z58" s="505"/>
      <c r="AA58" s="506"/>
      <c r="AB58" s="504"/>
      <c r="AC58" s="505"/>
      <c r="AD58" s="505"/>
      <c r="AE58" s="505"/>
      <c r="AF58" s="505"/>
      <c r="AG58" s="506"/>
      <c r="AH58" s="504"/>
      <c r="AI58" s="505"/>
      <c r="AJ58" s="505"/>
      <c r="AK58" s="505"/>
      <c r="AL58" s="505"/>
      <c r="AM58" s="50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04"/>
      <c r="K59" s="505"/>
      <c r="L59" s="505"/>
      <c r="M59" s="505"/>
      <c r="N59" s="505"/>
      <c r="O59" s="506"/>
      <c r="P59" s="504"/>
      <c r="Q59" s="505"/>
      <c r="R59" s="505"/>
      <c r="S59" s="505"/>
      <c r="T59" s="505"/>
      <c r="U59" s="506"/>
      <c r="V59" s="504"/>
      <c r="W59" s="505"/>
      <c r="X59" s="505"/>
      <c r="Y59" s="505"/>
      <c r="Z59" s="505"/>
      <c r="AA59" s="506"/>
      <c r="AB59" s="504"/>
      <c r="AC59" s="505"/>
      <c r="AD59" s="505"/>
      <c r="AE59" s="505"/>
      <c r="AF59" s="505"/>
      <c r="AG59" s="506"/>
      <c r="AH59" s="504"/>
      <c r="AI59" s="505"/>
      <c r="AJ59" s="505"/>
      <c r="AK59" s="505"/>
      <c r="AL59" s="505"/>
      <c r="AM59" s="50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04"/>
      <c r="K60" s="505"/>
      <c r="L60" s="505"/>
      <c r="M60" s="505"/>
      <c r="N60" s="505"/>
      <c r="O60" s="506"/>
      <c r="P60" s="504"/>
      <c r="Q60" s="505"/>
      <c r="R60" s="505"/>
      <c r="S60" s="505"/>
      <c r="T60" s="505"/>
      <c r="U60" s="506"/>
      <c r="V60" s="504"/>
      <c r="W60" s="505"/>
      <c r="X60" s="505"/>
      <c r="Y60" s="505"/>
      <c r="Z60" s="505"/>
      <c r="AA60" s="506"/>
      <c r="AB60" s="504"/>
      <c r="AC60" s="505"/>
      <c r="AD60" s="505"/>
      <c r="AE60" s="505"/>
      <c r="AF60" s="505"/>
      <c r="AG60" s="506"/>
      <c r="AH60" s="504"/>
      <c r="AI60" s="505"/>
      <c r="AJ60" s="505"/>
      <c r="AK60" s="505"/>
      <c r="AL60" s="505"/>
      <c r="AM60" s="50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07"/>
      <c r="K61" s="508"/>
      <c r="L61" s="508"/>
      <c r="M61" s="508"/>
      <c r="N61" s="508"/>
      <c r="O61" s="509"/>
      <c r="P61" s="507"/>
      <c r="Q61" s="508"/>
      <c r="R61" s="508"/>
      <c r="S61" s="508"/>
      <c r="T61" s="508"/>
      <c r="U61" s="509"/>
      <c r="V61" s="507"/>
      <c r="W61" s="508"/>
      <c r="X61" s="508"/>
      <c r="Y61" s="508"/>
      <c r="Z61" s="508"/>
      <c r="AA61" s="509"/>
      <c r="AB61" s="507"/>
      <c r="AC61" s="508"/>
      <c r="AD61" s="508"/>
      <c r="AE61" s="508"/>
      <c r="AF61" s="508"/>
      <c r="AG61" s="509"/>
      <c r="AH61" s="507"/>
      <c r="AI61" s="508"/>
      <c r="AJ61" s="508"/>
      <c r="AK61" s="508"/>
      <c r="AL61" s="508"/>
      <c r="AM61" s="509"/>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50" t="s">
        <v>191</v>
      </c>
      <c r="C1" s="550"/>
      <c r="D1" s="550"/>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192</v>
      </c>
      <c r="D3" s="4" t="s">
        <v>175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193</v>
      </c>
      <c r="C4" s="6" t="s">
        <v>194</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195</v>
      </c>
      <c r="C5" s="9" t="s">
        <v>196</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197</v>
      </c>
      <c r="C6" s="9" t="s">
        <v>198</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199</v>
      </c>
      <c r="C7" s="9" t="s">
        <v>200</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201</v>
      </c>
      <c r="C8" s="9" t="s">
        <v>202</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G8" sqref="G8"/>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9" customFormat="1" ht="45.75" customHeight="1" x14ac:dyDescent="0.25">
      <c r="A2" s="187"/>
      <c r="B2" s="551" t="s">
        <v>203</v>
      </c>
      <c r="C2" s="551"/>
      <c r="D2" s="551"/>
      <c r="E2" s="551"/>
      <c r="F2" s="188"/>
      <c r="G2" s="187"/>
      <c r="H2" s="187"/>
      <c r="I2" s="187"/>
      <c r="J2" s="187"/>
      <c r="K2" s="187"/>
      <c r="L2" s="187"/>
      <c r="M2" s="187"/>
      <c r="N2" s="187"/>
      <c r="O2" s="187"/>
      <c r="P2" s="187"/>
      <c r="Q2" s="187"/>
      <c r="R2" s="187"/>
      <c r="S2" s="187"/>
      <c r="T2" s="187"/>
      <c r="U2" s="187"/>
    </row>
    <row r="3" spans="1:21" s="189" customFormat="1" ht="18.75" customHeight="1" x14ac:dyDescent="0.25">
      <c r="A3" s="187"/>
      <c r="B3" s="190"/>
      <c r="C3" s="187"/>
      <c r="D3" s="187"/>
      <c r="E3" s="187"/>
      <c r="F3" s="188"/>
      <c r="G3" s="187"/>
      <c r="H3" s="187"/>
      <c r="I3" s="187"/>
      <c r="J3" s="187"/>
      <c r="K3" s="187"/>
      <c r="L3" s="187"/>
      <c r="M3" s="187"/>
      <c r="N3" s="187"/>
      <c r="O3" s="187"/>
      <c r="P3" s="187"/>
      <c r="Q3" s="187"/>
      <c r="R3" s="187"/>
      <c r="S3" s="187"/>
      <c r="T3" s="187"/>
      <c r="U3" s="187"/>
    </row>
    <row r="4" spans="1:21" ht="67.5" customHeight="1" x14ac:dyDescent="0.25">
      <c r="A4" s="66"/>
      <c r="B4" s="106"/>
      <c r="C4" s="21" t="s">
        <v>204</v>
      </c>
      <c r="D4" s="21" t="s">
        <v>205</v>
      </c>
      <c r="E4" s="21" t="s">
        <v>392</v>
      </c>
      <c r="F4" s="112"/>
      <c r="G4" s="66"/>
      <c r="H4" s="66"/>
      <c r="I4" s="66"/>
      <c r="J4" s="66"/>
      <c r="K4" s="66"/>
      <c r="L4" s="66"/>
      <c r="M4" s="66"/>
      <c r="N4" s="66"/>
      <c r="O4" s="66"/>
      <c r="P4" s="66"/>
      <c r="Q4" s="66"/>
      <c r="R4" s="66"/>
      <c r="S4" s="66"/>
      <c r="T4" s="66"/>
      <c r="U4" s="66"/>
    </row>
    <row r="5" spans="1:21" ht="67.5" customHeight="1" x14ac:dyDescent="0.25">
      <c r="A5" s="86" t="s">
        <v>206</v>
      </c>
      <c r="B5" s="22" t="s">
        <v>207</v>
      </c>
      <c r="C5" s="27" t="s">
        <v>208</v>
      </c>
      <c r="D5" s="104" t="s">
        <v>209</v>
      </c>
      <c r="E5" s="255">
        <f>908526*130</f>
        <v>118108380</v>
      </c>
      <c r="F5" s="66"/>
      <c r="G5" s="66"/>
      <c r="H5" s="66"/>
      <c r="I5" s="66"/>
      <c r="J5" s="66"/>
      <c r="K5" s="66"/>
      <c r="L5" s="66"/>
      <c r="M5" s="66"/>
      <c r="N5" s="66"/>
      <c r="O5" s="66"/>
      <c r="P5" s="66"/>
      <c r="Q5" s="66"/>
      <c r="R5" s="66"/>
      <c r="S5" s="66"/>
      <c r="T5" s="66"/>
      <c r="U5" s="66"/>
    </row>
    <row r="6" spans="1:21" ht="129" customHeight="1" x14ac:dyDescent="0.25">
      <c r="A6" s="86" t="s">
        <v>210</v>
      </c>
      <c r="B6" s="23" t="s">
        <v>211</v>
      </c>
      <c r="C6" s="28" t="s">
        <v>212</v>
      </c>
      <c r="D6" s="105" t="s">
        <v>213</v>
      </c>
      <c r="E6" s="255">
        <f>908526*650</f>
        <v>590541900</v>
      </c>
      <c r="F6" s="66"/>
      <c r="G6" s="66"/>
      <c r="H6" s="66"/>
      <c r="I6" s="66"/>
      <c r="J6" s="66"/>
      <c r="K6" s="66"/>
      <c r="L6" s="66"/>
      <c r="M6" s="66"/>
      <c r="N6" s="66"/>
      <c r="O6" s="66"/>
      <c r="P6" s="66"/>
      <c r="Q6" s="66"/>
      <c r="R6" s="66"/>
      <c r="S6" s="66"/>
      <c r="T6" s="66"/>
      <c r="U6" s="66"/>
    </row>
    <row r="7" spans="1:21" ht="101.25" x14ac:dyDescent="0.25">
      <c r="A7" s="86" t="s">
        <v>181</v>
      </c>
      <c r="B7" s="24" t="s">
        <v>214</v>
      </c>
      <c r="C7" s="28" t="s">
        <v>215</v>
      </c>
      <c r="D7" s="105" t="s">
        <v>216</v>
      </c>
      <c r="E7" s="255">
        <f>908526*1300</f>
        <v>1181083800</v>
      </c>
      <c r="F7" s="66"/>
      <c r="G7" s="66"/>
      <c r="H7" s="66"/>
      <c r="I7" s="66"/>
      <c r="J7" s="66"/>
      <c r="K7" s="66"/>
      <c r="L7" s="66"/>
      <c r="M7" s="66"/>
      <c r="N7" s="66"/>
      <c r="O7" s="66"/>
      <c r="P7" s="66"/>
      <c r="Q7" s="66"/>
      <c r="R7" s="66"/>
      <c r="S7" s="66"/>
      <c r="T7" s="66"/>
      <c r="U7" s="66"/>
    </row>
    <row r="8" spans="1:21" ht="135" x14ac:dyDescent="0.25">
      <c r="A8" s="86" t="s">
        <v>217</v>
      </c>
      <c r="B8" s="25" t="s">
        <v>218</v>
      </c>
      <c r="C8" s="28" t="s">
        <v>219</v>
      </c>
      <c r="D8" s="105" t="s">
        <v>220</v>
      </c>
      <c r="E8" s="255">
        <f>908526*6500</f>
        <v>5905419000</v>
      </c>
      <c r="F8" s="66"/>
      <c r="G8" s="66"/>
      <c r="H8" s="66"/>
      <c r="I8" s="66"/>
      <c r="J8" s="66"/>
      <c r="K8" s="66"/>
      <c r="L8" s="66"/>
      <c r="M8" s="66"/>
      <c r="N8" s="66"/>
      <c r="O8" s="66"/>
      <c r="P8" s="66"/>
      <c r="Q8" s="66"/>
      <c r="R8" s="66"/>
      <c r="S8" s="66"/>
      <c r="T8" s="66"/>
      <c r="U8" s="66"/>
    </row>
    <row r="9" spans="1:21" ht="101.25" x14ac:dyDescent="0.25">
      <c r="A9" s="86" t="s">
        <v>221</v>
      </c>
      <c r="B9" s="26" t="s">
        <v>222</v>
      </c>
      <c r="C9" s="28" t="s">
        <v>223</v>
      </c>
      <c r="D9" s="105" t="s">
        <v>224</v>
      </c>
      <c r="E9" s="255"/>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225</v>
      </c>
      <c r="C12" s="108" t="s">
        <v>226</v>
      </c>
      <c r="D12" s="108" t="s">
        <v>227</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228</v>
      </c>
      <c r="C13" s="108" t="s">
        <v>229</v>
      </c>
      <c r="D13" s="108" t="s">
        <v>230</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231</v>
      </c>
      <c r="D14" s="108" t="s">
        <v>154</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232</v>
      </c>
      <c r="D15" s="108" t="s">
        <v>233</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234</v>
      </c>
      <c r="D16" s="108" t="s">
        <v>235</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181</v>
      </c>
    </row>
    <row r="209" spans="1:8" x14ac:dyDescent="0.25">
      <c r="A209" s="66"/>
      <c r="B209" s="15"/>
      <c r="C209" s="15"/>
      <c r="D209" s="15"/>
      <c r="F209" s="114" t="s">
        <v>217</v>
      </c>
    </row>
    <row r="210" spans="1:8" ht="20.25" x14ac:dyDescent="0.25">
      <c r="A210" s="66"/>
      <c r="B210" s="16" t="s">
        <v>236</v>
      </c>
      <c r="C210" s="16" t="s">
        <v>237</v>
      </c>
      <c r="D210" s="19" t="s">
        <v>236</v>
      </c>
      <c r="E210" s="19" t="s">
        <v>237</v>
      </c>
      <c r="F210" s="114" t="s">
        <v>238</v>
      </c>
    </row>
    <row r="211" spans="1:8" ht="21" x14ac:dyDescent="0.35">
      <c r="A211" s="66"/>
      <c r="B211" s="17" t="s">
        <v>239</v>
      </c>
      <c r="C211" s="117" t="s">
        <v>240</v>
      </c>
      <c r="D211" s="116" t="s">
        <v>239</v>
      </c>
      <c r="F211" s="114" t="str">
        <f>IF(NOT(ISBLANK(D211)),D211,IF(NOT(ISBLANK(E211)),"     "&amp;E211,FALSE))</f>
        <v>Afectación Económica o presupuestal</v>
      </c>
      <c r="G211" t="s">
        <v>239</v>
      </c>
      <c r="H211" t="str">
        <f>IF(NOT(ISERROR(MATCH(G211,_xlfn.ANCHORARRAY(B222),0))),F224&amp;"Por favor no seleccionar los criterios de impacto",G211)</f>
        <v>❌Por favor no seleccionar los criterios de impacto</v>
      </c>
    </row>
    <row r="212" spans="1:8" ht="21" x14ac:dyDescent="0.35">
      <c r="A212" s="66"/>
      <c r="B212" s="17" t="s">
        <v>239</v>
      </c>
      <c r="C212" s="117" t="s">
        <v>212</v>
      </c>
      <c r="E212" t="s">
        <v>240</v>
      </c>
      <c r="F212" s="114" t="str">
        <f t="shared" ref="F212:F222" si="0">IF(NOT(ISBLANK(D212)),D212,IF(NOT(ISBLANK(E212)),"     "&amp;E212,FALSE))</f>
        <v xml:space="preserve">     Afectación menor a 130 SMLMV .</v>
      </c>
    </row>
    <row r="213" spans="1:8" ht="21" x14ac:dyDescent="0.35">
      <c r="A213" s="66"/>
      <c r="B213" s="17" t="s">
        <v>239</v>
      </c>
      <c r="C213" s="117" t="s">
        <v>215</v>
      </c>
      <c r="E213" t="s">
        <v>212</v>
      </c>
      <c r="F213" s="114" t="str">
        <f t="shared" si="0"/>
        <v xml:space="preserve">     Entre 130 y 650 SMLMV </v>
      </c>
    </row>
    <row r="214" spans="1:8" ht="21" x14ac:dyDescent="0.35">
      <c r="A214" s="66"/>
      <c r="B214" s="17" t="s">
        <v>239</v>
      </c>
      <c r="C214" s="117" t="s">
        <v>219</v>
      </c>
      <c r="E214" t="s">
        <v>215</v>
      </c>
      <c r="F214" s="114" t="str">
        <f t="shared" si="0"/>
        <v xml:space="preserve">     Entre 650 y 1300 SMLMV </v>
      </c>
    </row>
    <row r="215" spans="1:8" ht="21" x14ac:dyDescent="0.35">
      <c r="A215" s="66"/>
      <c r="B215" s="17" t="s">
        <v>239</v>
      </c>
      <c r="C215" s="117" t="s">
        <v>223</v>
      </c>
      <c r="E215" t="s">
        <v>219</v>
      </c>
      <c r="F215" s="114" t="str">
        <f t="shared" si="0"/>
        <v xml:space="preserve">     Entre 1300 y 6500 SMLMV </v>
      </c>
    </row>
    <row r="216" spans="1:8" ht="21" x14ac:dyDescent="0.35">
      <c r="A216" s="66"/>
      <c r="B216" s="17" t="s">
        <v>205</v>
      </c>
      <c r="C216" s="117" t="s">
        <v>209</v>
      </c>
      <c r="E216" t="s">
        <v>223</v>
      </c>
      <c r="F216" s="114" t="str">
        <f t="shared" si="0"/>
        <v xml:space="preserve">     Mayor a 6500 SMLMV </v>
      </c>
    </row>
    <row r="217" spans="1:8" ht="63" x14ac:dyDescent="0.35">
      <c r="A217" s="66"/>
      <c r="B217" s="17" t="s">
        <v>205</v>
      </c>
      <c r="C217" s="117" t="s">
        <v>213</v>
      </c>
      <c r="D217" s="116" t="s">
        <v>205</v>
      </c>
      <c r="F217" s="114" t="str">
        <f t="shared" si="0"/>
        <v>Pérdida Reputacional</v>
      </c>
    </row>
    <row r="218" spans="1:8" ht="42" x14ac:dyDescent="0.35">
      <c r="A218" s="66"/>
      <c r="B218" s="17" t="s">
        <v>205</v>
      </c>
      <c r="C218" s="117" t="s">
        <v>216</v>
      </c>
      <c r="D218" s="116"/>
      <c r="E218" s="118" t="s">
        <v>209</v>
      </c>
      <c r="F218" s="114" t="str">
        <f t="shared" si="0"/>
        <v xml:space="preserve">     El riesgo afecta la imagen de alguna área de la organización</v>
      </c>
    </row>
    <row r="219" spans="1:8" ht="63" x14ac:dyDescent="0.35">
      <c r="A219" s="66"/>
      <c r="B219" s="17" t="s">
        <v>205</v>
      </c>
      <c r="C219" s="117" t="s">
        <v>241</v>
      </c>
      <c r="D219" s="116"/>
      <c r="E219" s="118" t="s">
        <v>213</v>
      </c>
      <c r="F219" s="114" t="str">
        <f t="shared" si="0"/>
        <v xml:space="preserve">     El riesgo afecta la imagen de la entidad internamente, de conocimiento general, nivel interno, de junta dircetiva y accionistas y/o de provedores</v>
      </c>
    </row>
    <row r="220" spans="1:8" ht="45" x14ac:dyDescent="0.35">
      <c r="A220" s="66"/>
      <c r="B220" s="17" t="s">
        <v>205</v>
      </c>
      <c r="C220" s="117" t="s">
        <v>224</v>
      </c>
      <c r="D220" s="116"/>
      <c r="E220" s="118" t="s">
        <v>216</v>
      </c>
      <c r="F220" s="114" t="str">
        <f t="shared" si="0"/>
        <v xml:space="preserve">     El riesgo afecta la imagen de la entidad con algunos usuarios de relevancia frente al logro de los objetivos</v>
      </c>
    </row>
    <row r="221" spans="1:8" ht="45" x14ac:dyDescent="0.25">
      <c r="A221" s="66"/>
      <c r="B221" s="18"/>
      <c r="C221" s="18"/>
      <c r="D221" s="116"/>
      <c r="E221" s="118" t="s">
        <v>241</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224</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242</v>
      </c>
    </row>
    <row r="225" spans="2:6" x14ac:dyDescent="0.25">
      <c r="B225" s="14"/>
      <c r="C225" s="14"/>
      <c r="F225" s="115" t="s">
        <v>243</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6"/>
  <sheetViews>
    <sheetView zoomScaleNormal="100" zoomScaleSheetLayoutView="90" workbookViewId="0">
      <selection activeCell="E5" sqref="E5:F23"/>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53" t="s">
        <v>244</v>
      </c>
      <c r="C2" s="554"/>
      <c r="D2" s="554"/>
      <c r="E2" s="554"/>
      <c r="F2" s="555"/>
    </row>
    <row r="3" spans="2:6" ht="31.9" customHeight="1" x14ac:dyDescent="0.25">
      <c r="B3" s="556" t="s">
        <v>245</v>
      </c>
      <c r="C3" s="558" t="s">
        <v>246</v>
      </c>
      <c r="D3" s="558"/>
      <c r="E3" s="558" t="s">
        <v>247</v>
      </c>
      <c r="F3" s="560"/>
    </row>
    <row r="4" spans="2:6" ht="28.15" customHeight="1" thickBot="1" x14ac:dyDescent="0.3">
      <c r="B4" s="557"/>
      <c r="C4" s="559"/>
      <c r="D4" s="559"/>
      <c r="E4" s="158" t="s">
        <v>248</v>
      </c>
      <c r="F4" s="159" t="s">
        <v>249</v>
      </c>
    </row>
    <row r="5" spans="2:6" ht="23.25" customHeight="1" x14ac:dyDescent="0.25">
      <c r="B5" s="149">
        <v>1</v>
      </c>
      <c r="C5" s="561" t="s">
        <v>250</v>
      </c>
      <c r="D5" s="561"/>
      <c r="E5" s="183"/>
      <c r="F5" s="184"/>
    </row>
    <row r="6" spans="2:6" ht="33" customHeight="1" x14ac:dyDescent="0.25">
      <c r="B6" s="150">
        <v>2</v>
      </c>
      <c r="C6" s="552" t="s">
        <v>251</v>
      </c>
      <c r="D6" s="552"/>
      <c r="E6" s="185"/>
      <c r="F6" s="186"/>
    </row>
    <row r="7" spans="2:6" ht="39" customHeight="1" x14ac:dyDescent="0.25">
      <c r="B7" s="150">
        <v>3</v>
      </c>
      <c r="C7" s="552" t="s">
        <v>252</v>
      </c>
      <c r="D7" s="552"/>
      <c r="E7" s="185"/>
      <c r="F7" s="186"/>
    </row>
    <row r="8" spans="2:6" ht="24.75" customHeight="1" x14ac:dyDescent="0.25">
      <c r="B8" s="150">
        <v>4</v>
      </c>
      <c r="C8" s="552" t="s">
        <v>253</v>
      </c>
      <c r="D8" s="552"/>
      <c r="E8" s="185"/>
      <c r="F8" s="186"/>
    </row>
    <row r="9" spans="2:6" ht="23.25" customHeight="1" x14ac:dyDescent="0.25">
      <c r="B9" s="150">
        <v>5</v>
      </c>
      <c r="C9" s="552" t="s">
        <v>254</v>
      </c>
      <c r="D9" s="552"/>
      <c r="E9" s="185"/>
      <c r="F9" s="186"/>
    </row>
    <row r="10" spans="2:6" ht="23.25" customHeight="1" x14ac:dyDescent="0.25">
      <c r="B10" s="150">
        <v>6</v>
      </c>
      <c r="C10" s="552" t="s">
        <v>255</v>
      </c>
      <c r="D10" s="552"/>
      <c r="E10" s="185"/>
      <c r="F10" s="186"/>
    </row>
    <row r="11" spans="2:6" ht="23.25" customHeight="1" x14ac:dyDescent="0.25">
      <c r="B11" s="150">
        <v>7</v>
      </c>
      <c r="C11" s="552" t="s">
        <v>256</v>
      </c>
      <c r="D11" s="552"/>
      <c r="E11" s="185"/>
      <c r="F11" s="186"/>
    </row>
    <row r="12" spans="2:6" ht="25.5" customHeight="1" x14ac:dyDescent="0.25">
      <c r="B12" s="150">
        <v>8</v>
      </c>
      <c r="C12" s="552" t="s">
        <v>257</v>
      </c>
      <c r="D12" s="552"/>
      <c r="E12" s="151"/>
      <c r="F12" s="152"/>
    </row>
    <row r="13" spans="2:6" ht="23.25" customHeight="1" x14ac:dyDescent="0.25">
      <c r="B13" s="150">
        <v>9</v>
      </c>
      <c r="C13" s="552" t="s">
        <v>258</v>
      </c>
      <c r="D13" s="552"/>
      <c r="E13" s="151"/>
      <c r="F13" s="152"/>
    </row>
    <row r="14" spans="2:6" ht="23.25" customHeight="1" x14ac:dyDescent="0.25">
      <c r="B14" s="150">
        <v>10</v>
      </c>
      <c r="C14" s="552" t="s">
        <v>259</v>
      </c>
      <c r="D14" s="552"/>
      <c r="E14" s="151"/>
      <c r="F14" s="152"/>
    </row>
    <row r="15" spans="2:6" ht="23.25" customHeight="1" x14ac:dyDescent="0.25">
      <c r="B15" s="150">
        <v>11</v>
      </c>
      <c r="C15" s="552" t="s">
        <v>260</v>
      </c>
      <c r="D15" s="552"/>
      <c r="E15" s="151"/>
      <c r="F15" s="152"/>
    </row>
    <row r="16" spans="2:6" ht="23.25" customHeight="1" x14ac:dyDescent="0.25">
      <c r="B16" s="150">
        <v>12</v>
      </c>
      <c r="C16" s="552" t="s">
        <v>261</v>
      </c>
      <c r="D16" s="552"/>
      <c r="E16" s="151"/>
      <c r="F16" s="152"/>
    </row>
    <row r="17" spans="2:6" ht="23.25" customHeight="1" x14ac:dyDescent="0.25">
      <c r="B17" s="150">
        <v>13</v>
      </c>
      <c r="C17" s="552" t="s">
        <v>262</v>
      </c>
      <c r="D17" s="552"/>
      <c r="E17" s="151"/>
      <c r="F17" s="152"/>
    </row>
    <row r="18" spans="2:6" ht="23.25" customHeight="1" x14ac:dyDescent="0.25">
      <c r="B18" s="150">
        <v>14</v>
      </c>
      <c r="C18" s="552" t="s">
        <v>263</v>
      </c>
      <c r="D18" s="552"/>
      <c r="E18" s="151"/>
      <c r="F18" s="152"/>
    </row>
    <row r="19" spans="2:6" ht="23.25" customHeight="1" x14ac:dyDescent="0.25">
      <c r="B19" s="150">
        <v>15</v>
      </c>
      <c r="C19" s="552" t="s">
        <v>264</v>
      </c>
      <c r="D19" s="552"/>
      <c r="E19" s="151"/>
      <c r="F19" s="152"/>
    </row>
    <row r="20" spans="2:6" ht="23.25" customHeight="1" x14ac:dyDescent="0.25">
      <c r="B20" s="150">
        <v>16</v>
      </c>
      <c r="C20" s="552" t="s">
        <v>265</v>
      </c>
      <c r="D20" s="552"/>
      <c r="E20" s="151"/>
      <c r="F20" s="152"/>
    </row>
    <row r="21" spans="2:6" ht="23.25" customHeight="1" x14ac:dyDescent="0.25">
      <c r="B21" s="150">
        <v>17</v>
      </c>
      <c r="C21" s="552" t="s">
        <v>266</v>
      </c>
      <c r="D21" s="552"/>
      <c r="E21" s="151"/>
      <c r="F21" s="152"/>
    </row>
    <row r="22" spans="2:6" ht="23.25" customHeight="1" x14ac:dyDescent="0.25">
      <c r="B22" s="150">
        <v>18</v>
      </c>
      <c r="C22" s="566" t="s">
        <v>267</v>
      </c>
      <c r="D22" s="566"/>
      <c r="E22" s="151"/>
      <c r="F22" s="152"/>
    </row>
    <row r="23" spans="2:6" ht="23.25" customHeight="1" thickBot="1" x14ac:dyDescent="0.3">
      <c r="B23" s="150">
        <v>19</v>
      </c>
      <c r="C23" s="552" t="s">
        <v>268</v>
      </c>
      <c r="D23" s="552"/>
      <c r="E23" s="151"/>
      <c r="F23" s="152"/>
    </row>
    <row r="24" spans="2:6" ht="15.75" customHeight="1" thickBot="1" x14ac:dyDescent="0.3">
      <c r="B24" s="567" t="s">
        <v>269</v>
      </c>
      <c r="C24" s="562"/>
      <c r="D24" s="562"/>
      <c r="E24" s="562">
        <f>COUNTIF(E5:E23,"X")</f>
        <v>0</v>
      </c>
      <c r="F24" s="563"/>
    </row>
    <row r="25" spans="2:6" ht="45.75" customHeight="1" x14ac:dyDescent="0.25">
      <c r="B25" s="564" t="s">
        <v>270</v>
      </c>
      <c r="C25" s="564"/>
      <c r="D25" s="564"/>
      <c r="E25" s="564"/>
      <c r="F25" s="564"/>
    </row>
    <row r="26" spans="2:6" ht="9.75" customHeight="1" x14ac:dyDescent="0.25">
      <c r="B26" s="565"/>
      <c r="C26" s="565"/>
      <c r="D26" s="565"/>
      <c r="E26" s="565"/>
      <c r="F26" s="565"/>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5E4EF-2809-49C9-8DCF-B2E4E5208101}">
  <ds:schemaRefs>
    <ds:schemaRef ds:uri="http://schemas.microsoft.com/office/2006/documentManagement/types"/>
    <ds:schemaRef ds:uri="64d77176-54eb-4753-be67-9b2e2fa23e0f"/>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schemas.microsoft.com/office/infopath/2007/PartnerControls"/>
    <ds:schemaRef ds:uri="70eaac67-e064-433b-ba54-6f78c0f1ecb1"/>
    <ds:schemaRef ds:uri="http://schemas.microsoft.com/sharepoint/v3"/>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Usuario</cp:lastModifiedBy>
  <cp:revision/>
  <dcterms:created xsi:type="dcterms:W3CDTF">2020-03-24T23:12:47Z</dcterms:created>
  <dcterms:modified xsi:type="dcterms:W3CDTF">2022-09-02T13:50:15Z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