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E:\UMV\Riesgos 2023\"/>
    </mc:Choice>
  </mc:AlternateContent>
  <xr:revisionPtr revIDLastSave="0" documentId="13_ncr:1_{AAAEF913-7A34-4144-852B-A921F154C896}" xr6:coauthVersionLast="47" xr6:coauthVersionMax="47" xr10:uidLastSave="{00000000-0000-0000-0000-000000000000}"/>
  <bookViews>
    <workbookView xWindow="-120" yWindow="-120" windowWidth="29040" windowHeight="15840" tabRatio="933" firstSheet="3" activeTab="8" xr2:uid="{00000000-000D-0000-FFFF-FFFF00000000}"/>
  </bookViews>
  <sheets>
    <sheet name="Intructivo" sheetId="20" r:id="rId1"/>
    <sheet name="Revisión DOFA" sheetId="21" state="hidden" r:id="rId2"/>
    <sheet name="Listas" sheetId="16" state="hidden" r:id="rId3"/>
    <sheet name="Riesgos de Gestión" sheetId="1" r:id="rId4"/>
    <sheet name="Matriz Calor Inherente" sheetId="18" r:id="rId5"/>
    <sheet name="Matriz Calor Residual" sheetId="19" r:id="rId6"/>
    <sheet name="Riesgos de Corrupción" sheetId="31" r:id="rId7"/>
    <sheet name="Impacto Corrupción " sheetId="22" r:id="rId8"/>
    <sheet name="Riesgos de Seguridad" sheetId="32" r:id="rId9"/>
    <sheet name="Tabla probabilidad" sheetId="12" r:id="rId10"/>
    <sheet name="Tabla Impacto" sheetId="13" r:id="rId11"/>
    <sheet name="Tipo de riesgos" sheetId="23" r:id="rId12"/>
    <sheet name="Amenazas" sheetId="28" r:id="rId13"/>
    <sheet name="Ejemplos de riesgos" sheetId="26" r:id="rId14"/>
    <sheet name="Tabla Valoración controles" sheetId="15" r:id="rId15"/>
    <sheet name="Hoja1" sheetId="11" state="hidden" r:id="rId16"/>
  </sheets>
  <externalReferences>
    <externalReference r:id="rId17"/>
    <externalReference r:id="rId18"/>
  </externalReferences>
  <definedNames>
    <definedName name="_xlnm.Print_Area" localSheetId="7">'Impacto Corrupción '!$A$1:$G$26</definedName>
    <definedName name="_xlnm.Print_Area" localSheetId="6">'Riesgos de Corrupción'!$A$1:$AR$66</definedName>
    <definedName name="_xlnm.Print_Area" localSheetId="3">'Riesgos de Gestión'!$A$1:$AR$76</definedName>
    <definedName name="_xlnm.Print_Area" localSheetId="8">'Riesgos de Seguridad'!$A$1:$AV$24</definedName>
    <definedName name="clasificaciónriesgos">#REF!</definedName>
    <definedName name="códigos">#REF!</definedName>
    <definedName name="Direccionamiento_Estratégico">#REF!</definedName>
    <definedName name="económicos">#REF!</definedName>
    <definedName name="externo">#REF!</definedName>
    <definedName name="externos2">#REF!</definedName>
    <definedName name="factores">#REF!</definedName>
    <definedName name="impacto" localSheetId="7">#REF!</definedName>
    <definedName name="impactoco">#REF!</definedName>
    <definedName name="infraestructura">#REF!</definedName>
    <definedName name="interno">#REF!</definedName>
    <definedName name="macroprocesos">#REF!</definedName>
    <definedName name="medio_ambientales">#REF!</definedName>
    <definedName name="opciondelriesgo" localSheetId="7">[1]FORMULAS!$K$4:$K$7</definedName>
    <definedName name="opciondelriesgo">[2]FORMULAS!$K$4:$K$7</definedName>
    <definedName name="personal">#REF!</definedName>
    <definedName name="políticos">#REF!</definedName>
    <definedName name="probabilidad" localSheetId="7">#REF!</definedName>
    <definedName name="probabilidad">[2]FORMULAS!$G$4:$G$8</definedName>
    <definedName name="proceso">#REF!</definedName>
    <definedName name="procesos" localSheetId="7">#REF!</definedName>
    <definedName name="procesos">[2]FORMULAS!$B$4:$B$21</definedName>
    <definedName name="sociales">#REF!</definedName>
    <definedName name="tecnología">#REF!</definedName>
    <definedName name="tecnológicos">#REF!</definedName>
    <definedName name="tipo_de_amenaza" localSheetId="7">[1]FORMULAS!$E$4:$E$11</definedName>
    <definedName name="tipo_de_amenaza">[2]FORMULAS!$E$4:$E$11</definedName>
    <definedName name="tipo_de_riesgos" localSheetId="7">[1]FORMULAS!$C$4:$C$6</definedName>
    <definedName name="tipo_de_riesgos">[2]FORMULAS!$C$4:$C$6</definedName>
    <definedName name="_xlnm.Print_Titles" localSheetId="6">'Riesgos de Corrupción'!$1:$8</definedName>
    <definedName name="_xlnm.Print_Titles" localSheetId="3">'Riesgos de Gestión'!$1:$8</definedName>
    <definedName name="_xlnm.Print_Titles" localSheetId="8">'Riesgos de Seguridad'!$1:$8</definedName>
  </definedNames>
  <calcPr calcId="191028"/>
  <pivotCaches>
    <pivotCache cacheId="18" r:id="rId1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56" i="32" l="1"/>
  <c r="AE55" i="32"/>
  <c r="AE72" i="32" l="1"/>
  <c r="AB72" i="32"/>
  <c r="V72" i="32"/>
  <c r="AE71" i="32"/>
  <c r="AB71" i="32"/>
  <c r="AM72" i="32" s="1"/>
  <c r="AL72" i="32" s="1"/>
  <c r="V71" i="32"/>
  <c r="AE70" i="32"/>
  <c r="AB70" i="32"/>
  <c r="AM71" i="32" s="1"/>
  <c r="AL71" i="32" s="1"/>
  <c r="V70" i="32"/>
  <c r="AE69" i="32"/>
  <c r="AB69" i="32"/>
  <c r="V69" i="32"/>
  <c r="AE68" i="32"/>
  <c r="AB68" i="32"/>
  <c r="V68" i="32"/>
  <c r="AE67" i="32"/>
  <c r="AB67" i="32"/>
  <c r="V67" i="32"/>
  <c r="W67" i="32" s="1"/>
  <c r="Y67" i="32" s="1"/>
  <c r="T67" i="32"/>
  <c r="S67" i="32"/>
  <c r="AE66" i="32"/>
  <c r="AB66" i="32"/>
  <c r="V66" i="32"/>
  <c r="AE65" i="32"/>
  <c r="AB65" i="32"/>
  <c r="V65" i="32"/>
  <c r="AE64" i="32"/>
  <c r="AB64" i="32"/>
  <c r="AI65" i="32" s="1"/>
  <c r="V64" i="32"/>
  <c r="AE63" i="32"/>
  <c r="AB63" i="32"/>
  <c r="V63" i="32"/>
  <c r="AE62" i="32"/>
  <c r="AB62" i="32"/>
  <c r="AI63" i="32" s="1"/>
  <c r="V62" i="32"/>
  <c r="AE61" i="32"/>
  <c r="AB61" i="32"/>
  <c r="V61" i="32"/>
  <c r="W61" i="32" s="1"/>
  <c r="X61" i="32" s="1"/>
  <c r="S61" i="32"/>
  <c r="AE60" i="32"/>
  <c r="AB60" i="32"/>
  <c r="V60" i="32"/>
  <c r="AB59" i="32"/>
  <c r="V59" i="32"/>
  <c r="AB58" i="32"/>
  <c r="V58" i="32"/>
  <c r="AB57" i="32"/>
  <c r="V57" i="32"/>
  <c r="AB56" i="32"/>
  <c r="V56" i="32"/>
  <c r="AB55" i="32"/>
  <c r="V55" i="32"/>
  <c r="W55" i="32" s="1"/>
  <c r="X55" i="32" s="1"/>
  <c r="S55" i="32"/>
  <c r="AI54" i="32"/>
  <c r="AK54" i="32" s="1"/>
  <c r="AE54" i="32"/>
  <c r="AB54" i="32"/>
  <c r="V54" i="32"/>
  <c r="AE53" i="32"/>
  <c r="AB53" i="32"/>
  <c r="AM54" i="32" s="1"/>
  <c r="AL54" i="32" s="1"/>
  <c r="V53" i="32"/>
  <c r="AE52" i="32"/>
  <c r="AB52" i="32"/>
  <c r="AI53" i="32" s="1"/>
  <c r="AK53" i="32" s="1"/>
  <c r="V52" i="32"/>
  <c r="AE51" i="32"/>
  <c r="AB51" i="32"/>
  <c r="AM52" i="32" s="1"/>
  <c r="AL52" i="32" s="1"/>
  <c r="V51" i="32"/>
  <c r="AE50" i="32"/>
  <c r="AB50" i="32"/>
  <c r="V50" i="32"/>
  <c r="AE49" i="32"/>
  <c r="AB49" i="32"/>
  <c r="V49" i="32"/>
  <c r="W49" i="32" s="1"/>
  <c r="S49" i="32"/>
  <c r="T49" i="32" s="1"/>
  <c r="AE48" i="32"/>
  <c r="AB48" i="32"/>
  <c r="V48" i="32"/>
  <c r="AE47" i="32"/>
  <c r="AB47" i="32"/>
  <c r="V47" i="32"/>
  <c r="AE46" i="32"/>
  <c r="AB46" i="32"/>
  <c r="V46" i="32"/>
  <c r="AE45" i="32"/>
  <c r="AB45" i="32"/>
  <c r="V45" i="32"/>
  <c r="AE44" i="32"/>
  <c r="AB44" i="32"/>
  <c r="V44" i="32"/>
  <c r="AE43" i="32"/>
  <c r="AB43" i="32"/>
  <c r="V43" i="32"/>
  <c r="W43" i="32" s="1"/>
  <c r="X43" i="32" s="1"/>
  <c r="S43" i="32"/>
  <c r="AE42" i="32"/>
  <c r="AB42" i="32"/>
  <c r="V42" i="32"/>
  <c r="AE41" i="32"/>
  <c r="AB41" i="32"/>
  <c r="V41" i="32"/>
  <c r="AE40" i="32"/>
  <c r="AB40" i="32"/>
  <c r="V40" i="32"/>
  <c r="AE39" i="32"/>
  <c r="AB39" i="32"/>
  <c r="V39" i="32"/>
  <c r="AE38" i="32"/>
  <c r="AB38" i="32"/>
  <c r="AI39" i="32" s="1"/>
  <c r="AK39" i="32" s="1"/>
  <c r="V38" i="32"/>
  <c r="AE37" i="32"/>
  <c r="AB37" i="32"/>
  <c r="V37" i="32"/>
  <c r="W37" i="32" s="1"/>
  <c r="X37" i="32" s="1"/>
  <c r="S37" i="32"/>
  <c r="T37" i="32" s="1"/>
  <c r="AE36" i="32"/>
  <c r="AB36" i="32"/>
  <c r="V36" i="32"/>
  <c r="AE35" i="32"/>
  <c r="AB35" i="32"/>
  <c r="AI36" i="32" s="1"/>
  <c r="AK36" i="32" s="1"/>
  <c r="V35" i="32"/>
  <c r="AE34" i="32"/>
  <c r="AB34" i="32"/>
  <c r="AI35" i="32" s="1"/>
  <c r="AK35" i="32" s="1"/>
  <c r="V34" i="32"/>
  <c r="AE33" i="32"/>
  <c r="AB33" i="32"/>
  <c r="V33" i="32"/>
  <c r="AE32" i="32"/>
  <c r="AB32" i="32"/>
  <c r="AI33" i="32" s="1"/>
  <c r="V32" i="32"/>
  <c r="AE31" i="32"/>
  <c r="AB31" i="32"/>
  <c r="V31" i="32"/>
  <c r="W31" i="32" s="1"/>
  <c r="X31" i="32" s="1"/>
  <c r="S31" i="32"/>
  <c r="AE30" i="32"/>
  <c r="AB30" i="32"/>
  <c r="V30" i="32"/>
  <c r="AE29" i="32"/>
  <c r="AB29" i="32"/>
  <c r="V29" i="32"/>
  <c r="AE28" i="32"/>
  <c r="AB28" i="32"/>
  <c r="V28" i="32"/>
  <c r="AE27" i="32"/>
  <c r="AB27" i="32"/>
  <c r="AM28" i="32" s="1"/>
  <c r="AL28" i="32" s="1"/>
  <c r="V27" i="32"/>
  <c r="AE26" i="32"/>
  <c r="AB26" i="32"/>
  <c r="AM27" i="32" s="1"/>
  <c r="AL27" i="32" s="1"/>
  <c r="V26" i="32"/>
  <c r="AE25" i="32"/>
  <c r="AB25" i="32"/>
  <c r="V25" i="32"/>
  <c r="W25" i="32" s="1"/>
  <c r="X25" i="32" s="1"/>
  <c r="S25" i="32"/>
  <c r="AE24" i="32"/>
  <c r="AB24" i="32"/>
  <c r="V24" i="32"/>
  <c r="AE23" i="32"/>
  <c r="AB23" i="32"/>
  <c r="V23" i="32"/>
  <c r="AE22" i="32"/>
  <c r="AB22" i="32"/>
  <c r="V22" i="32"/>
  <c r="AE21" i="32"/>
  <c r="AB21" i="32"/>
  <c r="AM22" i="32" s="1"/>
  <c r="AL22" i="32" s="1"/>
  <c r="V21" i="32"/>
  <c r="AE20" i="32"/>
  <c r="AB20" i="32"/>
  <c r="V20" i="32"/>
  <c r="AE19" i="32"/>
  <c r="AB19" i="32"/>
  <c r="V19" i="32"/>
  <c r="W19" i="32" s="1"/>
  <c r="S19" i="32"/>
  <c r="T19" i="32" s="1"/>
  <c r="AE18" i="32"/>
  <c r="AB18" i="32"/>
  <c r="V18" i="32"/>
  <c r="AE17" i="32"/>
  <c r="AB17" i="32"/>
  <c r="AM18" i="32" s="1"/>
  <c r="AL18" i="32" s="1"/>
  <c r="V17" i="32"/>
  <c r="AE16" i="32"/>
  <c r="AB16" i="32"/>
  <c r="AM17" i="32" s="1"/>
  <c r="AL17" i="32" s="1"/>
  <c r="V16" i="32"/>
  <c r="AE15" i="32"/>
  <c r="AB15" i="32"/>
  <c r="V15" i="32"/>
  <c r="AE14" i="32"/>
  <c r="AB14" i="32"/>
  <c r="AM15" i="32" s="1"/>
  <c r="AL15" i="32" s="1"/>
  <c r="V14" i="32"/>
  <c r="AE13" i="32"/>
  <c r="AB13" i="32"/>
  <c r="V13" i="32"/>
  <c r="W13" i="32" s="1"/>
  <c r="X13" i="32" s="1"/>
  <c r="S13" i="32"/>
  <c r="AA72" i="31"/>
  <c r="X72" i="31"/>
  <c r="R72" i="31"/>
  <c r="AA71" i="31"/>
  <c r="X71" i="31"/>
  <c r="AE72" i="31" s="1"/>
  <c r="R71" i="31"/>
  <c r="AA70" i="31"/>
  <c r="X70" i="31"/>
  <c r="R70" i="31"/>
  <c r="AE69" i="31"/>
  <c r="AG69" i="31" s="1"/>
  <c r="AA69" i="31"/>
  <c r="X69" i="31"/>
  <c r="AI70" i="31" s="1"/>
  <c r="AH70" i="31" s="1"/>
  <c r="R69" i="31"/>
  <c r="AE68" i="31"/>
  <c r="AF68" i="31" s="1"/>
  <c r="AA68" i="31"/>
  <c r="X68" i="31"/>
  <c r="AI69" i="31" s="1"/>
  <c r="AH69" i="31" s="1"/>
  <c r="R68" i="31"/>
  <c r="AI67" i="31"/>
  <c r="AH67" i="31" s="1"/>
  <c r="AG67" i="31"/>
  <c r="AE67" i="31"/>
  <c r="AF67" i="31" s="1"/>
  <c r="AA67" i="31"/>
  <c r="X67" i="31"/>
  <c r="R67" i="31"/>
  <c r="S67" i="31" s="1"/>
  <c r="T67" i="31" s="1"/>
  <c r="O67" i="31"/>
  <c r="P67" i="31" s="1"/>
  <c r="AE66" i="31"/>
  <c r="AG66" i="31" s="1"/>
  <c r="AA66" i="31"/>
  <c r="X66" i="31"/>
  <c r="R66" i="31"/>
  <c r="AA65" i="31"/>
  <c r="X65" i="31"/>
  <c r="R65" i="31"/>
  <c r="AI64" i="31"/>
  <c r="AH64" i="31" s="1"/>
  <c r="AA64" i="31"/>
  <c r="X64" i="31"/>
  <c r="AE65" i="31" s="1"/>
  <c r="AF65" i="31" s="1"/>
  <c r="R64" i="31"/>
  <c r="AA63" i="31"/>
  <c r="X63" i="31"/>
  <c r="AE64" i="31" s="1"/>
  <c r="R63" i="31"/>
  <c r="AA62" i="31"/>
  <c r="X62" i="31"/>
  <c r="AI63" i="31" s="1"/>
  <c r="AH63" i="31" s="1"/>
  <c r="R62" i="31"/>
  <c r="AA61" i="31"/>
  <c r="X61" i="31"/>
  <c r="AE62" i="31" s="1"/>
  <c r="R61" i="31"/>
  <c r="S61" i="31" s="1"/>
  <c r="O61" i="31"/>
  <c r="P61" i="31" s="1"/>
  <c r="AA60" i="31"/>
  <c r="X60" i="31"/>
  <c r="R60" i="31"/>
  <c r="AA59" i="31"/>
  <c r="X59" i="31"/>
  <c r="AI60" i="31" s="1"/>
  <c r="AH60" i="31" s="1"/>
  <c r="R59" i="31"/>
  <c r="AI58" i="31"/>
  <c r="AH58" i="31" s="1"/>
  <c r="AA58" i="31"/>
  <c r="X58" i="31"/>
  <c r="R58" i="31"/>
  <c r="AA57" i="31"/>
  <c r="X57" i="31"/>
  <c r="AE58" i="31" s="1"/>
  <c r="R57" i="31"/>
  <c r="AA56" i="31"/>
  <c r="X56" i="31"/>
  <c r="AI57" i="31" s="1"/>
  <c r="AH57" i="31" s="1"/>
  <c r="R56" i="31"/>
  <c r="AA55" i="31"/>
  <c r="X55" i="31"/>
  <c r="R55" i="31"/>
  <c r="S55" i="31" s="1"/>
  <c r="T55" i="31" s="1"/>
  <c r="O55" i="31"/>
  <c r="AA54" i="31"/>
  <c r="X54" i="31"/>
  <c r="R54" i="31"/>
  <c r="AA53" i="31"/>
  <c r="X53" i="31"/>
  <c r="R53" i="31"/>
  <c r="AE52" i="31"/>
  <c r="AG52" i="31" s="1"/>
  <c r="AA52" i="31"/>
  <c r="X52" i="31"/>
  <c r="R52" i="31"/>
  <c r="AA51" i="31"/>
  <c r="X51" i="31"/>
  <c r="AI52" i="31" s="1"/>
  <c r="AH52" i="31" s="1"/>
  <c r="R51" i="31"/>
  <c r="AA50" i="31"/>
  <c r="X50" i="31"/>
  <c r="AE51" i="31" s="1"/>
  <c r="AF51" i="31" s="1"/>
  <c r="R50" i="31"/>
  <c r="AE49" i="31"/>
  <c r="AG49" i="31" s="1"/>
  <c r="AA49" i="31"/>
  <c r="X49" i="31"/>
  <c r="AI49" i="31" s="1"/>
  <c r="AH49" i="31" s="1"/>
  <c r="R49" i="31"/>
  <c r="S49" i="31" s="1"/>
  <c r="T49" i="31" s="1"/>
  <c r="O49" i="31"/>
  <c r="P49" i="31" s="1"/>
  <c r="AA48" i="31"/>
  <c r="X48" i="31"/>
  <c r="AI48" i="31" s="1"/>
  <c r="AH48" i="31" s="1"/>
  <c r="R48" i="31"/>
  <c r="AI47" i="31"/>
  <c r="AH47" i="31" s="1"/>
  <c r="AA47" i="31"/>
  <c r="X47" i="31"/>
  <c r="AE48" i="31" s="1"/>
  <c r="AF48" i="31" s="1"/>
  <c r="R47" i="31"/>
  <c r="AA46" i="31"/>
  <c r="X46" i="31"/>
  <c r="AE46" i="31" s="1"/>
  <c r="R46" i="31"/>
  <c r="AI45" i="31"/>
  <c r="AH45" i="31" s="1"/>
  <c r="AA45" i="31"/>
  <c r="X45" i="31"/>
  <c r="R45" i="31"/>
  <c r="AA44" i="31"/>
  <c r="X44" i="31"/>
  <c r="R44" i="31"/>
  <c r="AA43" i="31"/>
  <c r="X43" i="31"/>
  <c r="AI43" i="31" s="1"/>
  <c r="AH43" i="31" s="1"/>
  <c r="R43" i="31"/>
  <c r="S43" i="31" s="1"/>
  <c r="O43" i="31"/>
  <c r="P43" i="31" s="1"/>
  <c r="AA42" i="31"/>
  <c r="X42" i="31"/>
  <c r="AI42" i="31" s="1"/>
  <c r="AH42" i="31" s="1"/>
  <c r="R42" i="31"/>
  <c r="AI41" i="31"/>
  <c r="AH41" i="31" s="1"/>
  <c r="AA41" i="31"/>
  <c r="X41" i="31"/>
  <c r="R41" i="31"/>
  <c r="AA40" i="31"/>
  <c r="X40" i="31"/>
  <c r="AE41" i="31" s="1"/>
  <c r="R40" i="31"/>
  <c r="AA39" i="31"/>
  <c r="X39" i="31"/>
  <c r="AI40" i="31" s="1"/>
  <c r="AH40" i="31" s="1"/>
  <c r="R39" i="31"/>
  <c r="AA38" i="31"/>
  <c r="X38" i="31"/>
  <c r="R38" i="31"/>
  <c r="AA37" i="31"/>
  <c r="X37" i="31"/>
  <c r="AI38" i="31" s="1"/>
  <c r="AH38" i="31" s="1"/>
  <c r="R37" i="31"/>
  <c r="S37" i="31" s="1"/>
  <c r="T37" i="31" s="1"/>
  <c r="O37" i="31"/>
  <c r="AA36" i="31"/>
  <c r="X36" i="31"/>
  <c r="R36" i="31"/>
  <c r="AA35" i="31"/>
  <c r="X35" i="31"/>
  <c r="AI36" i="31" s="1"/>
  <c r="AH36" i="31" s="1"/>
  <c r="R35" i="31"/>
  <c r="AA34" i="31"/>
  <c r="X34" i="31"/>
  <c r="AE35" i="31" s="1"/>
  <c r="AG35" i="31" s="1"/>
  <c r="R34" i="31"/>
  <c r="AA33" i="31"/>
  <c r="X33" i="31"/>
  <c r="AI34" i="31" s="1"/>
  <c r="AH34" i="31" s="1"/>
  <c r="R33" i="31"/>
  <c r="AA32" i="31"/>
  <c r="X32" i="31"/>
  <c r="AE33" i="31" s="1"/>
  <c r="R32" i="31"/>
  <c r="AI31" i="31"/>
  <c r="AH31" i="31" s="1"/>
  <c r="AA31" i="31"/>
  <c r="X31" i="31"/>
  <c r="AE31" i="31" s="1"/>
  <c r="R31" i="31"/>
  <c r="S31" i="31" s="1"/>
  <c r="T31" i="31" s="1"/>
  <c r="O31" i="31"/>
  <c r="P31" i="31" s="1"/>
  <c r="AE30" i="31"/>
  <c r="AG30" i="31" s="1"/>
  <c r="AA30" i="31"/>
  <c r="X30" i="31"/>
  <c r="R30" i="31"/>
  <c r="AA29" i="31"/>
  <c r="X29" i="31"/>
  <c r="AE29" i="31" s="1"/>
  <c r="AG29" i="31" s="1"/>
  <c r="R29" i="31"/>
  <c r="AI28" i="31"/>
  <c r="AH28" i="31" s="1"/>
  <c r="AA28" i="31"/>
  <c r="X28" i="31"/>
  <c r="R28" i="31"/>
  <c r="AA27" i="31"/>
  <c r="X27" i="31"/>
  <c r="AI27" i="31" s="1"/>
  <c r="AH27" i="31" s="1"/>
  <c r="R27" i="31"/>
  <c r="AA26" i="31"/>
  <c r="X26" i="31"/>
  <c r="R26" i="31"/>
  <c r="AA25" i="31"/>
  <c r="X25" i="31"/>
  <c r="AI26" i="31" s="1"/>
  <c r="AH26" i="31" s="1"/>
  <c r="R25" i="31"/>
  <c r="S25" i="31" s="1"/>
  <c r="O25" i="31"/>
  <c r="P25" i="31" s="1"/>
  <c r="AA24" i="31"/>
  <c r="X24" i="31"/>
  <c r="R24" i="31"/>
  <c r="AA23" i="31"/>
  <c r="X23" i="31"/>
  <c r="AE24" i="31" s="1"/>
  <c r="R23" i="31"/>
  <c r="AA22" i="31"/>
  <c r="X22" i="31"/>
  <c r="R22" i="31"/>
  <c r="AA21" i="31"/>
  <c r="X21" i="31"/>
  <c r="AI22" i="31" s="1"/>
  <c r="AH22" i="31" s="1"/>
  <c r="R21" i="31"/>
  <c r="AE20" i="31"/>
  <c r="AF20" i="31" s="1"/>
  <c r="AA20" i="31"/>
  <c r="X20" i="31"/>
  <c r="R20" i="31"/>
  <c r="AA19" i="31"/>
  <c r="X19" i="31"/>
  <c r="AI19" i="31" s="1"/>
  <c r="AH19" i="31" s="1"/>
  <c r="R19" i="31"/>
  <c r="S19" i="31" s="1"/>
  <c r="T19" i="31" s="1"/>
  <c r="O19" i="31"/>
  <c r="P19" i="31" s="1"/>
  <c r="AA18" i="31"/>
  <c r="X18" i="31"/>
  <c r="AE18" i="31" s="1"/>
  <c r="R18" i="31"/>
  <c r="AA17" i="31"/>
  <c r="X17" i="31"/>
  <c r="R17" i="31"/>
  <c r="AA16" i="31"/>
  <c r="X16" i="31"/>
  <c r="R16" i="31"/>
  <c r="AA15" i="31"/>
  <c r="X15" i="31"/>
  <c r="AI16" i="31" s="1"/>
  <c r="AH16" i="31" s="1"/>
  <c r="R15" i="31"/>
  <c r="AA14" i="31"/>
  <c r="X14" i="31"/>
  <c r="R14" i="31"/>
  <c r="AA13" i="31"/>
  <c r="X13" i="31"/>
  <c r="R13" i="31"/>
  <c r="S13" i="31" s="1"/>
  <c r="O13" i="31"/>
  <c r="P13" i="31" s="1"/>
  <c r="AM24" i="32" l="1"/>
  <c r="AL24" i="32" s="1"/>
  <c r="AM29" i="32"/>
  <c r="AL29" i="32" s="1"/>
  <c r="AM34" i="32"/>
  <c r="AL34" i="32" s="1"/>
  <c r="AM41" i="32"/>
  <c r="AL41" i="32" s="1"/>
  <c r="AM62" i="32"/>
  <c r="AL62" i="32" s="1"/>
  <c r="AM63" i="32"/>
  <c r="AL63" i="32" s="1"/>
  <c r="AM69" i="32"/>
  <c r="AL69" i="32" s="1"/>
  <c r="AM31" i="32"/>
  <c r="AL31" i="32" s="1"/>
  <c r="AM43" i="32"/>
  <c r="AL43" i="32" s="1"/>
  <c r="AI60" i="32"/>
  <c r="AM68" i="32"/>
  <c r="AL68" i="32" s="1"/>
  <c r="AI15" i="32"/>
  <c r="AM30" i="32"/>
  <c r="AL30" i="32" s="1"/>
  <c r="AM36" i="32"/>
  <c r="AL36" i="32" s="1"/>
  <c r="AM66" i="32"/>
  <c r="AL66" i="32" s="1"/>
  <c r="AI68" i="32"/>
  <c r="AI72" i="32"/>
  <c r="AI48" i="32"/>
  <c r="AM44" i="32"/>
  <c r="AL44" i="32" s="1"/>
  <c r="Y55" i="32"/>
  <c r="AM55" i="32"/>
  <c r="AL55" i="32" s="1"/>
  <c r="AM48" i="32"/>
  <c r="AL48" i="32" s="1"/>
  <c r="AI43" i="32"/>
  <c r="AJ43" i="32" s="1"/>
  <c r="AN43" i="32" s="1"/>
  <c r="AI37" i="32"/>
  <c r="AK37" i="32" s="1"/>
  <c r="AI38" i="32" s="1"/>
  <c r="Y37" i="32"/>
  <c r="Y31" i="32"/>
  <c r="T31" i="32"/>
  <c r="AM26" i="32"/>
  <c r="AL26" i="32" s="1"/>
  <c r="Y19" i="32"/>
  <c r="AG33" i="31"/>
  <c r="AF33" i="31"/>
  <c r="AG64" i="31"/>
  <c r="AF64" i="31"/>
  <c r="AG46" i="31"/>
  <c r="AF46" i="31"/>
  <c r="AE50" i="31"/>
  <c r="AE60" i="31"/>
  <c r="AI21" i="31"/>
  <c r="AH21" i="31" s="1"/>
  <c r="AI23" i="31"/>
  <c r="AH23" i="31" s="1"/>
  <c r="AI24" i="31"/>
  <c r="AH24" i="31" s="1"/>
  <c r="AI30" i="31"/>
  <c r="AH30" i="31" s="1"/>
  <c r="AE34" i="31"/>
  <c r="AF34" i="31" s="1"/>
  <c r="AJ34" i="31" s="1"/>
  <c r="AE38" i="31"/>
  <c r="AG38" i="31" s="1"/>
  <c r="AE42" i="31"/>
  <c r="AE45" i="31"/>
  <c r="AI53" i="31"/>
  <c r="AH53" i="31" s="1"/>
  <c r="AI61" i="31"/>
  <c r="AH61" i="31" s="1"/>
  <c r="AE63" i="31"/>
  <c r="AF49" i="31"/>
  <c r="AI50" i="31"/>
  <c r="AH50" i="31" s="1"/>
  <c r="AI18" i="31"/>
  <c r="AH18" i="31" s="1"/>
  <c r="AE32" i="31"/>
  <c r="AI56" i="31"/>
  <c r="AH56" i="31" s="1"/>
  <c r="AI59" i="31"/>
  <c r="AH59" i="31" s="1"/>
  <c r="AI66" i="31"/>
  <c r="AH66" i="31" s="1"/>
  <c r="AI33" i="31"/>
  <c r="AH33" i="31" s="1"/>
  <c r="AE37" i="31"/>
  <c r="AF37" i="31" s="1"/>
  <c r="AE47" i="31"/>
  <c r="AI54" i="31"/>
  <c r="AH54" i="31" s="1"/>
  <c r="AI62" i="31"/>
  <c r="AH62" i="31" s="1"/>
  <c r="AI71" i="31"/>
  <c r="AH71" i="31" s="1"/>
  <c r="AI72" i="31"/>
  <c r="AH72" i="31" s="1"/>
  <c r="AE17" i="31"/>
  <c r="AF17" i="31" s="1"/>
  <c r="AE19" i="31"/>
  <c r="AF19" i="31" s="1"/>
  <c r="AE28" i="31"/>
  <c r="AE55" i="31"/>
  <c r="AG55" i="31" s="1"/>
  <c r="AE59" i="31"/>
  <c r="AE21" i="31"/>
  <c r="AG21" i="31" s="1"/>
  <c r="AE27" i="31"/>
  <c r="AI35" i="31"/>
  <c r="AH35" i="31" s="1"/>
  <c r="AI39" i="31"/>
  <c r="AH39" i="31" s="1"/>
  <c r="AI44" i="31"/>
  <c r="AH44" i="31" s="1"/>
  <c r="AE61" i="31"/>
  <c r="AF29" i="31"/>
  <c r="AF30" i="31"/>
  <c r="U13" i="31"/>
  <c r="Y49" i="32"/>
  <c r="X49" i="32"/>
  <c r="AM49" i="32" s="1"/>
  <c r="AL49" i="32" s="1"/>
  <c r="AK68" i="32"/>
  <c r="AJ68" i="32"/>
  <c r="AN68" i="32" s="1"/>
  <c r="AK48" i="32"/>
  <c r="AJ48" i="32"/>
  <c r="AK65" i="32"/>
  <c r="AJ65" i="32"/>
  <c r="AI71" i="32"/>
  <c r="AI17" i="32"/>
  <c r="AI18" i="32"/>
  <c r="AI34" i="32"/>
  <c r="AK34" i="32" s="1"/>
  <c r="AJ35" i="32"/>
  <c r="AM39" i="32"/>
  <c r="AL39" i="32" s="1"/>
  <c r="AJ54" i="32"/>
  <c r="AN54" i="32" s="1"/>
  <c r="AI19" i="32"/>
  <c r="AI23" i="32"/>
  <c r="AJ23" i="32" s="1"/>
  <c r="AM32" i="32"/>
  <c r="AL32" i="32" s="1"/>
  <c r="AM23" i="32"/>
  <c r="AL23" i="32" s="1"/>
  <c r="AM25" i="32"/>
  <c r="AL25" i="32" s="1"/>
  <c r="T55" i="32"/>
  <c r="AI55" i="32" s="1"/>
  <c r="AK55" i="32" s="1"/>
  <c r="AI56" i="32" s="1"/>
  <c r="AK56" i="32" s="1"/>
  <c r="AI57" i="32" s="1"/>
  <c r="AM67" i="32"/>
  <c r="AL67" i="32" s="1"/>
  <c r="AI24" i="32"/>
  <c r="AJ24" i="32" s="1"/>
  <c r="AN24" i="32" s="1"/>
  <c r="AI29" i="32"/>
  <c r="AK29" i="32" s="1"/>
  <c r="Y43" i="32"/>
  <c r="AM70" i="32"/>
  <c r="AL70" i="32" s="1"/>
  <c r="AI70" i="32"/>
  <c r="AK70" i="32" s="1"/>
  <c r="AI22" i="32"/>
  <c r="AJ22" i="32" s="1"/>
  <c r="AN22" i="32" s="1"/>
  <c r="AI40" i="32"/>
  <c r="AK40" i="32" s="1"/>
  <c r="AM60" i="32"/>
  <c r="AL60" i="32" s="1"/>
  <c r="AM65" i="32"/>
  <c r="AL65" i="32" s="1"/>
  <c r="AN65" i="32" s="1"/>
  <c r="AM16" i="32"/>
  <c r="AL16" i="32" s="1"/>
  <c r="AI16" i="32"/>
  <c r="AK16" i="32" s="1"/>
  <c r="AM37" i="32"/>
  <c r="AL37" i="32" s="1"/>
  <c r="AM40" i="32"/>
  <c r="AL40" i="32" s="1"/>
  <c r="AI52" i="32"/>
  <c r="AI64" i="32"/>
  <c r="AK64" i="32" s="1"/>
  <c r="AI66" i="32"/>
  <c r="AI69" i="32"/>
  <c r="AI30" i="32"/>
  <c r="AK30" i="32" s="1"/>
  <c r="AM33" i="32"/>
  <c r="AL33" i="32" s="1"/>
  <c r="AM42" i="32"/>
  <c r="AL42" i="32" s="1"/>
  <c r="AI67" i="32"/>
  <c r="AE16" i="31"/>
  <c r="AG16" i="31" s="1"/>
  <c r="Y13" i="32"/>
  <c r="Y25" i="32"/>
  <c r="Y61" i="32"/>
  <c r="AK33" i="32"/>
  <c r="AJ33" i="32"/>
  <c r="AK60" i="32"/>
  <c r="AJ60" i="32"/>
  <c r="AK15" i="32"/>
  <c r="AJ15" i="32"/>
  <c r="AN15" i="32" s="1"/>
  <c r="AJ37" i="32"/>
  <c r="AK63" i="32"/>
  <c r="AJ63" i="32"/>
  <c r="AN63" i="32" s="1"/>
  <c r="AK72" i="32"/>
  <c r="AJ72" i="32"/>
  <c r="AN72" i="32" s="1"/>
  <c r="AM50" i="32"/>
  <c r="AL50" i="32" s="1"/>
  <c r="AJ53" i="32"/>
  <c r="AM64" i="32"/>
  <c r="AL64" i="32" s="1"/>
  <c r="X67" i="32"/>
  <c r="AJ70" i="32"/>
  <c r="T25" i="32"/>
  <c r="AI25" i="32" s="1"/>
  <c r="AJ25" i="32" s="1"/>
  <c r="T13" i="32"/>
  <c r="AI13" i="32" s="1"/>
  <c r="AI28" i="32"/>
  <c r="AI31" i="32"/>
  <c r="AM35" i="32"/>
  <c r="AL35" i="32" s="1"/>
  <c r="AN35" i="32" s="1"/>
  <c r="AM38" i="32"/>
  <c r="AL38" i="32" s="1"/>
  <c r="AI42" i="32"/>
  <c r="T61" i="32"/>
  <c r="AI62" i="32"/>
  <c r="AI27" i="32"/>
  <c r="AI49" i="32"/>
  <c r="AM53" i="32"/>
  <c r="AL53" i="32" s="1"/>
  <c r="AJ36" i="32"/>
  <c r="AN36" i="32" s="1"/>
  <c r="AJ39" i="32"/>
  <c r="T43" i="32"/>
  <c r="AI61" i="32"/>
  <c r="AI41" i="32"/>
  <c r="AM13" i="32"/>
  <c r="AL13" i="32" s="1"/>
  <c r="AM61" i="32"/>
  <c r="AL61" i="32" s="1"/>
  <c r="X19" i="32"/>
  <c r="AM19" i="32" s="1"/>
  <c r="AJ33" i="31"/>
  <c r="U61" i="31"/>
  <c r="T61" i="31"/>
  <c r="T43" i="31"/>
  <c r="U43" i="31"/>
  <c r="AJ49" i="31"/>
  <c r="AJ67" i="31"/>
  <c r="U49" i="31"/>
  <c r="U31" i="31"/>
  <c r="U37" i="31"/>
  <c r="AJ48" i="31"/>
  <c r="AJ64" i="31"/>
  <c r="T13" i="31"/>
  <c r="AI13" i="31" s="1"/>
  <c r="AG42" i="31"/>
  <c r="AF42" i="31"/>
  <c r="AJ42" i="31" s="1"/>
  <c r="AG72" i="31"/>
  <c r="AF72" i="31"/>
  <c r="AG59" i="31"/>
  <c r="AF59" i="31"/>
  <c r="AJ59" i="31" s="1"/>
  <c r="AG27" i="31"/>
  <c r="AF27" i="31"/>
  <c r="AJ27" i="31" s="1"/>
  <c r="U25" i="31"/>
  <c r="T25" i="31"/>
  <c r="AG31" i="31"/>
  <c r="AF31" i="31"/>
  <c r="AJ31" i="31" s="1"/>
  <c r="AG18" i="31"/>
  <c r="AF18" i="31"/>
  <c r="AJ18" i="31" s="1"/>
  <c r="AJ19" i="31"/>
  <c r="AJ30" i="31"/>
  <c r="AG45" i="31"/>
  <c r="AF45" i="31"/>
  <c r="AJ45" i="31" s="1"/>
  <c r="U67" i="31"/>
  <c r="AG58" i="31"/>
  <c r="AF58" i="31"/>
  <c r="AJ58" i="31" s="1"/>
  <c r="AG24" i="31"/>
  <c r="AF24" i="31"/>
  <c r="AJ24" i="31" s="1"/>
  <c r="AG41" i="31"/>
  <c r="AF41" i="31"/>
  <c r="AJ41" i="31" s="1"/>
  <c r="AG62" i="31"/>
  <c r="AF62" i="31"/>
  <c r="AJ62" i="31" s="1"/>
  <c r="U19" i="31"/>
  <c r="AG28" i="31"/>
  <c r="AF28" i="31"/>
  <c r="AJ28" i="31" s="1"/>
  <c r="U55" i="31"/>
  <c r="P37" i="31"/>
  <c r="AG20" i="31"/>
  <c r="AF21" i="31"/>
  <c r="AJ21" i="31" s="1"/>
  <c r="AE22" i="31"/>
  <c r="AE25" i="31"/>
  <c r="AI29" i="31"/>
  <c r="AH29" i="31" s="1"/>
  <c r="AJ29" i="31" s="1"/>
  <c r="AI32" i="31"/>
  <c r="AH32" i="31" s="1"/>
  <c r="AF35" i="31"/>
  <c r="AE36" i="31"/>
  <c r="AG37" i="31"/>
  <c r="AF38" i="31"/>
  <c r="AJ38" i="31" s="1"/>
  <c r="AE39" i="31"/>
  <c r="AI46" i="31"/>
  <c r="AH46" i="31" s="1"/>
  <c r="AJ46" i="31" s="1"/>
  <c r="AG48" i="31"/>
  <c r="AG51" i="31"/>
  <c r="AF52" i="31"/>
  <c r="AJ52" i="31" s="1"/>
  <c r="AE53" i="31"/>
  <c r="P55" i="31"/>
  <c r="AF55" i="31"/>
  <c r="AE56" i="31"/>
  <c r="AG65" i="31"/>
  <c r="AF66" i="31"/>
  <c r="AJ66" i="31" s="1"/>
  <c r="AG68" i="31"/>
  <c r="AF69" i="31"/>
  <c r="AJ69" i="31" s="1"/>
  <c r="AE70" i="31"/>
  <c r="AE23" i="31"/>
  <c r="AE26" i="31"/>
  <c r="AE40" i="31"/>
  <c r="AE43" i="31"/>
  <c r="AE54" i="31"/>
  <c r="AE57" i="31"/>
  <c r="AE71" i="31"/>
  <c r="AE13" i="31"/>
  <c r="AI17" i="31"/>
  <c r="AH17" i="31" s="1"/>
  <c r="AI20" i="31"/>
  <c r="AH20" i="31" s="1"/>
  <c r="AJ20" i="31" s="1"/>
  <c r="AI37" i="31"/>
  <c r="AH37" i="31" s="1"/>
  <c r="AJ37" i="31" s="1"/>
  <c r="AE44" i="31"/>
  <c r="AI51" i="31"/>
  <c r="AH51" i="31" s="1"/>
  <c r="AJ51" i="31" s="1"/>
  <c r="AI65" i="31"/>
  <c r="AH65" i="31" s="1"/>
  <c r="AJ65" i="31" s="1"/>
  <c r="AI68" i="31"/>
  <c r="AH68" i="31" s="1"/>
  <c r="AJ68" i="31" s="1"/>
  <c r="AI55" i="31"/>
  <c r="AH55" i="31" s="1"/>
  <c r="AI25" i="31"/>
  <c r="AH25" i="31" s="1"/>
  <c r="O13" i="1"/>
  <c r="P13" i="1" s="1"/>
  <c r="X13" i="1"/>
  <c r="AA13" i="1"/>
  <c r="X14" i="1"/>
  <c r="AA14" i="1"/>
  <c r="X15" i="1"/>
  <c r="AA15" i="1"/>
  <c r="X16" i="1"/>
  <c r="AA16" i="1"/>
  <c r="X17" i="1"/>
  <c r="AA17" i="1"/>
  <c r="X18" i="1"/>
  <c r="AA18" i="1"/>
  <c r="R17" i="1"/>
  <c r="R15" i="1"/>
  <c r="R16" i="1"/>
  <c r="R14" i="1"/>
  <c r="R18" i="1"/>
  <c r="AL19" i="32" l="1"/>
  <c r="AM20" i="32"/>
  <c r="AM56" i="32"/>
  <c r="AL56" i="32" s="1"/>
  <c r="AJ55" i="32"/>
  <c r="AN55" i="32" s="1"/>
  <c r="AM57" i="32"/>
  <c r="AJ56" i="32"/>
  <c r="AM51" i="32"/>
  <c r="AL51" i="32" s="1"/>
  <c r="AN48" i="32"/>
  <c r="AM45" i="32"/>
  <c r="AL45" i="32" s="1"/>
  <c r="AK43" i="32"/>
  <c r="AI44" i="32" s="1"/>
  <c r="AK44" i="32" s="1"/>
  <c r="AI45" i="32" s="1"/>
  <c r="AK45" i="32" s="1"/>
  <c r="AI46" i="32" s="1"/>
  <c r="AJ38" i="32"/>
  <c r="AN38" i="32" s="1"/>
  <c r="AK38" i="32"/>
  <c r="AN39" i="32"/>
  <c r="AJ40" i="32"/>
  <c r="AN40" i="32" s="1"/>
  <c r="AJ34" i="32"/>
  <c r="AN34" i="32" s="1"/>
  <c r="AK25" i="32"/>
  <c r="AI26" i="32" s="1"/>
  <c r="AJ26" i="32" s="1"/>
  <c r="AN26" i="32" s="1"/>
  <c r="AJ29" i="32"/>
  <c r="AN29" i="32" s="1"/>
  <c r="AK23" i="32"/>
  <c r="AJ35" i="31"/>
  <c r="AJ72" i="31"/>
  <c r="AJ17" i="31"/>
  <c r="AG17" i="31"/>
  <c r="AG60" i="31"/>
  <c r="AF60" i="31"/>
  <c r="AJ60" i="31" s="1"/>
  <c r="AG34" i="31"/>
  <c r="AG19" i="31"/>
  <c r="AG32" i="31"/>
  <c r="AF32" i="31"/>
  <c r="AJ32" i="31" s="1"/>
  <c r="AG50" i="31"/>
  <c r="AF50" i="31"/>
  <c r="AJ50" i="31" s="1"/>
  <c r="AG47" i="31"/>
  <c r="AF47" i="31"/>
  <c r="AJ47" i="31" s="1"/>
  <c r="AF61" i="31"/>
  <c r="AJ61" i="31" s="1"/>
  <c r="AG61" i="31"/>
  <c r="AF63" i="31"/>
  <c r="AJ63" i="31" s="1"/>
  <c r="AG63" i="31"/>
  <c r="AF16" i="31"/>
  <c r="AJ16" i="31" s="1"/>
  <c r="AN60" i="32"/>
  <c r="AN70" i="32"/>
  <c r="AJ30" i="32"/>
  <c r="AN30" i="32" s="1"/>
  <c r="AK24" i="32"/>
  <c r="AK22" i="32"/>
  <c r="AJ16" i="32"/>
  <c r="AN16" i="32" s="1"/>
  <c r="AH13" i="31"/>
  <c r="AI14" i="31"/>
  <c r="AH14" i="31" s="1"/>
  <c r="AI15" i="31"/>
  <c r="AH15" i="31" s="1"/>
  <c r="AK57" i="32"/>
  <c r="AI58" i="32" s="1"/>
  <c r="AK58" i="32" s="1"/>
  <c r="AI59" i="32" s="1"/>
  <c r="AJ57" i="32"/>
  <c r="AK19" i="32"/>
  <c r="AI20" i="32" s="1"/>
  <c r="AK20" i="32" s="1"/>
  <c r="AI21" i="32" s="1"/>
  <c r="AK21" i="32" s="1"/>
  <c r="AJ19" i="32"/>
  <c r="AN19" i="32" s="1"/>
  <c r="AJ18" i="32"/>
  <c r="AN18" i="32" s="1"/>
  <c r="AK18" i="32"/>
  <c r="AN33" i="32"/>
  <c r="AJ69" i="32"/>
  <c r="AN69" i="32" s="1"/>
  <c r="AK69" i="32"/>
  <c r="AK17" i="32"/>
  <c r="AJ17" i="32"/>
  <c r="AN17" i="32" s="1"/>
  <c r="AK71" i="32"/>
  <c r="AJ71" i="32"/>
  <c r="AN71" i="32" s="1"/>
  <c r="AJ66" i="32"/>
  <c r="AN66" i="32" s="1"/>
  <c r="AK66" i="32"/>
  <c r="AN37" i="32"/>
  <c r="AK67" i="32"/>
  <c r="AJ67" i="32"/>
  <c r="AN67" i="32" s="1"/>
  <c r="AJ64" i="32"/>
  <c r="AJ52" i="32"/>
  <c r="AN52" i="32" s="1"/>
  <c r="AK52" i="32"/>
  <c r="AN25" i="32"/>
  <c r="AN23" i="32"/>
  <c r="AK13" i="32"/>
  <c r="AI14" i="32" s="1"/>
  <c r="AJ13" i="32"/>
  <c r="AN13" i="32" s="1"/>
  <c r="AK61" i="32"/>
  <c r="AJ61" i="32"/>
  <c r="AN61" i="32" s="1"/>
  <c r="AK49" i="32"/>
  <c r="AI50" i="32" s="1"/>
  <c r="AJ50" i="32" s="1"/>
  <c r="AN50" i="32" s="1"/>
  <c r="AJ49" i="32"/>
  <c r="AN49" i="32" s="1"/>
  <c r="AK42" i="32"/>
  <c r="AJ42" i="32"/>
  <c r="AN42" i="32" s="1"/>
  <c r="AN53" i="32"/>
  <c r="AK32" i="32"/>
  <c r="AJ32" i="32"/>
  <c r="AN32" i="32" s="1"/>
  <c r="AK62" i="32"/>
  <c r="AJ62" i="32"/>
  <c r="AN62" i="32" s="1"/>
  <c r="AK31" i="32"/>
  <c r="AI32" i="32" s="1"/>
  <c r="AJ31" i="32"/>
  <c r="AN31" i="32" s="1"/>
  <c r="AM14" i="32"/>
  <c r="AL14" i="32" s="1"/>
  <c r="AN64" i="32"/>
  <c r="AK27" i="32"/>
  <c r="AJ27" i="32"/>
  <c r="AN27" i="32" s="1"/>
  <c r="AK28" i="32"/>
  <c r="AJ28" i="32"/>
  <c r="AN28" i="32" s="1"/>
  <c r="AK41" i="32"/>
  <c r="AJ41" i="32"/>
  <c r="AN41" i="32" s="1"/>
  <c r="AG40" i="31"/>
  <c r="AF40" i="31"/>
  <c r="AJ40" i="31" s="1"/>
  <c r="AG56" i="31"/>
  <c r="AF56" i="31"/>
  <c r="AJ56" i="31" s="1"/>
  <c r="AG39" i="31"/>
  <c r="AF39" i="31"/>
  <c r="AJ39" i="31" s="1"/>
  <c r="AG25" i="31"/>
  <c r="AF25" i="31"/>
  <c r="AJ25" i="31" s="1"/>
  <c r="AG44" i="31"/>
  <c r="AF44" i="31"/>
  <c r="AJ44" i="31" s="1"/>
  <c r="AG22" i="31"/>
  <c r="AF22" i="31"/>
  <c r="AJ22" i="31" s="1"/>
  <c r="AG26" i="31"/>
  <c r="AF26" i="31"/>
  <c r="AJ26" i="31" s="1"/>
  <c r="AJ55" i="31"/>
  <c r="AG23" i="31"/>
  <c r="AF23" i="31"/>
  <c r="AJ23" i="31" s="1"/>
  <c r="AG57" i="31"/>
  <c r="AF57" i="31"/>
  <c r="AJ57" i="31" s="1"/>
  <c r="AG13" i="31"/>
  <c r="AE14" i="31" s="1"/>
  <c r="AF13" i="31"/>
  <c r="AG70" i="31"/>
  <c r="AF70" i="31"/>
  <c r="AJ70" i="31" s="1"/>
  <c r="AG53" i="31"/>
  <c r="AF53" i="31"/>
  <c r="AJ53" i="31" s="1"/>
  <c r="AG36" i="31"/>
  <c r="AF36" i="31"/>
  <c r="AJ36" i="31" s="1"/>
  <c r="AG54" i="31"/>
  <c r="AF54" i="31"/>
  <c r="AJ54" i="31" s="1"/>
  <c r="AG43" i="31"/>
  <c r="AF43" i="31"/>
  <c r="AJ43" i="31" s="1"/>
  <c r="AG71" i="31"/>
  <c r="AF71" i="31"/>
  <c r="AJ71" i="31" s="1"/>
  <c r="AE17" i="1"/>
  <c r="AF17" i="1" s="1"/>
  <c r="AI18" i="1"/>
  <c r="AH18" i="1" s="1"/>
  <c r="AE18" i="1"/>
  <c r="AG18" i="1" s="1"/>
  <c r="AI16" i="1"/>
  <c r="AH16" i="1" s="1"/>
  <c r="AE13" i="1"/>
  <c r="AG13" i="1" s="1"/>
  <c r="AE14" i="1" s="1"/>
  <c r="AI17" i="1"/>
  <c r="AH17" i="1" s="1"/>
  <c r="AE16" i="1"/>
  <c r="AL20" i="32" l="1"/>
  <c r="AM21" i="32"/>
  <c r="AL21" i="32" s="1"/>
  <c r="AJ44" i="32"/>
  <c r="AN44" i="32" s="1"/>
  <c r="AN56" i="32"/>
  <c r="AK59" i="32"/>
  <c r="AJ59" i="32"/>
  <c r="AJ58" i="32"/>
  <c r="AL57" i="32"/>
  <c r="AN57" i="32" s="1"/>
  <c r="AM58" i="32"/>
  <c r="AK50" i="32"/>
  <c r="AI51" i="32" s="1"/>
  <c r="AK46" i="32"/>
  <c r="AI47" i="32" s="1"/>
  <c r="AJ46" i="32"/>
  <c r="AJ45" i="32"/>
  <c r="AM46" i="32"/>
  <c r="AL46" i="32" s="1"/>
  <c r="AK26" i="32"/>
  <c r="AJ21" i="32"/>
  <c r="AN21" i="32" s="1"/>
  <c r="AJ20" i="32"/>
  <c r="AN20" i="32" s="1"/>
  <c r="AJ13" i="31"/>
  <c r="AK14" i="32"/>
  <c r="AJ14" i="32"/>
  <c r="AN14" i="32" s="1"/>
  <c r="AG14" i="31"/>
  <c r="AE15" i="31" s="1"/>
  <c r="AF14" i="31"/>
  <c r="AJ14" i="31" s="1"/>
  <c r="AG17" i="1"/>
  <c r="AF18" i="1"/>
  <c r="AJ18" i="1" s="1"/>
  <c r="AI15" i="1"/>
  <c r="AH15" i="1" s="1"/>
  <c r="AF13" i="1"/>
  <c r="AF14" i="1"/>
  <c r="AG14" i="1"/>
  <c r="AE15" i="1" s="1"/>
  <c r="AF15" i="1" s="1"/>
  <c r="AF16" i="1"/>
  <c r="AJ16" i="1" s="1"/>
  <c r="AG16" i="1"/>
  <c r="AJ17" i="1"/>
  <c r="AL58" i="32" l="1"/>
  <c r="AN58" i="32" s="1"/>
  <c r="AM59" i="32"/>
  <c r="AL59" i="32" s="1"/>
  <c r="AN59" i="32" s="1"/>
  <c r="AK51" i="32"/>
  <c r="AJ51" i="32"/>
  <c r="AN51" i="32" s="1"/>
  <c r="AJ47" i="32"/>
  <c r="AK47" i="32"/>
  <c r="AN46" i="32"/>
  <c r="AM47" i="32"/>
  <c r="AL47" i="32" s="1"/>
  <c r="AN45" i="32"/>
  <c r="AG15" i="31"/>
  <c r="AF15" i="31"/>
  <c r="AJ15" i="31" s="1"/>
  <c r="AJ15" i="1"/>
  <c r="AG15" i="1"/>
  <c r="AN47" i="32" l="1"/>
  <c r="O55" i="1"/>
  <c r="X19" i="1" l="1"/>
  <c r="X20" i="1"/>
  <c r="AI20" i="1" l="1"/>
  <c r="AI19" i="1"/>
  <c r="E24" i="22"/>
  <c r="E8" i="13"/>
  <c r="E7" i="13"/>
  <c r="E6" i="13"/>
  <c r="E5" i="13"/>
  <c r="R22" i="1"/>
  <c r="R71" i="1"/>
  <c r="R38" i="1"/>
  <c r="R54" i="1"/>
  <c r="R20" i="1"/>
  <c r="R35" i="1"/>
  <c r="R32" i="1"/>
  <c r="R42" i="1"/>
  <c r="R47" i="1"/>
  <c r="R59" i="1"/>
  <c r="R64" i="1"/>
  <c r="R40" i="1"/>
  <c r="R70" i="1"/>
  <c r="R45" i="1"/>
  <c r="R30" i="1"/>
  <c r="R63" i="1"/>
  <c r="R28" i="1"/>
  <c r="R29" i="1"/>
  <c r="R57" i="1"/>
  <c r="R24" i="1"/>
  <c r="R58" i="1"/>
  <c r="R62" i="1"/>
  <c r="R69" i="1"/>
  <c r="R68" i="1"/>
  <c r="R21" i="1"/>
  <c r="R46" i="1"/>
  <c r="R44" i="1"/>
  <c r="R53" i="1"/>
  <c r="R50" i="1"/>
  <c r="R36" i="1"/>
  <c r="R39" i="1"/>
  <c r="R23" i="1"/>
  <c r="R51" i="1"/>
  <c r="R41" i="1"/>
  <c r="R72" i="1"/>
  <c r="R27" i="1"/>
  <c r="R26" i="1"/>
  <c r="R65" i="1"/>
  <c r="R48" i="1"/>
  <c r="R56" i="1"/>
  <c r="R33" i="1"/>
  <c r="R60" i="1"/>
  <c r="R34" i="1"/>
  <c r="R52" i="1"/>
  <c r="R66" i="1"/>
  <c r="F222" i="13" l="1"/>
  <c r="F212" i="13"/>
  <c r="F213" i="13"/>
  <c r="F214" i="13"/>
  <c r="F215" i="13"/>
  <c r="F216" i="13"/>
  <c r="F217" i="13"/>
  <c r="F218" i="13"/>
  <c r="F219" i="13"/>
  <c r="F220" i="13"/>
  <c r="F221" i="13"/>
  <c r="F211" i="13"/>
  <c r="B222" i="13" a="1"/>
  <c r="B222" i="13" l="1"/>
  <c r="R13" i="1" s="1"/>
  <c r="S13" i="1" s="1"/>
  <c r="X55" i="1"/>
  <c r="X50" i="1"/>
  <c r="X44" i="1"/>
  <c r="AI55" i="1" l="1"/>
  <c r="T13" i="1"/>
  <c r="AI13" i="1" s="1"/>
  <c r="U13"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1" i="13"/>
  <c r="AH13" i="1" l="1"/>
  <c r="AJ13" i="1" s="1"/>
  <c r="AI14" i="1"/>
  <c r="AH14" i="1" s="1"/>
  <c r="AJ14" i="1" s="1"/>
  <c r="AA72" i="1"/>
  <c r="X72" i="1"/>
  <c r="AA71" i="1"/>
  <c r="X71" i="1"/>
  <c r="AA70" i="1"/>
  <c r="X70" i="1"/>
  <c r="AA69" i="1"/>
  <c r="X69" i="1"/>
  <c r="AA68" i="1"/>
  <c r="X68" i="1"/>
  <c r="AA67" i="1"/>
  <c r="X67" i="1"/>
  <c r="O67" i="1"/>
  <c r="P67" i="1" s="1"/>
  <c r="AA66" i="1"/>
  <c r="X66" i="1"/>
  <c r="AA65" i="1"/>
  <c r="X65" i="1"/>
  <c r="AA64" i="1"/>
  <c r="X64" i="1"/>
  <c r="AA63" i="1"/>
  <c r="X63" i="1"/>
  <c r="AA62" i="1"/>
  <c r="X62" i="1"/>
  <c r="AA61" i="1"/>
  <c r="X61" i="1"/>
  <c r="O61" i="1"/>
  <c r="P61" i="1" s="1"/>
  <c r="AA60" i="1"/>
  <c r="X60" i="1"/>
  <c r="AA59" i="1"/>
  <c r="X59" i="1"/>
  <c r="AA58" i="1"/>
  <c r="X58" i="1"/>
  <c r="AA57" i="1"/>
  <c r="X57" i="1"/>
  <c r="AA56" i="1"/>
  <c r="X56" i="1"/>
  <c r="AA55" i="1"/>
  <c r="P55" i="1"/>
  <c r="AA54" i="1"/>
  <c r="X54" i="1"/>
  <c r="AA53" i="1"/>
  <c r="X53" i="1"/>
  <c r="AA52" i="1"/>
  <c r="X52" i="1"/>
  <c r="AA51" i="1"/>
  <c r="X51" i="1"/>
  <c r="AA50" i="1"/>
  <c r="AA49" i="1"/>
  <c r="X49" i="1"/>
  <c r="O49" i="1"/>
  <c r="P49" i="1" s="1"/>
  <c r="AA48" i="1"/>
  <c r="X48" i="1"/>
  <c r="AA47" i="1"/>
  <c r="X47" i="1"/>
  <c r="AA46" i="1"/>
  <c r="X46" i="1"/>
  <c r="AA45" i="1"/>
  <c r="X45" i="1"/>
  <c r="AA44" i="1"/>
  <c r="AA43" i="1"/>
  <c r="X43" i="1"/>
  <c r="O43" i="1"/>
  <c r="P43" i="1" s="1"/>
  <c r="AA42" i="1"/>
  <c r="X42" i="1"/>
  <c r="AA41" i="1"/>
  <c r="X41" i="1"/>
  <c r="AA40" i="1"/>
  <c r="X40" i="1"/>
  <c r="AA39" i="1"/>
  <c r="X39" i="1"/>
  <c r="AA38" i="1"/>
  <c r="X38" i="1"/>
  <c r="AA37" i="1"/>
  <c r="X37" i="1"/>
  <c r="O37" i="1"/>
  <c r="AA36" i="1"/>
  <c r="X36" i="1"/>
  <c r="AA35" i="1"/>
  <c r="X35" i="1"/>
  <c r="AA34" i="1"/>
  <c r="X34" i="1"/>
  <c r="AA33" i="1"/>
  <c r="X33" i="1"/>
  <c r="AA32" i="1"/>
  <c r="X32" i="1"/>
  <c r="AA31" i="1"/>
  <c r="X31" i="1"/>
  <c r="O31" i="1"/>
  <c r="P31" i="1" s="1"/>
  <c r="AA30" i="1"/>
  <c r="X30" i="1"/>
  <c r="AA29" i="1"/>
  <c r="X29" i="1"/>
  <c r="AA28" i="1"/>
  <c r="X28" i="1"/>
  <c r="AA27" i="1"/>
  <c r="X27" i="1"/>
  <c r="AA26" i="1"/>
  <c r="X26" i="1"/>
  <c r="AA25" i="1"/>
  <c r="X25" i="1"/>
  <c r="O25" i="1"/>
  <c r="P25" i="1" s="1"/>
  <c r="O19" i="1"/>
  <c r="AA24" i="1"/>
  <c r="X24" i="1"/>
  <c r="AA23" i="1"/>
  <c r="X23" i="1"/>
  <c r="AA22" i="1"/>
  <c r="X22" i="1"/>
  <c r="AA21" i="1"/>
  <c r="X21" i="1"/>
  <c r="AA20" i="1"/>
  <c r="AA19" i="1"/>
  <c r="P37" i="1" l="1"/>
  <c r="AI29" i="1"/>
  <c r="AI40" i="1"/>
  <c r="AI48" i="1"/>
  <c r="AI60" i="1"/>
  <c r="AI71" i="1"/>
  <c r="AI23" i="1"/>
  <c r="AI30" i="1"/>
  <c r="AI41" i="1"/>
  <c r="AI36" i="1"/>
  <c r="AI63" i="1"/>
  <c r="AI64" i="1"/>
  <c r="AI34" i="1"/>
  <c r="AI65" i="1"/>
  <c r="AI28" i="1"/>
  <c r="AI39" i="1"/>
  <c r="AI47" i="1"/>
  <c r="AI59" i="1"/>
  <c r="AI70" i="1"/>
  <c r="AI33" i="1"/>
  <c r="AI53" i="1"/>
  <c r="AH53" i="1" s="1"/>
  <c r="AI72" i="1"/>
  <c r="AI31" i="1"/>
  <c r="AI32" i="1"/>
  <c r="AI22" i="1"/>
  <c r="AI21" i="1"/>
  <c r="AI44" i="1"/>
  <c r="AI43" i="1"/>
  <c r="AI26" i="1"/>
  <c r="AI25" i="1"/>
  <c r="AI57" i="1"/>
  <c r="AI56" i="1"/>
  <c r="AI68" i="1"/>
  <c r="AI67" i="1"/>
  <c r="AI52" i="1"/>
  <c r="AI51" i="1"/>
  <c r="AI24" i="1"/>
  <c r="AI27" i="1"/>
  <c r="AI38" i="1"/>
  <c r="AI37" i="1"/>
  <c r="AI42" i="1"/>
  <c r="AI46" i="1"/>
  <c r="AI45" i="1"/>
  <c r="AI54" i="1"/>
  <c r="AH54" i="1" s="1"/>
  <c r="AI58" i="1"/>
  <c r="AI69" i="1"/>
  <c r="AI35" i="1"/>
  <c r="AI50" i="1"/>
  <c r="AI49" i="1"/>
  <c r="AI62" i="1"/>
  <c r="AI61" i="1"/>
  <c r="AI66" i="1"/>
  <c r="P19" i="1"/>
  <c r="AE19" i="1" s="1"/>
  <c r="AE67" i="1"/>
  <c r="AE61" i="1"/>
  <c r="AE55" i="1"/>
  <c r="AE49" i="1"/>
  <c r="AE53" i="1"/>
  <c r="AE54" i="1"/>
  <c r="AE43" i="1"/>
  <c r="AE37" i="1"/>
  <c r="AE31" i="1"/>
  <c r="AE25" i="1"/>
  <c r="AF67" i="1" l="1"/>
  <c r="AG67" i="1"/>
  <c r="AE68" i="1" s="1"/>
  <c r="AF68" i="1" s="1"/>
  <c r="AF61" i="1"/>
  <c r="AG61" i="1"/>
  <c r="AE62" i="1" s="1"/>
  <c r="AG62" i="1" s="1"/>
  <c r="AE63" i="1" s="1"/>
  <c r="AF55" i="1"/>
  <c r="AG55" i="1"/>
  <c r="AE56" i="1" s="1"/>
  <c r="AG56" i="1" s="1"/>
  <c r="AE57" i="1" s="1"/>
  <c r="AF54" i="1"/>
  <c r="AG54" i="1"/>
  <c r="AF53" i="1"/>
  <c r="AG53" i="1"/>
  <c r="AF49" i="1"/>
  <c r="AG49" i="1"/>
  <c r="AF43" i="1"/>
  <c r="AG43" i="1"/>
  <c r="AE44" i="1" s="1"/>
  <c r="AG44" i="1" s="1"/>
  <c r="AE45" i="1" s="1"/>
  <c r="AF37" i="1"/>
  <c r="AG37" i="1"/>
  <c r="AF31" i="1"/>
  <c r="AG31" i="1"/>
  <c r="AE32" i="1" s="1"/>
  <c r="AG32" i="1" s="1"/>
  <c r="AE33" i="1" s="1"/>
  <c r="AF33" i="1" s="1"/>
  <c r="AF25" i="1"/>
  <c r="AG25" i="1"/>
  <c r="AE26" i="1" s="1"/>
  <c r="AF26" i="1" s="1"/>
  <c r="AF19" i="1"/>
  <c r="AG19" i="1"/>
  <c r="AE20" i="1" s="1"/>
  <c r="AF62" i="1" l="1"/>
  <c r="AF56" i="1"/>
  <c r="AG26" i="1"/>
  <c r="AE27" i="1" s="1"/>
  <c r="AF27" i="1" s="1"/>
  <c r="AF44" i="1"/>
  <c r="AF32" i="1"/>
  <c r="AF45" i="1"/>
  <c r="AG45" i="1"/>
  <c r="AG63" i="1"/>
  <c r="AE64" i="1" s="1"/>
  <c r="AF63" i="1"/>
  <c r="AG57" i="1"/>
  <c r="AE58" i="1" s="1"/>
  <c r="AF57" i="1"/>
  <c r="AG68" i="1"/>
  <c r="AE69" i="1" s="1"/>
  <c r="AE38" i="1"/>
  <c r="AE50" i="1"/>
  <c r="AG3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J53" i="1"/>
  <c r="AJ54" i="1"/>
  <c r="AF64" i="1" l="1"/>
  <c r="AG64" i="1"/>
  <c r="AF58" i="1"/>
  <c r="AG58" i="1"/>
  <c r="AE59" i="1" s="1"/>
  <c r="AG27" i="1"/>
  <c r="AE28" i="1" s="1"/>
  <c r="AG28" i="1" s="1"/>
  <c r="AF69" i="1"/>
  <c r="AG69" i="1"/>
  <c r="AE70" i="1" s="1"/>
  <c r="AF50" i="1"/>
  <c r="AG50" i="1"/>
  <c r="AE51" i="1" s="1"/>
  <c r="AF51" i="1" s="1"/>
  <c r="AE46" i="1"/>
  <c r="AF38" i="1"/>
  <c r="AG38" i="1"/>
  <c r="AE39" i="1" s="1"/>
  <c r="AF39" i="1" s="1"/>
  <c r="AE35" i="1"/>
  <c r="AF35" i="1" s="1"/>
  <c r="AE34" i="1"/>
  <c r="AF20" i="1"/>
  <c r="AG20" i="1"/>
  <c r="AE21" i="1" s="1"/>
  <c r="AF21" i="1" s="1"/>
  <c r="AG51" i="1" l="1"/>
  <c r="AE52" i="1" s="1"/>
  <c r="AF52" i="1" s="1"/>
  <c r="AG39" i="1"/>
  <c r="AE40" i="1" s="1"/>
  <c r="AG40" i="1" s="1"/>
  <c r="AE41" i="1" s="1"/>
  <c r="AF59" i="1"/>
  <c r="AG59" i="1"/>
  <c r="AE60" i="1" s="1"/>
  <c r="AE65" i="1"/>
  <c r="AE66" i="1"/>
  <c r="AF28" i="1"/>
  <c r="AF46" i="1"/>
  <c r="AG46" i="1"/>
  <c r="AE47" i="1" s="1"/>
  <c r="AF47" i="1" s="1"/>
  <c r="AE29" i="1"/>
  <c r="AG70" i="1"/>
  <c r="AF70" i="1"/>
  <c r="AF34" i="1"/>
  <c r="AG34" i="1"/>
  <c r="AG35" i="1"/>
  <c r="AE36" i="1" s="1"/>
  <c r="AG21" i="1"/>
  <c r="AE22" i="1" s="1"/>
  <c r="AF22" i="1" s="1"/>
  <c r="AG52" i="1" l="1"/>
  <c r="AF40" i="1"/>
  <c r="AF66" i="1"/>
  <c r="AG66" i="1"/>
  <c r="AF65" i="1"/>
  <c r="AG65" i="1"/>
  <c r="AF60" i="1"/>
  <c r="AG60" i="1"/>
  <c r="AE71" i="1"/>
  <c r="AE72" i="1"/>
  <c r="AG47" i="1"/>
  <c r="AE48" i="1" s="1"/>
  <c r="AF48" i="1" s="1"/>
  <c r="AG41" i="1"/>
  <c r="AE42" i="1" s="1"/>
  <c r="AF41" i="1"/>
  <c r="AF29" i="1"/>
  <c r="AG29" i="1"/>
  <c r="AE30" i="1" s="1"/>
  <c r="AF30" i="1" s="1"/>
  <c r="AF36" i="1"/>
  <c r="AG36" i="1"/>
  <c r="AG22" i="1"/>
  <c r="AE23" i="1" s="1"/>
  <c r="AG23" i="1" s="1"/>
  <c r="AE24" i="1" s="1"/>
  <c r="AF72" i="1" l="1"/>
  <c r="AG72" i="1"/>
  <c r="AF71" i="1"/>
  <c r="AG71" i="1"/>
  <c r="AF42" i="1"/>
  <c r="AG42" i="1"/>
  <c r="AG48" i="1"/>
  <c r="AG30" i="1"/>
  <c r="AF23" i="1"/>
  <c r="AF24" i="1"/>
  <c r="AG24" i="1"/>
  <c r="R43" i="1" l="1"/>
  <c r="S43" i="1" s="1"/>
  <c r="R31" i="1"/>
  <c r="S31" i="1" s="1"/>
  <c r="R25" i="1"/>
  <c r="S25" i="1" s="1"/>
  <c r="R55" i="1"/>
  <c r="S55" i="1" s="1"/>
  <c r="R49" i="1"/>
  <c r="S49" i="1" s="1"/>
  <c r="R37" i="1"/>
  <c r="S37" i="1" s="1"/>
  <c r="AD40" i="18" s="1"/>
  <c r="R67" i="1"/>
  <c r="S67" i="1" s="1"/>
  <c r="R61" i="1"/>
  <c r="S61" i="1" s="1"/>
  <c r="R19" i="1"/>
  <c r="S19" i="1" s="1"/>
  <c r="Z42" i="18" l="1"/>
  <c r="N42" i="18"/>
  <c r="AF26" i="18"/>
  <c r="N26" i="18"/>
  <c r="AF18" i="18"/>
  <c r="T10" i="18"/>
  <c r="N34" i="18"/>
  <c r="T34" i="18"/>
  <c r="T18" i="18"/>
  <c r="Z18" i="18"/>
  <c r="Z10" i="18"/>
  <c r="AL18" i="18"/>
  <c r="Z26" i="18"/>
  <c r="U61" i="1"/>
  <c r="T61" i="1"/>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T55" i="1"/>
  <c r="AJ42" i="18"/>
  <c r="AJ18" i="18"/>
  <c r="AD26" i="18"/>
  <c r="L10" i="18"/>
  <c r="AD10" i="18"/>
  <c r="X18" i="18"/>
  <c r="AD42" i="18"/>
  <c r="L18" i="18"/>
  <c r="R10" i="18"/>
  <c r="U55" i="1"/>
  <c r="T67" i="1"/>
  <c r="AB36" i="18"/>
  <c r="AH12" i="18"/>
  <c r="P28" i="18"/>
  <c r="AH20" i="18"/>
  <c r="P36" i="18"/>
  <c r="V12" i="18"/>
  <c r="AH28" i="18"/>
  <c r="AB20" i="18"/>
  <c r="J12" i="18"/>
  <c r="J20" i="18"/>
  <c r="U67" i="1"/>
  <c r="P44" i="18"/>
  <c r="AB44" i="18"/>
  <c r="V28" i="18"/>
  <c r="V36" i="18"/>
  <c r="J28" i="18"/>
  <c r="AH36" i="18"/>
  <c r="J44" i="18"/>
  <c r="P12" i="18"/>
  <c r="AB12" i="18"/>
  <c r="V44" i="18"/>
  <c r="AH44" i="18"/>
  <c r="V20" i="18"/>
  <c r="P20" i="18"/>
  <c r="J36" i="18"/>
  <c r="AB28" i="18"/>
  <c r="T38" i="18"/>
  <c r="AF22" i="18"/>
  <c r="N38" i="18"/>
  <c r="AF30" i="18"/>
  <c r="AL6" i="18"/>
  <c r="Z6" i="18"/>
  <c r="U25" i="1"/>
  <c r="T14" i="18"/>
  <c r="T22" i="18"/>
  <c r="N6" i="18"/>
  <c r="AL30" i="18"/>
  <c r="Z22" i="18"/>
  <c r="Z14" i="18"/>
  <c r="T25" i="1"/>
  <c r="Z30" i="18"/>
  <c r="AL38" i="18"/>
  <c r="AL14" i="18"/>
  <c r="AF6" i="18"/>
  <c r="AL22" i="18"/>
  <c r="T30" i="18"/>
  <c r="Z38" i="18"/>
  <c r="AF14" i="18"/>
  <c r="N30" i="18"/>
  <c r="N14" i="18"/>
  <c r="N22" i="18"/>
  <c r="AF38" i="18"/>
  <c r="T6" i="18"/>
  <c r="T37" i="1"/>
  <c r="X32" i="18"/>
  <c r="AD32" i="18"/>
  <c r="AJ8" i="18"/>
  <c r="L16" i="18"/>
  <c r="R32" i="18"/>
  <c r="AJ32" i="18"/>
  <c r="U37" i="1"/>
  <c r="R40" i="18"/>
  <c r="AJ40" i="18"/>
  <c r="AD24" i="18"/>
  <c r="AJ24" i="18"/>
  <c r="R24" i="18"/>
  <c r="AJ16" i="18"/>
  <c r="AD8" i="18"/>
  <c r="L32" i="18"/>
  <c r="L40" i="18"/>
  <c r="R16" i="18"/>
  <c r="L24" i="18"/>
  <c r="AD16" i="18"/>
  <c r="L8" i="18"/>
  <c r="R8" i="18"/>
  <c r="X40" i="18"/>
  <c r="X8" i="18"/>
  <c r="X16" i="18"/>
  <c r="X24" i="18"/>
  <c r="T31" i="1"/>
  <c r="J40" i="18"/>
  <c r="J16" i="18"/>
  <c r="P16" i="18"/>
  <c r="V8" i="18"/>
  <c r="J8" i="18"/>
  <c r="J24" i="18"/>
  <c r="AH16" i="18"/>
  <c r="AB16" i="18"/>
  <c r="AB40" i="18"/>
  <c r="P32" i="18"/>
  <c r="P40" i="18"/>
  <c r="AH24" i="18"/>
  <c r="AB32" i="18"/>
  <c r="J32" i="18"/>
  <c r="V16" i="18"/>
  <c r="V40" i="18"/>
  <c r="AH32" i="18"/>
  <c r="V24" i="18"/>
  <c r="V32" i="18"/>
  <c r="AH8" i="18"/>
  <c r="AB8" i="18"/>
  <c r="P8" i="18"/>
  <c r="U31" i="1"/>
  <c r="AH40" i="18"/>
  <c r="AB24" i="18"/>
  <c r="P24" i="18"/>
  <c r="AD38" i="18"/>
  <c r="L30" i="18"/>
  <c r="AD30" i="18"/>
  <c r="AJ6" i="18"/>
  <c r="L14" i="18"/>
  <c r="L22" i="18"/>
  <c r="X6" i="18"/>
  <c r="L6" i="18"/>
  <c r="U19" i="1"/>
  <c r="R38" i="18"/>
  <c r="AJ38" i="18"/>
  <c r="L38" i="18"/>
  <c r="AD6" i="18"/>
  <c r="R6" i="18"/>
  <c r="AJ30" i="18"/>
  <c r="R30" i="18"/>
  <c r="AD22" i="18"/>
  <c r="AJ14" i="18"/>
  <c r="AJ22" i="18"/>
  <c r="AD14" i="18"/>
  <c r="X38" i="18"/>
  <c r="X14" i="18"/>
  <c r="R22" i="18"/>
  <c r="X22" i="18"/>
  <c r="T19"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T49" i="1"/>
  <c r="AH34" i="18"/>
  <c r="AH42" i="18"/>
  <c r="AH18" i="18"/>
  <c r="AB10" i="18"/>
  <c r="J26" i="18"/>
  <c r="V18" i="18"/>
  <c r="V42" i="18"/>
  <c r="J42" i="18"/>
  <c r="P10" i="18"/>
  <c r="AB26" i="18"/>
  <c r="J34" i="18"/>
  <c r="J18" i="18"/>
  <c r="AH10" i="18"/>
  <c r="AB34" i="18"/>
  <c r="P26" i="18"/>
  <c r="P34" i="18"/>
  <c r="V34" i="18"/>
  <c r="AH26" i="18"/>
  <c r="J10" i="18"/>
  <c r="U49" i="1"/>
  <c r="P18" i="18"/>
  <c r="AB42" i="18"/>
  <c r="V10" i="18"/>
  <c r="AB18" i="18"/>
  <c r="P42" i="18"/>
  <c r="V26" i="18"/>
  <c r="Z32" i="18"/>
  <c r="N24" i="18"/>
  <c r="AL32" i="18"/>
  <c r="AL40" i="18"/>
  <c r="N8" i="18"/>
  <c r="AF24" i="18"/>
  <c r="Z40" i="18"/>
  <c r="Z16" i="18"/>
  <c r="N32" i="18"/>
  <c r="T32" i="18"/>
  <c r="N40" i="18"/>
  <c r="T8" i="18"/>
  <c r="T43" i="1"/>
  <c r="AF32" i="18"/>
  <c r="AL8" i="18"/>
  <c r="T24" i="18"/>
  <c r="N16" i="18"/>
  <c r="T16" i="18"/>
  <c r="Z24" i="18"/>
  <c r="AF16" i="18"/>
  <c r="U43" i="1"/>
  <c r="T40" i="18"/>
  <c r="AF8" i="18"/>
  <c r="AL24" i="18"/>
  <c r="Z8" i="18"/>
  <c r="AF40" i="18"/>
  <c r="AL16" i="18"/>
  <c r="AH31" i="1" l="1"/>
  <c r="AH67" i="1"/>
  <c r="AH43" i="1"/>
  <c r="AH55" i="1"/>
  <c r="AH19" i="1"/>
  <c r="AH25" i="1"/>
  <c r="AH49" i="1"/>
  <c r="AH37" i="1"/>
  <c r="AH50" i="1" l="1"/>
  <c r="AH56" i="1"/>
  <c r="AH62" i="1"/>
  <c r="AH38" i="1"/>
  <c r="AH44" i="1"/>
  <c r="AH32" i="1"/>
  <c r="AH26" i="1"/>
  <c r="J40" i="19"/>
  <c r="V30" i="19"/>
  <c r="AH20" i="19"/>
  <c r="J30" i="19"/>
  <c r="V20" i="19"/>
  <c r="AH10" i="19"/>
  <c r="P10" i="19"/>
  <c r="AB50" i="19"/>
  <c r="J50" i="19"/>
  <c r="AB40" i="19"/>
  <c r="P30" i="19"/>
  <c r="V50" i="19"/>
  <c r="P50" i="19"/>
  <c r="AB10" i="19"/>
  <c r="AH30" i="19"/>
  <c r="AH40" i="19"/>
  <c r="J10" i="19"/>
  <c r="AB20" i="19"/>
  <c r="AH50" i="19"/>
  <c r="AJ37" i="1"/>
  <c r="V10" i="19"/>
  <c r="P20" i="19"/>
  <c r="J20" i="19"/>
  <c r="P40" i="19"/>
  <c r="V40" i="19"/>
  <c r="AB30" i="19"/>
  <c r="J11" i="19"/>
  <c r="V11" i="19"/>
  <c r="AB21" i="19"/>
  <c r="P31" i="19"/>
  <c r="J31" i="19"/>
  <c r="AB41" i="19"/>
  <c r="AJ43" i="1"/>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AJ67" i="1"/>
  <c r="P25" i="19"/>
  <c r="V55" i="19"/>
  <c r="J15" i="19"/>
  <c r="AB15" i="19"/>
  <c r="J35" i="19"/>
  <c r="AB35" i="19"/>
  <c r="J55" i="19"/>
  <c r="AB25" i="19"/>
  <c r="P35" i="19"/>
  <c r="P55" i="19"/>
  <c r="AB45" i="19"/>
  <c r="P15" i="19"/>
  <c r="J47" i="19"/>
  <c r="V27" i="19"/>
  <c r="AH7" i="19"/>
  <c r="P47" i="19"/>
  <c r="AB27" i="19"/>
  <c r="J17" i="19"/>
  <c r="V47" i="19"/>
  <c r="J37" i="19"/>
  <c r="AJ19" i="1"/>
  <c r="AB37" i="19"/>
  <c r="J27" i="19"/>
  <c r="V7" i="19"/>
  <c r="AH37" i="19"/>
  <c r="P27" i="19"/>
  <c r="AB7" i="19"/>
  <c r="P17" i="19"/>
  <c r="V17" i="19"/>
  <c r="AH47" i="19"/>
  <c r="P37" i="19"/>
  <c r="AB17" i="19"/>
  <c r="J7" i="19"/>
  <c r="V37" i="19"/>
  <c r="AH17" i="19"/>
  <c r="P7" i="19"/>
  <c r="AH27" i="19"/>
  <c r="AB47" i="19"/>
  <c r="AJ55"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H61" i="1"/>
  <c r="AJ31"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J25"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H45" i="1"/>
  <c r="V32" i="19"/>
  <c r="P42" i="19"/>
  <c r="J12" i="19"/>
  <c r="J32" i="19"/>
  <c r="AB52" i="19"/>
  <c r="AJ49" i="1"/>
  <c r="J22" i="19"/>
  <c r="V22" i="19"/>
  <c r="J52" i="19"/>
  <c r="AH12" i="19"/>
  <c r="J42" i="19"/>
  <c r="AH42" i="19"/>
  <c r="P32" i="19"/>
  <c r="AB12" i="19"/>
  <c r="AH32" i="19"/>
  <c r="AB32" i="19"/>
  <c r="AB42" i="19"/>
  <c r="V42" i="19"/>
  <c r="V12" i="19"/>
  <c r="V52" i="19"/>
  <c r="AB22" i="19"/>
  <c r="AH52" i="19"/>
  <c r="AH22" i="19"/>
  <c r="P22" i="19"/>
  <c r="P12" i="19"/>
  <c r="P52" i="19"/>
  <c r="AH51" i="1"/>
  <c r="AH20" i="1"/>
  <c r="AH68" i="1" l="1"/>
  <c r="K45" i="19" s="1"/>
  <c r="AH52" i="1"/>
  <c r="S12" i="19" s="1"/>
  <c r="W37" i="19"/>
  <c r="AI7" i="19"/>
  <c r="W17" i="19"/>
  <c r="W27" i="19"/>
  <c r="Q47" i="19"/>
  <c r="W7" i="19"/>
  <c r="AI17" i="19"/>
  <c r="K47" i="19"/>
  <c r="AI47" i="19"/>
  <c r="Q27" i="19"/>
  <c r="AC27" i="19"/>
  <c r="AC47" i="19"/>
  <c r="AC37" i="19"/>
  <c r="AI37" i="19"/>
  <c r="AJ20" i="1"/>
  <c r="AC17" i="19"/>
  <c r="K37" i="19"/>
  <c r="AC7" i="19"/>
  <c r="W47" i="19"/>
  <c r="Q37" i="19"/>
  <c r="AI27" i="19"/>
  <c r="Q7" i="19"/>
  <c r="K27" i="19"/>
  <c r="K17" i="19"/>
  <c r="K7" i="19"/>
  <c r="Q17" i="19"/>
  <c r="AC14" i="19"/>
  <c r="Q14" i="19"/>
  <c r="AI54" i="19"/>
  <c r="Q54" i="19"/>
  <c r="Q24" i="19"/>
  <c r="AI14" i="19"/>
  <c r="W24" i="19"/>
  <c r="AC44" i="19"/>
  <c r="K54" i="19"/>
  <c r="AI34" i="19"/>
  <c r="W14" i="19"/>
  <c r="K24" i="19"/>
  <c r="AC24" i="19"/>
  <c r="AI44" i="19"/>
  <c r="AI24" i="19"/>
  <c r="W44" i="19"/>
  <c r="Q44" i="19"/>
  <c r="AC54" i="19"/>
  <c r="AJ62"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J44" i="1"/>
  <c r="P54" i="19"/>
  <c r="AH14" i="19"/>
  <c r="AB14" i="19"/>
  <c r="AH34" i="19"/>
  <c r="AB54" i="19"/>
  <c r="AH54" i="19"/>
  <c r="AJ61"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J51" i="1"/>
  <c r="AD12" i="19"/>
  <c r="AD32" i="19"/>
  <c r="AD22" i="19"/>
  <c r="X52" i="19"/>
  <c r="AD52" i="19"/>
  <c r="L42" i="19"/>
  <c r="R42" i="19"/>
  <c r="AJ21" i="19"/>
  <c r="AD31" i="19"/>
  <c r="R21" i="19"/>
  <c r="AD41" i="19"/>
  <c r="AJ11" i="19"/>
  <c r="AJ51" i="19"/>
  <c r="AJ45" i="1"/>
  <c r="L41" i="19"/>
  <c r="AD11" i="19"/>
  <c r="L21" i="19"/>
  <c r="L11" i="19"/>
  <c r="X51" i="19"/>
  <c r="X21" i="19"/>
  <c r="R11" i="19"/>
  <c r="R31" i="19"/>
  <c r="AJ41" i="19"/>
  <c r="L31" i="19"/>
  <c r="R51" i="19"/>
  <c r="X31" i="19"/>
  <c r="X11" i="19"/>
  <c r="X41" i="19"/>
  <c r="AJ31" i="19"/>
  <c r="AD51" i="19"/>
  <c r="R41" i="19"/>
  <c r="AD21" i="19"/>
  <c r="L51" i="19"/>
  <c r="AH21" i="1"/>
  <c r="AH33" i="1"/>
  <c r="AH57" i="1"/>
  <c r="K42" i="19"/>
  <c r="AC32" i="19"/>
  <c r="W42" i="19"/>
  <c r="AI52" i="19"/>
  <c r="K22" i="19"/>
  <c r="Q32" i="19"/>
  <c r="AI12" i="19"/>
  <c r="AC52" i="19"/>
  <c r="Q42" i="19"/>
  <c r="AC42" i="19"/>
  <c r="K12" i="19"/>
  <c r="Q22" i="19"/>
  <c r="W52" i="19"/>
  <c r="AI42" i="19"/>
  <c r="W32" i="19"/>
  <c r="AI22" i="19"/>
  <c r="W12" i="19"/>
  <c r="AI32" i="19"/>
  <c r="AC12" i="19"/>
  <c r="Q12" i="19"/>
  <c r="Q52" i="19"/>
  <c r="AJ50" i="1"/>
  <c r="K32" i="19"/>
  <c r="W22" i="19"/>
  <c r="K52" i="19"/>
  <c r="AC22" i="19"/>
  <c r="AC40" i="19"/>
  <c r="W10" i="19"/>
  <c r="AC50" i="19"/>
  <c r="Q10" i="19"/>
  <c r="Q30" i="19"/>
  <c r="W50" i="19"/>
  <c r="K40" i="19"/>
  <c r="Q50" i="19"/>
  <c r="W20" i="19"/>
  <c r="AJ38"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H63" i="1"/>
  <c r="K39" i="19"/>
  <c r="AC39" i="19"/>
  <c r="W29" i="19"/>
  <c r="AI49" i="19"/>
  <c r="W9" i="19"/>
  <c r="AC19" i="19"/>
  <c r="Q49" i="19"/>
  <c r="W49" i="19"/>
  <c r="AC9" i="19"/>
  <c r="AI9" i="19"/>
  <c r="Q29" i="19"/>
  <c r="W39" i="19"/>
  <c r="Q39" i="19"/>
  <c r="AJ32"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J56" i="1"/>
  <c r="Q33" i="19"/>
  <c r="AI23" i="19"/>
  <c r="K53" i="19"/>
  <c r="AC23" i="19"/>
  <c r="AC13" i="19"/>
  <c r="W23" i="19"/>
  <c r="W33" i="19"/>
  <c r="Q13" i="19"/>
  <c r="W13" i="19"/>
  <c r="AI13" i="19"/>
  <c r="Q43" i="19"/>
  <c r="Q23" i="19"/>
  <c r="W53" i="19"/>
  <c r="AK42" i="19"/>
  <c r="AE32" i="19"/>
  <c r="AJ52" i="1"/>
  <c r="Y52" i="19"/>
  <c r="S22" i="19"/>
  <c r="AK52" i="19"/>
  <c r="M22" i="19"/>
  <c r="AK32" i="19"/>
  <c r="AE22" i="19"/>
  <c r="AE42" i="19"/>
  <c r="S42" i="19"/>
  <c r="AH46" i="1"/>
  <c r="AH48" i="1"/>
  <c r="AH47" i="1"/>
  <c r="AH39"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J26" i="1"/>
  <c r="M12" i="19" l="1"/>
  <c r="S52" i="19"/>
  <c r="AK22" i="19"/>
  <c r="AK12" i="19"/>
  <c r="AE52" i="19"/>
  <c r="Y42" i="19"/>
  <c r="Q55" i="19"/>
  <c r="Y22" i="19"/>
  <c r="Y32" i="19"/>
  <c r="AE12" i="19"/>
  <c r="M52" i="19"/>
  <c r="Y12" i="19"/>
  <c r="S32" i="19"/>
  <c r="M32" i="19"/>
  <c r="M42" i="19"/>
  <c r="W45" i="19"/>
  <c r="K25" i="19"/>
  <c r="W55" i="19"/>
  <c r="AI25" i="19"/>
  <c r="AI45" i="19"/>
  <c r="Q25" i="19"/>
  <c r="AJ68" i="1"/>
  <c r="AC35" i="19"/>
  <c r="AI15" i="19"/>
  <c r="Q35" i="19"/>
  <c r="W25" i="19"/>
  <c r="AC25" i="19"/>
  <c r="AI55" i="19"/>
  <c r="K15" i="19"/>
  <c r="Q15" i="19"/>
  <c r="K35" i="19"/>
  <c r="W35" i="19"/>
  <c r="W15" i="19"/>
  <c r="AC15" i="19"/>
  <c r="Q45" i="19"/>
  <c r="AC55" i="19"/>
  <c r="K55" i="19"/>
  <c r="AC45" i="19"/>
  <c r="AI35" i="19"/>
  <c r="AH69" i="1"/>
  <c r="AH27" i="1"/>
  <c r="R18" i="19" s="1"/>
  <c r="R40" i="19"/>
  <c r="AD10" i="19"/>
  <c r="X40" i="19"/>
  <c r="AJ10" i="19"/>
  <c r="R50" i="19"/>
  <c r="X10" i="19"/>
  <c r="R30" i="19"/>
  <c r="AJ39" i="1"/>
  <c r="L10" i="19"/>
  <c r="L50" i="19"/>
  <c r="AJ20" i="19"/>
  <c r="AJ40" i="19"/>
  <c r="AD30" i="19"/>
  <c r="R20" i="19"/>
  <c r="AD50" i="19"/>
  <c r="AJ30" i="19"/>
  <c r="AJ50" i="19"/>
  <c r="X30" i="19"/>
  <c r="AD20" i="19"/>
  <c r="L40" i="19"/>
  <c r="X50" i="19"/>
  <c r="X20" i="19"/>
  <c r="AD40" i="19"/>
  <c r="R10" i="19"/>
  <c r="L30" i="19"/>
  <c r="L20" i="19"/>
  <c r="AH58" i="1"/>
  <c r="AH72" i="1"/>
  <c r="AD47" i="19"/>
  <c r="AJ27" i="19"/>
  <c r="AD27" i="19"/>
  <c r="AJ7" i="19"/>
  <c r="AJ37" i="19"/>
  <c r="L27" i="19"/>
  <c r="AD17" i="19"/>
  <c r="L37" i="19"/>
  <c r="R17" i="19"/>
  <c r="AJ17" i="19"/>
  <c r="X7" i="19"/>
  <c r="X47" i="19"/>
  <c r="L7" i="19"/>
  <c r="L17" i="19"/>
  <c r="R27" i="19"/>
  <c r="X27" i="19"/>
  <c r="R7" i="19"/>
  <c r="X17" i="19"/>
  <c r="AJ47" i="19"/>
  <c r="L47" i="19"/>
  <c r="R37" i="19"/>
  <c r="AD7" i="19"/>
  <c r="X37" i="19"/>
  <c r="AJ21" i="1"/>
  <c r="R47" i="19"/>
  <c r="AD37" i="19"/>
  <c r="AH29" i="1"/>
  <c r="AH28" i="1"/>
  <c r="AH30" i="1"/>
  <c r="AJ43" i="19"/>
  <c r="AD33" i="19"/>
  <c r="X33" i="19"/>
  <c r="X13" i="19"/>
  <c r="AD43" i="19"/>
  <c r="L43" i="19"/>
  <c r="AJ57" i="1"/>
  <c r="X23" i="19"/>
  <c r="R33" i="19"/>
  <c r="R43" i="19"/>
  <c r="AD53" i="19"/>
  <c r="AJ13" i="19"/>
  <c r="R23" i="19"/>
  <c r="R13" i="19"/>
  <c r="AJ53" i="19"/>
  <c r="L33" i="19"/>
  <c r="L23" i="19"/>
  <c r="X43" i="19"/>
  <c r="X53" i="19"/>
  <c r="AD13" i="19"/>
  <c r="L53" i="19"/>
  <c r="L13" i="19"/>
  <c r="AD23" i="19"/>
  <c r="AJ33" i="19"/>
  <c r="AJ23" i="19"/>
  <c r="R53" i="19"/>
  <c r="AH22" i="1"/>
  <c r="Z11" i="19"/>
  <c r="AF31" i="19"/>
  <c r="T51" i="19"/>
  <c r="N51" i="19"/>
  <c r="Z41" i="19"/>
  <c r="AF21" i="19"/>
  <c r="AL31" i="19"/>
  <c r="T31" i="19"/>
  <c r="Z31" i="19"/>
  <c r="N21" i="19"/>
  <c r="N31" i="19"/>
  <c r="AL11" i="19"/>
  <c r="T11" i="19"/>
  <c r="AF11" i="19"/>
  <c r="AL41" i="19"/>
  <c r="T21" i="19"/>
  <c r="Z21" i="19"/>
  <c r="AL51" i="19"/>
  <c r="N11" i="19"/>
  <c r="AF51" i="19"/>
  <c r="N41" i="19"/>
  <c r="Z51" i="19"/>
  <c r="AJ47"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J48" i="1"/>
  <c r="AG11" i="19"/>
  <c r="AM41" i="19"/>
  <c r="AA21" i="19"/>
  <c r="AA51" i="19"/>
  <c r="U51" i="19"/>
  <c r="U31" i="19"/>
  <c r="AA11" i="19"/>
  <c r="AG21" i="19"/>
  <c r="O31" i="19"/>
  <c r="AH64" i="1"/>
  <c r="AH34" i="1"/>
  <c r="AH35" i="1"/>
  <c r="AH36"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H40" i="1"/>
  <c r="AE11" i="19"/>
  <c r="Y41" i="19"/>
  <c r="M41" i="19"/>
  <c r="Y21" i="19"/>
  <c r="AK41" i="19"/>
  <c r="S31" i="19"/>
  <c r="M31" i="19"/>
  <c r="M51" i="19"/>
  <c r="Y51" i="19"/>
  <c r="AK21" i="19"/>
  <c r="AK31" i="19"/>
  <c r="Y11" i="19"/>
  <c r="AE41" i="19"/>
  <c r="AE21" i="19"/>
  <c r="S51" i="19"/>
  <c r="AE51" i="19"/>
  <c r="AK51" i="19"/>
  <c r="M21" i="19"/>
  <c r="AE31" i="19"/>
  <c r="AJ46" i="1"/>
  <c r="S41" i="19"/>
  <c r="AK11" i="19"/>
  <c r="S11" i="19"/>
  <c r="Y31" i="19"/>
  <c r="S21" i="19"/>
  <c r="M11" i="19"/>
  <c r="L54" i="19"/>
  <c r="AJ14" i="19"/>
  <c r="AD44" i="19"/>
  <c r="X54" i="19"/>
  <c r="R14" i="19"/>
  <c r="AD24" i="19"/>
  <c r="AD34" i="19"/>
  <c r="R54" i="19"/>
  <c r="L34" i="19"/>
  <c r="AJ34" i="19"/>
  <c r="X24" i="19"/>
  <c r="AJ24" i="19"/>
  <c r="X44" i="19"/>
  <c r="R24" i="19"/>
  <c r="AJ63" i="1"/>
  <c r="X34" i="19"/>
  <c r="L14" i="19"/>
  <c r="AD14" i="19"/>
  <c r="L44" i="19"/>
  <c r="R44" i="19"/>
  <c r="AD54" i="19"/>
  <c r="X14" i="19"/>
  <c r="AJ44" i="19"/>
  <c r="R34" i="19"/>
  <c r="AJ54" i="19"/>
  <c r="L24" i="19"/>
  <c r="AD29" i="19"/>
  <c r="AD19" i="19"/>
  <c r="R39" i="19"/>
  <c r="R9" i="19"/>
  <c r="X49" i="19"/>
  <c r="X9" i="19"/>
  <c r="AD39" i="19"/>
  <c r="R29" i="19"/>
  <c r="L49" i="19"/>
  <c r="X19" i="19"/>
  <c r="X29" i="19"/>
  <c r="X39" i="19"/>
  <c r="L9" i="19"/>
  <c r="AJ33" i="1"/>
  <c r="AD9" i="19"/>
  <c r="AJ49" i="19"/>
  <c r="L39" i="19"/>
  <c r="R19" i="19"/>
  <c r="AJ39" i="19"/>
  <c r="AJ29" i="19"/>
  <c r="AJ19" i="19"/>
  <c r="AJ9" i="19"/>
  <c r="AD49" i="19"/>
  <c r="L19" i="19"/>
  <c r="L29" i="19"/>
  <c r="R49" i="19"/>
  <c r="R15" i="19" l="1"/>
  <c r="R55" i="19"/>
  <c r="AD25" i="19"/>
  <c r="L55" i="19"/>
  <c r="AJ35" i="19"/>
  <c r="X55" i="19"/>
  <c r="X35" i="19"/>
  <c r="AJ69" i="1"/>
  <c r="AD15" i="19"/>
  <c r="X25" i="19"/>
  <c r="X45" i="19"/>
  <c r="L35" i="19"/>
  <c r="R35" i="19"/>
  <c r="AJ15" i="19"/>
  <c r="L15" i="19"/>
  <c r="AJ25" i="19"/>
  <c r="AJ55" i="19"/>
  <c r="L45" i="19"/>
  <c r="AD35" i="19"/>
  <c r="R25" i="19"/>
  <c r="AD45" i="19"/>
  <c r="R45" i="19"/>
  <c r="AD55" i="19"/>
  <c r="X15" i="19"/>
  <c r="L25" i="19"/>
  <c r="AJ45" i="19"/>
  <c r="AH71" i="1"/>
  <c r="Z35" i="19" s="1"/>
  <c r="AH70" i="1"/>
  <c r="AJ48" i="19"/>
  <c r="L18" i="19"/>
  <c r="AD8" i="19"/>
  <c r="AJ8" i="19"/>
  <c r="AJ28" i="19"/>
  <c r="R48" i="19"/>
  <c r="X48" i="19"/>
  <c r="L8" i="19"/>
  <c r="AD28" i="19"/>
  <c r="X38" i="19"/>
  <c r="AJ27" i="1"/>
  <c r="X8" i="19"/>
  <c r="L48" i="19"/>
  <c r="AD48" i="19"/>
  <c r="AD38" i="19"/>
  <c r="X18" i="19"/>
  <c r="R38" i="19"/>
  <c r="R8" i="19"/>
  <c r="L38" i="19"/>
  <c r="R28" i="19"/>
  <c r="AJ38" i="19"/>
  <c r="AD18" i="19"/>
  <c r="L28" i="19"/>
  <c r="AJ18" i="19"/>
  <c r="X28" i="19"/>
  <c r="AH41" i="1"/>
  <c r="AH42" i="1"/>
  <c r="AG39" i="19"/>
  <c r="AG29" i="19"/>
  <c r="AM19" i="19"/>
  <c r="O39" i="19"/>
  <c r="AJ36"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J64" i="1"/>
  <c r="AE24" i="19"/>
  <c r="S14" i="19"/>
  <c r="AK17" i="19"/>
  <c r="S27" i="19"/>
  <c r="S37" i="19"/>
  <c r="AE27" i="19"/>
  <c r="Y47" i="19"/>
  <c r="S7" i="19"/>
  <c r="M17" i="19"/>
  <c r="AE17" i="19"/>
  <c r="AK27" i="19"/>
  <c r="Y7" i="19"/>
  <c r="Y37" i="19"/>
  <c r="AE37" i="19"/>
  <c r="Y27" i="19"/>
  <c r="M47" i="19"/>
  <c r="AJ22"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J28" i="1"/>
  <c r="AE28" i="19"/>
  <c r="AA55" i="19"/>
  <c r="O45" i="19"/>
  <c r="AA15" i="19"/>
  <c r="AM55" i="19"/>
  <c r="O55" i="19"/>
  <c r="AG35" i="19"/>
  <c r="AM25" i="19"/>
  <c r="AM35" i="19"/>
  <c r="AA25" i="19"/>
  <c r="AM45" i="19"/>
  <c r="AG25" i="19"/>
  <c r="AA35" i="19"/>
  <c r="O25" i="19"/>
  <c r="U25" i="19"/>
  <c r="AG45" i="19"/>
  <c r="U35" i="19"/>
  <c r="AA45" i="19"/>
  <c r="AM15" i="19"/>
  <c r="U45" i="19"/>
  <c r="O35" i="19"/>
  <c r="O15" i="19"/>
  <c r="AJ72" i="1"/>
  <c r="AG15" i="19"/>
  <c r="U15" i="19"/>
  <c r="AG55" i="19"/>
  <c r="U55" i="19"/>
  <c r="AE40" i="19"/>
  <c r="Y30" i="19"/>
  <c r="M20" i="19"/>
  <c r="AJ40"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J35" i="1"/>
  <c r="T19" i="19"/>
  <c r="AL49" i="19"/>
  <c r="T29" i="19"/>
  <c r="AF29" i="19"/>
  <c r="T18" i="19"/>
  <c r="N48" i="19"/>
  <c r="N8" i="19"/>
  <c r="T28" i="19"/>
  <c r="AF38" i="19"/>
  <c r="Z28" i="19"/>
  <c r="Z18" i="19"/>
  <c r="AF8" i="19"/>
  <c r="AJ29" i="1"/>
  <c r="AL8" i="19"/>
  <c r="Z48" i="19"/>
  <c r="AL48" i="19"/>
  <c r="AL28" i="19"/>
  <c r="N38" i="19"/>
  <c r="AL38" i="19"/>
  <c r="AF28" i="19"/>
  <c r="AF18" i="19"/>
  <c r="AL18" i="19"/>
  <c r="Z8" i="19"/>
  <c r="T48" i="19"/>
  <c r="T8" i="19"/>
  <c r="T38" i="19"/>
  <c r="Z38" i="19"/>
  <c r="AF48" i="19"/>
  <c r="N28" i="19"/>
  <c r="N18" i="19"/>
  <c r="S39" i="19"/>
  <c r="M49" i="19"/>
  <c r="AE19" i="19"/>
  <c r="S49" i="19"/>
  <c r="AK19" i="19"/>
  <c r="Y9" i="19"/>
  <c r="M29" i="19"/>
  <c r="AE49" i="19"/>
  <c r="Y39" i="19"/>
  <c r="AK49" i="19"/>
  <c r="AK29" i="19"/>
  <c r="AK39" i="19"/>
  <c r="S19" i="19"/>
  <c r="M19" i="19"/>
  <c r="AE9" i="19"/>
  <c r="AE39" i="19"/>
  <c r="M39" i="19"/>
  <c r="AK9" i="19"/>
  <c r="Y19" i="19"/>
  <c r="S29" i="19"/>
  <c r="S9" i="19"/>
  <c r="AE29" i="19"/>
  <c r="Y49" i="19"/>
  <c r="AJ34" i="1"/>
  <c r="M9" i="19"/>
  <c r="Y29" i="19"/>
  <c r="AH59" i="1"/>
  <c r="AH60"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H65" i="1"/>
  <c r="AH66" i="1"/>
  <c r="AH24" i="1"/>
  <c r="AH23" i="1"/>
  <c r="O8" i="19"/>
  <c r="AA48" i="19"/>
  <c r="AM38" i="19"/>
  <c r="U48" i="19"/>
  <c r="AA18" i="19"/>
  <c r="AG18" i="19"/>
  <c r="AG48" i="19"/>
  <c r="AM18" i="19"/>
  <c r="AA28" i="19"/>
  <c r="AG28" i="19"/>
  <c r="AA8" i="19"/>
  <c r="U18" i="19"/>
  <c r="AG38" i="19"/>
  <c r="U38" i="19"/>
  <c r="AM8" i="19"/>
  <c r="AA38" i="19"/>
  <c r="AM48" i="19"/>
  <c r="U28" i="19"/>
  <c r="O38" i="19"/>
  <c r="U8" i="19"/>
  <c r="AG8" i="19"/>
  <c r="AJ30"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J58"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L35" i="19" l="1"/>
  <c r="AJ71" i="1"/>
  <c r="N25" i="19"/>
  <c r="AF15" i="19"/>
  <c r="AF25" i="19"/>
  <c r="N15" i="19"/>
  <c r="Z25" i="19"/>
  <c r="N45" i="19"/>
  <c r="Z55" i="19"/>
  <c r="N35" i="19"/>
  <c r="AF35" i="19"/>
  <c r="Z45" i="19"/>
  <c r="Z15" i="19"/>
  <c r="AL45" i="19"/>
  <c r="AL25" i="19"/>
  <c r="AL55" i="19"/>
  <c r="AF45" i="19"/>
  <c r="AL15" i="19"/>
  <c r="N55" i="19"/>
  <c r="T55" i="19"/>
  <c r="T45" i="19"/>
  <c r="T25" i="19"/>
  <c r="AF55" i="19"/>
  <c r="T15" i="19"/>
  <c r="T35" i="19"/>
  <c r="Y35" i="19"/>
  <c r="Y45" i="19"/>
  <c r="M25" i="19"/>
  <c r="AE55" i="19"/>
  <c r="AE35" i="19"/>
  <c r="S55" i="19"/>
  <c r="M35" i="19"/>
  <c r="AK25" i="19"/>
  <c r="AE25" i="19"/>
  <c r="S45" i="19"/>
  <c r="M45" i="19"/>
  <c r="Y55" i="19"/>
  <c r="M55" i="19"/>
  <c r="S15" i="19"/>
  <c r="AE45" i="19"/>
  <c r="S35" i="19"/>
  <c r="S25" i="19"/>
  <c r="AK15" i="19"/>
  <c r="M15" i="19"/>
  <c r="AK35" i="19"/>
  <c r="AK55" i="19"/>
  <c r="Y25" i="19"/>
  <c r="AJ70" i="1"/>
  <c r="Y15" i="19"/>
  <c r="AE15" i="19"/>
  <c r="AK45" i="19"/>
  <c r="AG24" i="19"/>
  <c r="O44" i="19"/>
  <c r="O24" i="19"/>
  <c r="AM14" i="19"/>
  <c r="AG34" i="19"/>
  <c r="O34" i="19"/>
  <c r="AA44" i="19"/>
  <c r="O14" i="19"/>
  <c r="AA54" i="19"/>
  <c r="U14" i="19"/>
  <c r="AM44" i="19"/>
  <c r="AA34" i="19"/>
  <c r="AM24" i="19"/>
  <c r="AM54" i="19"/>
  <c r="AG14" i="19"/>
  <c r="AM34" i="19"/>
  <c r="U54" i="19"/>
  <c r="AG44" i="19"/>
  <c r="AA24" i="19"/>
  <c r="AG54" i="19"/>
  <c r="U34" i="19"/>
  <c r="U24" i="19"/>
  <c r="AJ66" i="1"/>
  <c r="AA14" i="19"/>
  <c r="O54" i="19"/>
  <c r="U44" i="19"/>
  <c r="U43" i="19"/>
  <c r="U13" i="19"/>
  <c r="AM53" i="19"/>
  <c r="AA53" i="19"/>
  <c r="AA43" i="19"/>
  <c r="O53" i="19"/>
  <c r="O23" i="19"/>
  <c r="O13" i="19"/>
  <c r="AG43" i="19"/>
  <c r="U33" i="19"/>
  <c r="U23" i="19"/>
  <c r="AM13" i="19"/>
  <c r="AM23" i="19"/>
  <c r="AG13" i="19"/>
  <c r="AA23" i="19"/>
  <c r="AG33" i="19"/>
  <c r="AA33" i="19"/>
  <c r="AM33" i="19"/>
  <c r="AA13" i="19"/>
  <c r="AJ60"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J65" i="1"/>
  <c r="AF53" i="19"/>
  <c r="T43" i="19"/>
  <c r="Z53" i="19"/>
  <c r="N43" i="19"/>
  <c r="T23" i="19"/>
  <c r="AF43" i="19"/>
  <c r="Z13" i="19"/>
  <c r="Z43" i="19"/>
  <c r="AF23" i="19"/>
  <c r="AL13" i="19"/>
  <c r="Z23" i="19"/>
  <c r="AL43" i="19"/>
  <c r="AF13" i="19"/>
  <c r="AL23" i="19"/>
  <c r="N13" i="19"/>
  <c r="T33" i="19"/>
  <c r="AL53" i="19"/>
  <c r="N23" i="19"/>
  <c r="N53" i="19"/>
  <c r="AF33" i="19"/>
  <c r="N33" i="19"/>
  <c r="AJ59" i="1"/>
  <c r="T53" i="19"/>
  <c r="AL33" i="19"/>
  <c r="T13" i="19"/>
  <c r="Z33" i="19"/>
  <c r="Z47" i="19"/>
  <c r="T7" i="19"/>
  <c r="AL37" i="19"/>
  <c r="T17" i="19"/>
  <c r="Z17" i="19"/>
  <c r="AF7" i="19"/>
  <c r="AF37" i="19"/>
  <c r="N17" i="19"/>
  <c r="AF27" i="19"/>
  <c r="AJ23"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J42"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J24" i="1"/>
  <c r="AA17" i="19"/>
  <c r="O7" i="19"/>
  <c r="AA37" i="19"/>
  <c r="AA27" i="19"/>
  <c r="AM27" i="19"/>
  <c r="U17" i="19"/>
  <c r="U47" i="19"/>
  <c r="AG17" i="19"/>
  <c r="O47" i="19"/>
  <c r="Z40" i="19"/>
  <c r="AJ41"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<sst xmlns="http://schemas.openxmlformats.org/spreadsheetml/2006/main" count="1103" uniqueCount="565">
  <si>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</si>
  <si>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</si>
  <si>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</si>
  <si>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t>
    </r>
    <r>
      <rPr>
        <b/>
        <sz val="11"/>
        <rFont val="Arial Narrow"/>
        <family val="2"/>
      </rPr>
      <t xml:space="preserve">DOFA </t>
    </r>
    <r>
      <rPr>
        <sz val="11"/>
        <rFont val="Arial Narrow"/>
        <family val="2"/>
      </rPr>
      <t xml:space="preserve">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</si>
  <si>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</si>
  <si>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</si>
  <si>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</si>
  <si>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</si>
  <si>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</si>
  <si>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</si>
  <si>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</si>
  <si>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</si>
  <si>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</si>
  <si>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</si>
  <si>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</si>
  <si>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</si>
  <si>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</si>
  <si>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</si>
  <si>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</si>
  <si>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</si>
  <si>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</si>
  <si>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</si>
  <si>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</si>
  <si>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</si>
  <si>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</si>
  <si>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</si>
  <si>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</si>
  <si>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</si>
  <si>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</si>
  <si>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</si>
  <si>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</si>
  <si>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</si>
  <si>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</si>
  <si>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</si>
  <si>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</si>
  <si>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</si>
  <si>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</si>
  <si>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</si>
  <si>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</si>
  <si>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</si>
  <si>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</si>
  <si>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</si>
  <si>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</si>
  <si>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</si>
  <si>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</si>
  <si>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</si>
  <si>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</si>
  <si>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</si>
  <si>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</si>
  <si>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</si>
  <si>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</si>
  <si>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</si>
  <si>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</si>
  <si>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</si>
  <si>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</si>
  <si>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</si>
  <si>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</si>
  <si>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</si>
  <si>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</si>
  <si>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</si>
  <si>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 xml:space="preserve">Control de cambios </t>
  </si>
  <si>
    <t>el registra la actualización de los riesgos a partir de 2023</t>
  </si>
  <si>
    <t>Versión inicial</t>
  </si>
  <si>
    <t>tipo de riesgos</t>
  </si>
  <si>
    <t>Fecha de cambio</t>
  </si>
  <si>
    <t>Aspecto(s) que cambiaron</t>
  </si>
  <si>
    <t>Descripción de los cambios efectuados</t>
  </si>
  <si>
    <t>2023 -v1</t>
  </si>
  <si>
    <t>na</t>
  </si>
  <si>
    <t>2023 -v2</t>
  </si>
  <si>
    <t>gestión</t>
  </si>
  <si>
    <t>interno</t>
  </si>
  <si>
    <t>se incorporo una nueva por el covid 2+</t>
  </si>
  <si>
    <t>1. Direccionamiento estratégico e innovación</t>
  </si>
  <si>
    <t>2. Atención a partes interesadas y comunicaciones</t>
  </si>
  <si>
    <t>3. Estrategia y gobierno de TI</t>
  </si>
  <si>
    <t>4. Planificación de la intervención vial</t>
  </si>
  <si>
    <t>5. Producción de mezcla y provisión de maquinaria y equipos</t>
  </si>
  <si>
    <t>6. Intervención de la malla vial</t>
  </si>
  <si>
    <t>7. Gestión de servicios e infraestructura tecnológica</t>
  </si>
  <si>
    <t>8. Gestión de recursos físicos</t>
  </si>
  <si>
    <t>9. Gestión contractual</t>
  </si>
  <si>
    <t>10. Gestión financiera</t>
  </si>
  <si>
    <t>11. Gestión de laboratorio</t>
  </si>
  <si>
    <t>12. Gestión de talento humano</t>
  </si>
  <si>
    <t>13. Gestión ambiental</t>
  </si>
  <si>
    <t>14. Gestión documental</t>
  </si>
  <si>
    <t>15. Gestión jurídica</t>
  </si>
  <si>
    <t xml:space="preserve">16. Control, evaluación y mejora de la gestión  </t>
  </si>
  <si>
    <t>17. Control disciplinario interno</t>
  </si>
  <si>
    <t>CONTEXTO  DE PROCESO</t>
  </si>
  <si>
    <t>Riesgo asociado</t>
  </si>
  <si>
    <t>FACTORES INTERNOS</t>
  </si>
  <si>
    <t>ORIGEN</t>
  </si>
  <si>
    <t>FORTALEZAS Y/O OPORTUNIDADES</t>
  </si>
  <si>
    <t>DEBILIDADES Y/O AMENAZAS</t>
  </si>
  <si>
    <t>DISEÑO DEL PROCESO:</t>
  </si>
  <si>
    <t>INTERACCIONES CON OTROS PROCESOS:</t>
  </si>
  <si>
    <t>TRANSVERSALIDAD</t>
  </si>
  <si>
    <t>PROCEDIMIENTOS ASOCIADOS:</t>
  </si>
  <si>
    <t xml:space="preserve">RESPONSABLES DEL PROCESO: </t>
  </si>
  <si>
    <t>COMUNICACIÓN ENTRE LOS PROCESOS:</t>
  </si>
  <si>
    <t>ACTIVOS DE SEGURIDAD DIGITAL DEL PROCESO:</t>
  </si>
  <si>
    <t>Aceptar</t>
  </si>
  <si>
    <t>Económico</t>
  </si>
  <si>
    <t>Evitar</t>
  </si>
  <si>
    <t>Reputacional</t>
  </si>
  <si>
    <t>Reducir (compartir)</t>
  </si>
  <si>
    <t>Económico y Reputacional</t>
  </si>
  <si>
    <t>Reducir (mitigar)</t>
  </si>
  <si>
    <t xml:space="preserve">Riesgo estrategico </t>
  </si>
  <si>
    <t>Objetivo Intitucional asociado</t>
  </si>
  <si>
    <t>Plan de accion (solo para la opción reducir)</t>
  </si>
  <si>
    <t>Si</t>
  </si>
  <si>
    <t>1. Lograr mecanismos de financiación que permitan incrementar los recursos propios de la entidad.</t>
  </si>
  <si>
    <t>Finalizado</t>
  </si>
  <si>
    <t>No</t>
  </si>
  <si>
    <t>2. Diseñar e implementar una estrategia de innovación que permita hacer más eficiente la gestión de la Unidad.</t>
  </si>
  <si>
    <t>En curso</t>
  </si>
  <si>
    <t xml:space="preserve">3.Mejorar el estado de la malla vial local, intermedia, rural, y de la ciclo-infraestructura de Bogotá D.C., </t>
  </si>
  <si>
    <t>4.Mejorar las condiciones de Infraestructura que permitan el uso y disfrute del espacio público en Bogotá D.C.</t>
  </si>
  <si>
    <t xml:space="preserve">Gestión </t>
  </si>
  <si>
    <t>Relaciones Laborales</t>
  </si>
  <si>
    <t>NA</t>
  </si>
  <si>
    <t>Daños Activos Fisicos</t>
  </si>
  <si>
    <t>Proyecto de inversión</t>
  </si>
  <si>
    <t>Ejecucion y Administracion de procesos</t>
  </si>
  <si>
    <t>7858 Conservación de la Malla Vial Distrital y Cicloinfraestructura de Bogotá</t>
  </si>
  <si>
    <t>Fallas Tecnologicas</t>
  </si>
  <si>
    <t xml:space="preserve">7859 Fortalecimiento Institucional </t>
  </si>
  <si>
    <t>Usuarios, productos y practicas , organizacionales</t>
  </si>
  <si>
    <t>7860 Fortalecimiento de los componentes de TI para la transformación digital</t>
  </si>
  <si>
    <t>Corrupción</t>
  </si>
  <si>
    <t>Fraude Externo</t>
  </si>
  <si>
    <t>7903 Apoyo a la adecuación y conservación del espacio público de Bogotá</t>
  </si>
  <si>
    <t>Fraude Interno</t>
  </si>
  <si>
    <t>Soborno</t>
  </si>
  <si>
    <t>seguridad</t>
  </si>
  <si>
    <t xml:space="preserve">Pérdida de la integridad </t>
  </si>
  <si>
    <t xml:space="preserve">Pérdida de la confidencialidad </t>
  </si>
  <si>
    <t xml:space="preserve">Pérdida de la disponibilidad </t>
  </si>
  <si>
    <t>Acciones no autorizadas </t>
  </si>
  <si>
    <t>Compromiso de la información </t>
  </si>
  <si>
    <t>Compromiso de las funciones </t>
  </si>
  <si>
    <t>Daño físico </t>
  </si>
  <si>
    <t>TIPO</t>
  </si>
  <si>
    <t>AMENAZA</t>
  </si>
  <si>
    <t>Fallas técnicas </t>
  </si>
  <si>
    <t>Fuego</t>
  </si>
  <si>
    <t>Perdida de los servicios esenciales </t>
  </si>
  <si>
    <t>Agua</t>
  </si>
  <si>
    <t>Perturbación debida a la radiación </t>
  </si>
  <si>
    <t>Contaminación</t>
  </si>
  <si>
    <t>Eventos naturales </t>
  </si>
  <si>
    <t>Accidente Importante</t>
  </si>
  <si>
    <t>Destrucción del equipo o medios </t>
  </si>
  <si>
    <t>Polvo, corrosión, congelamiento </t>
  </si>
  <si>
    <t>Fenómenos climáticos </t>
  </si>
  <si>
    <t>Fenómenos sísmicos </t>
  </si>
  <si>
    <t>Fenómenos volcánicos </t>
  </si>
  <si>
    <t>Fenómenos meteorológicos </t>
  </si>
  <si>
    <t>Inundación </t>
  </si>
  <si>
    <t>Fallas en el sistema de suministro de agua o aire acondicionado </t>
  </si>
  <si>
    <t>Perdida de suministro de energía </t>
  </si>
  <si>
    <t>Falla en equipo de telecomunicaciones </t>
  </si>
  <si>
    <t>Radiación electromagnética </t>
  </si>
  <si>
    <t>Radiación térmica </t>
  </si>
  <si>
    <t>Impulsos electromagnéticos </t>
  </si>
  <si>
    <t>Interceptación de señales de interferencia comprometida </t>
  </si>
  <si>
    <t>Espionaje remoto </t>
  </si>
  <si>
    <t>Escucha encubierta </t>
  </si>
  <si>
    <t>Hurto de medios o documentos </t>
  </si>
  <si>
    <t>Hurto de equipo </t>
  </si>
  <si>
    <t>Recuperación de medios reciclados o desechados </t>
  </si>
  <si>
    <t>Divulgación </t>
  </si>
  <si>
    <t>Datos provenientes de fuentes no confiables </t>
  </si>
  <si>
    <t>Manipulación con hardware </t>
  </si>
  <si>
    <t>Manipulación con software </t>
  </si>
  <si>
    <t>Detección de la posición </t>
  </si>
  <si>
    <t>Fallas del equipo </t>
  </si>
  <si>
    <t>Mal funcionamiento del equipo </t>
  </si>
  <si>
    <t>Saturación del sistema de información </t>
  </si>
  <si>
    <t>Mal funcionamiento del software </t>
  </si>
  <si>
    <t>Incumplimiento en el mantenimiento del sistema de información. </t>
  </si>
  <si>
    <t>Uso no autorizado del equipo </t>
  </si>
  <si>
    <t>Copia fraudulenta del software </t>
  </si>
  <si>
    <t>Uso de software falso o copiado </t>
  </si>
  <si>
    <t>Corrupción de los datos </t>
  </si>
  <si>
    <t>Procesamiento ilegal de datos </t>
  </si>
  <si>
    <t>Error en el uso </t>
  </si>
  <si>
    <t>Abuso de derechos </t>
  </si>
  <si>
    <t>Falsificación de derechos </t>
  </si>
  <si>
    <t>Negación de acciones </t>
  </si>
  <si>
    <t>Incumplimiento en la disponibilidad del personal </t>
  </si>
  <si>
    <t>FORMATO MAPA RIESGOS DE PROCESO</t>
  </si>
  <si>
    <t>CÓDIGO: DESI-FM-018</t>
  </si>
  <si>
    <t>VERSIÓN: 11</t>
  </si>
  <si>
    <t>Proceso:</t>
  </si>
  <si>
    <t>Objetivo:</t>
  </si>
  <si>
    <t>Alcance:</t>
  </si>
  <si>
    <t>Identificación del riesgo</t>
  </si>
  <si>
    <t>Contexto</t>
  </si>
  <si>
    <t>Instrumentos posiblemente afectados</t>
  </si>
  <si>
    <t>Análisis del riesgo inherente</t>
  </si>
  <si>
    <t>Evaluación del riesgo - Valoración de los controles</t>
  </si>
  <si>
    <t>Evaluación del riesgo - Nivel del riesgo residual</t>
  </si>
  <si>
    <t xml:space="preserve">Tratamiento del riesgo -plan de acción </t>
  </si>
  <si>
    <t>ACCION DE CONTINGENCIA</t>
  </si>
  <si>
    <t xml:space="preserve">Referencia </t>
  </si>
  <si>
    <t xml:space="preserve">Actividad clave o fase del proyecto </t>
  </si>
  <si>
    <t>Internas</t>
  </si>
  <si>
    <t>Externas</t>
  </si>
  <si>
    <t>Efectos (Consecuencias)</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</si>
  <si>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</si>
  <si>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</si>
  <si>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</si>
  <si>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</si>
  <si>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</si>
  <si>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</si>
  <si>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</si>
  <si>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</si>
  <si>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</si>
  <si>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</si>
  <si>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</si>
  <si>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</si>
  <si>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Acción</t>
  </si>
  <si>
    <t>Responsable</t>
  </si>
  <si>
    <t>Producto</t>
  </si>
  <si>
    <t>Fecha Implementación</t>
  </si>
  <si>
    <t>ACCIÓN</t>
  </si>
  <si>
    <t>SOPORTE / PRODUCTO</t>
  </si>
  <si>
    <t>RESPONSABLE</t>
  </si>
  <si>
    <t xml:space="preserve">Proyecto de Inversión asociado </t>
  </si>
  <si>
    <t>Tipo</t>
  </si>
  <si>
    <t>Implementación</t>
  </si>
  <si>
    <t>Calificación</t>
  </si>
  <si>
    <t>Documentación</t>
  </si>
  <si>
    <t>Frecuencia</t>
  </si>
  <si>
    <t>Evidencia</t>
  </si>
  <si>
    <t xml:space="preserve">     El riesgo afecta la imagen de la entidad con algunos usuarios de relevancia frente al logro de los objetivos</t>
  </si>
  <si>
    <t>Preventivo</t>
  </si>
  <si>
    <t>Manual</t>
  </si>
  <si>
    <t>Documentado</t>
  </si>
  <si>
    <t>Continua</t>
  </si>
  <si>
    <t>Con Registro</t>
  </si>
  <si>
    <t>Detectivo</t>
  </si>
  <si>
    <t>Sin Documentar</t>
  </si>
  <si>
    <r>
      <rPr>
        <b/>
        <sz val="12"/>
        <rFont val="Arial"/>
        <family val="2"/>
      </rPr>
      <t xml:space="preserve">*Nota: </t>
    </r>
    <r>
      <rPr>
        <sz val="12"/>
        <rFont val="Arial"/>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</si>
  <si>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</si>
  <si>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 RIESGOS GESTIÓN</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</si>
  <si>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</si>
  <si>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</si>
  <si>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</si>
  <si>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</si>
  <si>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</si>
  <si>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</si>
  <si>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</si>
  <si>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</si>
  <si>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</si>
  <si>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</si>
  <si>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</si>
  <si>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</si>
  <si>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</si>
  <si>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</si>
  <si>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</si>
  <si>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 RIESGOS GESTIÓN</t>
  </si>
  <si>
    <t>Actividad clave o fase del proyecto</t>
  </si>
  <si>
    <t>Correctivo</t>
  </si>
  <si>
    <t>IMPACTO CORRUPCIÓN</t>
  </si>
  <si>
    <t>No.</t>
  </si>
  <si>
    <t>SI EL RIESGO DE CORRUPCIÓN SE MATERIALIZA PODRÍA...</t>
  </si>
  <si>
    <t>RESPUESTA</t>
  </si>
  <si>
    <t>SI</t>
  </si>
  <si>
    <t>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</si>
  <si>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</si>
  <si>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</si>
  <si>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</si>
  <si>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</si>
  <si>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</si>
  <si>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</si>
  <si>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</si>
  <si>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</si>
  <si>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</si>
  <si>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</si>
  <si>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</si>
  <si>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</si>
  <si>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</si>
  <si>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</si>
  <si>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</si>
  <si>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</si>
  <si>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</si>
  <si>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</si>
  <si>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</si>
  <si>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 xml:space="preserve">TOTAL RESPUESTAS AFIRMATIVAS </t>
  </si>
  <si>
    <r>
      <t>Responder afirmativamente de 1 a 5 pregunta(s) genera un impacto</t>
    </r>
    <r>
      <rPr>
        <b/>
        <sz val="10"/>
        <rFont val="Arial"/>
        <family val="2"/>
      </rPr>
      <t xml:space="preserve"> Moderado</t>
    </r>
    <r>
      <rPr>
        <sz val="11"/>
        <color theme="1"/>
        <rFont val="Arial"/>
        <family val="2"/>
      </rPr>
      <t xml:space="preserve">
Responder afirmativamente de 6 a 11 preguntas genera un impacto </t>
    </r>
    <r>
      <rPr>
        <b/>
        <sz val="10"/>
        <rFont val="Arial"/>
        <family val="2"/>
      </rPr>
      <t xml:space="preserve">Mayor </t>
    </r>
    <r>
      <rPr>
        <sz val="11"/>
        <color theme="1"/>
        <rFont val="Arial"/>
        <family val="2"/>
      </rPr>
      <t xml:space="preserve">
Responder afirmativamente de 12 a 19 preguntas genera un impacto </t>
    </r>
    <r>
      <rPr>
        <b/>
        <sz val="10"/>
        <rFont val="Arial"/>
        <family val="2"/>
      </rPr>
      <t>Catastrófico</t>
    </r>
    <r>
      <rPr>
        <sz val="11"/>
        <color theme="1"/>
        <rFont val="Arial"/>
        <family val="2"/>
      </rPr>
      <t>.</t>
    </r>
  </si>
  <si>
    <t>Tipo de activo</t>
  </si>
  <si>
    <t>Activo de información</t>
  </si>
  <si>
    <t>Tipo de amenaza</t>
  </si>
  <si>
    <t>Amenaza</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</si>
  <si>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</si>
  <si>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</si>
  <si>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</si>
  <si>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</si>
  <si>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</si>
  <si>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</si>
  <si>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</si>
  <si>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</si>
  <si>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</si>
  <si>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</si>
  <si>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</si>
  <si>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</si>
  <si>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</si>
  <si>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</si>
  <si>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</si>
  <si>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 xml:space="preserve">Equivalente </t>
  </si>
  <si>
    <t>Insignificante</t>
  </si>
  <si>
    <t>Leve 20%</t>
  </si>
  <si>
    <t xml:space="preserve">Afectación menor a 130 SMLMV </t>
  </si>
  <si>
    <t>El riesgo afecta la imagen de alguna área de la organización</t>
  </si>
  <si>
    <t>Menor</t>
  </si>
  <si>
    <t xml:space="preserve">Menor 40% </t>
  </si>
  <si>
    <t xml:space="preserve">Entre 130 y 650 SMLMV </t>
  </si>
  <si>
    <t>El riesgo afecta la imagen de la entidad internamente, de conocimiento general, nivel interno, de junta dircetiva y accionistas y/o de provedores</t>
  </si>
  <si>
    <t>Moderado 60%</t>
  </si>
  <si>
    <t xml:space="preserve">Entre 650 y 1300 SMLMV </t>
  </si>
  <si>
    <t>El riesgo afecta la imagen de la entidad con algunos usuarios de relevancia frente al logro de los objetivos</t>
  </si>
  <si>
    <t>Mayor</t>
  </si>
  <si>
    <t>Mayor 80%</t>
  </si>
  <si>
    <t xml:space="preserve">Entre 1300 y 6500 SMLMV </t>
  </si>
  <si>
    <r>
      <t>El riesgo afecta la imagen de</t>
    </r>
    <r>
      <rPr>
        <sz val="26"/>
        <color theme="9" tint="-0.249977111117893"/>
        <rFont val="Arial Narrow"/>
        <family val="2"/>
      </rPr>
      <t xml:space="preserve">  la entidad </t>
    </r>
    <r>
      <rPr>
        <sz val="26"/>
        <color rgb="FF000000"/>
        <rFont val="Arial Narrow"/>
        <family val="2"/>
      </rPr>
      <t>con efecto publicitario sostenido a nivel de sector administrativo, nivel departamental o municipal</t>
    </r>
  </si>
  <si>
    <t>Catastrófico</t>
  </si>
  <si>
    <t>Catastrófico 100%</t>
  </si>
  <si>
    <t xml:space="preserve">Mayor a 6500 SMLMV </t>
  </si>
  <si>
    <t>El riesgo afecta la imagen de la entidad a nivel nacional, con efecto publicitarios sostenible a nivel país</t>
  </si>
  <si>
    <t>Afectación_Económica_o_presupuestal</t>
  </si>
  <si>
    <t xml:space="preserve">     Afectación menor a 130 SMLMV .</t>
  </si>
  <si>
    <t xml:space="preserve">     El riesgo afecta la imagen de alguna área de la organización</t>
  </si>
  <si>
    <t>Pérdida_Reputacional</t>
  </si>
  <si>
    <t xml:space="preserve">     Entre 130 y 650 SMLMV </t>
  </si>
  <si>
    <t xml:space="preserve">     El riesgo afecta la imagen de la entidad internamente, de conocimiento general, nivel interno, de junta dircetiva y accionistas y/o de provedores</t>
  </si>
  <si>
    <t xml:space="preserve">     Entre 650 y 1300 SMLMV </t>
  </si>
  <si>
    <t xml:space="preserve">     Entre 1300 y 6500 SMLMV </t>
  </si>
  <si>
    <t xml:space="preserve">     El riesgo afecta la imagen de de la entidad con efecto publicitario sostenido a nivel de sector administrativo, nivel departamental o municipal</t>
  </si>
  <si>
    <t xml:space="preserve">     Mayor a 6500 SMLMV </t>
  </si>
  <si>
    <t xml:space="preserve">     El riesgo afecta la imagen de la entidad a nivel nacional, con efecto publicitarios sostenible a nivel país</t>
  </si>
  <si>
    <t>Criterios</t>
  </si>
  <si>
    <t>Subcriterios</t>
  </si>
  <si>
    <t>Catastrofico</t>
  </si>
  <si>
    <t>Afectación Económica o presupuestal</t>
  </si>
  <si>
    <t>Afectación menor a 130 SMLMV .</t>
  </si>
  <si>
    <t>El riesgo afecta la imagen de de la entidad con efecto publicitario sostenido a nivel de sector administrativo, nivel departamental o municipal</t>
  </si>
  <si>
    <t>❌</t>
  </si>
  <si>
    <t>✔</t>
  </si>
  <si>
    <t>Gestión</t>
  </si>
  <si>
    <t>Ejecución y administración de procesos</t>
  </si>
  <si>
    <t>Pérdidas derivadas de errores en la ejecución y administración de procesos.</t>
  </si>
  <si>
    <t>Relaciones laborales</t>
  </si>
  <si>
    <t>Pérdidas que surgen de acciones contrarias a las leyes o acuerdos de empleo, salud o seguridad, del pago de demandas por  daños personales o de discriminación.</t>
  </si>
  <si>
    <t>Daños a activos fijos/ eventos externos</t>
  </si>
  <si>
    <t>Pérdida por daños o extravíos de los activos fijos por desastres naturales u otros riesgos/eventos externos como atentados, vandalismo, orden público.</t>
  </si>
  <si>
    <t>Seguridad Digital</t>
  </si>
  <si>
    <t>Fallas tecnológicas</t>
  </si>
  <si>
    <t>Errores en hardware, software, telecomunicaciones, interrupción de servicios básicos.</t>
  </si>
  <si>
    <t>Fraude externo</t>
  </si>
  <si>
    <t>Pérdida derivada de actos de fraude por personas ajenas a la organización (no participa personal de la entidad).</t>
  </si>
  <si>
    <t>Fraude interno</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</si>
  <si>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</si>
  <si>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Cuando una persona da u ofrece “dinero u otra utilidad para que se realice u omita un acto propio del cargo de un funcionario público, o para que se ejecute uno contrario a sus deberes oficiales”</t>
  </si>
  <si>
    <t>Determina que la información no esté disponible ni sea revelada a individuos, entidades o procesos no autorizados.</t>
  </si>
  <si>
    <t>Determina la exactitud y completitud de la información, permitiendo que la información sea precisa, coherente y completa desde su creación hasta su destrucción.</t>
  </si>
  <si>
    <t>Determina la accesibilidad y utilización de la información por solicitud de una persona entidad o proceso autorizada cuando así lo requiera esta, en el momento y en la forma que se requiere ahora y en el futuro, al igual que los recursos necesarios para su uso.</t>
  </si>
  <si>
    <t>TIPO DE ACTIVO</t>
  </si>
  <si>
    <t>INFORMACIÓN</t>
  </si>
  <si>
    <t>SOFTWARE</t>
  </si>
  <si>
    <t>HARDWARE</t>
  </si>
  <si>
    <t>INSTALACIONES</t>
  </si>
  <si>
    <t>PROCESOS</t>
  </si>
  <si>
    <t>RECURSOS HUMANOS</t>
  </si>
  <si>
    <t>RED</t>
  </si>
  <si>
    <t>SERVICIOS</t>
  </si>
  <si>
    <t>EQUIPAMIENTO AUXILIAR</t>
  </si>
  <si>
    <t>COMPONENTES DE RED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</si>
  <si>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</si>
  <si>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</si>
  <si>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</si>
  <si>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</si>
  <si>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</si>
  <si>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</si>
  <si>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</si>
  <si>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</si>
  <si>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</si>
  <si>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</si>
  <si>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</si>
  <si>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</si>
  <si>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</si>
  <si>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</si>
  <si>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</si>
  <si>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</si>
  <si>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</si>
  <si>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</si>
  <si>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</si>
  <si>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</si>
  <si>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</si>
  <si>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</si>
  <si>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Registro Sustancial</t>
  </si>
  <si>
    <t>Registro Material</t>
  </si>
  <si>
    <t>Sin registro</t>
  </si>
  <si>
    <t>Reducir</t>
  </si>
  <si>
    <t>FECHA DE APLICACIÓN: NOVIEMBRE 2022</t>
  </si>
  <si>
    <t xml:space="preserve">Tratamiento del riesgo -Plan de acción </t>
  </si>
  <si>
    <t xml:space="preserve">Acción de Contigencia </t>
  </si>
  <si>
    <t>Objetivo Institucional  asociado</t>
  </si>
  <si>
    <t>Pérdida de información por ingreso de personal no autorizado al centro de cómputo</t>
  </si>
  <si>
    <t>Carencias en la asignación de permisos a los usuarios para ingresar al centro de computo.
Firmware desactualizado</t>
  </si>
  <si>
    <t xml:space="preserve">
Posibilidad de Afectación Reputacional por pérdida de información por ingreso de personal no autorizado al centro de cómputo debido a Carencias en la asignación de permisos a los usuarios para ingresar al centro de computo y Firmware desactualizado</t>
  </si>
  <si>
    <t>Equipo Biométrico DataCenter</t>
  </si>
  <si>
    <t>Mal funcionamiento del software</t>
  </si>
  <si>
    <t>Los Analistas de Mesa de ayuda designados por el Líder de Infraestructura, cada año o cuando ingrese o egrese un funcionario público y/o contratista con permisos de ingreso, deben verificar que el formato GSIT-FM-010-V2 Formato Gestión de Credenciales de Acceso y Novedades cumpla con los permisos correspondientes, para realizar el proceso de depuración de los usuarios con acceso al centro de cómputo; en caso de requerir el acceso a un tercero, debe solicitarse el permiso vía correo electrónico al Líder de Infraestructura el cual notificará a los Analistas, una vez se ingrese al centro de computo debe diligenciarse el formato GSIT-FM-003-V1 Bitácora Ingreso-Salida Centro Computo; La herramienta que garantizara el control es un biométrico en donde este restringe el acceso a personal no autorizado.
En caso de presentarse una desviación, que para este caso es que alguien no autorizado ingrese al data center, se deberán consultar las cámaras y realizar la respectiva investigación de cuál fue el objeto de ingresar al centro de cómputo y que acciones realizó dentro, con base en esta información se solicitará a la oficina de control disciplinario iniciar con los respectivos tramites sancionatorios. En caso de que el personal identificado que se presenta en la sede no corresponde al manifestado por el tercero/proveedor, se debe notificar al Líder de Infraestructura para que realiza los respectivos tramites ante el proveedor para su correctos solicitud de permisos</t>
  </si>
  <si>
    <t>Los Analistas de Mesa de Ayuda, Cuatrimestral deben verificar las notas de la versión del firmware actual de los equipos biométricos de las sedes Administrativa y Operativa, comparándolas con las existentes en el sitio web oficial del fabricante, mediante el diligenciamiento de la bitácora de Seguimiento de Infraestructura. En caso de existir nuevas versiones se realizará  el escalamiento correspondiente al Líder de Infraestructura vía correo electrónico quien solicitará por la misma vía al proveedor FAMOC la realización del plan de trabajo para la actualización del dispositivo. 
La evidencia de esta actividad es el diligenciamiento de la bitácora de Seguimiento de Infraestructura, las notas de la versión, correo electrónico  y el plan de actualización cuando aplique.</t>
  </si>
  <si>
    <t>Realizar monitoreo Trimestral del acceso autorizado al DC del biométrico.</t>
  </si>
  <si>
    <t>Analista Soporte Nivel II
Analista Mesa de Ayuda</t>
  </si>
  <si>
    <t>Bitácora de Infraestructura</t>
  </si>
  <si>
    <t>Actualización de los usuarios autorizados y versión del dispositivo biométrico datacenter</t>
  </si>
  <si>
    <t>Analista Soporte Nivel II</t>
  </si>
  <si>
    <t>Trimestral</t>
  </si>
  <si>
    <t>Pérdida de disponibilidad servicios de Directorio Activo</t>
  </si>
  <si>
    <t>Daños Físicos en los equipos que se pueden presentar por Falta de mantenimiento físico preventivo, desgaste natural de los componentes electrónicos, Fallos en el circuito eléctrico 
Corrupción o deterioro del sistema operativo que pueden ocasionando daños en la Configuración del servidor o en las base de datos del directorio activo.</t>
  </si>
  <si>
    <t xml:space="preserve">
Posibilidad de Afectación de pérdida Reputacional  y económico por Pérdida de disponibilidad servicios del Directorio Activo debido a Daños Físicos en los equipos que se pueden presentar por Falta de mantenimiento físico preventivo, desgaste natural de los componentes electrónicos, Fallos en el circuito eléctrico y por Corrupción o deterioro del sistema operativo que pueden ocasiones daños en la Configuración del servidor o en las base de datos del directorio activo.</t>
  </si>
  <si>
    <t>1. UMVSVRDC01
Servidor AD Principal.
2. OCI-SRV-AD</t>
  </si>
  <si>
    <t>1. Indisponibilidad de los servicios de red.
2. Daño físico de los equipos y redes de IT.
3. Hurto de equipos de propiedad o bajo custodia de la Entidad.</t>
  </si>
  <si>
    <t>El Líder del grupo de infraestructura designado por la Secretaria General junto con el grupo de infraestructura cada  cuatro meses debe revisar el cumplimiento al plan de mantenimiento anual donde se incluye el mantenimiento a los servidores físicos, diligenciando la bitácora de infraestructura, en caso que no se cumpla el plan de mantenimiento este se escalara al líder de infraestructura vía correo electrónico, quien dará las instrucciones a seguir a fin de garantizar el correcto funcionamiento de los servidores, como evidencia de esta actividad quedara el registro en la bitácora de infraestructura, los correos electrónicos cuando aplique, el informe de mantenimiento, el plan de mantenimiento.</t>
  </si>
  <si>
    <t>El especialista de servidores debe revisar semanalmente el estado de los controladores de dominio por medio de la herramienta tecnológica de monitoreo  la evidencia de este control esta definida en los informes semanales del proceso.
En caso de alerta de la herramienta se informa al líder de infraestructura vía correo electrónico y se inicia prueba de conectividad y soporte en sitio.
Como evidencia de esta actividad quedará los informes semanales del proceso y correo electrónico cuando aplique.</t>
  </si>
  <si>
    <t>Los especialistas de Servidores designados por la Secretaria General, trimestralmente deberán verificar el funcionamiento del servidor de directorio activo  realizando un mantenimiento lógico preventivo (desfragmentación de disco, limpieza de archivos temporales, verificación e instalación de actualizaciones), diligenciando la Bitácora de infraestructura, en caso que el mantenimiento evidencie un mal funcionamiento en los servicios, se procederá a realizar un backup del directorio activo y se escala vía correo electrónico al líder de infraestructura la novedad, como evidencia de esta actividad quedan el registro en la bitácora de infraestructura, el backup del directorio activo y correo electrónico cuando aplique.</t>
  </si>
  <si>
    <t>Realizar monitoreo Mensual del funcionamiento del servidor del AD</t>
  </si>
  <si>
    <t>Especialista Servidores</t>
  </si>
  <si>
    <t>Mensual</t>
  </si>
  <si>
    <t>Realizar monitoreo Mensual del funcionamiento a través de los correos emitidos por plataforma Pandora.</t>
  </si>
  <si>
    <t>Realizar monitoreo Mensual del Funcionamiento del AD</t>
  </si>
  <si>
    <t>Pérdida de la disponibilidad de las herramientas de Office 365</t>
  </si>
  <si>
    <t>Fallos internos en la plataforma del proveedor (Microsoft) que afectan los servicios prestados por el proveedor.
Accesos no autorizados con privilegios de administrador, que modifiquen las configuraciones de la herramienta y ocasionen indisponibilidad del servicio.</t>
  </si>
  <si>
    <t>Posibilidad de afectación Reputacional  y económico por
Pérdida de la disponibilidad de las herramientas de Office 365
que se pueden presentar por Fallos internos en la plataforma del proveedor (Microsoft) que afectan los servicios prestados por el proveedor y por accesos no autorizados con privilegios de administrador, que modifiquen las configuraciones de la herramienta y ocasionen indisponibilidad del servicio.</t>
  </si>
  <si>
    <t>Office 365</t>
  </si>
  <si>
    <t>Incumplimiento al Mantenimiento de la infraestructura cloud.</t>
  </si>
  <si>
    <t>Los especialistas de servidores mensualmente deben verificar que los servicios prestados por el proveedor Microsoft se encuentren disponibles diligenciando la bitácora de Seguimiento de infraestructura ingresando a la consola de administración de office 365.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Bitácora de Seguimiento de Infraestructura, Solicitud de Servicio cuando aplique y correo electrónico cuando aplique.</t>
  </si>
  <si>
    <t xml:space="preserve">El líder del grupo de infraestructura designado por la Secretaria General, junto con el equipo de infraestructura, cada cuatro meses debe realizar el proceso de verificación y depuración de los usuarios que tienen acceso a las plataformas Oracle Cloud Infrastructure y Office 365, de acuerdo a la fecha de finalización de contrato cotejando con el directorio activo, En el caso de encontrar usuarios retirados de la compañía pero con acceso vigente a las plataformas se deberá eliminar inmediatamente la cuenta de usuario; de este proceso resultará la bitácora de seguimiento de infraestructura donde se especifica los roles y perfiles de los colaboradores y el rango de tiempo en los cuales tendrán acceso, esto con el fin de garantizar la seguridad en el acceso en las plataformas. </t>
  </si>
  <si>
    <t xml:space="preserve">Realizar Seguimiento de las incidencias presentadas sobre la Disponibilidad de Office 365 </t>
  </si>
  <si>
    <t>Realizar Seguimiento Semestral del proceso de verificación y depuración de los usuarios con acceso a Oracle y Office 365</t>
  </si>
  <si>
    <t>Informar vía correo electrónico al Líder de infraestructura la novedad de retiro correspondiente del personal que administra plataformas tecnológicas.</t>
  </si>
  <si>
    <t>Correo Electrónico</t>
  </si>
  <si>
    <t>Supervisor Contrato</t>
  </si>
  <si>
    <t>Pérdida de la disponibilidad de acceso a los recursos de la red suministrados por el AD.</t>
  </si>
  <si>
    <t>allas en la prestación de servicio de Internet debido a daños ocasionados en la infraestructura física.
Degradación del servicio AD, debido a fallas en el sistema operativo que impiden el logueo de los usuarios
Fallas en la prestación del servicio eléctrico debido a daños ocasionado en la infraestructura física</t>
  </si>
  <si>
    <t>Posibilidad de Afectación Económica y Reputacional, por Pérdida de la disponibilidad de accesos a los recursos de la red, suministrados por el AD, ocasionados por Fallas en la prestación de servicio de Internet por parte del proveedor, debido a daños ocasionados en la infraestructura física, debido a Fallas físicas en los switch de borde, debido a daños en los componentes electrónicos que impiden la conectividad entre los dispositivos y debido a Fallas en la prestación del servicio eléctrico debido a daños ocasionado en la infraestructura física</t>
  </si>
  <si>
    <t>1. UMVSVRDC03 
Servidor Respaldo AD Sede Operativa
2. UMVSVRDC04
Servidor Respaldo AD Sede Producción</t>
  </si>
  <si>
    <t>Incumplimiento al Mantenimiento de la infraestructura tecnológica de la entidad por parte del proveedor FAMOC.</t>
  </si>
  <si>
    <t>El especialista Nivel II diariamente debe verificar el estado de disponibilidad de los AD de las Sedes, a través del diligenciamiento del Formulario de Estado de Servicios Tecnológicos. En caso de presentarse, indisponibilidad del servicio, se notifica al equipo de infraestructura vía correo electrónico quienes verificarán la causa del inconveniente por medio de un diagnóstico, a través del diligenciamiento del Formulario de Estado de Servicios Tecnológicos y del formato de Control de Cambios en caso de ser necesario.
Como evidencia de esta actividad, resultará Formulario de Estado de Servicios Tecnológicos. Correo electrónico y Formato de Control de Cambios en caso de ser necesario.</t>
  </si>
  <si>
    <t>Realizar reporte del Estado de Indisponibilidad del Servicio AD</t>
  </si>
  <si>
    <t>Realizar monitoreo del Funcionamiento del AD</t>
  </si>
  <si>
    <t>Especialista Nivel II</t>
  </si>
  <si>
    <t>Especialistas de Servidores</t>
  </si>
  <si>
    <t>Formulario de Estado de Servicios Tecnológicos</t>
  </si>
  <si>
    <t>Migrar los roles FSMO al controlador AD alterno</t>
  </si>
  <si>
    <t>Bitácora de Infraestructura
/
Formato Control de Cambios</t>
  </si>
  <si>
    <t>Perdida de la Disponibilidad por Falla en el ingreso al aplicativo ARANDA e Incumplimiento en los Acuerdo de Niveles de Servicio</t>
  </si>
  <si>
    <t>Fallas de conexión a la Base de Datos debido a problemas de conectividad ocasionados por degradación de IaaS y PaaS que almacenan el servicio ARANDA.
Degradación del Sistema Operativo debido a las necesidades de capacidades de la herramienta.</t>
  </si>
  <si>
    <t>Posibilidad de Afectación Reputacional por Falla en el ingreso al aplicativo ARANDAe Incumplimiento en los Acuerdo de Niveles de Servicio ocasionados por Fallas de conexión a la Base de Datos debido a problemas de conectividad ocasionados por degradación de IaaS y PaaS que almacenan el servicio ARANDA y por la degradación del Sistema Operativo debido a las necesidades de capacidades de la herramienta.</t>
  </si>
  <si>
    <t>1.ARANDA</t>
  </si>
  <si>
    <t xml:space="preserve">El especialista de Nube,mensualmente debe verificar la realización de las copias de seguridad de Aranda a través de la consola de administración de la nube (oracle) en donde se revisará la cantidad incremental de las copias realizadas durante el mes. En caso de alerta de no realización de la copia de seguridad vía correo electrónico, se realiza la respectiva copia de forma manual. Evidencia: Pantallazo de la cantidad de copias realizadas durante el mes (30), correo electrónico y soporte de copia de seguridad manual cuando aplique </t>
  </si>
  <si>
    <t>Los especialistas en servidores designados por la Secretaria General a través de la plataforma de administración de Oracle cloud Mensualmente deben verificar que se estén ejecutándolas tareas de copias de seguridad de la maquina virtual (S.O) y sus discos adjuntos de acuerdo a las políticas de backup establecidas en  la plataforma diligenciando la bitácora de infraestructura, en caso de evidenciar que no se ejecuto el backup programado, se deberá realizar inmediatamente la copia y el escalamiento correspondiente al proveedor de servicio mediante la plataforma service request, como evidencia de esta actividad se tiene bitácora de infraestructura, el escalamiento al proveedor del servicio cuando aplique.</t>
  </si>
  <si>
    <t>Verificar funcionamiento de la copia de seguridad realizada</t>
  </si>
  <si>
    <t>Restaurar BD y/o imagen de Maquina Virtual del Servicio ARANDA</t>
  </si>
  <si>
    <t>Especialista Nube
/
 Especialistas Servidores (Maquina Virtual)</t>
  </si>
  <si>
    <t>Perdida de la Disponibilidad por Falla en el ingreso de los servicios de red y aplicaciones misionales y de apoyo</t>
  </si>
  <si>
    <t>Fallas en la prestación del servicio eléctrico debido a daños ocasionado en la infraestructura física.
Deterioro del software y/o hardware debido a la falta de mantenimiento de los dispositivos y/o por actualizaciones de su firmware.</t>
  </si>
  <si>
    <t>Posibilidad de afectación Económica y Reputacional, por Pérdida de la disponibilidad debido a la Falla en el ingreso de los servicios de red y aplicaciones misionales y de apoyo, ocasionados por las Fallas en la prestación del servicio eléctrico presentado por daños en la infraestructura física y por el Deterioro del software y/o hardware debido a la falta de mantenimiento de los dispositivos y/o por actualizaciones de firmware.</t>
  </si>
  <si>
    <t>Equipos de Seguridad Perimetral</t>
  </si>
  <si>
    <t>Fallas del equipo 
Mal funcionamiento del software 
Incumplimiento en el mantenimiento del sistema de información.</t>
  </si>
  <si>
    <t>El especialista de seguridad informática, cada cuatro meses (4) meses debe verificar las notas de la versión del firmware actual de los equipos de seguridad perimetral comparándolas con las existentes en el sitio web oficial del fabricante mediante el diligenciamiento de la bitácora "seguimiento de actualización de firmware de equipos perimetrales",  en caso de existir nuevas versiones se realizará el plan de trabajo para la actualización del dispositivo. 
La evidencia de esta actividad es el diligenciamiento de la bitácora "seguimiento de actualización de firmware de equipos perimetrales", las notas de la versión y el plan de actualización cuando se ejecute.</t>
  </si>
  <si>
    <t>El especialista de seguridad informática, cada vez que ocurra el evento se debe revisar los logs de los equipos de seguridad perimetral para verificar que los apagados no controlados no causaron daños en estos, diligenciando la bitácora "Seguimiento de estado de equipos de seguridad perimetral".
En caso de presentarse alguna alerta de apagado no controlado y/o daño de los equipos de seguridad perimetral, se debe notificar vía correo electrónico al líder de infraestructura para que realice el escalamiento pertinente.
Las evidencia de esta actividad es el diligenciamiento de la bitácora "Seguimiento de estado de equipos de seguridad perimetral", los logs de los equipos de seguridad perimetral y los correos de notificación de escalamiento del evento cuando aplique.</t>
  </si>
  <si>
    <t xml:space="preserve">designado por la Secretaria General, cada vez que se realice un cambio en la infraestructura tecnológica debe validar lo dispuesto en EGTI-DI-006 Política de Responsabilidades y Control de Cambios y  convocar a reunión a los colaboradores a los cuales impacte dicho cambio, como evidencia del procedimiento resultará EGTI-FM-001 Formato Control de Cambios esto garantizará que lo cambios no afecten la disponibilidades de los sistemas de información. Este control se realiza con el fin de estudiar todas las variables que existen en el cambio y así poder desarrollar un plan de acción que permita la disponibilidad de los servicios.
En caso que no se aplique lo establecido en la política o cuando ocurra algún inconveniente en la aplicación se deberá restablecer el cambio a la versión a anterior mientras se inicia de nuevo con la aplicación de la política de control de cambios y se resuelve el inconveniente. </t>
  </si>
  <si>
    <t>El especialista de seguridad informática cada seis (6) meses debe verificar el End of Support (EoS) en la pagina web del fabricante determinando el estado de este, diligenciando la bitácora  "Seguimiento de estado de equipos de seguridad perimetral"; y cada vez que se deba realizar una compra de un elemento de la infraestructura tecnológica, deberá realizar una ficha técnica del elemento en la cual se evidencie la interacción del elemento y/o sistema con la infraestructura actual y se evidencie la compatibilidad entre los elementos, Con esta ficha evitaremos que cuando llegue el elemento o se implemente el sistema no sea compatible con la infraestructura tecnológica existente. 
En caso de presentarse el End of Support (EoS), se notificará al Líder del grupo de infraestructura designado por la Secretaria General, vía correo electrónico, para su respectivo escalamiento, por otra parte, en caso que el elemento de infraestructura requerido supere el presupuesto disponible, se debe incluir en el plan de adquisiciones de la próxima vigencia. 
La evidencia de la actividad del EoS es el diligenciamiento de la bitácora "Seguimiento de estado de equipos de seguridad perimetral" y notificaciones vía correos electrónicos cuando aplique.
La evidencia de la actividad adquisición de elementos de infraestructura es la ficha técnica del elemento y el plan de adquisiciones cuando aplique.</t>
  </si>
  <si>
    <t>El especialista de Seguridad Informática, cada cuatro meses (4) debe verificar la ejecución de los mantenimientos programados en el plan anual de mantenimientos diligenciando la hoja de vida de los equipos activos de red. En caso de que no se realicen los mantenimientos según lo programado, se escala al Líder de Infraestructura vía correo electrónico la no ejecución, quien tomará las acciones correspondientes.
Evidencia: Hoja de Vida de Equipos Activos de Red, Plan de Mantenimiento, correo electrónico cuando aplique.</t>
  </si>
  <si>
    <t>Realizar seguimiento el mantenimiento del sistema eléctrico del centro de datos donde se almacenan los dispositivos de seguridad perimetral</t>
  </si>
  <si>
    <t>Especialista Seguridad Informática</t>
  </si>
  <si>
    <t>Solicitar a proveedor el cambio del dispositivo afectado.</t>
  </si>
  <si>
    <t>Correo Electrónico Gerente de Sede.</t>
  </si>
  <si>
    <t>Especialista Seguridad Informática 
/
 Líder Infraestructura</t>
  </si>
  <si>
    <t>Pérdida de la disponibilidad de los documentos de las áreas operativas</t>
  </si>
  <si>
    <t>Falla en la conectividad de red, debido a inconvenientes internos por parte del proveedor (ORACLE).
Degradación del sistema operativo del servidor debido a actualizaciones no testeadas previamente.</t>
  </si>
  <si>
    <t>Posibilidad de Afectación Económica y Reputacional por Pérdida de la disponibilidad de los documentos de las áreas operativas, ocasionados por Falla en la conectividad de red, debido a inconvenientes internos por parte del proveedor (ORACLE) y/o por degradación del sistema operativo del servidor debido a actualizaciones no testeadas previamente.</t>
  </si>
  <si>
    <t>1. OCI-FILESRV
2. SpiceWork</t>
  </si>
  <si>
    <t xml:space="preserve">Fallas del equipo 
Mal funcionamiento del software 
Incumplimiento en el mantenimiento del sistema de información. </t>
  </si>
  <si>
    <t>Los especialistas de servidores mensualmente deben verificar que los servicios prestados por el proveedor Oracle se encuentren disponibles diligenciando la bitácora de Seguimiento de infraestructura ingresando a la consola de administración de Oracle.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Bitácora de Seguimiento de Infraestructura, Solicitud de Servicio cuando aplique y correo electrónico cuando aplique.</t>
  </si>
  <si>
    <t>os especialistas en servidores designados por la Secretaria General, mensualmente  deben verificar que se estén realizando las copias de seguridad de las maquinas que están en la plataforma Oracle cloud mediante el diligenciamiento de la bitácora de infraestructura , en caso de evidenciar que no se ejecuto el backup programado, se deberá realizar inmediatamente la copia y el escalamiento correspondiente al proveedor de servicio mediante la plataforma service request, como evidencia de esta actividad se tiene bitácora de infraestructura, el escalamiento al proveedor del servicio cuando aplique.</t>
  </si>
  <si>
    <t>Los especialistas en servidores, mensualmente deben verificar las actualizaciones disponibles del sistemas operativo del servidor en la plataforma Microsoft a través del  diligenciamiento de la Bitácora de Infraestructura de las pruebas en el servidor WSUS. En caso de presentar inconsistencias en la actualización, se escalará al Líder de Infraestructura el inconveniente quien dará las instrucciones correspondientes.
Evidencia: Bitácora de Infraestructura, Correo electrónico cuando aplique.</t>
  </si>
  <si>
    <t>Realizar Seguimiento de las incidencias presentadas sobre la Disponibilidad de Oracle</t>
  </si>
  <si>
    <t>Realizar monitoreo de la ejecución de las tareas de backup programadas en Oracle Cloud.</t>
  </si>
  <si>
    <t>Realizar seguimiento a las actualizaciones del Sistema operativo del Servidor disponibles en plataforma Microsoft.</t>
  </si>
  <si>
    <t>Especialistas en Servidores</t>
  </si>
  <si>
    <t>Reporte del Estado de los Servicios de Oracle Cloud</t>
  </si>
  <si>
    <t>Reporte de Listado de Backup disponibles en Plataforma Oracle Cloud.</t>
  </si>
  <si>
    <t>Escalar el caso a Oracle por perdida de disponibilidad en los servicios
/
Restablecer última copia de seguridad del servidor</t>
  </si>
  <si>
    <t>Ticket Oracle Cloud
/
Formato Control de Cambios</t>
  </si>
  <si>
    <t>Especialistas Servidores
/
Líder de Infraestructura</t>
  </si>
  <si>
    <t>Realizar monitoreo Trimestral del funcionamiento del dispositivo Biométrico del datacenter.</t>
  </si>
  <si>
    <t>Pérdida de la disponibilidad por fallas en el harware o software de los equipos de</t>
  </si>
  <si>
    <t>Daños en el dispositivo por Falta de mantenimiento preventivo.
Falta de actualizaciones en el sistema operativo.</t>
  </si>
  <si>
    <t>Posibilidad de Pérdida Reputacional por fallas en el harware o software de los equipos de Cómputo debido a Daños en los dispositivos por Falta de mantenimiento preventivo y/o por Falta de actualizaciones en el sistema operativo.</t>
  </si>
  <si>
    <t>Equipos de Cómputo</t>
  </si>
  <si>
    <t xml:space="preserve">Mal funcionamiento del equipo </t>
  </si>
  <si>
    <t>El Líder del grupo de infraestructura designado por la Secretaria General, cada cuatro meses deber revisar el cumplimiento del plan de mantenimiento, mediante el diligenciamiento de la bitacora de equipos de computo, en donde se podra evidenciar en que sedes y a cuales equipos se les realizó mantenimiento preventivo, en caso de que se evidencie que los mantenimientos no se realicen en los tiempos establecidos se escalará via correo electronico al proveedor para programacion de la nueva fecha la cual no puede pasar mas de una semana.
Evidencia:bitacora de equipos de computo y correo electronico en el caso que aplique</t>
  </si>
  <si>
    <t>Los especialistas en servidores, mensualmente deben verificar las actualizaciones disponibles del sistemas operativo microsoft a través del  diligenciamiento de la Bitacora de Infraestructura de las pruebas en el servidor WSUS. En caso de presentar inconsistencias en la actualización, se escalará al Líder de Infraestructura el inconveniente quien dará las instrucciones correspondientes.
Evidencia: Bitacora de Infraestructura, Correo electrónico cuando aplique.</t>
  </si>
  <si>
    <t>Seguimiento del funcionamiento de las actualizaciones del Sistema operativo instaladas</t>
  </si>
  <si>
    <t>Hacer seguimiento del funcionamienton de los mantenimientos realizados con base en el cronograma de</t>
  </si>
  <si>
    <t>Habilitar temporalmente equipo de respaldo para continuidad de labores.</t>
  </si>
  <si>
    <t>Formato Solicitud de Movimientos de Almacen.</t>
  </si>
  <si>
    <t>Líder de Infraestructura 
/
 Especialista Nivel II</t>
  </si>
  <si>
    <t>Cuando exista una nueva versión para su respectiva instalación</t>
  </si>
  <si>
    <t>FORTALEZAS: 
- El objetivo, el alcance y la descripción del proceso GSIT es clara determina de manera especifica y acertada quienes son sus proveedores, socios, las actividades, sus entradas y salidas.
- Cuenta con una estructura definida de roles que suplen todas las necesidades del proceso.
- Al disponer de una planeación estratégica de tecnologías de la información (PETI) se estructuran las diferentes acciones desde tecnología para soportar la operación de la UAERMV y alcanzar sus objetivos institucionales. 
- Todos los colaboradores del proceso tienen conocimiento de la documentación existente y de los sistemas aplicados en el proceso. 
- Existe un repositorio de información con una estructura y parámetros adecuados para la conservación de la información.
- Se realizan reuniones semanales para realizar seguimiento a las desviaciones que se pueden presentar en el día a día de la operación.
- La estructura con que cuenta la Entidad permitió el trabajo en casa y teletrabajo. 
- Los procesos estaban diseñados para realizar el trabajo en casa, por lo que no se vio afectado por la pandemia.
OPORTUNIDADES:
- Existen buenas prácticas para gestionar la capacidad y disponibilidad como COBIT 5</t>
  </si>
  <si>
    <t>DEBILIDADES:
- El nivel de resistencia al cambio de los diferentes grupos de interés que afecta el cumplimiento del objetivo del proceso. 
- La mayor parte del Talento Humano del grupo de TI es contratista (aproximadamente un 90%), esto dificulta la gestión del conocimiento ante la frecuente rotación de personal y cambio de administración. Adicional a esto, dificulta la cadena de mando organizacional por las brechas entre talento humano de planta y contratista. 
-La ausencia del factor criticidad dentro del cálculo de los ANS dificulta su mejora en la gestión.
AMENAZAS:
- El tener servicios que aunque son de TI, son gestionados por otros procesos, limita la gestión de resultados del proceso.
- Limitaciones en la articulación de este proceso con gestión de recursos físicos.</t>
  </si>
  <si>
    <t>La mayor parte del Talento Humano del grupo de TI es contratista (aproximadamente un 90%), esto dificulta la gestión del conocimiento ante la frecuente rotación de personal y cambio de administración. Adicional a esto, dificulta la cadena de mando organizacional por las brechas entre talento humano de planta y contratista. 
Debido a la alta rotación del personal, se pueden presentar fallas en los servicios y/o dispositivos del centro de datos y no contar con el recurso humano calificado para realizar las correcciones pertinentes, y por consiguiente el ingreso de personal no autorizado al centro de datos para la solución del inconveniente, es decir, personal que no cuente con vinculación vigente (contrato) con la entidad, ocasionando posible pérdida de información.</t>
  </si>
  <si>
    <t>DEBILIDADES:
- Debilidad en el uso de la herramienta de la mesa de ayuda como parte de la cultura organizacional de la UAERMV.
AMENAZAS: 
- Los demás procesos son reactivos a las solicitudes realizadas por el proceso.
- Los colaboradores no leen la información transmitida por el proceso.
- La resistencia al cambio de los colaboradores al implementar una nueva solución informática.
- Los colaboradores no tienen mucho conocimiento sobre las herramientas de tecnológica.
- Limitaciones en la articulación de este proceso con gestión de recursos físicos puede generar problemas en la operación del proceso.</t>
  </si>
  <si>
    <t>La software GLPI es la herramienta institucional para realizar todos los requerimientos y/o afectaciones que se presenten por parte de los usuarios de los servicios corporativos. La no utilización de la herramienta dificulta la debida atención y/o solución de los requerimientos, debido al manejo de los ANS que se tienen estipulados por categorías de incidencias.</t>
  </si>
  <si>
    <t>FORTALEZAS:
- Políticas de seguridad de la información en implementación y seguimiento.
- Procedimientos donde se da el paso a paso para los servicios de GSIT.
- Cuenta con manuales para los aplicativos que maneja la entidad.
-  Para cada procedimiento, documento, logro o implantación se envían campañas publicitarias.
- El programa de uso y apropiación se encuentra en implementación.
OPORTUNIDADES:</t>
  </si>
  <si>
    <t>DEBILIDADES:
- Socialización de los servicios de TI frente a la entidad.
AMENAZAS:
- Aunque se realizan campañas publicitarias por todos los medios con que cuenta la Entidad algunos colaboradores no conocen las políticas, ni los manuales, ni los procedimientos.</t>
  </si>
  <si>
    <t>La socialización de los diferentes servicios de TI, no tiene los efectos esperados de apropiación de la información, debido a que los usuarios no le dan relevancia y/o la importancia correspondiente a las socializaciones efectuadas por el proceso, lo que contribuye a que cuando se realizan cambios sustanciales en la infraestructura tecnológica, no tienen el conocimiento manifestado y por consiguiente se ven afectados por los cambios realizados siendo informados previamente de las acciones que se deben seguir.</t>
  </si>
  <si>
    <t>FORTALEZAS:
- Los procedimientos del proceso son claros y se encuentran documentados. 
- Los tiempos de respuesta y solución de las solicitudes y/o requerimiento están definidos.
- Se cuenta con un catalogo de servicios de TI, en continua actualización.
OPORTUNIDADES:
- Fortalecer los procedimientos incluyendo nuevos controles.
- Automatización de los formatos involucrados.
- Inclusión de nuevos procedimientos para fortalecer la gestión de TI tomando como base marcos de referencia tales como ITIL y COBIT5.</t>
  </si>
  <si>
    <t xml:space="preserve">DEBILIDADES:
- Ausencia de procedimientos relacionados con gestión de la capacidad y disponibilidad.
- Ausencia de equipos para soportar la gestión de la disponibilidad.
- Ausencia de un procedimiento de gestión de proveedores de TI.
AMENAZAS:
- El proceso de Talento Humano no realiza proceso de inducción y reinducción donde presenten los servicios del proceso.
- El Procedimiento Gestion Credenciales y Novedades requiere una fuerte articulación con procesos tales como: gestión del talento humano, Gestión contractual y gestión jurídica. de no lograrse este no se desarrollará apropiadamente. </t>
  </si>
  <si>
    <t>La falta de inducción y/o reinducción a los colaboradores en general de la entidad, difuculta que se tenga el conocimiento apropiado de las políticas y procedimientos tanto de TI, como de seguridad de la información y de la entidad en general, ocasionando incumplimientos en sus lineamientos.</t>
  </si>
  <si>
    <t>FORTALEZAS:
- Existe una línea de autorizaciones clara y efectiva.
- El líder directivo siempre esta dispuesto a aprender sobre el tema y apoya las decisiones que toma el líder técnico.
- El líder técnico y el líder de infraestructura tiene claro la visión de TI y las actividades que se requieren para cumplirlo.
OPORTUNIDADES:
- Involucramiento del líder de este proceso en las reuniones del comité directivo de la entidad para fortalecer las decisiones en el marco tecnológico.
- Brindar formaciones a los integrantes del equipo de este proceso.
- Lograr convenios con MinTics para fortalecer las capacidades del talento humano involucrado en el proceso.</t>
  </si>
  <si>
    <t>AMENAZAS:
- Sólo se cuenta con un colaborador de planta, lo que genera un riesgo de continuidad del proceso ante los cambios del entorno.</t>
  </si>
  <si>
    <t xml:space="preserve">La mayor parte del Talento Humano del grupo de TI es contratista (aproximadamente un 90%), esto dificulta la gestión del conocimiento ante la frecuente rotación de personal y cambio de administración. Adicional a esto, dificulta la cadena de mando organizacional por las brechas entre talento humano de planta y contratista. </t>
  </si>
  <si>
    <t>FORTALEZAS:
- Las divulgaciones se hacen de manera oportuna y clara. 
- Para las divulgaciones se crean campañas publicitarias donde por lo general se realizan de manera extensiva por el correo electrónico, las pantallas y adicionalmente se hacen de manera presencial esto para garantizar el impacto a la mayor cantidad de colaboradores posibles.
-Las herramientas de trabajo en cada y teletrabajo ya estaban implementadas, solo se requirió un proceso de apropiación.
OPORTUNIDADES:
- Generar mediciones de la satisfacción adicionales y acciones de mejora.
- Fortalecimiento de las comunicaciones entre este proceso, gestión de recursos físicos, gestión contractual, entre otros.
- Fortalecimiento de las comunicaciones entre EGTI y GSIT mediante la definición y adopción de la gestión del cambio y definición de acciones estratégicas.</t>
  </si>
  <si>
    <t xml:space="preserve">DEBILIDADES:
- Las limitaciones en la comunicación con gestión de recursos físicos.
AMENAZAS: 
- Los procesos por lo general no están atentos a este tipo de actividades.
</t>
  </si>
  <si>
    <t>La falta de articulación con los inventarios de TI y GREF, dificulta la actualización de los inventarios de los equipos propios de la entirdad a cargo del proceso, debido a que no se reportan los cambios que se realizan sobre el inventario por parte de Almacen, generando desactualización y/o reprocesos en GSIT.</t>
  </si>
  <si>
    <t>FORTALEZAS
- Los activos de información están identificados, clasificados, valorados, controlados y se realiza el seguimiento pertinente. 
OPORTUNIDADES
- MINTIC ofrece guías para realizar la identificación, clasificación, valoración y  control de los activos de información.</t>
  </si>
  <si>
    <t>DEBILIDADES
- Actualización permanente de los activos de información
- Incorporación de la gestión de activos de información como una buena practica dentro de la cultura organizacional de la UAERMV.
- Empoderamiento de TI en la gestión de activos de la información con la OAP.
- Debilidades en el trabajo cooperativo con las diferentes dependencias de la UAERMV.
AMENAZAS
- Incertidumbre en la inclusión de todos los activos de información dentro de los artefactos de seguridad .</t>
  </si>
  <si>
    <t>La falta de compromiso por parte de áreas y/o procesos para la identificación y valoración de activos de información, dificulta conocer los activos críticos de la entidad que están a cargo de cada área y/o proceso, generando desconocimiento de estos activos y por consguiente la no aplicación de controles que contribuyan a su protección.</t>
  </si>
  <si>
    <t>Tramitar requerimientos e incidentes de TI.</t>
  </si>
  <si>
    <t xml:space="preserve">Los activos de información están identificados, clasificados, valorados, controlados y se realiza el seguimiento pertinente. </t>
  </si>
  <si>
    <t>La mayor parte del Talento Humano del grupo de TI es contratista (aproximadamente un 90%), esto dificulta la gestión del conocimiento ante la frecuente rotación de personal y cambio de administración. Adicional a esto, dificulta la cadena de mando organizacional por las brechas entre talento humano de planta y contratista. 
Sólo se cuenta con un colaborador de planta, lo que genera un riesgo de continuidad del proceso ante los cambios del entorno.</t>
  </si>
  <si>
    <t>Afectación a los dispositivos físicos de DC.
Interrupción en los servicios internos de la entidad.</t>
  </si>
  <si>
    <t xml:space="preserve">Elaborar y actualizar Plan de mantenimiento de equipos de TI.
Monitorear los controles y las actividades del mapa de riesgos.
Implementar el plan de contingencia para la materialización de riesgos. </t>
  </si>
  <si>
    <t>Perdida de la Conectividad con los Servicios Office 365.
Indisponibilidad de Carpetas de Red e Impresoras.</t>
  </si>
  <si>
    <t>Monitorear los controles y las actividades del mapa de riesgos.</t>
  </si>
  <si>
    <t>Indisponibilidad del Servicio de Correo Electrónico y herramientas de Colaboración (Teams, Sharepoint, Onedrive etc).</t>
  </si>
  <si>
    <t>Hacer seguimiento a la mesa de ayuda
Monitorear los controles y las actividades del mapa de riesgos.</t>
  </si>
  <si>
    <t>Indisponibilidad del acceso a la heramienta de Aranda para solicitud de requerimientos de MDA.
Incumplimientos en la atención de los requerimientos en la MDA afectando ANS.</t>
  </si>
  <si>
    <t>Monitorear los controles y las actividades del mapa de riesgos.
Determinar las acciones  correctivas y de mejora .
Implementar el plan de contingencia para la materialización de riesgos</t>
  </si>
  <si>
    <t>Indisponibilidad del acceso a la información almacenada en las carpetas de red.</t>
  </si>
  <si>
    <t>Elaborar y actualizar Plan de mantenimiento de equipos de TI.
Monitorear los controles y las actividades del mapa de riesgos.</t>
  </si>
  <si>
    <t xml:space="preserve">Indisponibilidad del equipo de computo por fallos en sus componentes físicos y lógicos.
</t>
  </si>
  <si>
    <t>FORTALEZAS:
- La entidad cuenta con el aplicativo ARANDA que permite realizar solicitudes al instante.
- Los Analistas responsables de la mesa de ayuda tienen como valor fundamental el servicio al cliente.
- Se creo una estrategia que consiste en tener presencia en todas las sedes el mayor tiempo posible para que los colaboradores se sientan respaldados por el proceso.
- Se estructuraron y centralizaron todas las redes y comunicaciones de la infraestructura tecnológica.
- Programación constante de transferencias de conocimiento sobre las herramientas tecnológicas de la entidad.
-Este proceso está articulado con el de Estrategia y Gobierno de TI, permitiendo desplegar la cadena de valor de TI.
OPORTUNIDADES:
-Socialización masiva del uso para el uso de la mesa de ayuda, este año se propuso una campaña pero no se implementó completamente.
-Fortalecimiento de la articulación con los procesos de gestión de recursos físicos y Gestión documental.
-Ampliación de las funcionalidades de la aplicación de la mesa de ayuda para brindar mayor precisión y oportunidad en los servicios prestados.</t>
  </si>
  <si>
    <t xml:space="preserve">Elaborar y actualizar Plan de mantenimiento de equipos de TI.
Solicitar la adquisición de elementos tecnológicos. 
Monitorear los controles y las actividades del mapa de riesgos.
</t>
  </si>
  <si>
    <t>Indisponibilidad en los accesos de los servicios de red.</t>
  </si>
  <si>
    <t>Cada vez que se realice un Mantenimietno Preventivo</t>
  </si>
  <si>
    <t>Acta de Mantenimiento realizado.</t>
  </si>
  <si>
    <t>Realizar monitoreo del funcionamiento del dispositivo posterior a la instalación de la actualización</t>
  </si>
  <si>
    <t>Realizar Seguimiento a los elementos incluidos en Plan de Adquisiciones</t>
  </si>
  <si>
    <t>Cuando se incorporen adquisiciones en el Plan de Adquisiciones</t>
  </si>
  <si>
    <t>Reporte de Monitoreo Realizado</t>
  </si>
  <si>
    <t>Reporte del Seguimiento Realizado</t>
  </si>
  <si>
    <t>Ofrecer servicios de Tecnología de la  Información de calidad y oportunos, proporcionando soporte tecnológico y  soluciones efectivas a los requerimientos de los  procesos de la UAERMV .</t>
  </si>
  <si>
    <t>El proceso toma como punto de partida las diferentes necesidades de soporte tecnológico de la UAERMV, materializadas mediante solicitudes de servicio, se desarrolla a través de diferentes atenciones a la solicitudes y se finaliza al dar cierre a dichas solicitudes.</t>
  </si>
  <si>
    <t>Especialista Seguridad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</si>
</sst>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0.0%"/>
    <numFmt numFmtId="165" formatCode="_-&quot;$&quot;\ * #,##0_-;\-&quot;$&quot;\ * #,##0_-;_-&quot;$&quot;\ * &quot;-&quot;??_-;_-@_-"/>
    <numFmt numFmtId="166" formatCode="&quot;$&quot;\ #,##0.00"/>
  </numFmts>
  <fonts count="89" x14ac:knownFonts="1">
    <font>
      <sz val="11"/>
      <color theme="1"/>
      <name val="Calibri"/>
      <family val="2"/>
      <scheme val="minor"/>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8"/>
      <color theme="1"/>
      <name val="Calibri"/>
      <family val="2"/>
      <scheme val="minor"/>
    </font>
    <font>
      <sz val="11"/>
      <color rgb="FF002060"/>
      <name val="Calibri"/>
      <family val="2"/>
      <scheme val="minor"/>
    </font>
    <font>
      <sz val="16"/>
      <color rgb="FF002060"/>
      <name val="Arial Narrow"/>
      <family val="2"/>
    </font>
    <font>
      <b/>
      <sz val="11"/>
      <color rgb="FF002060"/>
      <name val="Arial Narrow"/>
      <family val="2"/>
    </font>
    <font>
      <sz val="14"/>
      <color theme="1"/>
      <name val="Arial"/>
      <family val="2"/>
    </font>
    <font>
      <sz val="20"/>
      <name val="Arial"/>
      <family val="2"/>
    </font>
    <font>
      <sz val="21"/>
      <color theme="1"/>
      <name val="Arial"/>
      <family val="2"/>
    </font>
    <font>
      <sz val="21"/>
      <name val="Arial"/>
      <family val="2"/>
    </font>
    <font>
      <b/>
      <sz val="20"/>
      <name val="Arial"/>
      <family val="2"/>
    </font>
    <font>
      <sz val="18"/>
      <color theme="1"/>
      <name val="Arial"/>
      <family val="2"/>
    </font>
    <font>
      <b/>
      <sz val="21"/>
      <color theme="1"/>
      <name val="Arial"/>
      <family val="2"/>
    </font>
    <font>
      <b/>
      <sz val="21"/>
      <name val="Arial"/>
      <family val="2"/>
    </font>
    <font>
      <sz val="22"/>
      <color theme="1"/>
      <name val="Arial"/>
      <family val="2"/>
    </font>
    <font>
      <b/>
      <sz val="22"/>
      <color theme="1"/>
      <name val="Arial"/>
      <family val="2"/>
    </font>
    <font>
      <sz val="11"/>
      <color theme="1"/>
      <name val="Arial"/>
      <family val="2"/>
    </font>
    <font>
      <b/>
      <sz val="14"/>
      <name val="Arial"/>
      <family val="2"/>
    </font>
    <font>
      <b/>
      <sz val="10"/>
      <name val="Arial"/>
      <family val="2"/>
    </font>
    <font>
      <b/>
      <sz val="11"/>
      <color theme="1"/>
      <name val="Arial"/>
      <family val="2"/>
    </font>
    <font>
      <b/>
      <sz val="9"/>
      <color theme="1"/>
      <name val="Arial"/>
      <family val="2"/>
    </font>
    <font>
      <sz val="9"/>
      <color theme="1"/>
      <name val="Arial"/>
      <family val="2"/>
    </font>
    <font>
      <b/>
      <sz val="18"/>
      <color theme="1"/>
      <name val="Arial"/>
      <family val="2"/>
    </font>
    <font>
      <sz val="12"/>
      <color rgb="FF203764"/>
      <name val="Calibri"/>
      <family val="2"/>
      <scheme val="minor"/>
    </font>
    <font>
      <b/>
      <sz val="16"/>
      <name val="Arial"/>
      <family val="2"/>
    </font>
    <font>
      <sz val="12"/>
      <name val="Arial"/>
      <family val="2"/>
    </font>
    <font>
      <b/>
      <sz val="12"/>
      <name val="Arial"/>
      <family val="2"/>
    </font>
    <font>
      <sz val="26"/>
      <color theme="9" tint="-0.249977111117893"/>
      <name val="Arial Narrow"/>
      <family val="2"/>
    </font>
    <font>
      <b/>
      <sz val="11"/>
      <color theme="1"/>
      <name val="Calibri"/>
      <family val="2"/>
      <scheme val="minor"/>
    </font>
    <font>
      <b/>
      <sz val="11"/>
      <color rgb="FF000000"/>
      <name val="Calibri"/>
      <family val="2"/>
      <scheme val="minor"/>
    </font>
    <font>
      <sz val="16"/>
      <name val="Arial"/>
      <family val="2"/>
    </font>
    <font>
      <sz val="12"/>
      <color theme="1"/>
      <name val="Arial"/>
      <family val="2"/>
    </font>
    <font>
      <b/>
      <sz val="10"/>
      <color theme="0"/>
      <name val="Arial Narrow"/>
      <family val="2"/>
    </font>
    <font>
      <sz val="8"/>
      <name val="Calibri"/>
      <family val="2"/>
      <scheme val="minor"/>
    </font>
    <font>
      <b/>
      <sz val="16"/>
      <color theme="5" tint="-0.249977111117893"/>
      <name val="Arial"/>
      <family val="2"/>
    </font>
    <font>
      <b/>
      <sz val="24"/>
      <color theme="1"/>
      <name val="Arial Narrow"/>
      <family val="2"/>
    </font>
    <font>
      <sz val="13"/>
      <name val="Arial"/>
      <family val="2"/>
    </font>
    <font>
      <sz val="12"/>
      <color rgb="FF000000"/>
      <name val="Arial"/>
      <family val="2"/>
    </font>
  </fonts>
  <fills count="30">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BDD7EE"/>
        <bgColor rgb="FF000000"/>
      </patternFill>
    </fill>
    <fill>
      <patternFill patternType="solid">
        <fgColor rgb="FFFFF2CC"/>
        <bgColor rgb="FF000000"/>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3" tint="0.59999389629810485"/>
        <bgColor indexed="64"/>
      </patternFill>
    </fill>
  </fills>
  <borders count="118">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dotted">
        <color rgb="FFF79646"/>
      </left>
      <right/>
      <top/>
      <bottom style="dotted">
        <color rgb="FFF79646"/>
      </bottom>
      <diagonal/>
    </border>
    <border>
      <left style="dotted">
        <color rgb="FFF79646"/>
      </left>
      <right/>
      <top style="dotted">
        <color rgb="FFF79646"/>
      </top>
      <bottom style="dotted">
        <color rgb="FFF79646"/>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hair">
        <color theme="6" tint="-0.499984740745262"/>
      </left>
      <right style="hair">
        <color theme="6" tint="-0.499984740745262"/>
      </right>
      <top style="hair">
        <color theme="6" tint="-0.499984740745262"/>
      </top>
      <bottom/>
      <diagonal/>
    </border>
    <border>
      <left style="hair">
        <color theme="6" tint="-0.499984740745262"/>
      </left>
      <right style="hair">
        <color theme="6" tint="-0.499984740745262"/>
      </right>
      <top/>
      <bottom style="hair">
        <color theme="6" tint="-0.499984740745262"/>
      </bottom>
      <diagonal/>
    </border>
    <border>
      <left/>
      <right style="hair">
        <color theme="6" tint="-0.499984740745262"/>
      </right>
      <top/>
      <bottom/>
      <diagonal/>
    </border>
    <border>
      <left style="medium">
        <color theme="6" tint="-0.499984740745262"/>
      </left>
      <right style="hair">
        <color theme="6" tint="-0.499984740745262"/>
      </right>
      <top style="medium">
        <color theme="6" tint="-0.499984740745262"/>
      </top>
      <bottom style="hair">
        <color theme="6" tint="-0.499984740745262"/>
      </bottom>
      <diagonal/>
    </border>
    <border>
      <left style="hair">
        <color theme="6" tint="-0.499984740745262"/>
      </left>
      <right style="hair">
        <color theme="6" tint="-0.499984740745262"/>
      </right>
      <top style="medium">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hair">
        <color theme="6" tint="-0.499984740745262"/>
      </right>
      <top/>
      <bottom/>
      <diagonal/>
    </border>
    <border>
      <left style="medium">
        <color indexed="64"/>
      </left>
      <right style="hair">
        <color theme="6" tint="-0.499984740745262"/>
      </right>
      <top style="medium">
        <color indexed="64"/>
      </top>
      <bottom style="hair">
        <color theme="6" tint="-0.499984740745262"/>
      </bottom>
      <diagonal/>
    </border>
    <border>
      <left style="hair">
        <color theme="6" tint="-0.499984740745262"/>
      </left>
      <right style="medium">
        <color indexed="64"/>
      </right>
      <top style="medium">
        <color indexed="64"/>
      </top>
      <bottom style="hair">
        <color theme="6" tint="-0.499984740745262"/>
      </bottom>
      <diagonal/>
    </border>
    <border>
      <left style="medium">
        <color indexed="64"/>
      </left>
      <right style="hair">
        <color theme="6" tint="-0.499984740745262"/>
      </right>
      <top style="hair">
        <color theme="6" tint="-0.499984740745262"/>
      </top>
      <bottom style="hair">
        <color theme="6" tint="-0.499984740745262"/>
      </bottom>
      <diagonal/>
    </border>
    <border>
      <left style="hair">
        <color theme="6" tint="-0.499984740745262"/>
      </left>
      <right style="medium">
        <color indexed="64"/>
      </right>
      <top style="hair">
        <color theme="6" tint="-0.499984740745262"/>
      </top>
      <bottom style="hair">
        <color theme="6" tint="-0.499984740745262"/>
      </bottom>
      <diagonal/>
    </border>
    <border>
      <left style="medium">
        <color indexed="64"/>
      </left>
      <right style="hair">
        <color theme="6" tint="-0.499984740745262"/>
      </right>
      <top style="hair">
        <color theme="6" tint="-0.499984740745262"/>
      </top>
      <bottom style="medium">
        <color indexed="64"/>
      </bottom>
      <diagonal/>
    </border>
    <border>
      <left style="hair">
        <color theme="6" tint="-0.499984740745262"/>
      </left>
      <right style="medium">
        <color indexed="64"/>
      </right>
      <top style="hair">
        <color theme="6" tint="-0.499984740745262"/>
      </top>
      <bottom style="medium">
        <color indexed="64"/>
      </bottom>
      <diagonal/>
    </border>
    <border>
      <left style="hair">
        <color theme="6" tint="-0.499984740745262"/>
      </left>
      <right/>
      <top/>
      <bottom style="hair">
        <color theme="6" tint="-0.499984740745262"/>
      </bottom>
      <diagonal/>
    </border>
    <border>
      <left/>
      <right/>
      <top/>
      <bottom style="hair">
        <color theme="6" tint="-0.499984740745262"/>
      </bottom>
      <diagonal/>
    </border>
    <border>
      <left/>
      <right style="hair">
        <color theme="6" tint="-0.499984740745262"/>
      </right>
      <top/>
      <bottom style="hair">
        <color theme="6"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theme="6" tint="-0.499984740745262"/>
      </left>
      <right/>
      <top/>
      <bottom/>
      <diagonal/>
    </border>
    <border>
      <left style="hair">
        <color theme="6" tint="-0.499984740745262"/>
      </left>
      <right/>
      <top style="medium">
        <color theme="6" tint="-0.499984740745262"/>
      </top>
      <bottom style="hair">
        <color theme="6" tint="-0.499984740745262"/>
      </bottom>
      <diagonal/>
    </border>
    <border>
      <left style="hair">
        <color theme="6" tint="-0.499984740745262"/>
      </left>
      <right/>
      <top style="hair">
        <color theme="6" tint="-0.499984740745262"/>
      </top>
      <bottom style="medium">
        <color theme="6" tint="-0.499984740745262"/>
      </bottom>
      <diagonal/>
    </border>
    <border>
      <left style="hair">
        <color theme="6" tint="-0.499984740745262"/>
      </left>
      <right/>
      <top style="hair">
        <color theme="6" tint="-0.499984740745262"/>
      </top>
      <bottom style="hair">
        <color theme="6" tint="-0.499984740745262"/>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s>
  <cellStyleXfs count="7">
    <xf numFmtId="0" fontId="0" fillId="0" borderId="0"/>
    <xf numFmtId="9" fontId="12" fillId="0" borderId="0" applyFont="0" applyFill="0" applyBorder="0" applyAlignment="0" applyProtection="0"/>
    <xf numFmtId="0" fontId="42" fillId="0" borderId="0"/>
    <xf numFmtId="0" fontId="43" fillId="0" borderId="0"/>
    <xf numFmtId="0" fontId="4" fillId="0" borderId="0"/>
    <xf numFmtId="44" fontId="12" fillId="0" borderId="0" applyFont="0" applyFill="0" applyBorder="0" applyAlignment="0" applyProtection="0"/>
    <xf numFmtId="44" fontId="12" fillId="0" borderId="0" applyFont="0" applyFill="0" applyBorder="0" applyAlignment="0" applyProtection="0"/>
  </cellStyleXfs>
  <cellXfs count="567">
    <xf numFmtId="0" fontId="0" fillId="0" borderId="0" xfId="0"/>
    <xf numFmtId="0" fontId="4" fillId="0" borderId="0" xfId="0" applyFont="1"/>
    <xf numFmtId="0" fontId="2" fillId="0" borderId="1" xfId="0" applyFont="1" applyBorder="1" applyAlignment="1">
      <alignment horizontal="left" vertical="center" wrapText="1" indent="1" readingOrder="1"/>
    </xf>
    <xf numFmtId="0" fontId="6" fillId="0" borderId="0" xfId="0" applyFont="1" applyAlignment="1">
      <alignment horizontal="center" vertical="center" wrapText="1"/>
    </xf>
    <xf numFmtId="0" fontId="7" fillId="6" borderId="0" xfId="0" applyFont="1" applyFill="1" applyAlignment="1">
      <alignment horizontal="center" vertical="center" wrapText="1" readingOrder="1"/>
    </xf>
    <xf numFmtId="0" fontId="8" fillId="5" borderId="4" xfId="0" applyFont="1" applyFill="1" applyBorder="1" applyAlignment="1">
      <alignment horizontal="center" vertical="center" wrapText="1" readingOrder="1"/>
    </xf>
    <xf numFmtId="0" fontId="8" fillId="0" borderId="4" xfId="0" applyFont="1" applyBorder="1" applyAlignment="1">
      <alignment horizontal="justify" vertical="center" wrapText="1" readingOrder="1"/>
    </xf>
    <xf numFmtId="9" fontId="8" fillId="0" borderId="4" xfId="0" applyNumberFormat="1" applyFont="1" applyBorder="1" applyAlignment="1">
      <alignment horizontal="center" vertical="center" wrapText="1" readingOrder="1"/>
    </xf>
    <xf numFmtId="0" fontId="8" fillId="7" borderId="1" xfId="0" applyFont="1" applyFill="1" applyBorder="1" applyAlignment="1">
      <alignment horizontal="center" vertical="center" wrapText="1" readingOrder="1"/>
    </xf>
    <xf numFmtId="0" fontId="8" fillId="0" borderId="1" xfId="0" applyFont="1" applyBorder="1" applyAlignment="1">
      <alignment horizontal="justify" vertical="center" wrapText="1" readingOrder="1"/>
    </xf>
    <xf numFmtId="9" fontId="8" fillId="0" borderId="1" xfId="0" applyNumberFormat="1" applyFont="1" applyBorder="1" applyAlignment="1">
      <alignment horizontal="center" vertical="center" wrapText="1" readingOrder="1"/>
    </xf>
    <xf numFmtId="0" fontId="8" fillId="4" borderId="1" xfId="0" applyFont="1" applyFill="1" applyBorder="1" applyAlignment="1">
      <alignment horizontal="center" vertical="center" wrapText="1" readingOrder="1"/>
    </xf>
    <xf numFmtId="0" fontId="8" fillId="8" borderId="1" xfId="0" applyFont="1" applyFill="1" applyBorder="1" applyAlignment="1">
      <alignment horizontal="center" vertical="center" wrapText="1" readingOrder="1"/>
    </xf>
    <xf numFmtId="0" fontId="9" fillId="9" borderId="1" xfId="0" applyFont="1" applyFill="1" applyBorder="1" applyAlignment="1">
      <alignment horizontal="center" vertical="center" wrapText="1" readingOrder="1"/>
    </xf>
    <xf numFmtId="0" fontId="13" fillId="0" borderId="0" xfId="0" applyFont="1"/>
    <xf numFmtId="0" fontId="11" fillId="0" borderId="0" xfId="0" applyFont="1"/>
    <xf numFmtId="0" fontId="24" fillId="0" borderId="0" xfId="0" applyFont="1" applyAlignment="1">
      <alignment vertical="center"/>
    </xf>
    <xf numFmtId="0" fontId="25" fillId="0" borderId="0" xfId="0" applyFont="1"/>
    <xf numFmtId="0" fontId="23" fillId="0" borderId="0" xfId="0" applyFont="1"/>
    <xf numFmtId="0" fontId="0" fillId="0" borderId="0" xfId="0" pivotButton="1"/>
    <xf numFmtId="0" fontId="10" fillId="0" borderId="0" xfId="0" applyFont="1" applyAlignment="1">
      <alignment horizontal="justify" vertical="center" wrapText="1" readingOrder="1"/>
    </xf>
    <xf numFmtId="0" fontId="28" fillId="6" borderId="0" xfId="0" applyFont="1" applyFill="1" applyAlignment="1">
      <alignment horizontal="center" vertical="center" wrapText="1" readingOrder="1"/>
    </xf>
    <xf numFmtId="0" fontId="29" fillId="5" borderId="4" xfId="0" applyFont="1" applyFill="1" applyBorder="1" applyAlignment="1">
      <alignment horizontal="center" vertical="center" wrapText="1" readingOrder="1"/>
    </xf>
    <xf numFmtId="0" fontId="29" fillId="7" borderId="1" xfId="0" applyFont="1" applyFill="1" applyBorder="1" applyAlignment="1">
      <alignment horizontal="center" vertical="center" wrapText="1" readingOrder="1"/>
    </xf>
    <xf numFmtId="0" fontId="29" fillId="4" borderId="1" xfId="0" applyFont="1" applyFill="1" applyBorder="1" applyAlignment="1">
      <alignment horizontal="center" vertical="center" wrapText="1" readingOrder="1"/>
    </xf>
    <xf numFmtId="0" fontId="29" fillId="8" borderId="1" xfId="0" applyFont="1" applyFill="1" applyBorder="1" applyAlignment="1">
      <alignment horizontal="center" vertical="center" wrapText="1" readingOrder="1"/>
    </xf>
    <xf numFmtId="0" fontId="30" fillId="9" borderId="1" xfId="0" applyFont="1" applyFill="1" applyBorder="1" applyAlignment="1">
      <alignment horizontal="center" vertical="center" wrapText="1" readingOrder="1"/>
    </xf>
    <xf numFmtId="0" fontId="29" fillId="0" borderId="4" xfId="0" applyFont="1" applyBorder="1" applyAlignment="1">
      <alignment horizontal="center" vertical="center" wrapText="1" readingOrder="1"/>
    </xf>
    <xf numFmtId="0" fontId="29" fillId="0" borderId="1" xfId="0" applyFont="1" applyBorder="1" applyAlignment="1">
      <alignment horizontal="center" vertical="center" wrapText="1" readingOrder="1"/>
    </xf>
    <xf numFmtId="0" fontId="17" fillId="11" borderId="5" xfId="0" applyFont="1" applyFill="1" applyBorder="1" applyAlignment="1" applyProtection="1">
      <alignment horizontal="center" vertical="center" wrapText="1" readingOrder="1"/>
      <protection hidden="1"/>
    </xf>
    <xf numFmtId="0" fontId="17" fillId="11" borderId="12" xfId="0" applyFont="1" applyFill="1" applyBorder="1" applyAlignment="1" applyProtection="1">
      <alignment horizontal="center" vertical="center" wrapText="1" readingOrder="1"/>
      <protection hidden="1"/>
    </xf>
    <xf numFmtId="0" fontId="17" fillId="11" borderId="6" xfId="0" applyFont="1" applyFill="1" applyBorder="1" applyAlignment="1" applyProtection="1">
      <alignment horizontal="center" vertical="center" wrapText="1" readingOrder="1"/>
      <protection hidden="1"/>
    </xf>
    <xf numFmtId="0" fontId="17" fillId="12" borderId="5" xfId="0" applyFont="1" applyFill="1" applyBorder="1" applyAlignment="1" applyProtection="1">
      <alignment horizontal="center" wrapText="1" readingOrder="1"/>
      <protection hidden="1"/>
    </xf>
    <xf numFmtId="0" fontId="17" fillId="12" borderId="12" xfId="0" applyFont="1" applyFill="1" applyBorder="1" applyAlignment="1" applyProtection="1">
      <alignment horizontal="center" wrapText="1" readingOrder="1"/>
      <protection hidden="1"/>
    </xf>
    <xf numFmtId="0" fontId="17" fillId="12" borderId="6" xfId="0" applyFont="1" applyFill="1" applyBorder="1" applyAlignment="1" applyProtection="1">
      <alignment horizontal="center" wrapText="1" readingOrder="1"/>
      <protection hidden="1"/>
    </xf>
    <xf numFmtId="0" fontId="17" fillId="11" borderId="7" xfId="0" applyFont="1" applyFill="1" applyBorder="1" applyAlignment="1" applyProtection="1">
      <alignment horizontal="center" vertical="center" wrapText="1" readingOrder="1"/>
      <protection hidden="1"/>
    </xf>
    <xf numFmtId="0" fontId="17" fillId="11" borderId="0" xfId="0" applyFont="1" applyFill="1" applyAlignment="1" applyProtection="1">
      <alignment horizontal="center" vertical="center" wrapText="1" readingOrder="1"/>
      <protection hidden="1"/>
    </xf>
    <xf numFmtId="0" fontId="17" fillId="11" borderId="8" xfId="0" applyFont="1" applyFill="1" applyBorder="1" applyAlignment="1" applyProtection="1">
      <alignment horizontal="center" vertical="center" wrapText="1" readingOrder="1"/>
      <protection hidden="1"/>
    </xf>
    <xf numFmtId="0" fontId="17" fillId="12" borderId="7" xfId="0" applyFont="1" applyFill="1" applyBorder="1" applyAlignment="1" applyProtection="1">
      <alignment horizontal="center" wrapText="1" readingOrder="1"/>
      <protection hidden="1"/>
    </xf>
    <xf numFmtId="0" fontId="17" fillId="12" borderId="0" xfId="0" applyFont="1" applyFill="1" applyAlignment="1" applyProtection="1">
      <alignment horizontal="center" wrapText="1" readingOrder="1"/>
      <protection hidden="1"/>
    </xf>
    <xf numFmtId="0" fontId="17" fillId="12" borderId="8" xfId="0" applyFont="1" applyFill="1" applyBorder="1" applyAlignment="1" applyProtection="1">
      <alignment horizontal="center" wrapText="1" readingOrder="1"/>
      <protection hidden="1"/>
    </xf>
    <xf numFmtId="0" fontId="17" fillId="11" borderId="9" xfId="0" applyFont="1" applyFill="1" applyBorder="1" applyAlignment="1" applyProtection="1">
      <alignment horizontal="center" vertical="center" wrapText="1" readingOrder="1"/>
      <protection hidden="1"/>
    </xf>
    <xf numFmtId="0" fontId="17" fillId="11" borderId="11" xfId="0" applyFont="1" applyFill="1" applyBorder="1" applyAlignment="1" applyProtection="1">
      <alignment horizontal="center" vertical="center" wrapText="1" readingOrder="1"/>
      <protection hidden="1"/>
    </xf>
    <xf numFmtId="0" fontId="17" fillId="11" borderId="10" xfId="0" applyFont="1" applyFill="1" applyBorder="1" applyAlignment="1" applyProtection="1">
      <alignment horizontal="center" vertical="center" wrapText="1" readingOrder="1"/>
      <protection hidden="1"/>
    </xf>
    <xf numFmtId="0" fontId="17" fillId="12" borderId="9" xfId="0" applyFont="1" applyFill="1" applyBorder="1" applyAlignment="1" applyProtection="1">
      <alignment horizontal="center" wrapText="1" readingOrder="1"/>
      <protection hidden="1"/>
    </xf>
    <xf numFmtId="0" fontId="17" fillId="12" borderId="11" xfId="0" applyFont="1" applyFill="1" applyBorder="1" applyAlignment="1" applyProtection="1">
      <alignment horizontal="center" wrapText="1" readingOrder="1"/>
      <protection hidden="1"/>
    </xf>
    <xf numFmtId="0" fontId="17" fillId="12" borderId="10" xfId="0" applyFont="1" applyFill="1" applyBorder="1" applyAlignment="1" applyProtection="1">
      <alignment horizontal="center" wrapText="1" readingOrder="1"/>
      <protection hidden="1"/>
    </xf>
    <xf numFmtId="0" fontId="17" fillId="13" borderId="5" xfId="0" applyFont="1" applyFill="1" applyBorder="1" applyAlignment="1" applyProtection="1">
      <alignment horizontal="center" wrapText="1" readingOrder="1"/>
      <protection hidden="1"/>
    </xf>
    <xf numFmtId="0" fontId="17" fillId="13" borderId="12" xfId="0" applyFont="1" applyFill="1" applyBorder="1" applyAlignment="1" applyProtection="1">
      <alignment horizontal="center" wrapText="1" readingOrder="1"/>
      <protection hidden="1"/>
    </xf>
    <xf numFmtId="0" fontId="17" fillId="13" borderId="6" xfId="0" applyFont="1" applyFill="1" applyBorder="1" applyAlignment="1" applyProtection="1">
      <alignment horizontal="center" wrapText="1" readingOrder="1"/>
      <protection hidden="1"/>
    </xf>
    <xf numFmtId="0" fontId="17" fillId="13" borderId="7" xfId="0" applyFont="1" applyFill="1" applyBorder="1" applyAlignment="1" applyProtection="1">
      <alignment horizontal="center" wrapText="1" readingOrder="1"/>
      <protection hidden="1"/>
    </xf>
    <xf numFmtId="0" fontId="17" fillId="13" borderId="0" xfId="0" applyFont="1" applyFill="1" applyAlignment="1" applyProtection="1">
      <alignment horizontal="center" wrapText="1" readingOrder="1"/>
      <protection hidden="1"/>
    </xf>
    <xf numFmtId="0" fontId="17" fillId="13" borderId="8" xfId="0" applyFont="1" applyFill="1" applyBorder="1" applyAlignment="1" applyProtection="1">
      <alignment horizontal="center" wrapText="1" readingOrder="1"/>
      <protection hidden="1"/>
    </xf>
    <xf numFmtId="0" fontId="17" fillId="13" borderId="9" xfId="0" applyFont="1" applyFill="1" applyBorder="1" applyAlignment="1" applyProtection="1">
      <alignment horizontal="center" wrapText="1" readingOrder="1"/>
      <protection hidden="1"/>
    </xf>
    <xf numFmtId="0" fontId="17" fillId="13" borderId="11" xfId="0" applyFont="1" applyFill="1" applyBorder="1" applyAlignment="1" applyProtection="1">
      <alignment horizontal="center" wrapText="1" readingOrder="1"/>
      <protection hidden="1"/>
    </xf>
    <xf numFmtId="0" fontId="17" fillId="13" borderId="10" xfId="0" applyFont="1" applyFill="1" applyBorder="1" applyAlignment="1" applyProtection="1">
      <alignment horizontal="center" wrapText="1" readingOrder="1"/>
      <protection hidden="1"/>
    </xf>
    <xf numFmtId="0" fontId="17" fillId="5" borderId="5" xfId="0" applyFont="1" applyFill="1" applyBorder="1" applyAlignment="1" applyProtection="1">
      <alignment horizontal="center" wrapText="1" readingOrder="1"/>
      <protection hidden="1"/>
    </xf>
    <xf numFmtId="0" fontId="17" fillId="5" borderId="12" xfId="0" applyFont="1" applyFill="1" applyBorder="1" applyAlignment="1" applyProtection="1">
      <alignment horizontal="center" wrapText="1" readingOrder="1"/>
      <protection hidden="1"/>
    </xf>
    <xf numFmtId="0" fontId="17" fillId="5" borderId="6" xfId="0" applyFont="1" applyFill="1" applyBorder="1" applyAlignment="1" applyProtection="1">
      <alignment horizontal="center" wrapText="1" readingOrder="1"/>
      <protection hidden="1"/>
    </xf>
    <xf numFmtId="0" fontId="17" fillId="5" borderId="7" xfId="0" applyFont="1" applyFill="1" applyBorder="1" applyAlignment="1" applyProtection="1">
      <alignment horizontal="center" wrapText="1" readingOrder="1"/>
      <protection hidden="1"/>
    </xf>
    <xf numFmtId="0" fontId="17" fillId="5" borderId="0" xfId="0" applyFont="1" applyFill="1" applyAlignment="1" applyProtection="1">
      <alignment horizontal="center" wrapText="1" readingOrder="1"/>
      <protection hidden="1"/>
    </xf>
    <xf numFmtId="0" fontId="17" fillId="5" borderId="8" xfId="0" applyFont="1" applyFill="1" applyBorder="1" applyAlignment="1" applyProtection="1">
      <alignment horizontal="center" wrapText="1" readingOrder="1"/>
      <protection hidden="1"/>
    </xf>
    <xf numFmtId="0" fontId="17" fillId="5" borderId="9" xfId="0" applyFont="1" applyFill="1" applyBorder="1" applyAlignment="1" applyProtection="1">
      <alignment horizontal="center" wrapText="1" readingOrder="1"/>
      <protection hidden="1"/>
    </xf>
    <xf numFmtId="0" fontId="17" fillId="5" borderId="11" xfId="0" applyFont="1" applyFill="1" applyBorder="1" applyAlignment="1" applyProtection="1">
      <alignment horizontal="center" wrapText="1" readingOrder="1"/>
      <protection hidden="1"/>
    </xf>
    <xf numFmtId="0" fontId="17" fillId="5" borderId="10"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0" fillId="3" borderId="0" xfId="0" applyFill="1"/>
    <xf numFmtId="0" fontId="44" fillId="3" borderId="40" xfId="2" applyFont="1" applyFill="1" applyBorder="1"/>
    <xf numFmtId="0" fontId="44" fillId="3" borderId="41" xfId="2" applyFont="1" applyFill="1" applyBorder="1"/>
    <xf numFmtId="0" fontId="44" fillId="3" borderId="42" xfId="2" applyFont="1" applyFill="1" applyBorder="1"/>
    <xf numFmtId="0" fontId="14" fillId="3" borderId="0" xfId="0" applyFont="1" applyFill="1" applyAlignment="1">
      <alignment vertical="center"/>
    </xf>
    <xf numFmtId="0" fontId="4" fillId="3" borderId="0" xfId="0" applyFont="1" applyFill="1"/>
    <xf numFmtId="0" fontId="32" fillId="3" borderId="0" xfId="0" applyFont="1" applyFill="1"/>
    <xf numFmtId="0" fontId="33" fillId="3" borderId="23" xfId="0" applyFont="1" applyFill="1" applyBorder="1" applyAlignment="1">
      <alignment horizontal="center" vertical="center" wrapText="1" readingOrder="1"/>
    </xf>
    <xf numFmtId="0" fontId="34" fillId="3" borderId="23" xfId="0" applyFont="1" applyFill="1" applyBorder="1" applyAlignment="1">
      <alignment horizontal="justify" vertical="center" wrapText="1" readingOrder="1"/>
    </xf>
    <xf numFmtId="9" fontId="33" fillId="3" borderId="32" xfId="0" applyNumberFormat="1" applyFont="1" applyFill="1" applyBorder="1" applyAlignment="1">
      <alignment horizontal="center" vertical="center" wrapText="1" readingOrder="1"/>
    </xf>
    <xf numFmtId="0" fontId="33" fillId="3" borderId="22" xfId="0" applyFont="1" applyFill="1" applyBorder="1" applyAlignment="1">
      <alignment horizontal="center" vertical="center" wrapText="1" readingOrder="1"/>
    </xf>
    <xf numFmtId="0" fontId="34" fillId="3" borderId="22" xfId="0" applyFont="1" applyFill="1" applyBorder="1" applyAlignment="1">
      <alignment horizontal="justify" vertical="center" wrapText="1" readingOrder="1"/>
    </xf>
    <xf numFmtId="9" fontId="33" fillId="3" borderId="27" xfId="0" applyNumberFormat="1" applyFont="1" applyFill="1" applyBorder="1" applyAlignment="1">
      <alignment horizontal="center" vertical="center" wrapText="1" readingOrder="1"/>
    </xf>
    <xf numFmtId="0" fontId="34" fillId="3" borderId="27" xfId="0" applyFont="1" applyFill="1" applyBorder="1" applyAlignment="1">
      <alignment horizontal="center" vertical="center" wrapText="1" readingOrder="1"/>
    </xf>
    <xf numFmtId="0" fontId="33" fillId="3" borderId="29" xfId="0" applyFont="1" applyFill="1" applyBorder="1" applyAlignment="1">
      <alignment horizontal="center" vertical="center" wrapText="1" readingOrder="1"/>
    </xf>
    <xf numFmtId="0" fontId="34" fillId="3" borderId="29" xfId="0" applyFont="1" applyFill="1" applyBorder="1" applyAlignment="1">
      <alignment horizontal="justify" vertical="center" wrapText="1" readingOrder="1"/>
    </xf>
    <xf numFmtId="0" fontId="34" fillId="3" borderId="30" xfId="0" applyFont="1" applyFill="1" applyBorder="1" applyAlignment="1">
      <alignment horizontal="center" vertical="center" wrapText="1" readingOrder="1"/>
    </xf>
    <xf numFmtId="0" fontId="41" fillId="3" borderId="0" xfId="0" applyFont="1" applyFill="1"/>
    <xf numFmtId="0" fontId="33" fillId="15" borderId="34" xfId="0" applyFont="1" applyFill="1" applyBorder="1" applyAlignment="1">
      <alignment horizontal="center" vertical="center" wrapText="1" readingOrder="1"/>
    </xf>
    <xf numFmtId="0" fontId="33" fillId="15" borderId="35" xfId="0" applyFont="1" applyFill="1" applyBorder="1" applyAlignment="1">
      <alignment horizontal="center" vertical="center" wrapText="1" readingOrder="1"/>
    </xf>
    <xf numFmtId="0" fontId="11" fillId="3" borderId="0" xfId="0" applyFont="1" applyFill="1"/>
    <xf numFmtId="0" fontId="10" fillId="3" borderId="0" xfId="0" applyFont="1" applyFill="1" applyAlignment="1">
      <alignment horizontal="justify" vertical="center" wrapText="1" readingOrder="1"/>
    </xf>
    <xf numFmtId="0" fontId="13" fillId="3" borderId="0" xfId="0" applyFont="1" applyFill="1"/>
    <xf numFmtId="0" fontId="3" fillId="3" borderId="0" xfId="0" applyFont="1" applyFill="1" applyAlignment="1">
      <alignment horizontal="left" vertical="center"/>
    </xf>
    <xf numFmtId="0" fontId="44" fillId="3" borderId="7" xfId="2" applyFont="1" applyFill="1" applyBorder="1"/>
    <xf numFmtId="0" fontId="49" fillId="3" borderId="0" xfId="0" applyFont="1" applyFill="1" applyAlignment="1">
      <alignment horizontal="left" vertical="center" wrapText="1"/>
    </xf>
    <xf numFmtId="0" fontId="50" fillId="3" borderId="0" xfId="0" applyFont="1" applyFill="1" applyAlignment="1">
      <alignment horizontal="left" vertical="top" wrapText="1"/>
    </xf>
    <xf numFmtId="0" fontId="44" fillId="3" borderId="0" xfId="2" applyFont="1" applyFill="1"/>
    <xf numFmtId="0" fontId="44" fillId="3" borderId="8" xfId="2" applyFont="1" applyFill="1" applyBorder="1"/>
    <xf numFmtId="0" fontId="44" fillId="3" borderId="9" xfId="2" applyFont="1" applyFill="1" applyBorder="1"/>
    <xf numFmtId="0" fontId="44" fillId="3" borderId="11" xfId="2" applyFont="1" applyFill="1" applyBorder="1"/>
    <xf numFmtId="0" fontId="44" fillId="3" borderId="10" xfId="2" applyFont="1" applyFill="1" applyBorder="1"/>
    <xf numFmtId="0" fontId="48" fillId="3" borderId="0" xfId="2" applyFont="1" applyFill="1" applyAlignment="1">
      <alignment horizontal="left" vertical="center" wrapText="1"/>
    </xf>
    <xf numFmtId="0" fontId="44" fillId="3" borderId="0" xfId="2" applyFont="1" applyFill="1" applyAlignment="1">
      <alignment horizontal="left" vertical="center" wrapText="1"/>
    </xf>
    <xf numFmtId="0" fontId="44" fillId="3" borderId="0" xfId="2" quotePrefix="1" applyFont="1" applyFill="1" applyAlignment="1">
      <alignment horizontal="left" vertical="center" wrapText="1"/>
    </xf>
    <xf numFmtId="0" fontId="46" fillId="3" borderId="7" xfId="2" quotePrefix="1" applyFont="1" applyFill="1" applyBorder="1" applyAlignment="1">
      <alignment horizontal="left" vertical="top" wrapText="1"/>
    </xf>
    <xf numFmtId="0" fontId="47" fillId="3" borderId="0" xfId="2" quotePrefix="1" applyFont="1" applyFill="1" applyAlignment="1">
      <alignment horizontal="left" vertical="top" wrapText="1"/>
    </xf>
    <xf numFmtId="0" fontId="47" fillId="3" borderId="8" xfId="2" quotePrefix="1" applyFont="1" applyFill="1" applyBorder="1" applyAlignment="1">
      <alignment horizontal="left" vertical="top" wrapText="1"/>
    </xf>
    <xf numFmtId="0" fontId="29" fillId="0" borderId="64" xfId="0" applyFont="1" applyBorder="1" applyAlignment="1">
      <alignment horizontal="justify" vertical="center" wrapText="1" readingOrder="1"/>
    </xf>
    <xf numFmtId="0" fontId="29" fillId="0" borderId="65" xfId="0" applyFont="1" applyBorder="1" applyAlignment="1">
      <alignment horizontal="justify" vertical="center" wrapText="1" readingOrder="1"/>
    </xf>
    <xf numFmtId="165" fontId="27" fillId="3" borderId="0" xfId="5" applyNumberFormat="1" applyFont="1" applyFill="1" applyAlignment="1">
      <alignment horizontal="center" vertical="center" wrapText="1"/>
    </xf>
    <xf numFmtId="165" fontId="0" fillId="3" borderId="0" xfId="5" applyNumberFormat="1" applyFont="1" applyFill="1" applyAlignment="1">
      <alignment horizontal="center" vertical="center"/>
    </xf>
    <xf numFmtId="0" fontId="54" fillId="3" borderId="0" xfId="0" applyFont="1" applyFill="1"/>
    <xf numFmtId="0" fontId="55" fillId="3" borderId="0" xfId="0" applyFont="1" applyFill="1" applyAlignment="1">
      <alignment horizontal="justify" vertical="center" wrapText="1" readingOrder="1"/>
    </xf>
    <xf numFmtId="0" fontId="54" fillId="0" borderId="0" xfId="0" applyFont="1"/>
    <xf numFmtId="0" fontId="56" fillId="3" borderId="0" xfId="0" applyFont="1" applyFill="1" applyAlignment="1">
      <alignment vertical="center"/>
    </xf>
    <xf numFmtId="44" fontId="0" fillId="3" borderId="0" xfId="5" applyFont="1" applyFill="1" applyAlignment="1">
      <alignment horizontal="left" vertical="center"/>
    </xf>
    <xf numFmtId="44" fontId="54" fillId="3" borderId="0" xfId="5" applyFont="1" applyFill="1" applyAlignment="1">
      <alignment horizontal="left" vertical="center"/>
    </xf>
    <xf numFmtId="44" fontId="0" fillId="0" borderId="0" xfId="5" applyFont="1" applyAlignment="1">
      <alignment horizontal="left" vertical="center"/>
    </xf>
    <xf numFmtId="44" fontId="26" fillId="0" borderId="0" xfId="5" applyFont="1" applyAlignment="1">
      <alignment horizontal="left" vertical="center"/>
    </xf>
    <xf numFmtId="0" fontId="0" fillId="0" borderId="0" xfId="0" applyAlignment="1">
      <alignment wrapText="1"/>
    </xf>
    <xf numFmtId="0" fontId="25" fillId="0" borderId="0" xfId="0" applyFont="1" applyAlignment="1">
      <alignment wrapText="1"/>
    </xf>
    <xf numFmtId="0" fontId="0" fillId="0" borderId="0" xfId="0" applyAlignment="1">
      <alignment vertical="center" wrapText="1"/>
    </xf>
    <xf numFmtId="0" fontId="57" fillId="0" borderId="0" xfId="0" applyFont="1"/>
    <xf numFmtId="0" fontId="58" fillId="0" borderId="0" xfId="0" applyFont="1"/>
    <xf numFmtId="0" fontId="59" fillId="0" borderId="0" xfId="0" applyFont="1"/>
    <xf numFmtId="0" fontId="60" fillId="0" borderId="0" xfId="0" applyFont="1" applyAlignment="1">
      <alignment wrapText="1"/>
    </xf>
    <xf numFmtId="0" fontId="59" fillId="0" borderId="0" xfId="0" applyFont="1" applyAlignment="1">
      <alignment wrapText="1"/>
    </xf>
    <xf numFmtId="0" fontId="57" fillId="0" borderId="8" xfId="0" applyFont="1" applyBorder="1"/>
    <xf numFmtId="0" fontId="62" fillId="0" borderId="8" xfId="0" applyFont="1" applyBorder="1"/>
    <xf numFmtId="0" fontId="63" fillId="19" borderId="69" xfId="0" applyFont="1" applyFill="1" applyBorder="1" applyAlignment="1">
      <alignment horizontal="center" vertical="center" wrapText="1"/>
    </xf>
    <xf numFmtId="0" fontId="64" fillId="19" borderId="10" xfId="0" applyFont="1" applyFill="1" applyBorder="1" applyAlignment="1">
      <alignment horizontal="center" vertical="center" wrapText="1"/>
    </xf>
    <xf numFmtId="0" fontId="63" fillId="19" borderId="33" xfId="0" applyFont="1" applyFill="1" applyBorder="1" applyAlignment="1">
      <alignment horizontal="center" vertical="center" wrapText="1"/>
    </xf>
    <xf numFmtId="0" fontId="62" fillId="0" borderId="0" xfId="0" applyFont="1"/>
    <xf numFmtId="0" fontId="63" fillId="19" borderId="69" xfId="0" applyFont="1" applyFill="1" applyBorder="1" applyAlignment="1">
      <alignment horizontal="center" vertical="center" textRotation="90" wrapText="1"/>
    </xf>
    <xf numFmtId="0" fontId="63" fillId="19" borderId="68" xfId="0" applyFont="1" applyFill="1" applyBorder="1" applyAlignment="1">
      <alignment horizontal="center" vertical="center" textRotation="90" wrapText="1"/>
    </xf>
    <xf numFmtId="0" fontId="60" fillId="0" borderId="68" xfId="0" applyFont="1" applyBorder="1" applyAlignment="1">
      <alignment horizontal="left" vertical="center" wrapText="1"/>
    </xf>
    <xf numFmtId="0" fontId="63" fillId="19" borderId="71" xfId="0" applyFont="1" applyFill="1" applyBorder="1" applyAlignment="1">
      <alignment horizontal="center" vertical="center" textRotation="90" wrapText="1"/>
    </xf>
    <xf numFmtId="0" fontId="60" fillId="0" borderId="69" xfId="0" applyFont="1" applyBorder="1" applyAlignment="1">
      <alignment horizontal="left" vertical="center" wrapText="1"/>
    </xf>
    <xf numFmtId="0" fontId="63" fillId="19" borderId="6" xfId="0" applyFont="1" applyFill="1" applyBorder="1" applyAlignment="1">
      <alignment horizontal="center" vertical="center" textRotation="90" wrapText="1"/>
    </xf>
    <xf numFmtId="0" fontId="63" fillId="19" borderId="36" xfId="0" applyFont="1" applyFill="1" applyBorder="1" applyAlignment="1">
      <alignment horizontal="center" vertical="center" textRotation="90" wrapText="1"/>
    </xf>
    <xf numFmtId="0" fontId="65" fillId="0" borderId="8" xfId="0" applyFont="1" applyBorder="1"/>
    <xf numFmtId="0" fontId="66" fillId="20" borderId="6" xfId="0" applyFont="1" applyFill="1" applyBorder="1" applyAlignment="1">
      <alignment horizontal="center" vertical="center" textRotation="90" wrapText="1"/>
    </xf>
    <xf numFmtId="0" fontId="65" fillId="0" borderId="0" xfId="0" applyFont="1"/>
    <xf numFmtId="0" fontId="65" fillId="20" borderId="36" xfId="0" applyFont="1" applyFill="1" applyBorder="1"/>
    <xf numFmtId="0" fontId="64" fillId="0" borderId="0" xfId="0" applyFont="1" applyAlignment="1">
      <alignment horizontal="center" vertical="center"/>
    </xf>
    <xf numFmtId="0" fontId="63" fillId="0" borderId="0" xfId="0" applyFont="1" applyAlignment="1">
      <alignment horizontal="center" vertical="center"/>
    </xf>
    <xf numFmtId="0" fontId="60" fillId="0" borderId="0" xfId="0" applyFont="1"/>
    <xf numFmtId="0" fontId="67" fillId="0" borderId="0" xfId="0" applyFont="1" applyAlignment="1">
      <alignment vertical="center" wrapText="1"/>
    </xf>
    <xf numFmtId="0" fontId="67" fillId="0" borderId="73"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22" xfId="0" applyFont="1" applyBorder="1" applyAlignment="1">
      <alignment vertical="center" wrapText="1"/>
    </xf>
    <xf numFmtId="0" fontId="67" fillId="0" borderId="27" xfId="0" applyFont="1" applyBorder="1" applyAlignment="1">
      <alignment vertical="center" wrapText="1"/>
    </xf>
    <xf numFmtId="0" fontId="72" fillId="0" borderId="77" xfId="0" applyFont="1" applyBorder="1" applyAlignment="1">
      <alignment horizontal="justify" vertical="center" wrapText="1"/>
    </xf>
    <xf numFmtId="0" fontId="72" fillId="0" borderId="79" xfId="0" applyFont="1" applyBorder="1" applyAlignment="1">
      <alignment horizontal="justify" vertical="center" wrapText="1"/>
    </xf>
    <xf numFmtId="0" fontId="71" fillId="16" borderId="77" xfId="0" applyFont="1" applyFill="1" applyBorder="1" applyAlignment="1">
      <alignment horizontal="center" vertical="center" wrapText="1"/>
    </xf>
    <xf numFmtId="0" fontId="71" fillId="16" borderId="79" xfId="0" applyFont="1" applyFill="1" applyBorder="1" applyAlignment="1">
      <alignment horizontal="center" vertical="center" wrapText="1"/>
    </xf>
    <xf numFmtId="0" fontId="71" fillId="16" borderId="81" xfId="0" applyFont="1" applyFill="1" applyBorder="1" applyAlignment="1">
      <alignment horizontal="center" vertical="center" wrapText="1"/>
    </xf>
    <xf numFmtId="0" fontId="69" fillId="16" borderId="29" xfId="0" applyFont="1" applyFill="1" applyBorder="1" applyAlignment="1">
      <alignment horizontal="center" vertical="center" wrapText="1"/>
    </xf>
    <xf numFmtId="0" fontId="69" fillId="16" borderId="30" xfId="0" applyFont="1" applyFill="1" applyBorder="1" applyAlignment="1">
      <alignment horizontal="center" vertical="center" wrapText="1"/>
    </xf>
    <xf numFmtId="0" fontId="71" fillId="19" borderId="69" xfId="0" applyFont="1" applyFill="1" applyBorder="1" applyAlignment="1">
      <alignment horizontal="center" vertical="center" wrapText="1"/>
    </xf>
    <xf numFmtId="0" fontId="71" fillId="19" borderId="36" xfId="0" applyFont="1" applyFill="1" applyBorder="1" applyAlignment="1">
      <alignment horizontal="center" vertical="center" wrapText="1"/>
    </xf>
    <xf numFmtId="0" fontId="72" fillId="0" borderId="10" xfId="0" applyFont="1" applyBorder="1" applyAlignment="1">
      <alignment horizontal="justify" vertical="center" wrapText="1"/>
    </xf>
    <xf numFmtId="0" fontId="74" fillId="24" borderId="89" xfId="0" applyFont="1" applyFill="1" applyBorder="1" applyAlignment="1">
      <alignment horizontal="left" vertical="center" wrapText="1" readingOrder="1"/>
    </xf>
    <xf numFmtId="0" fontId="74" fillId="25" borderId="89" xfId="0" applyFont="1" applyFill="1" applyBorder="1" applyAlignment="1">
      <alignment horizontal="left" vertical="center" wrapText="1" readingOrder="1"/>
    </xf>
    <xf numFmtId="0" fontId="80" fillId="0" borderId="84" xfId="0" applyFont="1" applyBorder="1" applyAlignment="1">
      <alignment vertical="center" wrapText="1"/>
    </xf>
    <xf numFmtId="0" fontId="79" fillId="0" borderId="84" xfId="0" applyFont="1" applyBorder="1" applyAlignment="1">
      <alignment vertical="center"/>
    </xf>
    <xf numFmtId="0" fontId="79" fillId="0" borderId="84" xfId="0" applyFont="1" applyBorder="1" applyAlignment="1">
      <alignment vertical="center" wrapText="1"/>
    </xf>
    <xf numFmtId="0" fontId="79" fillId="26" borderId="0" xfId="0" applyFont="1" applyFill="1" applyAlignment="1">
      <alignment horizontal="center" vertical="center"/>
    </xf>
    <xf numFmtId="0" fontId="71" fillId="26" borderId="69" xfId="0" applyFont="1" applyFill="1" applyBorder="1" applyAlignment="1">
      <alignment horizontal="center" vertical="center" wrapText="1"/>
    </xf>
    <xf numFmtId="0" fontId="71" fillId="26" borderId="36" xfId="0" applyFont="1" applyFill="1" applyBorder="1" applyAlignment="1">
      <alignment horizontal="center" vertical="center" wrapText="1"/>
    </xf>
    <xf numFmtId="0" fontId="67" fillId="0" borderId="74" xfId="0" applyFont="1" applyBorder="1" applyAlignment="1">
      <alignment horizontal="center" vertical="center" wrapText="1"/>
    </xf>
    <xf numFmtId="0" fontId="67" fillId="0" borderId="75"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27" xfId="0" applyFont="1" applyBorder="1" applyAlignment="1">
      <alignment horizontal="center" vertical="center" wrapText="1"/>
    </xf>
    <xf numFmtId="0" fontId="0" fillId="3" borderId="0" xfId="0" applyFill="1" applyAlignment="1">
      <alignment vertical="top"/>
    </xf>
    <xf numFmtId="44" fontId="0" fillId="3" borderId="0" xfId="5" applyFont="1" applyFill="1" applyAlignment="1">
      <alignment horizontal="left" vertical="top"/>
    </xf>
    <xf numFmtId="0" fontId="0" fillId="0" borderId="0" xfId="0" applyAlignment="1">
      <alignment vertical="top"/>
    </xf>
    <xf numFmtId="44" fontId="53" fillId="3" borderId="0" xfId="5" applyFont="1" applyFill="1" applyAlignment="1">
      <alignment vertical="top"/>
    </xf>
    <xf numFmtId="0" fontId="76" fillId="0" borderId="90" xfId="0" applyFont="1" applyBorder="1" applyAlignment="1" applyProtection="1">
      <alignment horizontal="center" vertical="center" wrapText="1"/>
      <protection locked="0"/>
    </xf>
    <xf numFmtId="0" fontId="76" fillId="0" borderId="90" xfId="0" applyFont="1" applyBorder="1" applyAlignment="1" applyProtection="1">
      <alignment horizontal="justify" vertical="center" wrapText="1"/>
      <protection locked="0"/>
    </xf>
    <xf numFmtId="0" fontId="76" fillId="0" borderId="90" xfId="0" applyFont="1" applyBorder="1" applyAlignment="1" applyProtection="1">
      <alignment horizontal="justify" vertical="center"/>
      <protection locked="0"/>
    </xf>
    <xf numFmtId="0" fontId="76" fillId="0" borderId="90" xfId="0" applyFont="1" applyBorder="1" applyAlignment="1" applyProtection="1">
      <alignment horizontal="center" vertical="center"/>
      <protection hidden="1"/>
    </xf>
    <xf numFmtId="0" fontId="76" fillId="0" borderId="90" xfId="0" applyFont="1" applyBorder="1" applyAlignment="1" applyProtection="1">
      <alignment horizontal="center" vertical="center" textRotation="90"/>
      <protection locked="0"/>
    </xf>
    <xf numFmtId="9" fontId="76" fillId="0" borderId="90" xfId="0" applyNumberFormat="1" applyFont="1" applyBorder="1" applyAlignment="1" applyProtection="1">
      <alignment horizontal="center" vertical="center"/>
      <protection hidden="1"/>
    </xf>
    <xf numFmtId="164" fontId="76" fillId="0" borderId="90" xfId="1" applyNumberFormat="1" applyFont="1" applyFill="1" applyBorder="1" applyAlignment="1">
      <alignment horizontal="center" vertical="center"/>
    </xf>
    <xf numFmtId="0" fontId="77" fillId="0" borderId="90" xfId="0" applyFont="1" applyBorder="1" applyAlignment="1" applyProtection="1">
      <alignment horizontal="center" vertical="center" textRotation="90" wrapText="1"/>
      <protection hidden="1"/>
    </xf>
    <xf numFmtId="0" fontId="77" fillId="0" borderId="90" xfId="0" applyFont="1" applyBorder="1" applyAlignment="1" applyProtection="1">
      <alignment horizontal="center" vertical="center" textRotation="90"/>
      <protection hidden="1"/>
    </xf>
    <xf numFmtId="0" fontId="76" fillId="0" borderId="90" xfId="0" applyFont="1" applyBorder="1" applyAlignment="1" applyProtection="1">
      <alignment horizontal="center" vertical="center" textRotation="90" wrapText="1"/>
      <protection locked="0"/>
    </xf>
    <xf numFmtId="0" fontId="76" fillId="0" borderId="90" xfId="0" applyFont="1" applyBorder="1" applyAlignment="1" applyProtection="1">
      <alignment horizontal="center" vertical="center"/>
      <protection locked="0"/>
    </xf>
    <xf numFmtId="14" fontId="76" fillId="0" borderId="90" xfId="0" applyNumberFormat="1" applyFont="1" applyBorder="1" applyAlignment="1" applyProtection="1">
      <alignment horizontal="center" vertical="center"/>
      <protection locked="0"/>
    </xf>
    <xf numFmtId="0" fontId="76" fillId="0" borderId="0" xfId="0" applyFont="1"/>
    <xf numFmtId="0" fontId="76" fillId="0" borderId="90" xfId="0" applyFont="1" applyBorder="1" applyAlignment="1" applyProtection="1">
      <alignment horizontal="justify" vertical="top" wrapText="1"/>
      <protection locked="0"/>
    </xf>
    <xf numFmtId="0" fontId="81" fillId="3" borderId="0" xfId="0" applyFont="1" applyFill="1"/>
    <xf numFmtId="0" fontId="81" fillId="0" borderId="0" xfId="0" applyFont="1"/>
    <xf numFmtId="0" fontId="76" fillId="3" borderId="0" xfId="0" applyFont="1" applyFill="1" applyAlignment="1">
      <alignment horizontal="center" vertical="center"/>
    </xf>
    <xf numFmtId="0" fontId="76" fillId="3" borderId="0" xfId="0" applyFont="1" applyFill="1" applyAlignment="1">
      <alignment horizontal="left" vertical="center"/>
    </xf>
    <xf numFmtId="0" fontId="76" fillId="3" borderId="0" xfId="0" applyFont="1" applyFill="1"/>
    <xf numFmtId="0" fontId="76" fillId="3" borderId="0" xfId="0" applyFont="1" applyFill="1" applyAlignment="1">
      <alignment horizontal="center"/>
    </xf>
    <xf numFmtId="0" fontId="77" fillId="0" borderId="0" xfId="0" applyFont="1" applyAlignment="1">
      <alignment horizontal="left" vertical="center"/>
    </xf>
    <xf numFmtId="0" fontId="76" fillId="0" borderId="0" xfId="0" applyFont="1" applyAlignment="1" applyProtection="1">
      <alignment horizontal="left" vertical="center" wrapText="1"/>
      <protection locked="0"/>
    </xf>
    <xf numFmtId="0" fontId="77" fillId="0" borderId="0" xfId="0" applyFont="1"/>
    <xf numFmtId="0" fontId="76" fillId="0" borderId="0" xfId="0" applyFont="1" applyAlignment="1">
      <alignment horizontal="left" wrapText="1"/>
    </xf>
    <xf numFmtId="0" fontId="77" fillId="16" borderId="90" xfId="0" applyFont="1" applyFill="1" applyBorder="1" applyAlignment="1">
      <alignment horizontal="center" vertical="center" textRotation="90"/>
    </xf>
    <xf numFmtId="0" fontId="77" fillId="3" borderId="0" xfId="0" applyFont="1" applyFill="1" applyAlignment="1">
      <alignment horizontal="center" vertical="center"/>
    </xf>
    <xf numFmtId="0" fontId="77" fillId="0" borderId="0" xfId="0" applyFont="1" applyAlignment="1">
      <alignment horizontal="center" vertical="center"/>
    </xf>
    <xf numFmtId="0" fontId="77" fillId="2" borderId="0" xfId="0" applyFont="1" applyFill="1" applyAlignment="1">
      <alignment horizontal="center" vertical="center"/>
    </xf>
    <xf numFmtId="0" fontId="76" fillId="0" borderId="90" xfId="0" applyFont="1" applyBorder="1" applyAlignment="1">
      <alignment horizontal="center" vertical="center"/>
    </xf>
    <xf numFmtId="0" fontId="76" fillId="0" borderId="0" xfId="0" applyFont="1" applyAlignment="1">
      <alignment vertical="center"/>
    </xf>
    <xf numFmtId="0" fontId="76" fillId="0" borderId="3" xfId="0" applyFont="1" applyBorder="1" applyAlignment="1">
      <alignment horizontal="center" vertical="center"/>
    </xf>
    <xf numFmtId="0" fontId="76" fillId="0" borderId="0" xfId="0" applyFont="1" applyAlignment="1">
      <alignment wrapText="1"/>
    </xf>
    <xf numFmtId="0" fontId="76" fillId="0" borderId="0" xfId="0" applyFont="1" applyAlignment="1">
      <alignment horizontal="center" vertical="center"/>
    </xf>
    <xf numFmtId="0" fontId="76" fillId="0" borderId="0" xfId="0" applyFont="1" applyAlignment="1">
      <alignment horizontal="center"/>
    </xf>
    <xf numFmtId="166" fontId="29" fillId="0" borderId="64" xfId="0" applyNumberFormat="1" applyFont="1" applyBorder="1" applyAlignment="1">
      <alignment horizontal="center" vertical="center" wrapText="1" readingOrder="1"/>
    </xf>
    <xf numFmtId="0" fontId="76" fillId="0" borderId="91" xfId="0" applyFont="1" applyBorder="1" applyAlignment="1" applyProtection="1">
      <alignment horizontal="center" vertical="center" wrapText="1"/>
      <protection locked="0"/>
    </xf>
    <xf numFmtId="0" fontId="76" fillId="0" borderId="99" xfId="0" applyFont="1" applyBorder="1" applyAlignment="1" applyProtection="1">
      <alignment horizontal="center" vertical="center" wrapText="1"/>
      <protection locked="0"/>
    </xf>
    <xf numFmtId="0" fontId="76" fillId="0" borderId="92" xfId="0" applyFont="1" applyBorder="1" applyAlignment="1" applyProtection="1">
      <alignment horizontal="center" vertical="center" wrapText="1"/>
      <protection locked="0"/>
    </xf>
    <xf numFmtId="0" fontId="77" fillId="16" borderId="92" xfId="0" applyFont="1" applyFill="1" applyBorder="1" applyAlignment="1">
      <alignment vertical="center"/>
    </xf>
    <xf numFmtId="0" fontId="0" fillId="21" borderId="7" xfId="0" applyFill="1" applyBorder="1"/>
    <xf numFmtId="0" fontId="0" fillId="21" borderId="0" xfId="0" applyFill="1"/>
    <xf numFmtId="0" fontId="0" fillId="0" borderId="8" xfId="0" applyBorder="1"/>
    <xf numFmtId="0" fontId="0" fillId="8" borderId="7" xfId="0" applyFill="1" applyBorder="1"/>
    <xf numFmtId="0" fontId="0" fillId="8" borderId="0" xfId="0" applyFill="1"/>
    <xf numFmtId="0" fontId="0" fillId="27" borderId="7" xfId="0" applyFill="1" applyBorder="1"/>
    <xf numFmtId="0" fontId="0" fillId="27" borderId="0" xfId="0" applyFill="1"/>
    <xf numFmtId="0" fontId="0" fillId="27" borderId="9" xfId="0" applyFill="1" applyBorder="1"/>
    <xf numFmtId="0" fontId="0" fillId="27" borderId="11" xfId="0" applyFill="1" applyBorder="1"/>
    <xf numFmtId="0" fontId="0" fillId="0" borderId="11" xfId="0" applyBorder="1"/>
    <xf numFmtId="0" fontId="0" fillId="0" borderId="10" xfId="0" applyBorder="1"/>
    <xf numFmtId="0" fontId="79" fillId="0" borderId="24" xfId="0" applyFont="1" applyBorder="1"/>
    <xf numFmtId="0" fontId="79" fillId="0" borderId="25" xfId="0" applyFont="1" applyBorder="1"/>
    <xf numFmtId="0" fontId="0" fillId="0" borderId="25" xfId="0" applyBorder="1"/>
    <xf numFmtId="0" fontId="0" fillId="0" borderId="36" xfId="0" applyBorder="1"/>
    <xf numFmtId="0" fontId="82" fillId="0" borderId="90" xfId="0" applyFont="1" applyBorder="1" applyAlignment="1" applyProtection="1">
      <alignment horizontal="justify" vertical="center" wrapText="1"/>
      <protection locked="0"/>
    </xf>
    <xf numFmtId="0" fontId="83" fillId="28" borderId="109" xfId="0" applyFont="1" applyFill="1" applyBorder="1" applyAlignment="1" applyProtection="1">
      <alignment horizontal="center" vertical="center" wrapText="1"/>
      <protection hidden="1"/>
    </xf>
    <xf numFmtId="0" fontId="83" fillId="28" borderId="110" xfId="0" applyFont="1" applyFill="1" applyBorder="1" applyAlignment="1" applyProtection="1">
      <alignment horizontal="center" vertical="center" wrapText="1"/>
      <protection hidden="1"/>
    </xf>
    <xf numFmtId="0" fontId="83" fillId="28" borderId="111" xfId="0" applyFont="1" applyFill="1" applyBorder="1" applyAlignment="1" applyProtection="1">
      <alignment horizontal="center" vertical="center" wrapText="1"/>
      <protection hidden="1"/>
    </xf>
    <xf numFmtId="0" fontId="0" fillId="3" borderId="0" xfId="0" applyFill="1" applyAlignment="1">
      <alignment horizontal="center" vertical="center"/>
    </xf>
    <xf numFmtId="14" fontId="0" fillId="3" borderId="0" xfId="0" applyNumberFormat="1" applyFill="1" applyAlignment="1">
      <alignment horizontal="center" vertical="center"/>
    </xf>
    <xf numFmtId="0" fontId="0" fillId="3" borderId="0" xfId="0" applyFill="1" applyAlignment="1">
      <alignment horizontal="center" vertical="center" wrapText="1"/>
    </xf>
    <xf numFmtId="0" fontId="67" fillId="0" borderId="0" xfId="0" applyFont="1" applyAlignment="1">
      <alignment vertical="center"/>
    </xf>
    <xf numFmtId="0" fontId="79" fillId="0" borderId="70" xfId="0" applyFont="1" applyBorder="1" applyAlignment="1">
      <alignment vertical="center"/>
    </xf>
    <xf numFmtId="0" fontId="79" fillId="3" borderId="0" xfId="0" applyFont="1" applyFill="1"/>
    <xf numFmtId="0" fontId="77" fillId="21" borderId="92" xfId="0" applyFont="1" applyFill="1" applyBorder="1" applyAlignment="1">
      <alignment horizontal="center" vertical="center" wrapText="1"/>
    </xf>
    <xf numFmtId="0" fontId="77" fillId="21" borderId="91" xfId="0" applyFont="1" applyFill="1" applyBorder="1" applyAlignment="1">
      <alignment horizontal="center" vertical="center" wrapText="1"/>
    </xf>
    <xf numFmtId="0" fontId="75" fillId="0" borderId="0" xfId="0" applyFont="1" applyAlignment="1">
      <alignment vertical="center"/>
    </xf>
    <xf numFmtId="0" fontId="85" fillId="0" borderId="0" xfId="0" applyFont="1" applyAlignment="1">
      <alignment vertical="center"/>
    </xf>
    <xf numFmtId="0" fontId="76" fillId="3" borderId="0" xfId="0" applyFont="1" applyFill="1" applyAlignment="1">
      <alignment wrapText="1"/>
    </xf>
    <xf numFmtId="0" fontId="76" fillId="0" borderId="0" xfId="0" applyFont="1" applyAlignment="1" applyProtection="1">
      <alignment vertical="center"/>
      <protection locked="0"/>
    </xf>
    <xf numFmtId="0" fontId="76" fillId="3" borderId="0" xfId="0" applyFont="1" applyFill="1" applyAlignment="1" applyProtection="1">
      <alignment vertical="center" wrapText="1"/>
      <protection locked="0"/>
    </xf>
    <xf numFmtId="0" fontId="77" fillId="3" borderId="0" xfId="0" applyFont="1" applyFill="1"/>
    <xf numFmtId="0" fontId="76" fillId="23" borderId="0" xfId="0" applyFont="1" applyFill="1" applyAlignment="1">
      <alignment horizontal="center" vertical="center"/>
    </xf>
    <xf numFmtId="0" fontId="76" fillId="23" borderId="0" xfId="0" applyFont="1" applyFill="1"/>
    <xf numFmtId="0" fontId="76" fillId="23" borderId="0" xfId="0" applyFont="1" applyFill="1" applyAlignment="1">
      <alignment horizontal="center"/>
    </xf>
    <xf numFmtId="0" fontId="76" fillId="23" borderId="0" xfId="0" applyFont="1" applyFill="1" applyAlignment="1">
      <alignment wrapText="1"/>
    </xf>
    <xf numFmtId="14" fontId="76" fillId="0" borderId="90" xfId="0" applyNumberFormat="1" applyFont="1" applyBorder="1" applyAlignment="1" applyProtection="1">
      <alignment horizontal="center" vertical="center" wrapText="1"/>
      <protection locked="0"/>
    </xf>
    <xf numFmtId="0" fontId="81" fillId="3" borderId="0" xfId="0" applyFont="1" applyFill="1" applyAlignment="1">
      <alignment wrapText="1"/>
    </xf>
    <xf numFmtId="9" fontId="76" fillId="0" borderId="90" xfId="1" applyFont="1" applyFill="1" applyBorder="1" applyAlignment="1">
      <alignment horizontal="center" vertical="center"/>
    </xf>
    <xf numFmtId="0" fontId="62" fillId="0" borderId="85" xfId="0" applyFont="1" applyBorder="1" applyAlignment="1">
      <alignment horizontal="center" vertical="center" wrapText="1"/>
    </xf>
    <xf numFmtId="0" fontId="62" fillId="0" borderId="85" xfId="0" applyFont="1" applyBorder="1" applyAlignment="1">
      <alignment vertical="center" wrapText="1"/>
    </xf>
    <xf numFmtId="0" fontId="60" fillId="3" borderId="68" xfId="0" applyFont="1" applyFill="1" applyBorder="1" applyAlignment="1">
      <alignment horizontal="justify" vertical="center" wrapText="1"/>
    </xf>
    <xf numFmtId="0" fontId="62" fillId="0" borderId="85" xfId="0" applyFont="1" applyBorder="1" applyAlignment="1">
      <alignment horizontal="left" vertical="center" wrapText="1"/>
    </xf>
    <xf numFmtId="0" fontId="60" fillId="0" borderId="68" xfId="0" applyFont="1" applyBorder="1" applyAlignment="1">
      <alignment horizontal="justify" vertical="center" wrapText="1"/>
    </xf>
    <xf numFmtId="0" fontId="60" fillId="0" borderId="34" xfId="0" applyFont="1" applyBorder="1" applyAlignment="1">
      <alignment horizontal="left" vertical="center" wrapText="1"/>
    </xf>
    <xf numFmtId="0" fontId="59" fillId="0" borderId="117" xfId="0" applyFont="1" applyBorder="1" applyAlignment="1">
      <alignment horizontal="left" vertical="center" wrapText="1"/>
    </xf>
    <xf numFmtId="0" fontId="62" fillId="0" borderId="86" xfId="0" applyFont="1" applyBorder="1" applyAlignment="1">
      <alignment vertical="center" wrapText="1"/>
    </xf>
    <xf numFmtId="0" fontId="50" fillId="3" borderId="53" xfId="2" applyFont="1" applyFill="1" applyBorder="1" applyAlignment="1">
      <alignment horizontal="justify" vertical="center" wrapText="1"/>
    </xf>
    <xf numFmtId="0" fontId="50" fillId="3" borderId="54" xfId="2" applyFont="1" applyFill="1" applyBorder="1" applyAlignment="1">
      <alignment horizontal="justify" vertical="center" wrapText="1"/>
    </xf>
    <xf numFmtId="0" fontId="49" fillId="3" borderId="60" xfId="0" applyFont="1" applyFill="1" applyBorder="1" applyAlignment="1">
      <alignment horizontal="left" vertical="center" wrapText="1"/>
    </xf>
    <xf numFmtId="0" fontId="49" fillId="3" borderId="61" xfId="0" applyFont="1" applyFill="1" applyBorder="1" applyAlignment="1">
      <alignment horizontal="left" vertical="center" wrapText="1"/>
    </xf>
    <xf numFmtId="0" fontId="49" fillId="3" borderId="47" xfId="3" applyFont="1" applyFill="1" applyBorder="1" applyAlignment="1">
      <alignment horizontal="left" vertical="top" wrapText="1" readingOrder="1"/>
    </xf>
    <xf numFmtId="0" fontId="49" fillId="3" borderId="48" xfId="3" applyFont="1" applyFill="1" applyBorder="1" applyAlignment="1">
      <alignment horizontal="left" vertical="top" wrapText="1" readingOrder="1"/>
    </xf>
    <xf numFmtId="0" fontId="50" fillId="3" borderId="49" xfId="2" applyFont="1" applyFill="1" applyBorder="1" applyAlignment="1">
      <alignment horizontal="justify" vertical="center" wrapText="1"/>
    </xf>
    <xf numFmtId="0" fontId="50" fillId="3" borderId="50" xfId="2" applyFont="1" applyFill="1" applyBorder="1" applyAlignment="1">
      <alignment horizontal="justify" vertical="center" wrapText="1"/>
    </xf>
    <xf numFmtId="0" fontId="49" fillId="3" borderId="51" xfId="0" applyFont="1" applyFill="1" applyBorder="1" applyAlignment="1">
      <alignment horizontal="left" vertical="center" wrapText="1"/>
    </xf>
    <xf numFmtId="0" fontId="49" fillId="3" borderId="52" xfId="0" applyFont="1" applyFill="1" applyBorder="1" applyAlignment="1">
      <alignment horizontal="left" vertical="center" wrapText="1"/>
    </xf>
    <xf numFmtId="0" fontId="44" fillId="3" borderId="7" xfId="2" applyFont="1" applyFill="1" applyBorder="1" applyAlignment="1">
      <alignment horizontal="left" vertical="top" wrapText="1"/>
    </xf>
    <xf numFmtId="0" fontId="44" fillId="3" borderId="0" xfId="2" applyFont="1" applyFill="1" applyAlignment="1">
      <alignment horizontal="left" vertical="top" wrapText="1"/>
    </xf>
    <xf numFmtId="0" fontId="44" fillId="3" borderId="8" xfId="2" applyFont="1" applyFill="1" applyBorder="1" applyAlignment="1">
      <alignment horizontal="left" vertical="top" wrapText="1"/>
    </xf>
    <xf numFmtId="0" fontId="49" fillId="3" borderId="62" xfId="0" applyFont="1" applyFill="1" applyBorder="1" applyAlignment="1">
      <alignment horizontal="left" vertical="center" wrapText="1"/>
    </xf>
    <xf numFmtId="0" fontId="49" fillId="3" borderId="63" xfId="0" applyFont="1" applyFill="1" applyBorder="1" applyAlignment="1">
      <alignment horizontal="left" vertical="center" wrapText="1"/>
    </xf>
    <xf numFmtId="0" fontId="50" fillId="3" borderId="55" xfId="0" applyFont="1" applyFill="1" applyBorder="1" applyAlignment="1">
      <alignment horizontal="justify" vertical="center" wrapText="1"/>
    </xf>
    <xf numFmtId="0" fontId="50" fillId="3" borderId="56" xfId="0" applyFont="1" applyFill="1" applyBorder="1" applyAlignment="1">
      <alignment horizontal="justify" vertical="center" wrapText="1"/>
    </xf>
    <xf numFmtId="0" fontId="45" fillId="23" borderId="37" xfId="2" applyFont="1" applyFill="1" applyBorder="1" applyAlignment="1">
      <alignment horizontal="center" vertical="center" wrapText="1"/>
    </xf>
    <xf numFmtId="0" fontId="45" fillId="23" borderId="38" xfId="2" applyFont="1" applyFill="1" applyBorder="1" applyAlignment="1">
      <alignment horizontal="center" vertical="center" wrapText="1"/>
    </xf>
    <xf numFmtId="0" fontId="45" fillId="23" borderId="39" xfId="2" applyFont="1" applyFill="1" applyBorder="1" applyAlignment="1">
      <alignment horizontal="center" vertical="center" wrapText="1"/>
    </xf>
    <xf numFmtId="0" fontId="44" fillId="0" borderId="7" xfId="2" quotePrefix="1" applyFont="1" applyBorder="1" applyAlignment="1">
      <alignment horizontal="left" vertical="center" wrapText="1"/>
    </xf>
    <xf numFmtId="0" fontId="44" fillId="0" borderId="0" xfId="2" quotePrefix="1" applyFont="1" applyAlignment="1">
      <alignment horizontal="left" vertical="center" wrapText="1"/>
    </xf>
    <xf numFmtId="0" fontId="44" fillId="0" borderId="8" xfId="2" quotePrefix="1" applyFont="1" applyBorder="1" applyAlignment="1">
      <alignment horizontal="left" vertical="center" wrapText="1"/>
    </xf>
    <xf numFmtId="0" fontId="44" fillId="0" borderId="57" xfId="2" quotePrefix="1" applyFont="1" applyBorder="1" applyAlignment="1">
      <alignment horizontal="left" vertical="center" wrapText="1"/>
    </xf>
    <xf numFmtId="0" fontId="44" fillId="0" borderId="58" xfId="2" quotePrefix="1" applyFont="1" applyBorder="1" applyAlignment="1">
      <alignment horizontal="left" vertical="center" wrapText="1"/>
    </xf>
    <xf numFmtId="0" fontId="44" fillId="0" borderId="59" xfId="2" quotePrefix="1" applyFont="1" applyBorder="1" applyAlignment="1">
      <alignment horizontal="left" vertical="center" wrapText="1"/>
    </xf>
    <xf numFmtId="0" fontId="46" fillId="3" borderId="40" xfId="2" quotePrefix="1" applyFont="1" applyFill="1" applyBorder="1" applyAlignment="1">
      <alignment horizontal="left" vertical="top" wrapText="1"/>
    </xf>
    <xf numFmtId="0" fontId="47" fillId="3" borderId="41" xfId="2" quotePrefix="1" applyFont="1" applyFill="1" applyBorder="1" applyAlignment="1">
      <alignment horizontal="left" vertical="top" wrapText="1"/>
    </xf>
    <xf numFmtId="0" fontId="47" fillId="3" borderId="42" xfId="2" quotePrefix="1" applyFont="1" applyFill="1" applyBorder="1" applyAlignment="1">
      <alignment horizontal="left" vertical="top" wrapText="1"/>
    </xf>
    <xf numFmtId="0" fontId="44" fillId="0" borderId="7" xfId="2" quotePrefix="1" applyFont="1" applyBorder="1" applyAlignment="1">
      <alignment horizontal="left" vertical="top" wrapText="1"/>
    </xf>
    <xf numFmtId="0" fontId="44" fillId="0" borderId="0" xfId="2" quotePrefix="1" applyFont="1" applyAlignment="1">
      <alignment horizontal="left" vertical="top" wrapText="1"/>
    </xf>
    <xf numFmtId="0" fontId="44" fillId="0" borderId="8" xfId="2" quotePrefix="1" applyFont="1" applyBorder="1" applyAlignment="1">
      <alignment horizontal="left" vertical="top" wrapText="1"/>
    </xf>
    <xf numFmtId="0" fontId="49" fillId="14" borderId="43" xfId="3" applyFont="1" applyFill="1" applyBorder="1" applyAlignment="1">
      <alignment horizontal="center" vertical="center" wrapText="1"/>
    </xf>
    <xf numFmtId="0" fontId="49" fillId="14" borderId="44" xfId="3" applyFont="1" applyFill="1" applyBorder="1" applyAlignment="1">
      <alignment horizontal="center" vertical="center" wrapText="1"/>
    </xf>
    <xf numFmtId="0" fontId="49" fillId="14" borderId="45" xfId="2" applyFont="1" applyFill="1" applyBorder="1" applyAlignment="1">
      <alignment horizontal="center" vertical="center"/>
    </xf>
    <xf numFmtId="0" fontId="49" fillId="14" borderId="46" xfId="2" applyFont="1" applyFill="1" applyBorder="1" applyAlignment="1">
      <alignment horizontal="center" vertical="center"/>
    </xf>
    <xf numFmtId="0" fontId="1" fillId="3" borderId="57" xfId="2" quotePrefix="1" applyFont="1" applyFill="1" applyBorder="1" applyAlignment="1">
      <alignment horizontal="justify" vertical="center" wrapText="1"/>
    </xf>
    <xf numFmtId="0" fontId="1" fillId="3" borderId="58" xfId="2" quotePrefix="1" applyFont="1" applyFill="1" applyBorder="1" applyAlignment="1">
      <alignment horizontal="justify" vertical="center" wrapText="1"/>
    </xf>
    <xf numFmtId="0" fontId="1" fillId="3" borderId="59" xfId="2" quotePrefix="1" applyFont="1" applyFill="1" applyBorder="1" applyAlignment="1">
      <alignment horizontal="justify" vertical="center" wrapText="1"/>
    </xf>
    <xf numFmtId="0" fontId="61" fillId="17" borderId="66" xfId="0" applyFont="1" applyFill="1" applyBorder="1" applyAlignment="1">
      <alignment horizontal="center" vertical="center" wrapText="1"/>
    </xf>
    <xf numFmtId="0" fontId="61" fillId="17" borderId="67" xfId="0" applyFont="1" applyFill="1" applyBorder="1" applyAlignment="1">
      <alignment horizontal="center" vertical="center" wrapText="1"/>
    </xf>
    <xf numFmtId="0" fontId="61" fillId="18" borderId="68" xfId="0" applyFont="1" applyFill="1" applyBorder="1" applyAlignment="1">
      <alignment horizontal="center" vertical="center" textRotation="90"/>
    </xf>
    <xf numFmtId="0" fontId="61" fillId="18" borderId="70" xfId="0" applyFont="1" applyFill="1" applyBorder="1" applyAlignment="1">
      <alignment horizontal="center" vertical="center" textRotation="90"/>
    </xf>
    <xf numFmtId="0" fontId="61" fillId="18" borderId="72" xfId="0" applyFont="1" applyFill="1" applyBorder="1" applyAlignment="1">
      <alignment horizontal="center" vertical="center" textRotation="90"/>
    </xf>
    <xf numFmtId="0" fontId="73" fillId="22" borderId="87" xfId="0" applyFont="1" applyFill="1" applyBorder="1" applyAlignment="1">
      <alignment horizontal="center" vertical="center"/>
    </xf>
    <xf numFmtId="0" fontId="73" fillId="22" borderId="88" xfId="0" applyFont="1" applyFill="1" applyBorder="1" applyAlignment="1">
      <alignment horizontal="center" vertical="center"/>
    </xf>
    <xf numFmtId="0" fontId="60" fillId="3" borderId="68" xfId="0" applyFont="1" applyFill="1" applyBorder="1" applyAlignment="1">
      <alignment horizontal="left" vertical="center" wrapText="1"/>
    </xf>
    <xf numFmtId="0" fontId="60" fillId="3" borderId="72" xfId="0" applyFont="1" applyFill="1" applyBorder="1" applyAlignment="1">
      <alignment horizontal="left" vertical="center" wrapText="1"/>
    </xf>
    <xf numFmtId="0" fontId="62" fillId="0" borderId="68" xfId="0" applyFont="1" applyBorder="1" applyAlignment="1">
      <alignment horizontal="center" vertical="center" wrapText="1"/>
    </xf>
    <xf numFmtId="0" fontId="62" fillId="0" borderId="116" xfId="0" applyFont="1" applyBorder="1" applyAlignment="1">
      <alignment horizontal="center" vertical="center" wrapText="1"/>
    </xf>
    <xf numFmtId="0" fontId="71" fillId="0" borderId="71" xfId="0" applyFont="1" applyBorder="1" applyAlignment="1">
      <alignment horizontal="center" vertical="center" wrapText="1"/>
    </xf>
    <xf numFmtId="0" fontId="71" fillId="0" borderId="70" xfId="0" applyFont="1" applyBorder="1" applyAlignment="1">
      <alignment horizontal="center" vertical="center" wrapText="1"/>
    </xf>
    <xf numFmtId="0" fontId="71" fillId="0" borderId="83" xfId="0" applyFont="1" applyBorder="1" applyAlignment="1">
      <alignment horizontal="center" vertical="center" wrapText="1"/>
    </xf>
    <xf numFmtId="0" fontId="71" fillId="0" borderId="68" xfId="0" applyFont="1" applyBorder="1" applyAlignment="1">
      <alignment horizontal="center" vertical="center" wrapText="1"/>
    </xf>
    <xf numFmtId="0" fontId="76" fillId="3" borderId="24" xfId="0" applyFont="1" applyFill="1" applyBorder="1" applyAlignment="1" applyProtection="1">
      <alignment horizontal="center" vertical="center" wrapText="1"/>
      <protection locked="0"/>
    </xf>
    <xf numFmtId="0" fontId="76" fillId="3" borderId="25" xfId="0" applyFont="1" applyFill="1" applyBorder="1" applyAlignment="1" applyProtection="1">
      <alignment horizontal="center" vertical="center" wrapText="1"/>
      <protection locked="0"/>
    </xf>
    <xf numFmtId="0" fontId="76" fillId="3" borderId="36" xfId="0" applyFont="1" applyFill="1" applyBorder="1" applyAlignment="1" applyProtection="1">
      <alignment horizontal="center" vertical="center" wrapText="1"/>
      <protection locked="0"/>
    </xf>
    <xf numFmtId="0" fontId="75" fillId="0" borderId="5" xfId="0" applyFont="1" applyBorder="1" applyAlignment="1">
      <alignment horizontal="center" vertical="center"/>
    </xf>
    <xf numFmtId="0" fontId="75" fillId="0" borderId="12" xfId="0" applyFont="1" applyBorder="1" applyAlignment="1">
      <alignment horizontal="center" vertical="center"/>
    </xf>
    <xf numFmtId="0" fontId="75" fillId="0" borderId="6" xfId="0" applyFont="1" applyBorder="1" applyAlignment="1">
      <alignment horizontal="center" vertical="center"/>
    </xf>
    <xf numFmtId="0" fontId="75" fillId="0" borderId="9" xfId="0" applyFont="1" applyBorder="1" applyAlignment="1">
      <alignment horizontal="center" vertical="center"/>
    </xf>
    <xf numFmtId="0" fontId="75" fillId="0" borderId="11" xfId="0" applyFont="1" applyBorder="1" applyAlignment="1">
      <alignment horizontal="center" vertical="center"/>
    </xf>
    <xf numFmtId="0" fontId="75" fillId="0" borderId="10" xfId="0" applyFont="1" applyBorder="1" applyAlignment="1">
      <alignment horizontal="center" vertical="center"/>
    </xf>
    <xf numFmtId="0" fontId="75" fillId="0" borderId="24" xfId="0" applyFont="1" applyBorder="1" applyAlignment="1">
      <alignment horizontal="left" vertical="center"/>
    </xf>
    <xf numFmtId="0" fontId="75" fillId="0" borderId="25" xfId="0" applyFont="1" applyBorder="1" applyAlignment="1">
      <alignment horizontal="left" vertical="center"/>
    </xf>
    <xf numFmtId="0" fontId="75" fillId="0" borderId="36" xfId="0" applyFont="1" applyBorder="1" applyAlignment="1">
      <alignment horizontal="left" vertical="center"/>
    </xf>
    <xf numFmtId="0" fontId="77" fillId="0" borderId="90" xfId="0" applyFont="1" applyBorder="1" applyAlignment="1">
      <alignment horizontal="center" vertical="center"/>
    </xf>
    <xf numFmtId="0" fontId="76" fillId="0" borderId="90" xfId="0" applyFont="1" applyBorder="1" applyAlignment="1" applyProtection="1">
      <alignment horizontal="center" vertical="center" wrapText="1"/>
      <protection locked="0"/>
    </xf>
    <xf numFmtId="0" fontId="81" fillId="0" borderId="94" xfId="0" applyFont="1" applyBorder="1" applyAlignment="1">
      <alignment horizontal="center" vertical="center"/>
    </xf>
    <xf numFmtId="0" fontId="81" fillId="0" borderId="95" xfId="0" applyFont="1" applyBorder="1" applyAlignment="1">
      <alignment horizontal="center" vertical="center"/>
    </xf>
    <xf numFmtId="0" fontId="81" fillId="0" borderId="113" xfId="0" applyFont="1" applyBorder="1" applyAlignment="1">
      <alignment horizontal="center" vertical="center"/>
    </xf>
    <xf numFmtId="0" fontId="81" fillId="0" borderId="96" xfId="0" applyFont="1" applyBorder="1" applyAlignment="1">
      <alignment horizontal="center" vertical="center"/>
    </xf>
    <xf numFmtId="0" fontId="81" fillId="0" borderId="90" xfId="0" applyFont="1" applyBorder="1" applyAlignment="1">
      <alignment horizontal="center" vertical="center"/>
    </xf>
    <xf numFmtId="0" fontId="81" fillId="0" borderId="115" xfId="0" applyFont="1" applyBorder="1" applyAlignment="1">
      <alignment horizontal="center" vertical="center"/>
    </xf>
    <xf numFmtId="0" fontId="81" fillId="0" borderId="97" xfId="0" applyFont="1" applyBorder="1" applyAlignment="1">
      <alignment horizontal="center" vertical="center"/>
    </xf>
    <xf numFmtId="0" fontId="81" fillId="0" borderId="98" xfId="0" applyFont="1" applyBorder="1" applyAlignment="1">
      <alignment horizontal="center" vertical="center"/>
    </xf>
    <xf numFmtId="0" fontId="81" fillId="0" borderId="114" xfId="0" applyFont="1" applyBorder="1" applyAlignment="1">
      <alignment horizontal="center" vertical="center"/>
    </xf>
    <xf numFmtId="0" fontId="76" fillId="0" borderId="90" xfId="0" applyFont="1" applyBorder="1" applyAlignment="1" applyProtection="1">
      <alignment horizontal="center" vertical="center"/>
      <protection locked="0"/>
    </xf>
    <xf numFmtId="0" fontId="77" fillId="0" borderId="90" xfId="0" applyFont="1" applyBorder="1" applyAlignment="1" applyProtection="1">
      <alignment horizontal="center" vertical="center" wrapText="1"/>
      <protection hidden="1"/>
    </xf>
    <xf numFmtId="9" fontId="76" fillId="0" borderId="90" xfId="0" applyNumberFormat="1" applyFont="1" applyBorder="1" applyAlignment="1" applyProtection="1">
      <alignment horizontal="center" vertical="center" wrapText="1"/>
      <protection hidden="1"/>
    </xf>
    <xf numFmtId="0" fontId="76" fillId="0" borderId="91" xfId="0" applyFont="1" applyBorder="1" applyAlignment="1" applyProtection="1">
      <alignment horizontal="center" vertical="center" wrapText="1"/>
      <protection locked="0"/>
    </xf>
    <xf numFmtId="0" fontId="76" fillId="0" borderId="99" xfId="0" applyFont="1" applyBorder="1" applyAlignment="1" applyProtection="1">
      <alignment horizontal="center" vertical="center" wrapText="1"/>
      <protection locked="0"/>
    </xf>
    <xf numFmtId="0" fontId="76" fillId="0" borderId="92" xfId="0" applyFont="1" applyBorder="1" applyAlignment="1" applyProtection="1">
      <alignment horizontal="center" vertical="center" wrapText="1"/>
      <protection locked="0"/>
    </xf>
    <xf numFmtId="0" fontId="76" fillId="3" borderId="0" xfId="0" applyFont="1" applyFill="1" applyAlignment="1">
      <alignment horizontal="left" wrapText="1"/>
    </xf>
    <xf numFmtId="0" fontId="75" fillId="0" borderId="0" xfId="0" applyFont="1" applyAlignment="1">
      <alignment horizontal="center" vertical="center"/>
    </xf>
    <xf numFmtId="0" fontId="75" fillId="0" borderId="0" xfId="0" applyFont="1" applyAlignment="1">
      <alignment horizontal="left" vertical="center"/>
    </xf>
    <xf numFmtId="0" fontId="77" fillId="21" borderId="100" xfId="0" applyFont="1" applyFill="1" applyBorder="1" applyAlignment="1">
      <alignment horizontal="left" vertical="center"/>
    </xf>
    <xf numFmtId="0" fontId="77" fillId="21" borderId="101" xfId="0" applyFont="1" applyFill="1" applyBorder="1" applyAlignment="1">
      <alignment horizontal="left" vertical="center"/>
    </xf>
    <xf numFmtId="0" fontId="77" fillId="21" borderId="102" xfId="0" applyFont="1" applyFill="1" applyBorder="1" applyAlignment="1">
      <alignment horizontal="left" vertical="center"/>
    </xf>
    <xf numFmtId="0" fontId="77" fillId="21" borderId="103" xfId="0" applyFont="1" applyFill="1" applyBorder="1" applyAlignment="1">
      <alignment horizontal="left" vertical="center"/>
    </xf>
    <xf numFmtId="0" fontId="77" fillId="21" borderId="104" xfId="0" applyFont="1" applyFill="1" applyBorder="1" applyAlignment="1">
      <alignment horizontal="left" vertical="center"/>
    </xf>
    <xf numFmtId="0" fontId="77" fillId="21" borderId="105" xfId="0" applyFont="1" applyFill="1" applyBorder="1" applyAlignment="1">
      <alignment horizontal="left" vertical="center"/>
    </xf>
    <xf numFmtId="0" fontId="77" fillId="3" borderId="0" xfId="0" applyFont="1" applyFill="1" applyAlignment="1">
      <alignment horizontal="left" vertical="center"/>
    </xf>
    <xf numFmtId="0" fontId="87" fillId="0" borderId="24" xfId="0" applyFont="1" applyBorder="1" applyAlignment="1" applyProtection="1">
      <alignment horizontal="center" vertical="center"/>
      <protection locked="0"/>
    </xf>
    <xf numFmtId="0" fontId="87" fillId="0" borderId="25" xfId="0" applyFont="1" applyBorder="1" applyAlignment="1" applyProtection="1">
      <alignment horizontal="center" vertical="center"/>
      <protection locked="0"/>
    </xf>
    <xf numFmtId="0" fontId="87" fillId="0" borderId="36" xfId="0" applyFont="1" applyBorder="1" applyAlignment="1" applyProtection="1">
      <alignment horizontal="center" vertical="center"/>
      <protection locked="0"/>
    </xf>
    <xf numFmtId="0" fontId="77" fillId="0" borderId="90" xfId="0" applyFont="1" applyBorder="1" applyAlignment="1" applyProtection="1">
      <alignment horizontal="center" vertical="center"/>
      <protection hidden="1"/>
    </xf>
    <xf numFmtId="9" fontId="76" fillId="0" borderId="90" xfId="0" applyNumberFormat="1" applyFont="1" applyBorder="1" applyAlignment="1" applyProtection="1">
      <alignment horizontal="center" vertical="center" wrapText="1"/>
      <protection locked="0"/>
    </xf>
    <xf numFmtId="0" fontId="77" fillId="27" borderId="106" xfId="0" applyFont="1" applyFill="1" applyBorder="1" applyAlignment="1">
      <alignment horizontal="center" vertical="center"/>
    </xf>
    <xf numFmtId="0" fontId="77" fillId="27" borderId="107" xfId="0" applyFont="1" applyFill="1" applyBorder="1" applyAlignment="1">
      <alignment horizontal="center" vertical="center"/>
    </xf>
    <xf numFmtId="0" fontId="77" fillId="27" borderId="108" xfId="0" applyFont="1" applyFill="1" applyBorder="1" applyAlignment="1">
      <alignment horizontal="center" vertical="center"/>
    </xf>
    <xf numFmtId="0" fontId="77" fillId="16" borderId="90" xfId="0" applyFont="1" applyFill="1" applyBorder="1" applyAlignment="1">
      <alignment horizontal="center" vertical="center"/>
    </xf>
    <xf numFmtId="0" fontId="77" fillId="27" borderId="90" xfId="0" applyFont="1" applyFill="1" applyBorder="1" applyAlignment="1">
      <alignment horizontal="center" vertical="center" wrapText="1"/>
    </xf>
    <xf numFmtId="0" fontId="76" fillId="0" borderId="2" xfId="0" applyFont="1" applyBorder="1" applyAlignment="1">
      <alignment horizontal="left" vertical="center" wrapText="1"/>
    </xf>
    <xf numFmtId="0" fontId="76" fillId="0" borderId="21" xfId="0" applyFont="1" applyBorder="1" applyAlignment="1">
      <alignment horizontal="left" vertical="center" wrapText="1"/>
    </xf>
    <xf numFmtId="0" fontId="76" fillId="0" borderId="90" xfId="0" applyFont="1" applyBorder="1" applyAlignment="1" applyProtection="1">
      <alignment horizontal="left" vertical="center" wrapText="1"/>
      <protection locked="0"/>
    </xf>
    <xf numFmtId="0" fontId="88" fillId="0" borderId="90" xfId="0" applyFont="1" applyBorder="1" applyAlignment="1" applyProtection="1">
      <alignment horizontal="center" vertical="top" wrapText="1"/>
      <protection locked="0"/>
    </xf>
    <xf numFmtId="0" fontId="76" fillId="0" borderId="90" xfId="0" applyFont="1" applyBorder="1" applyAlignment="1" applyProtection="1">
      <alignment horizontal="center" vertical="top" wrapText="1"/>
      <protection locked="0"/>
    </xf>
    <xf numFmtId="0" fontId="77" fillId="27" borderId="90" xfId="0" applyFont="1" applyFill="1" applyBorder="1" applyAlignment="1">
      <alignment horizontal="center" vertical="center" textRotation="90"/>
    </xf>
    <xf numFmtId="0" fontId="77" fillId="27" borderId="90" xfId="0" applyFont="1" applyFill="1" applyBorder="1" applyAlignment="1">
      <alignment horizontal="center" vertical="center"/>
    </xf>
    <xf numFmtId="0" fontId="76" fillId="0" borderId="90" xfId="0" applyFont="1" applyBorder="1" applyAlignment="1" applyProtection="1">
      <alignment horizontal="justify" vertical="center" wrapText="1"/>
      <protection locked="0"/>
    </xf>
    <xf numFmtId="0" fontId="77" fillId="29" borderId="91" xfId="0" applyFont="1" applyFill="1" applyBorder="1" applyAlignment="1">
      <alignment horizontal="center" vertical="center" wrapText="1"/>
    </xf>
    <xf numFmtId="0" fontId="77" fillId="29" borderId="92" xfId="0" applyFont="1" applyFill="1" applyBorder="1" applyAlignment="1">
      <alignment horizontal="center" vertical="center" wrapText="1"/>
    </xf>
    <xf numFmtId="0" fontId="77" fillId="16" borderId="90" xfId="0" applyFont="1" applyFill="1" applyBorder="1" applyAlignment="1">
      <alignment horizontal="center" vertical="center" wrapText="1"/>
    </xf>
    <xf numFmtId="0" fontId="77" fillId="16" borderId="90" xfId="0" applyFont="1" applyFill="1" applyBorder="1" applyAlignment="1">
      <alignment horizontal="center" vertical="center" textRotation="90" wrapText="1"/>
    </xf>
    <xf numFmtId="0" fontId="77" fillId="29" borderId="106" xfId="0" applyFont="1" applyFill="1" applyBorder="1" applyAlignment="1">
      <alignment horizontal="center" vertical="center"/>
    </xf>
    <xf numFmtId="0" fontId="77" fillId="29" borderId="107" xfId="0" applyFont="1" applyFill="1" applyBorder="1" applyAlignment="1">
      <alignment horizontal="center" vertical="center"/>
    </xf>
    <xf numFmtId="0" fontId="77" fillId="29" borderId="108" xfId="0" applyFont="1" applyFill="1" applyBorder="1" applyAlignment="1">
      <alignment horizontal="center" vertical="center"/>
    </xf>
    <xf numFmtId="0" fontId="77" fillId="16" borderId="106" xfId="0" applyFont="1" applyFill="1" applyBorder="1" applyAlignment="1">
      <alignment horizontal="center" vertical="center"/>
    </xf>
    <xf numFmtId="0" fontId="77" fillId="16" borderId="107" xfId="0" applyFont="1" applyFill="1" applyBorder="1" applyAlignment="1">
      <alignment horizontal="center" vertical="center"/>
    </xf>
    <xf numFmtId="0" fontId="77" fillId="16" borderId="108" xfId="0" applyFont="1" applyFill="1" applyBorder="1" applyAlignment="1">
      <alignment horizontal="center" vertical="center"/>
    </xf>
    <xf numFmtId="0" fontId="77" fillId="16" borderId="106" xfId="0" applyFont="1" applyFill="1" applyBorder="1" applyAlignment="1">
      <alignment horizontal="center" vertical="center" wrapText="1"/>
    </xf>
    <xf numFmtId="0" fontId="77" fillId="16" borderId="107" xfId="0" applyFont="1" applyFill="1" applyBorder="1" applyAlignment="1">
      <alignment horizontal="center" vertical="center" wrapText="1"/>
    </xf>
    <xf numFmtId="0" fontId="77" fillId="16" borderId="108" xfId="0" applyFont="1" applyFill="1" applyBorder="1" applyAlignment="1">
      <alignment horizontal="center" vertical="center" wrapText="1"/>
    </xf>
    <xf numFmtId="0" fontId="77" fillId="21" borderId="112" xfId="0" applyFont="1" applyFill="1" applyBorder="1" applyAlignment="1">
      <alignment horizontal="center" vertical="center" wrapText="1"/>
    </xf>
    <xf numFmtId="0" fontId="77" fillId="21" borderId="93" xfId="0" applyFont="1" applyFill="1" applyBorder="1" applyAlignment="1">
      <alignment horizontal="center" vertical="center" wrapText="1"/>
    </xf>
    <xf numFmtId="0" fontId="77" fillId="16" borderId="92" xfId="0" applyFont="1" applyFill="1" applyBorder="1" applyAlignment="1">
      <alignment horizontal="center" vertical="center"/>
    </xf>
    <xf numFmtId="0" fontId="16" fillId="10" borderId="0" xfId="0" applyFont="1" applyFill="1" applyAlignment="1">
      <alignment horizontal="center" vertical="center" textRotation="90" wrapText="1" readingOrder="1"/>
    </xf>
    <xf numFmtId="0" fontId="16" fillId="10" borderId="8" xfId="0" applyFont="1" applyFill="1" applyBorder="1" applyAlignment="1">
      <alignment horizontal="center" vertical="center" textRotation="90" wrapText="1" readingOrder="1"/>
    </xf>
    <xf numFmtId="0" fontId="19" fillId="12" borderId="13" xfId="0" applyFont="1" applyFill="1" applyBorder="1" applyAlignment="1">
      <alignment horizontal="center" vertical="center" wrapText="1" readingOrder="1"/>
    </xf>
    <xf numFmtId="0" fontId="19" fillId="12" borderId="14" xfId="0" applyFont="1" applyFill="1" applyBorder="1" applyAlignment="1">
      <alignment horizontal="center" vertical="center" wrapText="1" readingOrder="1"/>
    </xf>
    <xf numFmtId="0" fontId="19" fillId="12" borderId="15" xfId="0" applyFont="1" applyFill="1" applyBorder="1" applyAlignment="1">
      <alignment horizontal="center" vertical="center" wrapText="1" readingOrder="1"/>
    </xf>
    <xf numFmtId="0" fontId="19" fillId="12" borderId="16" xfId="0" applyFont="1" applyFill="1" applyBorder="1" applyAlignment="1">
      <alignment horizontal="center" vertical="center" wrapText="1" readingOrder="1"/>
    </xf>
    <xf numFmtId="0" fontId="19" fillId="12" borderId="0" xfId="0" applyFont="1" applyFill="1" applyAlignment="1">
      <alignment horizontal="center" vertical="center" wrapText="1" readingOrder="1"/>
    </xf>
    <xf numFmtId="0" fontId="19" fillId="12" borderId="17" xfId="0" applyFont="1" applyFill="1" applyBorder="1" applyAlignment="1">
      <alignment horizontal="center" vertical="center" wrapText="1" readingOrder="1"/>
    </xf>
    <xf numFmtId="0" fontId="19" fillId="12" borderId="18" xfId="0" applyFont="1" applyFill="1" applyBorder="1" applyAlignment="1">
      <alignment horizontal="center" vertical="center" wrapText="1" readingOrder="1"/>
    </xf>
    <xf numFmtId="0" fontId="19" fillId="12" borderId="19" xfId="0" applyFont="1" applyFill="1" applyBorder="1" applyAlignment="1">
      <alignment horizontal="center" vertical="center" wrapText="1" readingOrder="1"/>
    </xf>
    <xf numFmtId="0" fontId="19" fillId="12" borderId="20" xfId="0" applyFont="1" applyFill="1" applyBorder="1" applyAlignment="1">
      <alignment horizontal="center" vertical="center" wrapText="1" readingOrder="1"/>
    </xf>
    <xf numFmtId="0" fontId="19" fillId="11" borderId="13" xfId="0" applyFont="1" applyFill="1" applyBorder="1" applyAlignment="1">
      <alignment horizontal="center" vertical="center" wrapText="1" readingOrder="1"/>
    </xf>
    <xf numFmtId="0" fontId="19" fillId="11" borderId="14" xfId="0" applyFont="1" applyFill="1" applyBorder="1" applyAlignment="1">
      <alignment horizontal="center" vertical="center" wrapText="1" readingOrder="1"/>
    </xf>
    <xf numFmtId="0" fontId="19" fillId="11" borderId="15" xfId="0" applyFont="1" applyFill="1" applyBorder="1" applyAlignment="1">
      <alignment horizontal="center" vertical="center" wrapText="1" readingOrder="1"/>
    </xf>
    <xf numFmtId="0" fontId="19" fillId="11" borderId="16" xfId="0" applyFont="1" applyFill="1" applyBorder="1" applyAlignment="1">
      <alignment horizontal="center" vertical="center" wrapText="1" readingOrder="1"/>
    </xf>
    <xf numFmtId="0" fontId="19" fillId="11" borderId="0" xfId="0" applyFont="1" applyFill="1" applyAlignment="1">
      <alignment horizontal="center" vertical="center" wrapText="1" readingOrder="1"/>
    </xf>
    <xf numFmtId="0" fontId="19" fillId="11" borderId="17" xfId="0" applyFont="1" applyFill="1" applyBorder="1" applyAlignment="1">
      <alignment horizontal="center" vertical="center" wrapText="1" readingOrder="1"/>
    </xf>
    <xf numFmtId="0" fontId="19" fillId="11" borderId="18" xfId="0" applyFont="1" applyFill="1" applyBorder="1" applyAlignment="1">
      <alignment horizontal="center" vertical="center" wrapText="1" readingOrder="1"/>
    </xf>
    <xf numFmtId="0" fontId="19" fillId="11" borderId="19" xfId="0" applyFont="1" applyFill="1" applyBorder="1" applyAlignment="1">
      <alignment horizontal="center" vertical="center" wrapText="1" readingOrder="1"/>
    </xf>
    <xf numFmtId="0" fontId="19" fillId="11" borderId="20" xfId="0" applyFont="1" applyFill="1" applyBorder="1" applyAlignment="1">
      <alignment horizontal="center" vertical="center" wrapText="1" readingOrder="1"/>
    </xf>
    <xf numFmtId="0" fontId="19" fillId="13" borderId="13" xfId="0" applyFont="1" applyFill="1" applyBorder="1" applyAlignment="1">
      <alignment horizontal="center" vertical="center" wrapText="1" readingOrder="1"/>
    </xf>
    <xf numFmtId="0" fontId="19" fillId="13" borderId="14" xfId="0" applyFont="1" applyFill="1" applyBorder="1" applyAlignment="1">
      <alignment horizontal="center" vertical="center" wrapText="1" readingOrder="1"/>
    </xf>
    <xf numFmtId="0" fontId="19" fillId="13" borderId="15" xfId="0" applyFont="1" applyFill="1" applyBorder="1" applyAlignment="1">
      <alignment horizontal="center" vertical="center" wrapText="1" readingOrder="1"/>
    </xf>
    <xf numFmtId="0" fontId="19" fillId="13" borderId="16" xfId="0" applyFont="1" applyFill="1" applyBorder="1" applyAlignment="1">
      <alignment horizontal="center" vertical="center" wrapText="1" readingOrder="1"/>
    </xf>
    <xf numFmtId="0" fontId="19" fillId="13" borderId="0" xfId="0" applyFont="1" applyFill="1" applyAlignment="1">
      <alignment horizontal="center" vertical="center" wrapText="1" readingOrder="1"/>
    </xf>
    <xf numFmtId="0" fontId="19" fillId="13" borderId="17" xfId="0" applyFont="1" applyFill="1" applyBorder="1" applyAlignment="1">
      <alignment horizontal="center" vertical="center" wrapText="1" readingOrder="1"/>
    </xf>
    <xf numFmtId="0" fontId="19" fillId="13" borderId="18" xfId="0" applyFont="1" applyFill="1" applyBorder="1" applyAlignment="1">
      <alignment horizontal="center" vertical="center" wrapText="1" readingOrder="1"/>
    </xf>
    <xf numFmtId="0" fontId="19" fillId="13" borderId="19" xfId="0" applyFont="1" applyFill="1" applyBorder="1" applyAlignment="1">
      <alignment horizontal="center" vertical="center" wrapText="1" readingOrder="1"/>
    </xf>
    <xf numFmtId="0" fontId="19" fillId="13" borderId="20" xfId="0" applyFont="1" applyFill="1" applyBorder="1" applyAlignment="1">
      <alignment horizontal="center" vertical="center" wrapText="1" readingOrder="1"/>
    </xf>
    <xf numFmtId="0" fontId="19" fillId="5" borderId="13" xfId="0" applyFont="1" applyFill="1" applyBorder="1" applyAlignment="1">
      <alignment horizontal="center" vertical="center" wrapText="1" readingOrder="1"/>
    </xf>
    <xf numFmtId="0" fontId="19" fillId="5" borderId="14" xfId="0" applyFont="1" applyFill="1" applyBorder="1" applyAlignment="1">
      <alignment horizontal="center" vertical="center" wrapText="1" readingOrder="1"/>
    </xf>
    <xf numFmtId="0" fontId="19" fillId="5" borderId="15" xfId="0" applyFont="1" applyFill="1" applyBorder="1" applyAlignment="1">
      <alignment horizontal="center" vertical="center" wrapText="1" readingOrder="1"/>
    </xf>
    <xf numFmtId="0" fontId="19" fillId="5" borderId="16" xfId="0" applyFont="1" applyFill="1" applyBorder="1" applyAlignment="1">
      <alignment horizontal="center" vertical="center" wrapText="1" readingOrder="1"/>
    </xf>
    <xf numFmtId="0" fontId="19" fillId="5" borderId="0" xfId="0" applyFont="1" applyFill="1" applyAlignment="1">
      <alignment horizontal="center" vertical="center" wrapText="1" readingOrder="1"/>
    </xf>
    <xf numFmtId="0" fontId="19" fillId="5" borderId="17" xfId="0" applyFont="1" applyFill="1" applyBorder="1" applyAlignment="1">
      <alignment horizontal="center" vertical="center" wrapText="1" readingOrder="1"/>
    </xf>
    <xf numFmtId="0" fontId="19" fillId="5" borderId="18" xfId="0" applyFont="1" applyFill="1" applyBorder="1" applyAlignment="1">
      <alignment horizontal="center" vertical="center" wrapText="1" readingOrder="1"/>
    </xf>
    <xf numFmtId="0" fontId="19" fillId="5" borderId="19" xfId="0" applyFont="1" applyFill="1" applyBorder="1" applyAlignment="1">
      <alignment horizontal="center" vertical="center" wrapText="1" readingOrder="1"/>
    </xf>
    <xf numFmtId="0" fontId="19" fillId="5" borderId="20" xfId="0" applyFont="1" applyFill="1" applyBorder="1" applyAlignment="1">
      <alignment horizontal="center" vertical="center" wrapText="1" readingOrder="1"/>
    </xf>
    <xf numFmtId="0" fontId="15" fillId="0" borderId="5" xfId="0" applyFont="1" applyBorder="1" applyAlignment="1">
      <alignment horizontal="center" vertical="center" wrapText="1"/>
    </xf>
    <xf numFmtId="0" fontId="15" fillId="0" borderId="12"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8" fillId="11" borderId="0" xfId="0" applyFont="1" applyFill="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12" xfId="0" applyFont="1" applyFill="1" applyBorder="1" applyAlignment="1" applyProtection="1">
      <alignment horizontal="center" vertic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6" fillId="10" borderId="0" xfId="0" applyFont="1" applyFill="1" applyAlignment="1">
      <alignment horizontal="center" vertical="center" wrapText="1" readingOrder="1"/>
    </xf>
    <xf numFmtId="0" fontId="15" fillId="0" borderId="12" xfId="0" applyFont="1" applyBorder="1" applyAlignment="1">
      <alignment horizontal="center" vertical="center" wrapText="1"/>
    </xf>
    <xf numFmtId="0" fontId="18" fillId="11" borderId="9" xfId="0" applyFont="1" applyFill="1" applyBorder="1" applyAlignment="1" applyProtection="1">
      <alignment horizontal="center" vertical="center" wrapText="1" readingOrder="1"/>
      <protection hidden="1"/>
    </xf>
    <xf numFmtId="0" fontId="18" fillId="11" borderId="11"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11"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11"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11"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22" fillId="26" borderId="0" xfId="0" applyFont="1" applyFill="1" applyAlignment="1">
      <alignment horizontal="center" vertical="center" wrapText="1"/>
    </xf>
    <xf numFmtId="0" fontId="37" fillId="11" borderId="13" xfId="0" applyFont="1" applyFill="1" applyBorder="1" applyAlignment="1">
      <alignment horizontal="center" vertical="center" wrapText="1" readingOrder="1"/>
    </xf>
    <xf numFmtId="0" fontId="37" fillId="11" borderId="14" xfId="0" applyFont="1" applyFill="1" applyBorder="1" applyAlignment="1">
      <alignment horizontal="center" vertical="center" wrapText="1" readingOrder="1"/>
    </xf>
    <xf numFmtId="0" fontId="37" fillId="11" borderId="15" xfId="0" applyFont="1" applyFill="1" applyBorder="1" applyAlignment="1">
      <alignment horizontal="center" vertical="center" wrapText="1" readingOrder="1"/>
    </xf>
    <xf numFmtId="0" fontId="37" fillId="11" borderId="16" xfId="0" applyFont="1" applyFill="1" applyBorder="1" applyAlignment="1">
      <alignment horizontal="center" vertical="center" wrapText="1" readingOrder="1"/>
    </xf>
    <xf numFmtId="0" fontId="37" fillId="11" borderId="0" xfId="0" applyFont="1" applyFill="1" applyAlignment="1">
      <alignment horizontal="center" vertical="center" wrapText="1" readingOrder="1"/>
    </xf>
    <xf numFmtId="0" fontId="37" fillId="11" borderId="17" xfId="0" applyFont="1" applyFill="1" applyBorder="1" applyAlignment="1">
      <alignment horizontal="center" vertical="center" wrapText="1" readingOrder="1"/>
    </xf>
    <xf numFmtId="0" fontId="37" fillId="11" borderId="18" xfId="0" applyFont="1" applyFill="1" applyBorder="1" applyAlignment="1">
      <alignment horizontal="center" vertical="center" wrapText="1" readingOrder="1"/>
    </xf>
    <xf numFmtId="0" fontId="37" fillId="11" borderId="19" xfId="0" applyFont="1" applyFill="1" applyBorder="1" applyAlignment="1">
      <alignment horizontal="center" vertical="center" wrapText="1" readingOrder="1"/>
    </xf>
    <xf numFmtId="0" fontId="37" fillId="11" borderId="20" xfId="0" applyFont="1" applyFill="1" applyBorder="1" applyAlignment="1">
      <alignment horizontal="center" vertical="center" wrapText="1" readingOrder="1"/>
    </xf>
    <xf numFmtId="0" fontId="38" fillId="0" borderId="5" xfId="0" applyFont="1" applyBorder="1" applyAlignment="1">
      <alignment horizontal="center" vertical="center" wrapText="1"/>
    </xf>
    <xf numFmtId="0" fontId="38" fillId="0" borderId="12" xfId="0" applyFont="1" applyBorder="1" applyAlignment="1">
      <alignment horizontal="center" vertical="center"/>
    </xf>
    <xf numFmtId="0" fontId="38" fillId="0" borderId="7" xfId="0" applyFont="1" applyBorder="1" applyAlignment="1">
      <alignment horizontal="center" vertical="center" wrapText="1"/>
    </xf>
    <xf numFmtId="0" fontId="38" fillId="0" borderId="0" xfId="0" applyFont="1" applyAlignment="1">
      <alignment horizontal="center" vertical="center"/>
    </xf>
    <xf numFmtId="0" fontId="38" fillId="0" borderId="7" xfId="0" applyFont="1" applyBorder="1" applyAlignment="1">
      <alignment horizontal="center" vertical="center"/>
    </xf>
    <xf numFmtId="0" fontId="38" fillId="0" borderId="9" xfId="0" applyFont="1" applyBorder="1" applyAlignment="1">
      <alignment horizontal="center" vertical="center"/>
    </xf>
    <xf numFmtId="0" fontId="38" fillId="0" borderId="11" xfId="0" applyFont="1" applyBorder="1" applyAlignment="1">
      <alignment horizontal="center" vertical="center"/>
    </xf>
    <xf numFmtId="0" fontId="37" fillId="12" borderId="13" xfId="0" applyFont="1" applyFill="1" applyBorder="1" applyAlignment="1">
      <alignment horizontal="center" vertical="center" wrapText="1" readingOrder="1"/>
    </xf>
    <xf numFmtId="0" fontId="37" fillId="12" borderId="14" xfId="0" applyFont="1" applyFill="1" applyBorder="1" applyAlignment="1">
      <alignment horizontal="center" vertical="center" wrapText="1" readingOrder="1"/>
    </xf>
    <xf numFmtId="0" fontId="37" fillId="12" borderId="15" xfId="0" applyFont="1" applyFill="1" applyBorder="1" applyAlignment="1">
      <alignment horizontal="center" vertical="center" wrapText="1" readingOrder="1"/>
    </xf>
    <xf numFmtId="0" fontId="37" fillId="12" borderId="16" xfId="0" applyFont="1" applyFill="1" applyBorder="1" applyAlignment="1">
      <alignment horizontal="center" vertical="center" wrapText="1" readingOrder="1"/>
    </xf>
    <xf numFmtId="0" fontId="37" fillId="12" borderId="0" xfId="0" applyFont="1" applyFill="1" applyAlignment="1">
      <alignment horizontal="center" vertical="center" wrapText="1" readingOrder="1"/>
    </xf>
    <xf numFmtId="0" fontId="37" fillId="12" borderId="17" xfId="0" applyFont="1" applyFill="1" applyBorder="1" applyAlignment="1">
      <alignment horizontal="center" vertical="center" wrapText="1" readingOrder="1"/>
    </xf>
    <xf numFmtId="0" fontId="37" fillId="12" borderId="18" xfId="0" applyFont="1" applyFill="1" applyBorder="1" applyAlignment="1">
      <alignment horizontal="center" vertical="center" wrapText="1" readingOrder="1"/>
    </xf>
    <xf numFmtId="0" fontId="37" fillId="12" borderId="19" xfId="0" applyFont="1" applyFill="1" applyBorder="1" applyAlignment="1">
      <alignment horizontal="center" vertical="center" wrapText="1" readingOrder="1"/>
    </xf>
    <xf numFmtId="0" fontId="37" fillId="12" borderId="20" xfId="0" applyFont="1" applyFill="1" applyBorder="1" applyAlignment="1">
      <alignment horizontal="center" vertical="center" wrapText="1" readingOrder="1"/>
    </xf>
    <xf numFmtId="0" fontId="86" fillId="26" borderId="0" xfId="0" applyFont="1" applyFill="1" applyAlignment="1">
      <alignment horizontal="center" vertical="center" wrapText="1"/>
    </xf>
    <xf numFmtId="0" fontId="21" fillId="26" borderId="0" xfId="0" applyFont="1" applyFill="1" applyAlignment="1">
      <alignment horizontal="center" vertical="center" wrapText="1"/>
    </xf>
    <xf numFmtId="0" fontId="38" fillId="0" borderId="6" xfId="0" applyFont="1" applyBorder="1" applyAlignment="1">
      <alignment horizontal="center" vertical="center"/>
    </xf>
    <xf numFmtId="0" fontId="38" fillId="0" borderId="8" xfId="0" applyFont="1" applyBorder="1" applyAlignment="1">
      <alignment horizontal="center" vertical="center"/>
    </xf>
    <xf numFmtId="0" fontId="38" fillId="0" borderId="10" xfId="0" applyFont="1" applyBorder="1" applyAlignment="1">
      <alignment horizontal="center" vertical="center"/>
    </xf>
    <xf numFmtId="0" fontId="37" fillId="5" borderId="13" xfId="0" applyFont="1" applyFill="1" applyBorder="1" applyAlignment="1">
      <alignment horizontal="center" vertical="center" wrapText="1" readingOrder="1"/>
    </xf>
    <xf numFmtId="0" fontId="37" fillId="5" borderId="14" xfId="0" applyFont="1" applyFill="1" applyBorder="1" applyAlignment="1">
      <alignment horizontal="center" vertical="center" wrapText="1" readingOrder="1"/>
    </xf>
    <xf numFmtId="0" fontId="37" fillId="5" borderId="15" xfId="0" applyFont="1" applyFill="1" applyBorder="1" applyAlignment="1">
      <alignment horizontal="center" vertical="center" wrapText="1" readingOrder="1"/>
    </xf>
    <xf numFmtId="0" fontId="37" fillId="5" borderId="16" xfId="0" applyFont="1" applyFill="1" applyBorder="1" applyAlignment="1">
      <alignment horizontal="center" vertical="center" wrapText="1" readingOrder="1"/>
    </xf>
    <xf numFmtId="0" fontId="37" fillId="5" borderId="0" xfId="0" applyFont="1" applyFill="1" applyAlignment="1">
      <alignment horizontal="center" vertical="center" wrapText="1" readingOrder="1"/>
    </xf>
    <xf numFmtId="0" fontId="37" fillId="5" borderId="17" xfId="0" applyFont="1" applyFill="1" applyBorder="1" applyAlignment="1">
      <alignment horizontal="center" vertical="center" wrapText="1" readingOrder="1"/>
    </xf>
    <xf numFmtId="0" fontId="37" fillId="5" borderId="18" xfId="0" applyFont="1" applyFill="1" applyBorder="1" applyAlignment="1">
      <alignment horizontal="center" vertical="center" wrapText="1" readingOrder="1"/>
    </xf>
    <xf numFmtId="0" fontId="37" fillId="5" borderId="19" xfId="0" applyFont="1" applyFill="1" applyBorder="1" applyAlignment="1">
      <alignment horizontal="center" vertical="center" wrapText="1" readingOrder="1"/>
    </xf>
    <xf numFmtId="0" fontId="37" fillId="5" borderId="20" xfId="0" applyFont="1" applyFill="1" applyBorder="1" applyAlignment="1">
      <alignment horizontal="center" vertical="center" wrapText="1" readingOrder="1"/>
    </xf>
    <xf numFmtId="0" fontId="37" fillId="13" borderId="13" xfId="0" applyFont="1" applyFill="1" applyBorder="1" applyAlignment="1">
      <alignment horizontal="center" vertical="center" wrapText="1" readingOrder="1"/>
    </xf>
    <xf numFmtId="0" fontId="37" fillId="13" borderId="14" xfId="0" applyFont="1" applyFill="1" applyBorder="1" applyAlignment="1">
      <alignment horizontal="center" vertical="center" wrapText="1" readingOrder="1"/>
    </xf>
    <xf numFmtId="0" fontId="37" fillId="13" borderId="15" xfId="0" applyFont="1" applyFill="1" applyBorder="1" applyAlignment="1">
      <alignment horizontal="center" vertical="center" wrapText="1" readingOrder="1"/>
    </xf>
    <xf numFmtId="0" fontId="37" fillId="13" borderId="16" xfId="0" applyFont="1" applyFill="1" applyBorder="1" applyAlignment="1">
      <alignment horizontal="center" vertical="center" wrapText="1" readingOrder="1"/>
    </xf>
    <xf numFmtId="0" fontId="37" fillId="13" borderId="0" xfId="0" applyFont="1" applyFill="1" applyAlignment="1">
      <alignment horizontal="center" vertical="center" wrapText="1" readingOrder="1"/>
    </xf>
    <xf numFmtId="0" fontId="37" fillId="13" borderId="17" xfId="0" applyFont="1" applyFill="1" applyBorder="1" applyAlignment="1">
      <alignment horizontal="center" vertical="center" wrapText="1" readingOrder="1"/>
    </xf>
    <xf numFmtId="0" fontId="37" fillId="13" borderId="18" xfId="0" applyFont="1" applyFill="1" applyBorder="1" applyAlignment="1">
      <alignment horizontal="center" vertical="center" wrapText="1" readingOrder="1"/>
    </xf>
    <xf numFmtId="0" fontId="37" fillId="13" borderId="19" xfId="0" applyFont="1" applyFill="1" applyBorder="1" applyAlignment="1">
      <alignment horizontal="center" vertical="center" wrapText="1" readingOrder="1"/>
    </xf>
    <xf numFmtId="0" fontId="37" fillId="13" borderId="20" xfId="0" applyFont="1" applyFill="1" applyBorder="1" applyAlignment="1">
      <alignment horizontal="center" vertical="center" wrapText="1" readingOrder="1"/>
    </xf>
    <xf numFmtId="0" fontId="38" fillId="0" borderId="12" xfId="0" applyFont="1" applyBorder="1" applyAlignment="1">
      <alignment horizontal="center" vertical="center" wrapText="1"/>
    </xf>
    <xf numFmtId="0" fontId="70" fillId="21" borderId="34" xfId="0" applyFont="1" applyFill="1" applyBorder="1" applyAlignment="1">
      <alignment horizontal="center" vertical="center" wrapText="1"/>
    </xf>
    <xf numFmtId="0" fontId="70" fillId="21" borderId="35" xfId="0" applyFont="1" applyFill="1" applyBorder="1" applyAlignment="1">
      <alignment horizontal="center" vertical="center" wrapText="1"/>
    </xf>
    <xf numFmtId="0" fontId="67" fillId="0" borderId="0" xfId="0" applyFont="1" applyAlignment="1">
      <alignment horizontal="left" vertical="center" wrapText="1"/>
    </xf>
    <xf numFmtId="0" fontId="67" fillId="0" borderId="0" xfId="0" applyFont="1" applyAlignment="1">
      <alignment horizontal="center" vertical="center" wrapText="1"/>
    </xf>
    <xf numFmtId="0" fontId="67" fillId="0" borderId="22" xfId="0" applyFont="1" applyBorder="1" applyAlignment="1">
      <alignment horizontal="left" vertical="center" wrapText="1"/>
    </xf>
    <xf numFmtId="0" fontId="67" fillId="0" borderId="76" xfId="0" applyFont="1" applyBorder="1" applyAlignment="1">
      <alignment horizontal="left" vertical="center" wrapText="1"/>
    </xf>
    <xf numFmtId="0" fontId="70" fillId="21" borderId="33" xfId="0" applyFont="1" applyFill="1" applyBorder="1" applyAlignment="1">
      <alignment horizontal="center" vertical="center" wrapText="1"/>
    </xf>
    <xf numFmtId="0" fontId="68" fillId="16" borderId="24" xfId="0" applyFont="1" applyFill="1" applyBorder="1" applyAlignment="1">
      <alignment horizontal="center" vertical="center" wrapText="1"/>
    </xf>
    <xf numFmtId="0" fontId="68" fillId="16" borderId="25" xfId="0" applyFont="1" applyFill="1" applyBorder="1" applyAlignment="1">
      <alignment horizontal="center" vertical="center" wrapText="1"/>
    </xf>
    <xf numFmtId="0" fontId="68" fillId="16" borderId="36" xfId="0" applyFont="1" applyFill="1" applyBorder="1" applyAlignment="1">
      <alignment horizontal="center" vertical="center" wrapText="1"/>
    </xf>
    <xf numFmtId="0" fontId="69" fillId="16" borderId="73" xfId="0" applyFont="1" applyFill="1" applyBorder="1" applyAlignment="1">
      <alignment horizontal="center" vertical="center" wrapText="1"/>
    </xf>
    <xf numFmtId="0" fontId="69" fillId="16" borderId="28" xfId="0" applyFont="1" applyFill="1" applyBorder="1" applyAlignment="1">
      <alignment horizontal="center" vertical="center" wrapText="1"/>
    </xf>
    <xf numFmtId="0" fontId="69" fillId="16" borderId="74" xfId="0" applyFont="1" applyFill="1" applyBorder="1" applyAlignment="1">
      <alignment horizontal="center" vertical="center" wrapText="1"/>
    </xf>
    <xf numFmtId="0" fontId="69" fillId="16" borderId="29" xfId="0" applyFont="1" applyFill="1" applyBorder="1" applyAlignment="1">
      <alignment horizontal="center" vertical="center" wrapText="1"/>
    </xf>
    <xf numFmtId="0" fontId="69" fillId="16" borderId="75" xfId="0" applyFont="1" applyFill="1" applyBorder="1" applyAlignment="1">
      <alignment horizontal="center" vertical="center" wrapText="1"/>
    </xf>
    <xf numFmtId="0" fontId="67" fillId="0" borderId="74" xfId="0" applyFont="1" applyBorder="1" applyAlignment="1">
      <alignment horizontal="left" vertical="center" wrapText="1"/>
    </xf>
    <xf numFmtId="0" fontId="77" fillId="21" borderId="106" xfId="0" applyFont="1" applyFill="1" applyBorder="1" applyAlignment="1">
      <alignment horizontal="center" vertical="center" wrapText="1"/>
    </xf>
    <xf numFmtId="0" fontId="77" fillId="21" borderId="108" xfId="0" applyFont="1" applyFill="1" applyBorder="1" applyAlignment="1">
      <alignment horizontal="center" vertical="center" wrapText="1"/>
    </xf>
    <xf numFmtId="0" fontId="77" fillId="17" borderId="90" xfId="0" applyFont="1" applyFill="1" applyBorder="1" applyAlignment="1">
      <alignment horizontal="center" vertical="center" wrapText="1"/>
    </xf>
    <xf numFmtId="0" fontId="77" fillId="17" borderId="91" xfId="0" applyFont="1" applyFill="1" applyBorder="1" applyAlignment="1">
      <alignment horizontal="center" vertical="center" wrapText="1"/>
    </xf>
    <xf numFmtId="0" fontId="77" fillId="17" borderId="92" xfId="0" applyFont="1" applyFill="1" applyBorder="1" applyAlignment="1">
      <alignment horizontal="center" vertical="center" wrapText="1"/>
    </xf>
    <xf numFmtId="0" fontId="21" fillId="0" borderId="0" xfId="0" applyFont="1" applyAlignment="1">
      <alignment horizontal="center" vertical="center"/>
    </xf>
    <xf numFmtId="0" fontId="40" fillId="0" borderId="0" xfId="0" applyFont="1" applyAlignment="1">
      <alignment horizontal="center" vertical="center"/>
    </xf>
    <xf numFmtId="0" fontId="71" fillId="16" borderId="82" xfId="0" applyFont="1" applyFill="1" applyBorder="1" applyAlignment="1">
      <alignment horizontal="center" vertical="center" wrapText="1"/>
    </xf>
    <xf numFmtId="0" fontId="71" fillId="16" borderId="80" xfId="0" applyFont="1" applyFill="1" applyBorder="1" applyAlignment="1">
      <alignment horizontal="center" vertical="center" wrapText="1"/>
    </xf>
    <xf numFmtId="0" fontId="71" fillId="16" borderId="78" xfId="0" applyFont="1" applyFill="1" applyBorder="1" applyAlignment="1">
      <alignment horizontal="center" vertical="center" wrapText="1"/>
    </xf>
    <xf numFmtId="0" fontId="72" fillId="0" borderId="82" xfId="0" applyFont="1" applyBorder="1" applyAlignment="1">
      <alignment horizontal="justify" vertical="center" wrapText="1"/>
    </xf>
    <xf numFmtId="0" fontId="72" fillId="0" borderId="80" xfId="0" applyFont="1" applyBorder="1" applyAlignment="1">
      <alignment horizontal="justify" vertical="center" wrapText="1"/>
    </xf>
    <xf numFmtId="0" fontId="72" fillId="0" borderId="78" xfId="0" applyFont="1" applyBorder="1" applyAlignment="1">
      <alignment horizontal="justify" vertical="center" wrapText="1"/>
    </xf>
    <xf numFmtId="0" fontId="36" fillId="15" borderId="24" xfId="0" applyFont="1" applyFill="1" applyBorder="1" applyAlignment="1">
      <alignment horizontal="center" vertical="center" wrapText="1" readingOrder="1"/>
    </xf>
    <xf numFmtId="0" fontId="36" fillId="15" borderId="25" xfId="0" applyFont="1" applyFill="1" applyBorder="1" applyAlignment="1">
      <alignment horizontal="center" vertical="center" wrapText="1" readingOrder="1"/>
    </xf>
    <xf numFmtId="0" fontId="36" fillId="15" borderId="36" xfId="0" applyFont="1" applyFill="1" applyBorder="1" applyAlignment="1">
      <alignment horizontal="center" vertical="center" wrapText="1" readingOrder="1"/>
    </xf>
    <xf numFmtId="0" fontId="31" fillId="3" borderId="0" xfId="0" applyFont="1" applyFill="1" applyAlignment="1">
      <alignment horizontal="justify" vertical="center" wrapText="1"/>
    </xf>
    <xf numFmtId="0" fontId="33" fillId="15" borderId="33" xfId="0" applyFont="1" applyFill="1" applyBorder="1" applyAlignment="1">
      <alignment horizontal="center" vertical="center" wrapText="1" readingOrder="1"/>
    </xf>
    <xf numFmtId="0" fontId="33" fillId="15" borderId="34" xfId="0" applyFont="1" applyFill="1" applyBorder="1" applyAlignment="1">
      <alignment horizontal="center" vertical="center" wrapText="1" readingOrder="1"/>
    </xf>
    <xf numFmtId="0" fontId="33" fillId="3" borderId="31" xfId="0" applyFont="1" applyFill="1" applyBorder="1" applyAlignment="1">
      <alignment horizontal="center" vertical="center" wrapText="1" readingOrder="1"/>
    </xf>
    <xf numFmtId="0" fontId="33" fillId="3" borderId="26" xfId="0" applyFont="1" applyFill="1" applyBorder="1" applyAlignment="1">
      <alignment horizontal="center" vertical="center" wrapText="1" readingOrder="1"/>
    </xf>
    <xf numFmtId="0" fontId="33" fillId="3" borderId="23" xfId="0" applyFont="1" applyFill="1" applyBorder="1" applyAlignment="1">
      <alignment horizontal="center" vertical="center" wrapText="1" readingOrder="1"/>
    </xf>
    <xf numFmtId="0" fontId="33" fillId="3" borderId="22" xfId="0" applyFont="1" applyFill="1" applyBorder="1" applyAlignment="1">
      <alignment horizontal="center" vertical="center" wrapText="1" readingOrder="1"/>
    </xf>
    <xf numFmtId="0" fontId="33" fillId="3" borderId="28" xfId="0" applyFont="1" applyFill="1" applyBorder="1" applyAlignment="1">
      <alignment horizontal="center" vertical="center" wrapText="1" readingOrder="1"/>
    </xf>
    <xf numFmtId="0" fontId="33" fillId="3" borderId="29" xfId="0" applyFont="1" applyFill="1" applyBorder="1" applyAlignment="1">
      <alignment horizontal="center" vertical="center" wrapText="1" readingOrder="1"/>
    </xf>
    <xf numFmtId="14" fontId="76" fillId="0" borderId="90" xfId="0" applyNumberFormat="1" applyFont="1" applyFill="1" applyBorder="1" applyAlignment="1" applyProtection="1">
      <alignment horizontal="center" vertical="center" wrapText="1"/>
      <protection locked="0"/>
    </xf>
    <xf numFmtId="0" fontId="76" fillId="0" borderId="90" xfId="0" applyFont="1" applyFill="1" applyBorder="1" applyAlignment="1" applyProtection="1">
      <alignment horizontal="center" vertical="center" wrapText="1"/>
      <protection locked="0"/>
    </xf>
  </cellXfs>
  <cellStyles count="7">
    <cellStyle name="Moneda" xfId="5" builtinId="4"/>
    <cellStyle name="Moneda 2" xfId="6" xr:uid="{EB2D9614-327D-41C4-8635-16D31BAE2C4D}"/>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701">
    <dxf>
      <font>
        <b val="0"/>
        <i val="0"/>
        <strike val="0"/>
        <condense val="0"/>
        <extend val="0"/>
        <outline val="0"/>
        <shadow val="0"/>
        <u val="none"/>
        <vertAlign val="baseline"/>
        <sz val="16"/>
        <color rgb="FFFF0000"/>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alignment wrapText="1" readingOrder="0"/>
    </dxf>
    <dxf>
      <alignment vertical="center" readingOrder="0"/>
    </dxf>
    <dxf>
      <alignment wrapText="1" readingOrder="0"/>
    </dxf>
    <dxf>
      <alignment wrapText="1"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97695</xdr:rowOff>
    </xdr:from>
    <xdr:to>
      <xdr:col>19</xdr:col>
      <xdr:colOff>33704</xdr:colOff>
      <xdr:row>38</xdr:row>
      <xdr:rowOff>278780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821" t="55142" r="5500" b="13845"/>
        <a:stretch/>
      </xdr:blipFill>
      <xdr:spPr>
        <a:xfrm>
          <a:off x="0" y="24186420"/>
          <a:ext cx="38333729" cy="8848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68036</xdr:rowOff>
    </xdr:from>
    <xdr:ext cx="1403803" cy="1123950"/>
    <xdr:pic>
      <xdr:nvPicPr>
        <xdr:cNvPr id="2" name="Imagen 1" descr="escudo negr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929" y="68036"/>
          <a:ext cx="1403803" cy="112395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273353</xdr:colOff>
      <xdr:row>0</xdr:row>
      <xdr:rowOff>55034</xdr:rowOff>
    </xdr:from>
    <xdr:ext cx="1288747" cy="1107016"/>
    <xdr:pic>
      <xdr:nvPicPr>
        <xdr:cNvPr id="2" name="Imagen 1" descr="escudo negro">
          <a:extLst>
            <a:ext uri="{FF2B5EF4-FFF2-40B4-BE49-F238E27FC236}">
              <a16:creationId xmlns:a16="http://schemas.microsoft.com/office/drawing/2014/main" id="{CC31457F-ECBC-4BF6-A295-D24C77BD34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503" y="55034"/>
          <a:ext cx="1288747" cy="110701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273353</xdr:colOff>
      <xdr:row>0</xdr:row>
      <xdr:rowOff>55034</xdr:rowOff>
    </xdr:from>
    <xdr:ext cx="1288747" cy="1107016"/>
    <xdr:pic>
      <xdr:nvPicPr>
        <xdr:cNvPr id="2" name="Imagen 1" descr="escudo negro">
          <a:extLst>
            <a:ext uri="{FF2B5EF4-FFF2-40B4-BE49-F238E27FC236}">
              <a16:creationId xmlns:a16="http://schemas.microsoft.com/office/drawing/2014/main" id="{4B130650-B5A7-4455-A04D-93F040AFD7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503" y="55034"/>
          <a:ext cx="1288747" cy="1107016"/>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12</xdr:col>
      <xdr:colOff>182273</xdr:colOff>
      <xdr:row>29</xdr:row>
      <xdr:rowOff>172245</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28575" y="0"/>
          <a:ext cx="9297698" cy="5696745"/>
        </a:xfrm>
        <a:prstGeom prst="rect">
          <a:avLst/>
        </a:prstGeom>
      </xdr:spPr>
    </xdr:pic>
    <xdr:clientData/>
  </xdr:twoCellAnchor>
  <xdr:twoCellAnchor editAs="oneCell">
    <xdr:from>
      <xdr:col>0</xdr:col>
      <xdr:colOff>0</xdr:colOff>
      <xdr:row>31</xdr:row>
      <xdr:rowOff>0</xdr:rowOff>
    </xdr:from>
    <xdr:to>
      <xdr:col>11</xdr:col>
      <xdr:colOff>534644</xdr:colOff>
      <xdr:row>57</xdr:row>
      <xdr:rowOff>19744</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stretch>
          <a:fillRect/>
        </a:stretch>
      </xdr:blipFill>
      <xdr:spPr>
        <a:xfrm>
          <a:off x="0" y="5905500"/>
          <a:ext cx="8916644" cy="4972744"/>
        </a:xfrm>
        <a:prstGeom prst="rect">
          <a:avLst/>
        </a:prstGeom>
      </xdr:spPr>
    </xdr:pic>
    <xdr:clientData/>
  </xdr:twoCellAnchor>
  <xdr:twoCellAnchor editAs="oneCell">
    <xdr:from>
      <xdr:col>12</xdr:col>
      <xdr:colOff>733425</xdr:colOff>
      <xdr:row>0</xdr:row>
      <xdr:rowOff>28575</xdr:rowOff>
    </xdr:from>
    <xdr:to>
      <xdr:col>25</xdr:col>
      <xdr:colOff>210859</xdr:colOff>
      <xdr:row>29</xdr:row>
      <xdr:rowOff>8559</xdr:rowOff>
    </xdr:to>
    <xdr:pic>
      <xdr:nvPicPr>
        <xdr:cNvPr id="4" name="Imagen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3"/>
        <a:stretch>
          <a:fillRect/>
        </a:stretch>
      </xdr:blipFill>
      <xdr:spPr>
        <a:xfrm>
          <a:off x="9877425" y="28575"/>
          <a:ext cx="9383434" cy="5487166"/>
        </a:xfrm>
        <a:prstGeom prst="rect">
          <a:avLst/>
        </a:prstGeom>
      </xdr:spPr>
    </xdr:pic>
    <xdr:clientData/>
  </xdr:twoCellAnchor>
  <xdr:twoCellAnchor editAs="oneCell">
    <xdr:from>
      <xdr:col>13</xdr:col>
      <xdr:colOff>0</xdr:colOff>
      <xdr:row>32</xdr:row>
      <xdr:rowOff>0</xdr:rowOff>
    </xdr:from>
    <xdr:to>
      <xdr:col>25</xdr:col>
      <xdr:colOff>429961</xdr:colOff>
      <xdr:row>62</xdr:row>
      <xdr:rowOff>38903</xdr:rowOff>
    </xdr:to>
    <xdr:pic>
      <xdr:nvPicPr>
        <xdr:cNvPr id="5" name="Imagen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4"/>
        <a:stretch>
          <a:fillRect/>
        </a:stretch>
      </xdr:blipFill>
      <xdr:spPr>
        <a:xfrm>
          <a:off x="9906000" y="6096000"/>
          <a:ext cx="9573961" cy="57539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aermv-my.sharepoint.com/Users/natalia.norato/OneDrive%20-%20uaermv/NATA%20SIG/2018/12.%20DICIEMBRE/SIG-FM-007-V7%20Formato%20Mapa%20de%20Riesgos%20de%20Proceso%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angela.cifuentes/Downloads/DESI-FM-018-V9_Formato_Mapa_de_Riesgos_de_Proce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2019"/>
      <sheetName val="FORMULA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sheetData sheetId="1">
        <row r="4">
          <cell r="B4" t="str">
            <v>Direccionamiento estratégico e innovación</v>
          </cell>
          <cell r="C4" t="str">
            <v>Gestion</v>
          </cell>
          <cell r="E4" t="str">
            <v>Daño_fisico</v>
          </cell>
          <cell r="K4" t="str">
            <v>Aceptar el riesgo</v>
          </cell>
        </row>
        <row r="5">
          <cell r="C5" t="str">
            <v>Corrupcion</v>
          </cell>
          <cell r="E5" t="str">
            <v>Eventos_naturales</v>
          </cell>
          <cell r="K5" t="str">
            <v>Reducir el riesgo</v>
          </cell>
        </row>
        <row r="6">
          <cell r="C6" t="str">
            <v>Seguridad_de_la_informacion</v>
          </cell>
          <cell r="E6" t="str">
            <v>Perdidas_de_los_servicios_esenciales</v>
          </cell>
          <cell r="K6" t="str">
            <v>Evitar el riesgo</v>
          </cell>
        </row>
        <row r="7">
          <cell r="E7" t="str">
            <v>Perturbacion_debida_a_la_radiacion</v>
          </cell>
          <cell r="K7" t="str">
            <v>Compartir el riesgo</v>
          </cell>
        </row>
        <row r="8">
          <cell r="E8" t="str">
            <v>Compromiso_de_la_informacion</v>
          </cell>
        </row>
        <row r="9">
          <cell r="E9" t="str">
            <v>Fallas_tecnicas</v>
          </cell>
        </row>
        <row r="10">
          <cell r="E10" t="str">
            <v>Acciones_no_autorizadas</v>
          </cell>
        </row>
        <row r="11">
          <cell r="E11" t="str">
            <v>Compromiso_de_las_funciones</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alia Norato Mora" refreshedDate="44522.492354513888"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5">
        <s v="Afectación menor a 130 SMLMV ."/>
        <s v="Entre 130 y 650 SMLMV "/>
        <s v="Entre 650 y 1300 SMLMV "/>
        <s v="Entre 1300 y 6500 SMLMV "/>
        <s v="Mayor a 6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 v="Entre 100 y 500 SMLMV " u="1"/>
        <s v="Mayor a 500 SMLMV " u="1"/>
        <s v="Entre 50 y 100 SMLMV " u="1"/>
        <s v="Entre 10 y 50 SMLMV " u="1"/>
        <s v="Afectación menor a 10 SMLMV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18"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5">
        <item m="1" x="14"/>
        <item x="5"/>
        <item x="6"/>
        <item x="7"/>
        <item x="8"/>
        <item x="9"/>
        <item m="1" x="13"/>
        <item m="1" x="12"/>
        <item m="1" x="10"/>
        <item m="1" x="11"/>
        <item x="0"/>
        <item x="1"/>
        <item x="2"/>
        <item x="3"/>
        <item x="4"/>
      </items>
    </pivotField>
  </pivotFields>
  <rowFields count="2">
    <field x="0"/>
    <field x="1"/>
  </rowFields>
  <rowItems count="12">
    <i>
      <x/>
    </i>
    <i r="1">
      <x v="10"/>
    </i>
    <i r="1">
      <x v="11"/>
    </i>
    <i r="1">
      <x v="12"/>
    </i>
    <i r="1">
      <x v="13"/>
    </i>
    <i r="1">
      <x v="14"/>
    </i>
    <i>
      <x v="1"/>
    </i>
    <i r="1">
      <x v="1"/>
    </i>
    <i r="1">
      <x v="2"/>
    </i>
    <i r="1">
      <x v="3"/>
    </i>
    <i r="1">
      <x v="4"/>
    </i>
    <i r="1">
      <x v="5"/>
    </i>
  </rowItems>
  <colItems count="1">
    <i/>
  </colItems>
  <formats count="4">
    <format dxfId="7">
      <pivotArea dataOnly="0" labelOnly="1" outline="0" fieldPosition="0">
        <references count="1">
          <reference field="0" count="1">
            <x v="1"/>
          </reference>
        </references>
      </pivotArea>
    </format>
    <format dxfId="6">
      <pivotArea dataOnly="0" labelOnly="1" outline="0" fieldPosition="0">
        <references count="2">
          <reference field="0" count="1" selected="0">
            <x v="1"/>
          </reference>
          <reference field="1" count="5">
            <x v="1"/>
            <x v="2"/>
            <x v="3"/>
            <x v="4"/>
            <x v="5"/>
          </reference>
        </references>
      </pivotArea>
    </format>
    <format dxfId="5">
      <pivotArea dataOnly="0" labelOnly="1" outline="0" fieldPosition="0">
        <references count="2">
          <reference field="0" count="1" selected="0">
            <x v="1"/>
          </reference>
          <reference field="1" count="5">
            <x v="1"/>
            <x v="2"/>
            <x v="3"/>
            <x v="4"/>
            <x v="5"/>
          </reference>
        </references>
      </pivotArea>
    </format>
    <format dxfId="4">
      <pivotArea dataOnly="0" labelOnly="1" outline="0" fieldPosition="0">
        <references count="1">
          <reference field="0"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0:C220" totalsRowShown="0" headerRowDxfId="3" dataDxfId="2">
  <autoFilter ref="B210:C220"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0.bin"/><Relationship Id="rId1" Type="http://schemas.openxmlformats.org/officeDocument/2006/relationships/pivotTable" Target="../pivotTables/pivotTable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16"/>
  <sheetViews>
    <sheetView topLeftCell="A30" zoomScale="110" zoomScaleNormal="110" workbookViewId="0">
      <selection activeCell="E36" sqref="E36:F36"/>
    </sheetView>
  </sheetViews>
  <sheetFormatPr baseColWidth="10" defaultColWidth="11.42578125" defaultRowHeight="15" x14ac:dyDescent="0.25"/>
  <cols>
    <col min="1" max="1" width="2.85546875" style="66" customWidth="1"/>
    <col min="2" max="3" width="24.7109375" style="66" customWidth="1"/>
    <col min="4" max="4" width="16" style="66" customWidth="1"/>
    <col min="5" max="5" width="24.7109375" style="66" customWidth="1"/>
    <col min="6" max="6" width="27.7109375" style="66" customWidth="1"/>
    <col min="7" max="8" width="24.7109375" style="66" customWidth="1"/>
    <col min="9" max="16384" width="11.42578125" style="66"/>
  </cols>
  <sheetData>
    <row r="1" spans="2:8" ht="15.75" thickBot="1" x14ac:dyDescent="0.3"/>
    <row r="2" spans="2:8" ht="18" x14ac:dyDescent="0.25">
      <c r="B2" s="279" t="s">
        <v>0</v>
      </c>
      <c r="C2" s="280"/>
      <c r="D2" s="280"/>
      <c r="E2" s="280"/>
      <c r="F2" s="280"/>
      <c r="G2" s="280"/>
      <c r="H2" s="281"/>
    </row>
    <row r="3" spans="2:8" x14ac:dyDescent="0.25">
      <c r="B3" s="67"/>
      <c r="C3" s="68"/>
      <c r="D3" s="68"/>
      <c r="E3" s="68"/>
      <c r="F3" s="68"/>
      <c r="G3" s="68"/>
      <c r="H3" s="69"/>
    </row>
    <row r="4" spans="2:8" ht="63" customHeight="1" x14ac:dyDescent="0.25">
      <c r="B4" s="282" t="s">
        <v>1</v>
      </c>
      <c r="C4" s="283"/>
      <c r="D4" s="283"/>
      <c r="E4" s="283"/>
      <c r="F4" s="283"/>
      <c r="G4" s="283"/>
      <c r="H4" s="284"/>
    </row>
    <row r="5" spans="2:8" ht="63" customHeight="1" x14ac:dyDescent="0.25">
      <c r="B5" s="285"/>
      <c r="C5" s="286"/>
      <c r="D5" s="286"/>
      <c r="E5" s="286"/>
      <c r="F5" s="286"/>
      <c r="G5" s="286"/>
      <c r="H5" s="287"/>
    </row>
    <row r="6" spans="2:8" ht="16.5" x14ac:dyDescent="0.25">
      <c r="B6" s="288" t="s">
        <v>2</v>
      </c>
      <c r="C6" s="289"/>
      <c r="D6" s="289"/>
      <c r="E6" s="289"/>
      <c r="F6" s="289"/>
      <c r="G6" s="289"/>
      <c r="H6" s="290"/>
    </row>
    <row r="7" spans="2:8" ht="95.25" customHeight="1" x14ac:dyDescent="0.25">
      <c r="B7" s="298" t="s">
        <v>3</v>
      </c>
      <c r="C7" s="299"/>
      <c r="D7" s="299"/>
      <c r="E7" s="299"/>
      <c r="F7" s="299"/>
      <c r="G7" s="299"/>
      <c r="H7" s="300"/>
    </row>
    <row r="8" spans="2:8" ht="16.5" x14ac:dyDescent="0.25">
      <c r="B8" s="101"/>
      <c r="C8" s="102"/>
      <c r="D8" s="102"/>
      <c r="E8" s="102"/>
      <c r="F8" s="102"/>
      <c r="G8" s="102"/>
      <c r="H8" s="103"/>
    </row>
    <row r="9" spans="2:8" ht="16.5" customHeight="1" x14ac:dyDescent="0.25">
      <c r="B9" s="291" t="s">
        <v>4</v>
      </c>
      <c r="C9" s="292"/>
      <c r="D9" s="292"/>
      <c r="E9" s="292"/>
      <c r="F9" s="292"/>
      <c r="G9" s="292"/>
      <c r="H9" s="293"/>
    </row>
    <row r="10" spans="2:8" ht="44.25" customHeight="1" x14ac:dyDescent="0.25">
      <c r="B10" s="291"/>
      <c r="C10" s="292"/>
      <c r="D10" s="292"/>
      <c r="E10" s="292"/>
      <c r="F10" s="292"/>
      <c r="G10" s="292"/>
      <c r="H10" s="293"/>
    </row>
    <row r="11" spans="2:8" ht="15.75" thickBot="1" x14ac:dyDescent="0.3">
      <c r="B11" s="90"/>
      <c r="C11" s="93"/>
      <c r="D11" s="98"/>
      <c r="E11" s="99"/>
      <c r="F11" s="99"/>
      <c r="G11" s="100"/>
      <c r="H11" s="94"/>
    </row>
    <row r="12" spans="2:8" ht="15.75" thickTop="1" x14ac:dyDescent="0.25">
      <c r="B12" s="90"/>
      <c r="C12" s="294" t="s">
        <v>5</v>
      </c>
      <c r="D12" s="295"/>
      <c r="E12" s="296" t="s">
        <v>6</v>
      </c>
      <c r="F12" s="297"/>
      <c r="G12" s="93"/>
      <c r="H12" s="94"/>
    </row>
    <row r="13" spans="2:8" ht="35.25" customHeight="1" x14ac:dyDescent="0.25">
      <c r="B13" s="90"/>
      <c r="C13" s="266" t="s">
        <v>7</v>
      </c>
      <c r="D13" s="267"/>
      <c r="E13" s="268" t="s">
        <v>8</v>
      </c>
      <c r="F13" s="269"/>
      <c r="G13" s="93"/>
      <c r="H13" s="94"/>
    </row>
    <row r="14" spans="2:8" ht="17.25" customHeight="1" x14ac:dyDescent="0.25">
      <c r="B14" s="90"/>
      <c r="C14" s="266" t="s">
        <v>9</v>
      </c>
      <c r="D14" s="267"/>
      <c r="E14" s="268" t="s">
        <v>10</v>
      </c>
      <c r="F14" s="269"/>
      <c r="G14" s="93"/>
      <c r="H14" s="94"/>
    </row>
    <row r="15" spans="2:8" ht="19.5" customHeight="1" x14ac:dyDescent="0.25">
      <c r="B15" s="90"/>
      <c r="C15" s="266" t="s">
        <v>11</v>
      </c>
      <c r="D15" s="267"/>
      <c r="E15" s="268" t="s">
        <v>12</v>
      </c>
      <c r="F15" s="269"/>
      <c r="G15" s="93"/>
      <c r="H15" s="94"/>
    </row>
    <row r="16" spans="2:8" ht="69.75" customHeight="1" x14ac:dyDescent="0.25">
      <c r="B16" s="90"/>
      <c r="C16" s="266" t="s">
        <v>13</v>
      </c>
      <c r="D16" s="267"/>
      <c r="E16" s="268" t="s">
        <v>14</v>
      </c>
      <c r="F16" s="269"/>
      <c r="G16" s="93"/>
      <c r="H16" s="94"/>
    </row>
    <row r="17" spans="2:8" ht="34.5" customHeight="1" x14ac:dyDescent="0.25">
      <c r="B17" s="90"/>
      <c r="C17" s="270" t="s">
        <v>15</v>
      </c>
      <c r="D17" s="271"/>
      <c r="E17" s="262" t="s">
        <v>16</v>
      </c>
      <c r="F17" s="263"/>
      <c r="G17" s="93"/>
      <c r="H17" s="94"/>
    </row>
    <row r="18" spans="2:8" ht="27.75" customHeight="1" x14ac:dyDescent="0.25">
      <c r="B18" s="90"/>
      <c r="C18" s="270" t="s">
        <v>17</v>
      </c>
      <c r="D18" s="271"/>
      <c r="E18" s="262" t="s">
        <v>18</v>
      </c>
      <c r="F18" s="263"/>
      <c r="G18" s="93"/>
      <c r="H18" s="94"/>
    </row>
    <row r="19" spans="2:8" ht="28.5" customHeight="1" x14ac:dyDescent="0.25">
      <c r="B19" s="90"/>
      <c r="C19" s="270" t="s">
        <v>19</v>
      </c>
      <c r="D19" s="271"/>
      <c r="E19" s="262" t="s">
        <v>20</v>
      </c>
      <c r="F19" s="263"/>
      <c r="G19" s="93"/>
      <c r="H19" s="94"/>
    </row>
    <row r="20" spans="2:8" ht="72.75" customHeight="1" x14ac:dyDescent="0.25">
      <c r="B20" s="90"/>
      <c r="C20" s="270" t="s">
        <v>21</v>
      </c>
      <c r="D20" s="271"/>
      <c r="E20" s="262" t="s">
        <v>22</v>
      </c>
      <c r="F20" s="263"/>
      <c r="G20" s="93"/>
      <c r="H20" s="94"/>
    </row>
    <row r="21" spans="2:8" ht="64.5" customHeight="1" x14ac:dyDescent="0.25">
      <c r="B21" s="90"/>
      <c r="C21" s="270" t="s">
        <v>23</v>
      </c>
      <c r="D21" s="271"/>
      <c r="E21" s="262" t="s">
        <v>24</v>
      </c>
      <c r="F21" s="263"/>
      <c r="G21" s="93"/>
      <c r="H21" s="94"/>
    </row>
    <row r="22" spans="2:8" ht="71.25" customHeight="1" x14ac:dyDescent="0.25">
      <c r="B22" s="90"/>
      <c r="C22" s="270" t="s">
        <v>25</v>
      </c>
      <c r="D22" s="271"/>
      <c r="E22" s="262" t="s">
        <v>26</v>
      </c>
      <c r="F22" s="263"/>
      <c r="G22" s="93"/>
      <c r="H22" s="94"/>
    </row>
    <row r="23" spans="2:8" ht="55.5" customHeight="1" x14ac:dyDescent="0.25">
      <c r="B23" s="90"/>
      <c r="C23" s="264" t="s">
        <v>27</v>
      </c>
      <c r="D23" s="265"/>
      <c r="E23" s="262" t="s">
        <v>28</v>
      </c>
      <c r="F23" s="263"/>
      <c r="G23" s="93"/>
      <c r="H23" s="94"/>
    </row>
    <row r="24" spans="2:8" ht="42" customHeight="1" x14ac:dyDescent="0.25">
      <c r="B24" s="90"/>
      <c r="C24" s="264" t="s">
        <v>29</v>
      </c>
      <c r="D24" s="265"/>
      <c r="E24" s="262" t="s">
        <v>30</v>
      </c>
      <c r="F24" s="263"/>
      <c r="G24" s="93"/>
      <c r="H24" s="94"/>
    </row>
    <row r="25" spans="2:8" ht="59.25" customHeight="1" x14ac:dyDescent="0.25">
      <c r="B25" s="90"/>
      <c r="C25" s="264" t="s">
        <v>31</v>
      </c>
      <c r="D25" s="265"/>
      <c r="E25" s="262" t="s">
        <v>32</v>
      </c>
      <c r="F25" s="263"/>
      <c r="G25" s="93"/>
      <c r="H25" s="94"/>
    </row>
    <row r="26" spans="2:8" ht="23.25" customHeight="1" x14ac:dyDescent="0.25">
      <c r="B26" s="90"/>
      <c r="C26" s="264" t="s">
        <v>33</v>
      </c>
      <c r="D26" s="265"/>
      <c r="E26" s="262" t="s">
        <v>34</v>
      </c>
      <c r="F26" s="263"/>
      <c r="G26" s="93"/>
      <c r="H26" s="94"/>
    </row>
    <row r="27" spans="2:8" ht="30.75" customHeight="1" x14ac:dyDescent="0.25">
      <c r="B27" s="90"/>
      <c r="C27" s="264" t="s">
        <v>35</v>
      </c>
      <c r="D27" s="265"/>
      <c r="E27" s="262" t="s">
        <v>36</v>
      </c>
      <c r="F27" s="263"/>
      <c r="G27" s="93"/>
      <c r="H27" s="94"/>
    </row>
    <row r="28" spans="2:8" ht="35.25" customHeight="1" x14ac:dyDescent="0.25">
      <c r="B28" s="90"/>
      <c r="C28" s="264" t="s">
        <v>37</v>
      </c>
      <c r="D28" s="265"/>
      <c r="E28" s="262" t="s">
        <v>38</v>
      </c>
      <c r="F28" s="263"/>
      <c r="G28" s="93"/>
      <c r="H28" s="94"/>
    </row>
    <row r="29" spans="2:8" ht="33" customHeight="1" x14ac:dyDescent="0.25">
      <c r="B29" s="90"/>
      <c r="C29" s="264" t="s">
        <v>37</v>
      </c>
      <c r="D29" s="265"/>
      <c r="E29" s="262" t="s">
        <v>38</v>
      </c>
      <c r="F29" s="263"/>
      <c r="G29" s="93"/>
      <c r="H29" s="94"/>
    </row>
    <row r="30" spans="2:8" ht="30" customHeight="1" x14ac:dyDescent="0.25">
      <c r="B30" s="90"/>
      <c r="C30" s="264" t="s">
        <v>39</v>
      </c>
      <c r="D30" s="265"/>
      <c r="E30" s="262" t="s">
        <v>40</v>
      </c>
      <c r="F30" s="263"/>
      <c r="G30" s="93"/>
      <c r="H30" s="94"/>
    </row>
    <row r="31" spans="2:8" ht="35.25" customHeight="1" x14ac:dyDescent="0.25">
      <c r="B31" s="90"/>
      <c r="C31" s="264" t="s">
        <v>41</v>
      </c>
      <c r="D31" s="265"/>
      <c r="E31" s="262" t="s">
        <v>42</v>
      </c>
      <c r="F31" s="263"/>
      <c r="G31" s="93"/>
      <c r="H31" s="94"/>
    </row>
    <row r="32" spans="2:8" ht="31.5" customHeight="1" x14ac:dyDescent="0.25">
      <c r="B32" s="90"/>
      <c r="C32" s="264" t="s">
        <v>43</v>
      </c>
      <c r="D32" s="265"/>
      <c r="E32" s="262" t="s">
        <v>44</v>
      </c>
      <c r="F32" s="263"/>
      <c r="G32" s="93"/>
      <c r="H32" s="94"/>
    </row>
    <row r="33" spans="2:8" ht="35.25" customHeight="1" x14ac:dyDescent="0.25">
      <c r="B33" s="90"/>
      <c r="C33" s="264" t="s">
        <v>45</v>
      </c>
      <c r="D33" s="265"/>
      <c r="E33" s="262" t="s">
        <v>46</v>
      </c>
      <c r="F33" s="263"/>
      <c r="G33" s="93"/>
      <c r="H33" s="94"/>
    </row>
    <row r="34" spans="2:8" ht="59.25" customHeight="1" x14ac:dyDescent="0.25">
      <c r="B34" s="90"/>
      <c r="C34" s="264" t="s">
        <v>47</v>
      </c>
      <c r="D34" s="265"/>
      <c r="E34" s="262" t="s">
        <v>48</v>
      </c>
      <c r="F34" s="263"/>
      <c r="G34" s="93"/>
      <c r="H34" s="94"/>
    </row>
    <row r="35" spans="2:8" ht="29.25" customHeight="1" x14ac:dyDescent="0.25">
      <c r="B35" s="90"/>
      <c r="C35" s="264" t="s">
        <v>49</v>
      </c>
      <c r="D35" s="265"/>
      <c r="E35" s="262" t="s">
        <v>50</v>
      </c>
      <c r="F35" s="263"/>
      <c r="G35" s="93"/>
      <c r="H35" s="94"/>
    </row>
    <row r="36" spans="2:8" ht="82.5" customHeight="1" x14ac:dyDescent="0.25">
      <c r="B36" s="90"/>
      <c r="C36" s="264" t="s">
        <v>51</v>
      </c>
      <c r="D36" s="265"/>
      <c r="E36" s="262" t="s">
        <v>52</v>
      </c>
      <c r="F36" s="263"/>
      <c r="G36" s="93"/>
      <c r="H36" s="94"/>
    </row>
    <row r="37" spans="2:8" ht="46.5" customHeight="1" x14ac:dyDescent="0.25">
      <c r="B37" s="90"/>
      <c r="C37" s="264" t="s">
        <v>53</v>
      </c>
      <c r="D37" s="265"/>
      <c r="E37" s="262" t="s">
        <v>54</v>
      </c>
      <c r="F37" s="263"/>
      <c r="G37" s="93"/>
      <c r="H37" s="94"/>
    </row>
    <row r="38" spans="2:8" ht="6.75" customHeight="1" thickBot="1" x14ac:dyDescent="0.3">
      <c r="B38" s="90"/>
      <c r="C38" s="275"/>
      <c r="D38" s="276"/>
      <c r="E38" s="277"/>
      <c r="F38" s="278"/>
      <c r="G38" s="93"/>
      <c r="H38" s="94"/>
    </row>
    <row r="39" spans="2:8" ht="15.75" thickTop="1" x14ac:dyDescent="0.25">
      <c r="B39" s="90"/>
      <c r="C39" s="91"/>
      <c r="D39" s="91"/>
      <c r="E39" s="92"/>
      <c r="F39" s="92"/>
      <c r="G39" s="93"/>
      <c r="H39" s="94"/>
    </row>
    <row r="40" spans="2:8" ht="21" customHeight="1" x14ac:dyDescent="0.25">
      <c r="B40" s="272" t="s">
        <v>55</v>
      </c>
      <c r="C40" s="273"/>
      <c r="D40" s="273"/>
      <c r="E40" s="273"/>
      <c r="F40" s="273"/>
      <c r="G40" s="273"/>
      <c r="H40" s="274"/>
    </row>
    <row r="41" spans="2:8" ht="20.25" customHeight="1" x14ac:dyDescent="0.25">
      <c r="B41" s="272" t="s">
        <v>56</v>
      </c>
      <c r="C41" s="273"/>
      <c r="D41" s="273"/>
      <c r="E41" s="273"/>
      <c r="F41" s="273"/>
      <c r="G41" s="273"/>
      <c r="H41" s="274"/>
    </row>
    <row r="42" spans="2:8" ht="20.25" customHeight="1" x14ac:dyDescent="0.25">
      <c r="B42" s="272" t="s">
        <v>57</v>
      </c>
      <c r="C42" s="273"/>
      <c r="D42" s="273"/>
      <c r="E42" s="273"/>
      <c r="F42" s="273"/>
      <c r="G42" s="273"/>
      <c r="H42" s="274"/>
    </row>
    <row r="43" spans="2:8" ht="20.25" customHeight="1" x14ac:dyDescent="0.25">
      <c r="B43" s="272" t="s">
        <v>58</v>
      </c>
      <c r="C43" s="273"/>
      <c r="D43" s="273"/>
      <c r="E43" s="273"/>
      <c r="F43" s="273"/>
      <c r="G43" s="273"/>
      <c r="H43" s="274"/>
    </row>
    <row r="44" spans="2:8" x14ac:dyDescent="0.25">
      <c r="B44" s="272" t="s">
        <v>59</v>
      </c>
      <c r="C44" s="273"/>
      <c r="D44" s="273"/>
      <c r="E44" s="273"/>
      <c r="F44" s="273"/>
      <c r="G44" s="273"/>
      <c r="H44" s="274"/>
    </row>
    <row r="45" spans="2:8" ht="15.75" thickBot="1" x14ac:dyDescent="0.3">
      <c r="B45" s="95"/>
      <c r="C45" s="96"/>
      <c r="D45" s="96"/>
      <c r="E45" s="96"/>
      <c r="F45" s="96"/>
      <c r="G45" s="96"/>
      <c r="H45" s="97"/>
    </row>
    <row r="47" spans="2:8" x14ac:dyDescent="0.25">
      <c r="B47" s="238" t="s">
        <v>60</v>
      </c>
    </row>
    <row r="48" spans="2:8" x14ac:dyDescent="0.25">
      <c r="B48" s="66" t="s">
        <v>61</v>
      </c>
    </row>
    <row r="49" spans="2:6" ht="25.5" x14ac:dyDescent="0.25">
      <c r="B49" s="230" t="s">
        <v>62</v>
      </c>
      <c r="C49" s="230" t="s">
        <v>63</v>
      </c>
      <c r="D49" s="230" t="s">
        <v>64</v>
      </c>
      <c r="E49" s="231" t="s">
        <v>65</v>
      </c>
      <c r="F49" s="232" t="s">
        <v>66</v>
      </c>
    </row>
    <row r="50" spans="2:6" x14ac:dyDescent="0.25">
      <c r="B50" s="233" t="s">
        <v>67</v>
      </c>
      <c r="C50" s="233" t="s">
        <v>68</v>
      </c>
      <c r="D50" s="234">
        <v>44957</v>
      </c>
      <c r="E50" s="233" t="s">
        <v>68</v>
      </c>
      <c r="F50" s="233" t="s">
        <v>68</v>
      </c>
    </row>
    <row r="51" spans="2:6" ht="30" x14ac:dyDescent="0.25">
      <c r="B51" s="233" t="s">
        <v>69</v>
      </c>
      <c r="C51" s="233" t="s">
        <v>70</v>
      </c>
      <c r="D51" s="234">
        <v>45016</v>
      </c>
      <c r="E51" s="233" t="s">
        <v>71</v>
      </c>
      <c r="F51" s="235" t="s">
        <v>72</v>
      </c>
    </row>
    <row r="300" spans="3:3" ht="31.5" x14ac:dyDescent="0.25">
      <c r="C300" s="159" t="s">
        <v>73</v>
      </c>
    </row>
    <row r="301" spans="3:3" ht="47.25" x14ac:dyDescent="0.25">
      <c r="C301" s="159" t="s">
        <v>74</v>
      </c>
    </row>
    <row r="302" spans="3:3" ht="31.5" x14ac:dyDescent="0.25">
      <c r="C302" s="160" t="s">
        <v>75</v>
      </c>
    </row>
    <row r="303" spans="3:3" ht="31.5" x14ac:dyDescent="0.25">
      <c r="C303" s="159" t="s">
        <v>76</v>
      </c>
    </row>
    <row r="304" spans="3:3" ht="47.25" x14ac:dyDescent="0.25">
      <c r="C304" s="159" t="s">
        <v>77</v>
      </c>
    </row>
    <row r="305" spans="3:3" ht="31.5" x14ac:dyDescent="0.25">
      <c r="C305" s="159" t="s">
        <v>78</v>
      </c>
    </row>
    <row r="306" spans="3:3" ht="47.25" x14ac:dyDescent="0.25">
      <c r="C306" s="160" t="s">
        <v>79</v>
      </c>
    </row>
    <row r="307" spans="3:3" ht="31.5" x14ac:dyDescent="0.25">
      <c r="C307" s="159" t="s">
        <v>80</v>
      </c>
    </row>
    <row r="308" spans="3:3" ht="15.75" x14ac:dyDescent="0.25">
      <c r="C308" s="159" t="s">
        <v>81</v>
      </c>
    </row>
    <row r="309" spans="3:3" ht="15.75" x14ac:dyDescent="0.25">
      <c r="C309" s="159" t="s">
        <v>82</v>
      </c>
    </row>
    <row r="310" spans="3:3" ht="31.5" x14ac:dyDescent="0.25">
      <c r="C310" s="159" t="s">
        <v>83</v>
      </c>
    </row>
    <row r="311" spans="3:3" ht="31.5" x14ac:dyDescent="0.25">
      <c r="C311" s="159" t="s">
        <v>84</v>
      </c>
    </row>
    <row r="312" spans="3:3" ht="15.75" x14ac:dyDescent="0.25">
      <c r="C312" s="159" t="s">
        <v>85</v>
      </c>
    </row>
    <row r="313" spans="3:3" ht="15.75" x14ac:dyDescent="0.25">
      <c r="C313" s="159" t="s">
        <v>86</v>
      </c>
    </row>
    <row r="314" spans="3:3" ht="15.75" x14ac:dyDescent="0.25">
      <c r="C314" s="159" t="s">
        <v>87</v>
      </c>
    </row>
    <row r="315" spans="3:3" ht="31.5" x14ac:dyDescent="0.25">
      <c r="C315" s="159" t="s">
        <v>88</v>
      </c>
    </row>
    <row r="316" spans="3:3" ht="31.5" x14ac:dyDescent="0.25">
      <c r="C316" s="159" t="s">
        <v>89</v>
      </c>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honeticPr fontId="84"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55"/>
  <sheetViews>
    <sheetView topLeftCell="C1" zoomScale="90" zoomScaleNormal="90" workbookViewId="0">
      <selection activeCell="B7" sqref="B7"/>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66"/>
      <c r="B1" s="545" t="s">
        <v>299</v>
      </c>
      <c r="C1" s="545"/>
      <c r="D1" s="545"/>
      <c r="E1" s="66"/>
      <c r="F1" s="66"/>
      <c r="G1" s="66"/>
      <c r="H1" s="66"/>
      <c r="I1" s="66"/>
      <c r="J1" s="66"/>
      <c r="K1" s="66"/>
      <c r="L1" s="66"/>
      <c r="M1" s="66"/>
      <c r="N1" s="66"/>
      <c r="O1" s="66"/>
      <c r="P1" s="66"/>
      <c r="Q1" s="66"/>
      <c r="R1" s="66"/>
      <c r="S1" s="66"/>
      <c r="T1" s="66"/>
      <c r="U1" s="66"/>
      <c r="V1" s="66"/>
      <c r="W1" s="66"/>
      <c r="X1" s="66"/>
      <c r="Y1" s="66"/>
      <c r="Z1" s="66"/>
      <c r="AA1" s="66"/>
      <c r="AB1" s="66"/>
      <c r="AC1" s="66"/>
      <c r="AD1" s="66"/>
      <c r="AE1" s="66"/>
    </row>
    <row r="2" spans="1:37" x14ac:dyDescent="0.25">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row>
    <row r="3" spans="1:37" ht="25.5" x14ac:dyDescent="0.25">
      <c r="A3" s="66"/>
      <c r="B3" s="3"/>
      <c r="C3" s="4" t="s">
        <v>300</v>
      </c>
      <c r="D3" s="4" t="s">
        <v>250</v>
      </c>
      <c r="E3" s="66"/>
      <c r="F3" s="66"/>
      <c r="G3" s="66"/>
      <c r="H3" s="66"/>
      <c r="I3" s="66"/>
      <c r="J3" s="66"/>
      <c r="K3" s="66"/>
      <c r="L3" s="66"/>
      <c r="M3" s="66"/>
      <c r="N3" s="66"/>
      <c r="O3" s="66"/>
      <c r="P3" s="66"/>
      <c r="Q3" s="66"/>
      <c r="R3" s="66"/>
      <c r="S3" s="66"/>
      <c r="T3" s="66"/>
      <c r="U3" s="66"/>
      <c r="V3" s="66"/>
      <c r="W3" s="66"/>
      <c r="X3" s="66"/>
      <c r="Y3" s="66"/>
      <c r="Z3" s="66"/>
      <c r="AA3" s="66"/>
      <c r="AB3" s="66"/>
      <c r="AC3" s="66"/>
      <c r="AD3" s="66"/>
      <c r="AE3" s="66"/>
    </row>
    <row r="4" spans="1:37" ht="51" x14ac:dyDescent="0.25">
      <c r="A4" s="66"/>
      <c r="B4" s="5" t="s">
        <v>301</v>
      </c>
      <c r="C4" s="6" t="s">
        <v>302</v>
      </c>
      <c r="D4" s="7">
        <v>0.2</v>
      </c>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7" ht="51" x14ac:dyDescent="0.25">
      <c r="A5" s="66"/>
      <c r="B5" s="8" t="s">
        <v>303</v>
      </c>
      <c r="C5" s="9" t="s">
        <v>304</v>
      </c>
      <c r="D5" s="10">
        <v>0.4</v>
      </c>
      <c r="E5" s="66"/>
      <c r="F5" s="66"/>
      <c r="G5" s="66"/>
      <c r="H5" s="66"/>
      <c r="I5" s="66"/>
      <c r="J5" s="66"/>
      <c r="K5" s="66"/>
      <c r="L5" s="66"/>
      <c r="M5" s="66"/>
      <c r="N5" s="66"/>
      <c r="O5" s="66"/>
      <c r="P5" s="66"/>
      <c r="Q5" s="66"/>
      <c r="R5" s="66"/>
      <c r="S5" s="66"/>
      <c r="T5" s="66"/>
      <c r="U5" s="66"/>
      <c r="V5" s="66"/>
      <c r="W5" s="66"/>
      <c r="X5" s="66"/>
      <c r="Y5" s="66"/>
      <c r="Z5" s="66"/>
      <c r="AA5" s="66"/>
      <c r="AB5" s="66"/>
      <c r="AC5" s="66"/>
      <c r="AD5" s="66"/>
      <c r="AE5" s="66"/>
    </row>
    <row r="6" spans="1:37" ht="51" x14ac:dyDescent="0.25">
      <c r="A6" s="66"/>
      <c r="B6" s="11" t="s">
        <v>305</v>
      </c>
      <c r="C6" s="9" t="s">
        <v>306</v>
      </c>
      <c r="D6" s="10">
        <v>0.6</v>
      </c>
      <c r="E6" s="66"/>
      <c r="F6" s="66"/>
      <c r="G6" s="66"/>
      <c r="H6" s="66"/>
      <c r="I6" s="66"/>
      <c r="J6" s="66"/>
      <c r="K6" s="66"/>
      <c r="L6" s="66"/>
      <c r="M6" s="66"/>
      <c r="N6" s="66"/>
      <c r="O6" s="66"/>
      <c r="P6" s="66"/>
      <c r="Q6" s="66"/>
      <c r="R6" s="66"/>
      <c r="S6" s="66"/>
      <c r="T6" s="66"/>
      <c r="U6" s="66"/>
      <c r="V6" s="66"/>
      <c r="W6" s="66"/>
      <c r="X6" s="66"/>
      <c r="Y6" s="66"/>
      <c r="Z6" s="66"/>
      <c r="AA6" s="66"/>
      <c r="AB6" s="66"/>
      <c r="AC6" s="66"/>
      <c r="AD6" s="66"/>
      <c r="AE6" s="66"/>
    </row>
    <row r="7" spans="1:37" ht="76.5" x14ac:dyDescent="0.25">
      <c r="A7" s="66"/>
      <c r="B7" s="12" t="s">
        <v>307</v>
      </c>
      <c r="C7" s="9" t="s">
        <v>308</v>
      </c>
      <c r="D7" s="10">
        <v>0.8</v>
      </c>
      <c r="E7" s="66"/>
      <c r="F7" s="66"/>
      <c r="G7" s="66"/>
      <c r="H7" s="66"/>
      <c r="I7" s="66"/>
      <c r="J7" s="66"/>
      <c r="K7" s="66"/>
      <c r="L7" s="66"/>
      <c r="M7" s="66"/>
      <c r="N7" s="66"/>
      <c r="O7" s="66"/>
      <c r="P7" s="66"/>
      <c r="Q7" s="66"/>
      <c r="R7" s="66"/>
      <c r="S7" s="66"/>
      <c r="T7" s="66"/>
      <c r="U7" s="66"/>
      <c r="V7" s="66"/>
      <c r="W7" s="66"/>
      <c r="X7" s="66"/>
      <c r="Y7" s="66"/>
      <c r="Z7" s="66"/>
      <c r="AA7" s="66"/>
      <c r="AB7" s="66"/>
      <c r="AC7" s="66"/>
      <c r="AD7" s="66"/>
      <c r="AE7" s="66"/>
    </row>
    <row r="8" spans="1:37" ht="51" x14ac:dyDescent="0.25">
      <c r="A8" s="66"/>
      <c r="B8" s="13" t="s">
        <v>309</v>
      </c>
      <c r="C8" s="9" t="s">
        <v>310</v>
      </c>
      <c r="D8" s="10">
        <v>1</v>
      </c>
      <c r="E8" s="66"/>
      <c r="F8" s="66"/>
      <c r="G8" s="66"/>
      <c r="H8" s="66"/>
      <c r="I8" s="66"/>
      <c r="J8" s="66"/>
      <c r="K8" s="66"/>
      <c r="L8" s="66"/>
      <c r="M8" s="66"/>
      <c r="N8" s="66"/>
      <c r="O8" s="66"/>
      <c r="P8" s="66"/>
      <c r="Q8" s="66"/>
      <c r="R8" s="66"/>
      <c r="S8" s="66"/>
      <c r="T8" s="66"/>
      <c r="U8" s="66"/>
      <c r="V8" s="66"/>
      <c r="W8" s="66"/>
      <c r="X8" s="66"/>
      <c r="Y8" s="66"/>
      <c r="Z8" s="66"/>
      <c r="AA8" s="66"/>
      <c r="AB8" s="66"/>
      <c r="AC8" s="66"/>
      <c r="AD8" s="66"/>
      <c r="AE8" s="66"/>
    </row>
    <row r="9" spans="1:37" x14ac:dyDescent="0.25">
      <c r="A9" s="66"/>
      <c r="B9" s="88"/>
      <c r="C9" s="88"/>
      <c r="D9" s="88"/>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row>
    <row r="10" spans="1:37" ht="16.5" x14ac:dyDescent="0.25">
      <c r="A10" s="66"/>
      <c r="B10" s="89"/>
      <c r="C10" s="88"/>
      <c r="D10" s="88"/>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row>
    <row r="11" spans="1:37" x14ac:dyDescent="0.25">
      <c r="A11" s="66"/>
      <c r="B11" s="88"/>
      <c r="C11" s="88"/>
      <c r="D11" s="88"/>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row>
    <row r="12" spans="1:37" x14ac:dyDescent="0.25">
      <c r="A12" s="66"/>
      <c r="B12" s="88"/>
      <c r="C12" s="88"/>
      <c r="D12" s="88"/>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row>
    <row r="13" spans="1:37" x14ac:dyDescent="0.25">
      <c r="A13" s="66"/>
      <c r="B13" s="88"/>
      <c r="C13" s="88"/>
      <c r="D13" s="88"/>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row>
    <row r="14" spans="1:37" x14ac:dyDescent="0.25">
      <c r="A14" s="66"/>
      <c r="B14" s="88"/>
      <c r="C14" s="88"/>
      <c r="D14" s="88"/>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row>
    <row r="15" spans="1:37" x14ac:dyDescent="0.25">
      <c r="A15" s="66"/>
      <c r="B15" s="88"/>
      <c r="C15" s="88"/>
      <c r="D15" s="88"/>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row>
    <row r="16" spans="1:37" x14ac:dyDescent="0.25">
      <c r="A16" s="66"/>
      <c r="B16" s="88"/>
      <c r="C16" s="88"/>
      <c r="D16" s="88"/>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row>
    <row r="17" spans="1:37" x14ac:dyDescent="0.25">
      <c r="A17" s="66"/>
      <c r="B17" s="88"/>
      <c r="C17" s="88"/>
      <c r="D17" s="88"/>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row>
    <row r="18" spans="1:37" x14ac:dyDescent="0.25">
      <c r="A18" s="66"/>
      <c r="B18" s="88"/>
      <c r="C18" s="88"/>
      <c r="D18" s="88"/>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row>
    <row r="19" spans="1:37" x14ac:dyDescent="0.2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row>
    <row r="20" spans="1:37" x14ac:dyDescent="0.25">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row>
    <row r="21" spans="1:37" x14ac:dyDescent="0.25">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row>
    <row r="22" spans="1:37" x14ac:dyDescent="0.25">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row>
    <row r="23" spans="1:37" x14ac:dyDescent="0.25">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row>
    <row r="24" spans="1:37" x14ac:dyDescent="0.25">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row>
    <row r="25" spans="1:37" x14ac:dyDescent="0.25">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row>
    <row r="26" spans="1:37" x14ac:dyDescent="0.25">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row>
    <row r="27" spans="1:37" x14ac:dyDescent="0.25">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row>
    <row r="28" spans="1:37" x14ac:dyDescent="0.25">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row>
    <row r="29" spans="1:37" x14ac:dyDescent="0.25">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row>
    <row r="30" spans="1:37" x14ac:dyDescent="0.25">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row>
    <row r="31" spans="1:37" x14ac:dyDescent="0.25">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row>
    <row r="32" spans="1:37" x14ac:dyDescent="0.25">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row>
    <row r="33" spans="1:31" x14ac:dyDescent="0.25">
      <c r="A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row>
    <row r="34" spans="1:31" x14ac:dyDescent="0.25">
      <c r="A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row>
    <row r="35" spans="1:31" x14ac:dyDescent="0.25">
      <c r="A35" s="66"/>
    </row>
    <row r="36" spans="1:31" x14ac:dyDescent="0.25">
      <c r="A36" s="66"/>
    </row>
    <row r="37" spans="1:31" x14ac:dyDescent="0.25">
      <c r="A37" s="66"/>
    </row>
    <row r="38" spans="1:31" x14ac:dyDescent="0.25">
      <c r="A38" s="66"/>
    </row>
    <row r="39" spans="1:31" x14ac:dyDescent="0.25">
      <c r="A39" s="66"/>
    </row>
    <row r="40" spans="1:31" x14ac:dyDescent="0.25">
      <c r="A40" s="66"/>
    </row>
    <row r="41" spans="1:31" x14ac:dyDescent="0.25">
      <c r="A41" s="66"/>
    </row>
    <row r="42" spans="1:31" x14ac:dyDescent="0.25">
      <c r="A42" s="66"/>
    </row>
    <row r="43" spans="1:31" x14ac:dyDescent="0.25">
      <c r="A43" s="66"/>
    </row>
    <row r="44" spans="1:31" x14ac:dyDescent="0.25">
      <c r="A44" s="66"/>
    </row>
    <row r="45" spans="1:31" x14ac:dyDescent="0.25">
      <c r="A45" s="66"/>
    </row>
    <row r="46" spans="1:31" x14ac:dyDescent="0.25">
      <c r="A46" s="66"/>
    </row>
    <row r="47" spans="1:31" x14ac:dyDescent="0.25">
      <c r="A47" s="66"/>
    </row>
    <row r="48" spans="1:31" x14ac:dyDescent="0.25">
      <c r="A48" s="66"/>
    </row>
    <row r="49" spans="1:1" x14ac:dyDescent="0.25">
      <c r="A49" s="66"/>
    </row>
    <row r="50" spans="1:1" x14ac:dyDescent="0.25">
      <c r="A50" s="66"/>
    </row>
    <row r="51" spans="1:1" x14ac:dyDescent="0.25">
      <c r="A51" s="66"/>
    </row>
    <row r="52" spans="1:1" x14ac:dyDescent="0.25">
      <c r="A52" s="66"/>
    </row>
    <row r="53" spans="1:1" x14ac:dyDescent="0.25">
      <c r="A53" s="66"/>
    </row>
    <row r="54" spans="1:1" x14ac:dyDescent="0.25">
      <c r="A54" s="66"/>
    </row>
    <row r="55" spans="1:1" x14ac:dyDescent="0.25">
      <c r="A55" s="66"/>
    </row>
  </sheetData>
  <mergeCells count="1">
    <mergeCell ref="B1:D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U233"/>
  <sheetViews>
    <sheetView zoomScale="50" zoomScaleNormal="50" workbookViewId="0">
      <selection activeCell="F218" sqref="F218:F222"/>
    </sheetView>
  </sheetViews>
  <sheetFormatPr baseColWidth="10" defaultColWidth="11.42578125" defaultRowHeight="15" x14ac:dyDescent="0.25"/>
  <cols>
    <col min="1" max="1" width="5.28515625" customWidth="1"/>
    <col min="2" max="2" width="56.85546875" customWidth="1"/>
    <col min="3" max="3" width="75.140625" customWidth="1"/>
    <col min="4" max="4" width="87.5703125" customWidth="1"/>
    <col min="5" max="5" width="46.42578125" customWidth="1"/>
    <col min="6" max="6" width="23.42578125" style="114" customWidth="1"/>
    <col min="7" max="7" width="26.85546875" customWidth="1"/>
  </cols>
  <sheetData>
    <row r="2" spans="1:21" s="173" customFormat="1" ht="45.75" customHeight="1" x14ac:dyDescent="0.25">
      <c r="A2" s="171"/>
      <c r="B2" s="546" t="s">
        <v>311</v>
      </c>
      <c r="C2" s="546"/>
      <c r="D2" s="546"/>
      <c r="E2" s="546"/>
      <c r="F2" s="172"/>
      <c r="G2" s="171"/>
      <c r="H2" s="171"/>
      <c r="I2" s="171"/>
      <c r="J2" s="171"/>
      <c r="K2" s="171"/>
      <c r="L2" s="171"/>
      <c r="M2" s="171"/>
      <c r="N2" s="171"/>
      <c r="O2" s="171"/>
      <c r="P2" s="171"/>
      <c r="Q2" s="171"/>
      <c r="R2" s="171"/>
      <c r="S2" s="171"/>
      <c r="T2" s="171"/>
      <c r="U2" s="171"/>
    </row>
    <row r="3" spans="1:21" s="173" customFormat="1" ht="18.75" customHeight="1" x14ac:dyDescent="0.25">
      <c r="A3" s="171"/>
      <c r="B3" s="174"/>
      <c r="C3" s="171"/>
      <c r="D3" s="171"/>
      <c r="E3" s="171"/>
      <c r="F3" s="172"/>
      <c r="G3" s="171"/>
      <c r="H3" s="171"/>
      <c r="I3" s="171"/>
      <c r="J3" s="171"/>
      <c r="K3" s="171"/>
      <c r="L3" s="171"/>
      <c r="M3" s="171"/>
      <c r="N3" s="171"/>
      <c r="O3" s="171"/>
      <c r="P3" s="171"/>
      <c r="Q3" s="171"/>
      <c r="R3" s="171"/>
      <c r="S3" s="171"/>
      <c r="T3" s="171"/>
      <c r="U3" s="171"/>
    </row>
    <row r="4" spans="1:21" ht="67.5" customHeight="1" x14ac:dyDescent="0.25">
      <c r="A4" s="66"/>
      <c r="B4" s="106"/>
      <c r="C4" s="21" t="s">
        <v>312</v>
      </c>
      <c r="D4" s="21" t="s">
        <v>313</v>
      </c>
      <c r="E4" s="21" t="s">
        <v>314</v>
      </c>
      <c r="F4" s="112"/>
      <c r="G4" s="66"/>
      <c r="H4" s="66"/>
      <c r="I4" s="66"/>
      <c r="J4" s="66"/>
      <c r="K4" s="66"/>
      <c r="L4" s="66"/>
      <c r="M4" s="66"/>
      <c r="N4" s="66"/>
      <c r="O4" s="66"/>
      <c r="P4" s="66"/>
      <c r="Q4" s="66"/>
      <c r="R4" s="66"/>
      <c r="S4" s="66"/>
      <c r="T4" s="66"/>
      <c r="U4" s="66"/>
    </row>
    <row r="5" spans="1:21" ht="67.5" customHeight="1" x14ac:dyDescent="0.25">
      <c r="A5" s="86" t="s">
        <v>315</v>
      </c>
      <c r="B5" s="22" t="s">
        <v>316</v>
      </c>
      <c r="C5" s="27" t="s">
        <v>317</v>
      </c>
      <c r="D5" s="104" t="s">
        <v>318</v>
      </c>
      <c r="E5" s="209">
        <f>908526*130</f>
        <v>118108380</v>
      </c>
      <c r="F5" s="66"/>
      <c r="G5" s="66"/>
      <c r="H5" s="66"/>
      <c r="I5" s="66"/>
      <c r="J5" s="66"/>
      <c r="K5" s="66"/>
      <c r="L5" s="66"/>
      <c r="M5" s="66"/>
      <c r="N5" s="66"/>
      <c r="O5" s="66"/>
      <c r="P5" s="66"/>
      <c r="Q5" s="66"/>
      <c r="R5" s="66"/>
      <c r="S5" s="66"/>
      <c r="T5" s="66"/>
      <c r="U5" s="66"/>
    </row>
    <row r="6" spans="1:21" ht="129" customHeight="1" x14ac:dyDescent="0.25">
      <c r="A6" s="86" t="s">
        <v>319</v>
      </c>
      <c r="B6" s="23" t="s">
        <v>320</v>
      </c>
      <c r="C6" s="28" t="s">
        <v>321</v>
      </c>
      <c r="D6" s="105" t="s">
        <v>322</v>
      </c>
      <c r="E6" s="209">
        <f>908526*650</f>
        <v>590541900</v>
      </c>
      <c r="F6" s="66"/>
      <c r="G6" s="66"/>
      <c r="H6" s="66"/>
      <c r="I6" s="66"/>
      <c r="J6" s="66"/>
      <c r="K6" s="66"/>
      <c r="L6" s="66"/>
      <c r="M6" s="66"/>
      <c r="N6" s="66"/>
      <c r="O6" s="66"/>
      <c r="P6" s="66"/>
      <c r="Q6" s="66"/>
      <c r="R6" s="66"/>
      <c r="S6" s="66"/>
      <c r="T6" s="66"/>
      <c r="U6" s="66"/>
    </row>
    <row r="7" spans="1:21" ht="101.25" x14ac:dyDescent="0.25">
      <c r="A7" s="86" t="s">
        <v>256</v>
      </c>
      <c r="B7" s="24" t="s">
        <v>323</v>
      </c>
      <c r="C7" s="28" t="s">
        <v>324</v>
      </c>
      <c r="D7" s="105" t="s">
        <v>325</v>
      </c>
      <c r="E7" s="209">
        <f>908526*1300</f>
        <v>1181083800</v>
      </c>
      <c r="F7" s="66"/>
      <c r="G7" s="66"/>
      <c r="H7" s="66"/>
      <c r="I7" s="66"/>
      <c r="J7" s="66"/>
      <c r="K7" s="66"/>
      <c r="L7" s="66"/>
      <c r="M7" s="66"/>
      <c r="N7" s="66"/>
      <c r="O7" s="66"/>
      <c r="P7" s="66"/>
      <c r="Q7" s="66"/>
      <c r="R7" s="66"/>
      <c r="S7" s="66"/>
      <c r="T7" s="66"/>
      <c r="U7" s="66"/>
    </row>
    <row r="8" spans="1:21" ht="135" x14ac:dyDescent="0.25">
      <c r="A8" s="86" t="s">
        <v>326</v>
      </c>
      <c r="B8" s="25" t="s">
        <v>327</v>
      </c>
      <c r="C8" s="28" t="s">
        <v>328</v>
      </c>
      <c r="D8" s="105" t="s">
        <v>329</v>
      </c>
      <c r="E8" s="209">
        <f>908526*6500</f>
        <v>5905419000</v>
      </c>
      <c r="F8" s="66"/>
      <c r="G8" s="66"/>
      <c r="H8" s="66"/>
      <c r="I8" s="66"/>
      <c r="J8" s="66"/>
      <c r="K8" s="66"/>
      <c r="L8" s="66"/>
      <c r="M8" s="66"/>
      <c r="N8" s="66"/>
      <c r="O8" s="66"/>
      <c r="P8" s="66"/>
      <c r="Q8" s="66"/>
      <c r="R8" s="66"/>
      <c r="S8" s="66"/>
      <c r="T8" s="66"/>
      <c r="U8" s="66"/>
    </row>
    <row r="9" spans="1:21" ht="101.25" x14ac:dyDescent="0.25">
      <c r="A9" s="86" t="s">
        <v>330</v>
      </c>
      <c r="B9" s="26" t="s">
        <v>331</v>
      </c>
      <c r="C9" s="28" t="s">
        <v>332</v>
      </c>
      <c r="D9" s="105" t="s">
        <v>333</v>
      </c>
      <c r="E9" s="209"/>
      <c r="F9" s="107"/>
      <c r="G9" s="107"/>
      <c r="H9" s="66"/>
      <c r="I9" s="66"/>
      <c r="J9" s="66"/>
      <c r="K9" s="66"/>
      <c r="L9" s="66"/>
      <c r="M9" s="66"/>
      <c r="N9" s="66"/>
      <c r="O9" s="66"/>
      <c r="P9" s="66"/>
      <c r="Q9" s="66"/>
      <c r="R9" s="66"/>
      <c r="S9" s="66"/>
      <c r="T9" s="66"/>
      <c r="U9" s="66"/>
    </row>
    <row r="10" spans="1:21" s="110" customFormat="1" ht="20.25" hidden="1" x14ac:dyDescent="0.25">
      <c r="A10" s="108"/>
      <c r="B10" s="108"/>
      <c r="C10" s="109"/>
      <c r="D10" s="109"/>
      <c r="E10" s="108"/>
      <c r="F10" s="108"/>
      <c r="G10" s="108"/>
      <c r="H10" s="108"/>
      <c r="I10" s="108"/>
      <c r="J10" s="108"/>
      <c r="K10" s="108"/>
      <c r="L10" s="108"/>
      <c r="M10" s="108"/>
      <c r="N10" s="108"/>
      <c r="O10" s="108"/>
      <c r="P10" s="108"/>
      <c r="Q10" s="108"/>
      <c r="R10" s="108"/>
      <c r="S10" s="108"/>
      <c r="T10" s="108"/>
      <c r="U10" s="108"/>
    </row>
    <row r="11" spans="1:21" s="110" customFormat="1" ht="16.5" hidden="1" x14ac:dyDescent="0.25">
      <c r="A11" s="108"/>
      <c r="B11" s="111"/>
      <c r="C11" s="111"/>
      <c r="D11" s="111"/>
      <c r="E11" s="108"/>
      <c r="F11" s="108"/>
      <c r="G11" s="108"/>
      <c r="H11" s="108"/>
      <c r="I11" s="108"/>
      <c r="J11" s="108"/>
      <c r="K11" s="108"/>
      <c r="L11" s="108"/>
      <c r="M11" s="108"/>
      <c r="N11" s="108"/>
      <c r="O11" s="108"/>
      <c r="P11" s="108"/>
      <c r="Q11" s="108"/>
      <c r="R11" s="108"/>
      <c r="S11" s="108"/>
      <c r="T11" s="108"/>
      <c r="U11" s="108"/>
    </row>
    <row r="12" spans="1:21" s="110" customFormat="1" hidden="1" x14ac:dyDescent="0.25">
      <c r="A12" s="108"/>
      <c r="B12" s="108" t="s">
        <v>334</v>
      </c>
      <c r="C12" s="108" t="s">
        <v>335</v>
      </c>
      <c r="D12" s="108" t="s">
        <v>336</v>
      </c>
      <c r="E12" s="108"/>
      <c r="F12" s="108"/>
      <c r="G12" s="108"/>
      <c r="H12" s="108"/>
      <c r="I12" s="108"/>
      <c r="J12" s="108"/>
      <c r="K12" s="108"/>
      <c r="L12" s="108"/>
      <c r="M12" s="108"/>
      <c r="N12" s="108"/>
      <c r="O12" s="108"/>
      <c r="P12" s="108"/>
      <c r="Q12" s="108"/>
      <c r="R12" s="108"/>
      <c r="S12" s="108"/>
      <c r="T12" s="108"/>
      <c r="U12" s="108"/>
    </row>
    <row r="13" spans="1:21" s="110" customFormat="1" hidden="1" x14ac:dyDescent="0.25">
      <c r="A13" s="108"/>
      <c r="B13" s="108" t="s">
        <v>337</v>
      </c>
      <c r="C13" s="108" t="s">
        <v>338</v>
      </c>
      <c r="D13" s="108" t="s">
        <v>339</v>
      </c>
      <c r="E13" s="108"/>
      <c r="F13" s="108"/>
      <c r="G13" s="108"/>
      <c r="H13" s="108"/>
      <c r="I13" s="108"/>
      <c r="J13" s="108"/>
      <c r="K13" s="108"/>
      <c r="L13" s="108"/>
      <c r="M13" s="108"/>
      <c r="N13" s="108"/>
      <c r="O13" s="108"/>
      <c r="P13" s="108"/>
      <c r="Q13" s="108"/>
      <c r="R13" s="108"/>
      <c r="S13" s="108"/>
      <c r="T13" s="108"/>
      <c r="U13" s="108"/>
    </row>
    <row r="14" spans="1:21" s="110" customFormat="1" hidden="1" x14ac:dyDescent="0.25">
      <c r="A14" s="108"/>
      <c r="B14" s="108"/>
      <c r="C14" s="108" t="s">
        <v>340</v>
      </c>
      <c r="D14" s="108" t="s">
        <v>239</v>
      </c>
      <c r="E14" s="108"/>
      <c r="F14" s="108"/>
      <c r="G14" s="108"/>
      <c r="H14" s="108"/>
      <c r="I14" s="108"/>
      <c r="J14" s="108"/>
      <c r="K14" s="108"/>
      <c r="L14" s="108"/>
      <c r="M14" s="108"/>
      <c r="N14" s="108"/>
      <c r="O14" s="108"/>
      <c r="P14" s="108"/>
      <c r="Q14" s="108"/>
      <c r="R14" s="108"/>
      <c r="S14" s="108"/>
      <c r="T14" s="108"/>
      <c r="U14" s="108"/>
    </row>
    <row r="15" spans="1:21" s="110" customFormat="1" hidden="1" x14ac:dyDescent="0.25">
      <c r="A15" s="108"/>
      <c r="B15" s="108"/>
      <c r="C15" s="108" t="s">
        <v>341</v>
      </c>
      <c r="D15" s="108" t="s">
        <v>342</v>
      </c>
      <c r="E15" s="108"/>
      <c r="F15" s="108"/>
      <c r="G15" s="108"/>
      <c r="H15" s="108"/>
      <c r="I15" s="108"/>
      <c r="J15" s="108"/>
      <c r="K15" s="108"/>
      <c r="L15" s="108"/>
      <c r="M15" s="108"/>
      <c r="N15" s="108"/>
      <c r="O15" s="108"/>
      <c r="P15" s="108"/>
      <c r="Q15" s="108"/>
      <c r="R15" s="108"/>
      <c r="S15" s="108"/>
      <c r="T15" s="108"/>
      <c r="U15" s="108"/>
    </row>
    <row r="16" spans="1:21" s="110" customFormat="1" hidden="1" x14ac:dyDescent="0.25">
      <c r="A16" s="108"/>
      <c r="B16" s="108"/>
      <c r="C16" s="108" t="s">
        <v>343</v>
      </c>
      <c r="D16" s="108" t="s">
        <v>344</v>
      </c>
      <c r="E16" s="108"/>
      <c r="F16" s="108"/>
      <c r="G16" s="108"/>
      <c r="H16" s="108"/>
      <c r="I16" s="108"/>
      <c r="J16" s="108"/>
      <c r="K16" s="108"/>
      <c r="L16" s="108"/>
      <c r="M16" s="108"/>
      <c r="N16" s="108"/>
      <c r="O16" s="108"/>
      <c r="P16" s="108"/>
      <c r="Q16" s="108"/>
      <c r="R16" s="108"/>
      <c r="S16" s="108"/>
      <c r="T16" s="108"/>
      <c r="U16" s="108"/>
    </row>
    <row r="17" spans="1:15" s="110" customFormat="1" hidden="1" x14ac:dyDescent="0.25">
      <c r="A17" s="108"/>
      <c r="B17" s="108"/>
      <c r="C17" s="108"/>
      <c r="D17" s="108"/>
      <c r="E17" s="108"/>
      <c r="F17" s="108"/>
      <c r="G17" s="108"/>
      <c r="H17" s="108"/>
      <c r="I17" s="108"/>
      <c r="J17" s="108"/>
      <c r="K17" s="108"/>
      <c r="L17" s="108"/>
      <c r="M17" s="108"/>
      <c r="N17" s="108"/>
      <c r="O17" s="108"/>
    </row>
    <row r="18" spans="1:15" s="110" customFormat="1" x14ac:dyDescent="0.25">
      <c r="A18" s="108"/>
      <c r="B18" s="108"/>
      <c r="C18" s="108"/>
      <c r="D18" s="108"/>
      <c r="E18" s="108"/>
      <c r="F18" s="108"/>
      <c r="G18" s="108"/>
      <c r="H18" s="108"/>
      <c r="I18" s="108"/>
      <c r="J18" s="108"/>
      <c r="K18" s="108"/>
      <c r="L18" s="108"/>
      <c r="M18" s="108"/>
      <c r="N18" s="108"/>
      <c r="O18" s="108"/>
    </row>
    <row r="19" spans="1:15" s="110" customFormat="1" x14ac:dyDescent="0.25">
      <c r="A19" s="108"/>
      <c r="B19" s="108"/>
      <c r="C19" s="108"/>
      <c r="D19" s="108"/>
      <c r="E19" s="108"/>
      <c r="F19" s="108"/>
      <c r="G19" s="108"/>
      <c r="H19" s="108"/>
      <c r="I19" s="108"/>
      <c r="J19" s="108"/>
      <c r="K19" s="108"/>
      <c r="L19" s="108"/>
      <c r="M19" s="108"/>
      <c r="N19" s="108"/>
      <c r="O19" s="108"/>
    </row>
    <row r="20" spans="1:15" s="110" customFormat="1" x14ac:dyDescent="0.25">
      <c r="A20" s="108"/>
      <c r="B20" s="108"/>
      <c r="C20" s="108"/>
      <c r="D20" s="108"/>
      <c r="E20" s="108"/>
      <c r="F20" s="108"/>
      <c r="G20" s="108"/>
      <c r="H20" s="108"/>
      <c r="I20" s="108"/>
      <c r="J20" s="108"/>
      <c r="K20" s="108"/>
      <c r="L20" s="108"/>
      <c r="M20" s="108"/>
      <c r="N20" s="108"/>
      <c r="O20" s="108"/>
    </row>
    <row r="21" spans="1:15" s="110" customFormat="1" x14ac:dyDescent="0.25">
      <c r="A21" s="108"/>
      <c r="B21" s="108"/>
      <c r="C21" s="108"/>
      <c r="D21" s="108"/>
      <c r="E21" s="108"/>
      <c r="F21" s="113"/>
      <c r="G21" s="108"/>
      <c r="H21" s="108"/>
      <c r="I21" s="108"/>
      <c r="J21" s="108"/>
      <c r="K21" s="108"/>
      <c r="L21" s="108"/>
      <c r="M21" s="108"/>
      <c r="N21" s="108"/>
      <c r="O21" s="108"/>
    </row>
    <row r="22" spans="1:15" s="110" customFormat="1" x14ac:dyDescent="0.25">
      <c r="A22" s="108"/>
      <c r="B22" s="108"/>
      <c r="C22" s="108"/>
      <c r="D22" s="108"/>
      <c r="E22" s="108"/>
      <c r="F22" s="113"/>
      <c r="G22" s="108"/>
      <c r="H22" s="108"/>
      <c r="I22" s="108"/>
      <c r="J22" s="108"/>
      <c r="K22" s="108"/>
      <c r="L22" s="108"/>
      <c r="M22" s="108"/>
      <c r="N22" s="108"/>
      <c r="O22" s="108"/>
    </row>
    <row r="23" spans="1:15" s="110" customFormat="1" ht="20.25" x14ac:dyDescent="0.25">
      <c r="A23" s="108"/>
      <c r="B23" s="108"/>
      <c r="C23" s="109"/>
      <c r="D23" s="109"/>
      <c r="E23" s="108"/>
      <c r="F23" s="113"/>
      <c r="G23" s="108"/>
      <c r="H23" s="108"/>
      <c r="I23" s="108"/>
      <c r="J23" s="108"/>
      <c r="K23" s="108"/>
      <c r="L23" s="108"/>
      <c r="M23" s="108"/>
      <c r="N23" s="108"/>
      <c r="O23" s="108"/>
    </row>
    <row r="24" spans="1:15" s="110" customFormat="1" ht="20.25" x14ac:dyDescent="0.25">
      <c r="A24" s="108"/>
      <c r="B24" s="108"/>
      <c r="C24" s="109"/>
      <c r="D24" s="109"/>
      <c r="E24" s="108"/>
      <c r="F24" s="113"/>
      <c r="G24" s="108"/>
      <c r="H24" s="108"/>
      <c r="I24" s="108"/>
      <c r="J24" s="108"/>
      <c r="K24" s="108"/>
      <c r="L24" s="108"/>
      <c r="M24" s="108"/>
      <c r="N24" s="108"/>
      <c r="O24" s="108"/>
    </row>
    <row r="25" spans="1:15" s="110" customFormat="1" ht="20.25" x14ac:dyDescent="0.25">
      <c r="A25" s="108"/>
      <c r="B25" s="108"/>
      <c r="C25" s="109"/>
      <c r="D25" s="109"/>
      <c r="E25" s="108"/>
      <c r="F25" s="113"/>
      <c r="G25" s="108"/>
      <c r="H25" s="108"/>
      <c r="I25" s="108"/>
      <c r="J25" s="108"/>
      <c r="K25" s="108"/>
      <c r="L25" s="108"/>
      <c r="M25" s="108"/>
      <c r="N25" s="108"/>
      <c r="O25" s="108"/>
    </row>
    <row r="26" spans="1:15" s="110" customFormat="1" ht="20.25" x14ac:dyDescent="0.25">
      <c r="A26" s="108"/>
      <c r="B26" s="108"/>
      <c r="C26" s="109"/>
      <c r="D26" s="109"/>
      <c r="E26" s="108"/>
      <c r="F26" s="113"/>
      <c r="G26" s="108"/>
      <c r="H26" s="108"/>
      <c r="I26" s="108"/>
      <c r="J26" s="108"/>
      <c r="K26" s="108"/>
      <c r="L26" s="108"/>
      <c r="M26" s="108"/>
      <c r="N26" s="108"/>
      <c r="O26" s="108"/>
    </row>
    <row r="27" spans="1:15" s="110" customFormat="1" ht="20.25" x14ac:dyDescent="0.25">
      <c r="A27" s="108"/>
      <c r="B27" s="108"/>
      <c r="C27" s="109"/>
      <c r="D27" s="109"/>
      <c r="E27" s="108"/>
      <c r="F27" s="113"/>
      <c r="G27" s="108"/>
      <c r="H27" s="108"/>
      <c r="I27" s="108"/>
      <c r="J27" s="108"/>
      <c r="K27" s="108"/>
      <c r="L27" s="108"/>
      <c r="M27" s="108"/>
      <c r="N27" s="108"/>
      <c r="O27" s="108"/>
    </row>
    <row r="28" spans="1:15" s="110" customFormat="1" ht="20.25" x14ac:dyDescent="0.25">
      <c r="A28" s="108"/>
      <c r="B28" s="108"/>
      <c r="C28" s="109"/>
      <c r="D28" s="109"/>
      <c r="E28" s="108"/>
      <c r="F28" s="113"/>
      <c r="G28" s="108"/>
      <c r="H28" s="108"/>
      <c r="I28" s="108"/>
      <c r="J28" s="108"/>
      <c r="K28" s="108"/>
      <c r="L28" s="108"/>
      <c r="M28" s="108"/>
      <c r="N28" s="108"/>
      <c r="O28" s="108"/>
    </row>
    <row r="29" spans="1:15" s="110" customFormat="1" ht="20.25" x14ac:dyDescent="0.25">
      <c r="A29" s="108"/>
      <c r="B29" s="108"/>
      <c r="C29" s="109"/>
      <c r="D29" s="109"/>
      <c r="E29" s="108"/>
      <c r="F29" s="113"/>
      <c r="G29" s="108"/>
      <c r="H29" s="108"/>
      <c r="I29" s="108"/>
      <c r="J29" s="108"/>
      <c r="K29" s="108"/>
      <c r="L29" s="108"/>
      <c r="M29" s="108"/>
      <c r="N29" s="108"/>
      <c r="O29" s="108"/>
    </row>
    <row r="30" spans="1:15" s="110" customFormat="1" ht="20.25" x14ac:dyDescent="0.25">
      <c r="A30" s="108"/>
      <c r="B30" s="108"/>
      <c r="C30" s="109"/>
      <c r="D30" s="109"/>
      <c r="E30" s="108"/>
      <c r="F30" s="113"/>
      <c r="G30" s="108"/>
      <c r="H30" s="108"/>
      <c r="I30" s="108"/>
      <c r="J30" s="108"/>
      <c r="K30" s="108"/>
      <c r="L30" s="108"/>
      <c r="M30" s="108"/>
      <c r="N30" s="108"/>
      <c r="O30" s="108"/>
    </row>
    <row r="31" spans="1:15" s="110" customFormat="1" ht="20.25" x14ac:dyDescent="0.25">
      <c r="A31" s="108"/>
      <c r="B31" s="108"/>
      <c r="C31" s="109"/>
      <c r="D31" s="109"/>
      <c r="E31" s="108"/>
      <c r="F31" s="113"/>
      <c r="G31" s="108"/>
      <c r="H31" s="108"/>
      <c r="I31" s="108"/>
      <c r="J31" s="108"/>
      <c r="K31" s="108"/>
      <c r="L31" s="108"/>
      <c r="M31" s="108"/>
      <c r="N31" s="108"/>
      <c r="O31" s="108"/>
    </row>
    <row r="32" spans="1:15" s="110" customFormat="1" ht="20.25" x14ac:dyDescent="0.25">
      <c r="A32" s="108"/>
      <c r="B32" s="108"/>
      <c r="C32" s="109"/>
      <c r="D32" s="109"/>
      <c r="E32" s="108"/>
      <c r="F32" s="113"/>
      <c r="G32" s="108"/>
      <c r="H32" s="108"/>
      <c r="I32" s="108"/>
      <c r="J32" s="108"/>
      <c r="K32" s="108"/>
      <c r="L32" s="108"/>
      <c r="M32" s="108"/>
      <c r="N32" s="108"/>
      <c r="O32" s="108"/>
    </row>
    <row r="33" spans="1:15" s="110" customFormat="1" ht="20.25" x14ac:dyDescent="0.25">
      <c r="A33" s="108"/>
      <c r="B33" s="108"/>
      <c r="C33" s="109"/>
      <c r="D33" s="109"/>
      <c r="E33" s="108"/>
      <c r="F33" s="113"/>
      <c r="G33" s="108"/>
      <c r="H33" s="108"/>
      <c r="I33" s="108"/>
      <c r="J33" s="108"/>
      <c r="K33" s="108"/>
      <c r="L33" s="108"/>
      <c r="M33" s="108"/>
      <c r="N33" s="108"/>
      <c r="O33" s="108"/>
    </row>
    <row r="34" spans="1:15" s="110" customFormat="1" ht="20.25" x14ac:dyDescent="0.25">
      <c r="A34" s="108"/>
      <c r="B34" s="108"/>
      <c r="C34" s="109"/>
      <c r="D34" s="109"/>
      <c r="E34" s="108"/>
      <c r="F34" s="113"/>
      <c r="G34" s="108"/>
      <c r="H34" s="108"/>
      <c r="I34" s="108"/>
      <c r="J34" s="108"/>
      <c r="K34" s="108"/>
      <c r="L34" s="108"/>
      <c r="M34" s="108"/>
      <c r="N34" s="108"/>
      <c r="O34" s="108"/>
    </row>
    <row r="35" spans="1:15" s="110" customFormat="1" ht="20.25" x14ac:dyDescent="0.25">
      <c r="A35" s="108"/>
      <c r="B35" s="108"/>
      <c r="C35" s="109"/>
      <c r="D35" s="109"/>
      <c r="E35" s="108"/>
      <c r="F35" s="113"/>
      <c r="G35" s="108"/>
      <c r="H35" s="108"/>
      <c r="I35" s="108"/>
      <c r="J35" s="108"/>
      <c r="K35" s="108"/>
      <c r="L35" s="108"/>
      <c r="M35" s="108"/>
      <c r="N35" s="108"/>
      <c r="O35" s="108"/>
    </row>
    <row r="36" spans="1:15" s="110" customFormat="1" ht="20.25" x14ac:dyDescent="0.25">
      <c r="A36" s="108"/>
      <c r="B36" s="108"/>
      <c r="C36" s="109"/>
      <c r="D36" s="109"/>
      <c r="E36" s="108"/>
      <c r="F36" s="113"/>
      <c r="G36" s="108"/>
      <c r="H36" s="108"/>
      <c r="I36" s="108"/>
      <c r="J36" s="108"/>
      <c r="K36" s="108"/>
      <c r="L36" s="108"/>
      <c r="M36" s="108"/>
      <c r="N36" s="108"/>
      <c r="O36" s="108"/>
    </row>
    <row r="37" spans="1:15" s="110" customFormat="1" ht="20.25" x14ac:dyDescent="0.25">
      <c r="A37" s="108"/>
      <c r="B37" s="108"/>
      <c r="C37" s="109"/>
      <c r="D37" s="109"/>
      <c r="E37" s="108"/>
      <c r="F37" s="113"/>
      <c r="G37" s="108"/>
      <c r="H37" s="108"/>
      <c r="I37" s="108"/>
      <c r="J37" s="108"/>
      <c r="K37" s="108"/>
      <c r="L37" s="108"/>
      <c r="M37" s="108"/>
      <c r="N37" s="108"/>
      <c r="O37" s="108"/>
    </row>
    <row r="38" spans="1:15" s="110" customFormat="1" ht="20.25" x14ac:dyDescent="0.25">
      <c r="A38" s="108"/>
      <c r="B38" s="108"/>
      <c r="C38" s="109"/>
      <c r="D38" s="109"/>
      <c r="E38" s="108"/>
      <c r="F38" s="113"/>
      <c r="G38" s="108"/>
      <c r="H38" s="108"/>
      <c r="I38" s="108"/>
      <c r="J38" s="108"/>
      <c r="K38" s="108"/>
      <c r="L38" s="108"/>
      <c r="M38" s="108"/>
      <c r="N38" s="108"/>
      <c r="O38" s="108"/>
    </row>
    <row r="39" spans="1:15" s="110" customFormat="1" ht="20.25" x14ac:dyDescent="0.25">
      <c r="A39" s="108"/>
      <c r="B39" s="108"/>
      <c r="C39" s="109"/>
      <c r="D39" s="109"/>
      <c r="E39" s="108"/>
      <c r="F39" s="113"/>
      <c r="G39" s="108"/>
      <c r="H39" s="108"/>
      <c r="I39" s="108"/>
      <c r="J39" s="108"/>
      <c r="K39" s="108"/>
      <c r="L39" s="108"/>
      <c r="M39" s="108"/>
      <c r="N39" s="108"/>
      <c r="O39" s="108"/>
    </row>
    <row r="40" spans="1:15" s="110" customFormat="1" ht="20.25" x14ac:dyDescent="0.25">
      <c r="A40" s="108"/>
      <c r="B40" s="108"/>
      <c r="C40" s="109"/>
      <c r="D40" s="109"/>
      <c r="E40" s="108"/>
      <c r="F40" s="113"/>
      <c r="G40" s="108"/>
      <c r="H40" s="108"/>
      <c r="I40" s="108"/>
      <c r="J40" s="108"/>
      <c r="K40" s="108"/>
      <c r="L40" s="108"/>
      <c r="M40" s="108"/>
      <c r="N40" s="108"/>
      <c r="O40" s="108"/>
    </row>
    <row r="41" spans="1:15" s="110" customFormat="1" ht="20.25" x14ac:dyDescent="0.25">
      <c r="A41" s="108"/>
      <c r="B41" s="108"/>
      <c r="C41" s="109"/>
      <c r="D41" s="109"/>
      <c r="E41" s="108"/>
      <c r="F41" s="113"/>
      <c r="G41" s="108"/>
      <c r="H41" s="108"/>
      <c r="I41" s="108"/>
      <c r="J41" s="108"/>
      <c r="K41" s="108"/>
      <c r="L41" s="108"/>
      <c r="M41" s="108"/>
      <c r="N41" s="108"/>
      <c r="O41" s="108"/>
    </row>
    <row r="42" spans="1:15" s="110" customFormat="1" ht="20.25" x14ac:dyDescent="0.25">
      <c r="A42" s="108"/>
      <c r="B42" s="108"/>
      <c r="C42" s="109"/>
      <c r="D42" s="109"/>
      <c r="E42" s="108"/>
      <c r="F42" s="113"/>
      <c r="G42" s="108"/>
      <c r="H42" s="108"/>
      <c r="I42" s="108"/>
      <c r="J42" s="108"/>
      <c r="K42" s="108"/>
      <c r="L42" s="108"/>
      <c r="M42" s="108"/>
      <c r="N42" s="108"/>
      <c r="O42" s="108"/>
    </row>
    <row r="43" spans="1:15" s="110" customFormat="1" ht="20.25" x14ac:dyDescent="0.25">
      <c r="A43" s="108"/>
      <c r="B43" s="108"/>
      <c r="C43" s="109"/>
      <c r="D43" s="109"/>
      <c r="E43" s="108"/>
      <c r="F43" s="113"/>
      <c r="G43" s="108"/>
      <c r="H43" s="108"/>
      <c r="I43" s="108"/>
      <c r="J43" s="108"/>
      <c r="K43" s="108"/>
      <c r="L43" s="108"/>
      <c r="M43" s="108"/>
      <c r="N43" s="108"/>
      <c r="O43" s="108"/>
    </row>
    <row r="44" spans="1:15" s="110" customFormat="1" ht="20.25" x14ac:dyDescent="0.25">
      <c r="A44" s="108"/>
      <c r="B44" s="108"/>
      <c r="C44" s="109"/>
      <c r="D44" s="109"/>
      <c r="E44" s="108"/>
      <c r="F44" s="113"/>
      <c r="G44" s="108"/>
      <c r="H44" s="108"/>
      <c r="I44" s="108"/>
      <c r="J44" s="108"/>
      <c r="K44" s="108"/>
      <c r="L44" s="108"/>
      <c r="M44" s="108"/>
      <c r="N44" s="108"/>
      <c r="O44" s="108"/>
    </row>
    <row r="45" spans="1:15" s="110" customFormat="1" ht="20.25" x14ac:dyDescent="0.25">
      <c r="A45" s="108"/>
      <c r="B45" s="108"/>
      <c r="C45" s="109"/>
      <c r="D45" s="109"/>
      <c r="E45" s="108"/>
      <c r="F45" s="113"/>
      <c r="G45" s="108"/>
      <c r="H45" s="108"/>
      <c r="I45" s="108"/>
      <c r="J45" s="108"/>
      <c r="K45" s="108"/>
      <c r="L45" s="108"/>
      <c r="M45" s="108"/>
      <c r="N45" s="108"/>
      <c r="O45" s="108"/>
    </row>
    <row r="46" spans="1:15" s="110" customFormat="1" ht="20.25" x14ac:dyDescent="0.25">
      <c r="A46" s="108"/>
      <c r="B46" s="108"/>
      <c r="C46" s="109"/>
      <c r="D46" s="109"/>
      <c r="E46" s="108"/>
      <c r="F46" s="113"/>
      <c r="G46" s="108"/>
      <c r="H46" s="108"/>
      <c r="I46" s="108"/>
      <c r="J46" s="108"/>
      <c r="K46" s="108"/>
      <c r="L46" s="108"/>
      <c r="M46" s="108"/>
      <c r="N46" s="108"/>
      <c r="O46" s="108"/>
    </row>
    <row r="47" spans="1:15" ht="20.25" x14ac:dyDescent="0.25">
      <c r="A47" s="86"/>
      <c r="B47" s="86"/>
      <c r="C47" s="87"/>
      <c r="D47" s="87"/>
      <c r="E47" s="66"/>
      <c r="F47" s="112"/>
      <c r="G47" s="66"/>
      <c r="H47" s="66"/>
      <c r="I47" s="66"/>
      <c r="J47" s="66"/>
      <c r="K47" s="66"/>
      <c r="L47" s="66"/>
      <c r="M47" s="66"/>
      <c r="N47" s="66"/>
      <c r="O47" s="66"/>
    </row>
    <row r="48" spans="1:15" ht="20.25" x14ac:dyDescent="0.25">
      <c r="A48" s="86"/>
      <c r="B48" s="86"/>
      <c r="C48" s="87"/>
      <c r="D48" s="87"/>
      <c r="E48" s="66"/>
      <c r="F48" s="112"/>
      <c r="G48" s="66"/>
      <c r="H48" s="66"/>
      <c r="I48" s="66"/>
      <c r="J48" s="66"/>
      <c r="K48" s="66"/>
      <c r="L48" s="66"/>
      <c r="M48" s="66"/>
      <c r="N48" s="66"/>
      <c r="O48" s="66"/>
    </row>
    <row r="49" spans="1:15" ht="20.25" x14ac:dyDescent="0.25">
      <c r="A49" s="86"/>
      <c r="B49" s="86"/>
      <c r="C49" s="87"/>
      <c r="D49" s="87"/>
      <c r="E49" s="66"/>
      <c r="F49" s="112"/>
      <c r="G49" s="66"/>
      <c r="H49" s="66"/>
      <c r="I49" s="66"/>
      <c r="J49" s="66"/>
      <c r="K49" s="66"/>
      <c r="L49" s="66"/>
      <c r="M49" s="66"/>
      <c r="N49" s="66"/>
      <c r="O49" s="66"/>
    </row>
    <row r="50" spans="1:15" ht="20.25" x14ac:dyDescent="0.25">
      <c r="A50" s="86"/>
      <c r="B50" s="86"/>
      <c r="C50" s="87"/>
      <c r="D50" s="87"/>
      <c r="E50" s="66"/>
      <c r="F50" s="112"/>
      <c r="G50" s="66"/>
      <c r="H50" s="66"/>
      <c r="I50" s="66"/>
      <c r="J50" s="66"/>
      <c r="K50" s="66"/>
      <c r="L50" s="66"/>
      <c r="M50" s="66"/>
      <c r="N50" s="66"/>
      <c r="O50" s="66"/>
    </row>
    <row r="51" spans="1:15" ht="20.25" x14ac:dyDescent="0.25">
      <c r="A51" s="86"/>
      <c r="B51" s="86"/>
      <c r="C51" s="87"/>
      <c r="D51" s="87"/>
      <c r="E51" s="66"/>
      <c r="F51" s="112"/>
      <c r="G51" s="66"/>
      <c r="H51" s="66"/>
      <c r="I51" s="66"/>
      <c r="J51" s="66"/>
      <c r="K51" s="66"/>
      <c r="L51" s="66"/>
      <c r="M51" s="66"/>
      <c r="N51" s="66"/>
      <c r="O51" s="66"/>
    </row>
    <row r="52" spans="1:15" ht="20.25" x14ac:dyDescent="0.25">
      <c r="A52" s="86"/>
      <c r="B52" s="86"/>
      <c r="C52" s="87"/>
      <c r="D52" s="87"/>
      <c r="E52" s="66"/>
      <c r="F52" s="112"/>
      <c r="G52" s="66"/>
      <c r="H52" s="66"/>
      <c r="I52" s="66"/>
      <c r="J52" s="66"/>
      <c r="K52" s="66"/>
      <c r="L52" s="66"/>
      <c r="M52" s="66"/>
      <c r="N52" s="66"/>
      <c r="O52" s="66"/>
    </row>
    <row r="53" spans="1:15" ht="20.25" x14ac:dyDescent="0.25">
      <c r="A53" s="86"/>
      <c r="B53" s="15"/>
      <c r="C53" s="20"/>
      <c r="D53" s="20"/>
    </row>
    <row r="54" spans="1:15" ht="20.25" x14ac:dyDescent="0.25">
      <c r="A54" s="86"/>
      <c r="B54" s="15"/>
      <c r="C54" s="20"/>
      <c r="D54" s="20"/>
    </row>
    <row r="55" spans="1:15" ht="20.25" x14ac:dyDescent="0.25">
      <c r="A55" s="86"/>
      <c r="B55" s="15"/>
      <c r="C55" s="20"/>
      <c r="D55" s="20"/>
    </row>
    <row r="56" spans="1:15" ht="20.25" x14ac:dyDescent="0.25">
      <c r="A56" s="86"/>
      <c r="B56" s="15"/>
      <c r="C56" s="20"/>
      <c r="D56" s="20"/>
    </row>
    <row r="57" spans="1:15" ht="20.25" x14ac:dyDescent="0.25">
      <c r="A57" s="86"/>
      <c r="B57" s="15"/>
      <c r="C57" s="20"/>
      <c r="D57" s="20"/>
    </row>
    <row r="58" spans="1:15" ht="20.25" x14ac:dyDescent="0.25">
      <c r="A58" s="86"/>
      <c r="B58" s="15"/>
      <c r="C58" s="20"/>
      <c r="D58" s="20"/>
    </row>
    <row r="59" spans="1:15" ht="20.25" x14ac:dyDescent="0.25">
      <c r="A59" s="86"/>
      <c r="B59" s="15"/>
      <c r="C59" s="20"/>
      <c r="D59" s="20"/>
    </row>
    <row r="60" spans="1:15" ht="20.25" x14ac:dyDescent="0.25">
      <c r="A60" s="86"/>
      <c r="B60" s="15"/>
      <c r="C60" s="20"/>
      <c r="D60" s="20"/>
    </row>
    <row r="61" spans="1:15" ht="20.25" x14ac:dyDescent="0.25">
      <c r="A61" s="86"/>
      <c r="B61" s="15"/>
      <c r="C61" s="20"/>
      <c r="D61" s="20"/>
    </row>
    <row r="62" spans="1:15" ht="20.25" x14ac:dyDescent="0.25">
      <c r="A62" s="86"/>
      <c r="B62" s="15"/>
      <c r="C62" s="20"/>
      <c r="D62" s="20"/>
    </row>
    <row r="63" spans="1:15" ht="20.25" x14ac:dyDescent="0.25">
      <c r="A63" s="86"/>
      <c r="B63" s="15"/>
      <c r="C63" s="20"/>
      <c r="D63" s="20"/>
    </row>
    <row r="64" spans="1:15" ht="20.25" x14ac:dyDescent="0.25">
      <c r="A64" s="86"/>
      <c r="B64" s="15"/>
      <c r="C64" s="20"/>
      <c r="D64" s="20"/>
    </row>
    <row r="65" spans="1:4" ht="20.25" x14ac:dyDescent="0.25">
      <c r="A65" s="86"/>
      <c r="B65" s="15"/>
      <c r="C65" s="20"/>
      <c r="D65" s="20"/>
    </row>
    <row r="66" spans="1:4" ht="20.25" x14ac:dyDescent="0.25">
      <c r="A66" s="86"/>
      <c r="B66" s="15"/>
      <c r="C66" s="20"/>
      <c r="D66" s="20"/>
    </row>
    <row r="67" spans="1:4" ht="20.25" x14ac:dyDescent="0.25">
      <c r="A67" s="86"/>
      <c r="B67" s="15"/>
      <c r="C67" s="20"/>
      <c r="D67" s="20"/>
    </row>
    <row r="68" spans="1:4" ht="20.25" x14ac:dyDescent="0.25">
      <c r="A68" s="86"/>
      <c r="B68" s="15"/>
      <c r="C68" s="20"/>
      <c r="D68" s="20"/>
    </row>
    <row r="69" spans="1:4" ht="20.25" x14ac:dyDescent="0.25">
      <c r="A69" s="86"/>
      <c r="B69" s="15"/>
      <c r="C69" s="20"/>
      <c r="D69" s="20"/>
    </row>
    <row r="70" spans="1:4" ht="20.25" x14ac:dyDescent="0.25">
      <c r="A70" s="86"/>
      <c r="B70" s="15"/>
      <c r="C70" s="20"/>
      <c r="D70" s="20"/>
    </row>
    <row r="71" spans="1:4" ht="20.25" x14ac:dyDescent="0.25">
      <c r="A71" s="86"/>
      <c r="B71" s="15"/>
      <c r="C71" s="20"/>
      <c r="D71" s="20"/>
    </row>
    <row r="72" spans="1:4" ht="20.25" x14ac:dyDescent="0.25">
      <c r="A72" s="86"/>
      <c r="B72" s="15"/>
      <c r="C72" s="20"/>
      <c r="D72" s="20"/>
    </row>
    <row r="73" spans="1:4" ht="20.25" x14ac:dyDescent="0.25">
      <c r="A73" s="86"/>
      <c r="B73" s="15"/>
      <c r="C73" s="20"/>
      <c r="D73" s="20"/>
    </row>
    <row r="74" spans="1:4" ht="20.25" x14ac:dyDescent="0.25">
      <c r="A74" s="86"/>
      <c r="B74" s="15"/>
      <c r="C74" s="20"/>
      <c r="D74" s="20"/>
    </row>
    <row r="75" spans="1:4" ht="20.25" x14ac:dyDescent="0.25">
      <c r="A75" s="86"/>
      <c r="B75" s="15"/>
      <c r="C75" s="20"/>
      <c r="D75" s="20"/>
    </row>
    <row r="76" spans="1:4" ht="20.25" x14ac:dyDescent="0.25">
      <c r="A76" s="86"/>
      <c r="B76" s="15"/>
      <c r="C76" s="20"/>
      <c r="D76" s="20"/>
    </row>
    <row r="77" spans="1:4" ht="20.25" x14ac:dyDescent="0.25">
      <c r="A77" s="86"/>
      <c r="B77" s="15"/>
      <c r="C77" s="20"/>
      <c r="D77" s="20"/>
    </row>
    <row r="78" spans="1:4" ht="20.25" x14ac:dyDescent="0.25">
      <c r="A78" s="86"/>
      <c r="B78" s="15"/>
      <c r="C78" s="20"/>
      <c r="D78" s="20"/>
    </row>
    <row r="79" spans="1:4" ht="20.25" x14ac:dyDescent="0.25">
      <c r="A79" s="86"/>
      <c r="B79" s="15"/>
      <c r="C79" s="20"/>
      <c r="D79" s="20"/>
    </row>
    <row r="80" spans="1:4" ht="20.25" x14ac:dyDescent="0.25">
      <c r="A80" s="86"/>
      <c r="B80" s="15"/>
      <c r="C80" s="20"/>
      <c r="D80" s="20"/>
    </row>
    <row r="81" spans="1:4" ht="20.25" x14ac:dyDescent="0.25">
      <c r="A81" s="86"/>
      <c r="B81" s="15"/>
      <c r="C81" s="20"/>
      <c r="D81" s="20"/>
    </row>
    <row r="82" spans="1:4" ht="20.25" x14ac:dyDescent="0.25">
      <c r="A82" s="86"/>
      <c r="B82" s="15"/>
      <c r="C82" s="20"/>
      <c r="D82" s="20"/>
    </row>
    <row r="83" spans="1:4" ht="20.25" x14ac:dyDescent="0.25">
      <c r="A83" s="86"/>
      <c r="B83" s="15"/>
      <c r="C83" s="20"/>
      <c r="D83" s="20"/>
    </row>
    <row r="84" spans="1:4" ht="20.25" x14ac:dyDescent="0.25">
      <c r="A84" s="86"/>
      <c r="B84" s="15"/>
      <c r="C84" s="20"/>
      <c r="D84" s="20"/>
    </row>
    <row r="85" spans="1:4" ht="20.25" x14ac:dyDescent="0.25">
      <c r="A85" s="86"/>
      <c r="B85" s="15"/>
      <c r="C85" s="20"/>
      <c r="D85" s="20"/>
    </row>
    <row r="86" spans="1:4" ht="20.25" x14ac:dyDescent="0.25">
      <c r="A86" s="86"/>
      <c r="B86" s="15"/>
      <c r="C86" s="20"/>
      <c r="D86" s="20"/>
    </row>
    <row r="87" spans="1:4" ht="20.25" x14ac:dyDescent="0.25">
      <c r="A87" s="86"/>
      <c r="B87" s="15"/>
      <c r="C87" s="20"/>
      <c r="D87" s="20"/>
    </row>
    <row r="88" spans="1:4" ht="20.25" x14ac:dyDescent="0.25">
      <c r="A88" s="86"/>
      <c r="B88" s="15"/>
      <c r="C88" s="20"/>
      <c r="D88" s="20"/>
    </row>
    <row r="89" spans="1:4" ht="20.25" x14ac:dyDescent="0.25">
      <c r="A89" s="86"/>
      <c r="B89" s="15"/>
      <c r="C89" s="20"/>
      <c r="D89" s="20"/>
    </row>
    <row r="90" spans="1:4" ht="20.25" x14ac:dyDescent="0.25">
      <c r="A90" s="86"/>
      <c r="B90" s="15"/>
      <c r="C90" s="20"/>
      <c r="D90" s="20"/>
    </row>
    <row r="91" spans="1:4" ht="20.25" x14ac:dyDescent="0.25">
      <c r="A91" s="86"/>
      <c r="B91" s="15"/>
      <c r="C91" s="20"/>
      <c r="D91" s="20"/>
    </row>
    <row r="92" spans="1:4" ht="20.25" x14ac:dyDescent="0.25">
      <c r="A92" s="86"/>
      <c r="B92" s="15"/>
      <c r="C92" s="20"/>
      <c r="D92" s="20"/>
    </row>
    <row r="93" spans="1:4" ht="20.25" x14ac:dyDescent="0.25">
      <c r="A93" s="86"/>
      <c r="B93" s="15"/>
      <c r="C93" s="20"/>
      <c r="D93" s="20"/>
    </row>
    <row r="94" spans="1:4" ht="20.25" x14ac:dyDescent="0.25">
      <c r="A94" s="86"/>
      <c r="B94" s="15"/>
      <c r="C94" s="20"/>
      <c r="D94" s="20"/>
    </row>
    <row r="95" spans="1:4" ht="20.25" x14ac:dyDescent="0.25">
      <c r="A95" s="86"/>
      <c r="B95" s="15"/>
      <c r="C95" s="20"/>
      <c r="D95" s="20"/>
    </row>
    <row r="96" spans="1:4" ht="20.25" x14ac:dyDescent="0.25">
      <c r="A96" s="86"/>
      <c r="B96" s="15"/>
      <c r="C96" s="20"/>
      <c r="D96" s="20"/>
    </row>
    <row r="97" spans="1:4" ht="20.25" x14ac:dyDescent="0.25">
      <c r="A97" s="86"/>
      <c r="B97" s="15"/>
      <c r="C97" s="20"/>
      <c r="D97" s="20"/>
    </row>
    <row r="98" spans="1:4" ht="20.25" x14ac:dyDescent="0.25">
      <c r="A98" s="86"/>
      <c r="B98" s="15"/>
      <c r="C98" s="20"/>
      <c r="D98" s="20"/>
    </row>
    <row r="99" spans="1:4" ht="20.25" x14ac:dyDescent="0.25">
      <c r="A99" s="86"/>
      <c r="B99" s="15"/>
      <c r="C99" s="20"/>
      <c r="D99" s="20"/>
    </row>
    <row r="100" spans="1:4" ht="20.25" x14ac:dyDescent="0.25">
      <c r="A100" s="86"/>
      <c r="B100" s="15"/>
      <c r="C100" s="20"/>
      <c r="D100" s="20"/>
    </row>
    <row r="101" spans="1:4" ht="20.25" x14ac:dyDescent="0.25">
      <c r="A101" s="86"/>
      <c r="B101" s="15"/>
      <c r="C101" s="20"/>
      <c r="D101" s="20"/>
    </row>
    <row r="102" spans="1:4" ht="20.25" x14ac:dyDescent="0.25">
      <c r="A102" s="86"/>
      <c r="B102" s="15"/>
      <c r="C102" s="20"/>
      <c r="D102" s="20"/>
    </row>
    <row r="103" spans="1:4" ht="20.25" x14ac:dyDescent="0.25">
      <c r="A103" s="86"/>
      <c r="B103" s="15"/>
      <c r="C103" s="20"/>
      <c r="D103" s="20"/>
    </row>
    <row r="104" spans="1:4" ht="20.25" x14ac:dyDescent="0.25">
      <c r="A104" s="86"/>
      <c r="B104" s="15"/>
      <c r="C104" s="20"/>
      <c r="D104" s="20"/>
    </row>
    <row r="105" spans="1:4" ht="20.25" x14ac:dyDescent="0.25">
      <c r="A105" s="86"/>
      <c r="B105" s="15"/>
      <c r="C105" s="20"/>
      <c r="D105" s="20"/>
    </row>
    <row r="106" spans="1:4" ht="20.25" x14ac:dyDescent="0.25">
      <c r="A106" s="86"/>
      <c r="B106" s="15"/>
      <c r="C106" s="20"/>
      <c r="D106" s="20"/>
    </row>
    <row r="107" spans="1:4" ht="20.25" x14ac:dyDescent="0.25">
      <c r="A107" s="86"/>
      <c r="B107" s="15"/>
      <c r="C107" s="20"/>
      <c r="D107" s="20"/>
    </row>
    <row r="108" spans="1:4" ht="20.25" x14ac:dyDescent="0.25">
      <c r="A108" s="86"/>
      <c r="B108" s="15"/>
      <c r="C108" s="20"/>
      <c r="D108" s="20"/>
    </row>
    <row r="109" spans="1:4" ht="20.25" x14ac:dyDescent="0.25">
      <c r="A109" s="86"/>
      <c r="B109" s="15"/>
      <c r="C109" s="20"/>
      <c r="D109" s="20"/>
    </row>
    <row r="110" spans="1:4" ht="20.25" x14ac:dyDescent="0.25">
      <c r="A110" s="86"/>
      <c r="B110" s="15"/>
      <c r="C110" s="20"/>
      <c r="D110" s="20"/>
    </row>
    <row r="111" spans="1:4" ht="20.25" x14ac:dyDescent="0.25">
      <c r="A111" s="86"/>
      <c r="B111" s="15"/>
      <c r="C111" s="20"/>
      <c r="D111" s="20"/>
    </row>
    <row r="112" spans="1:4" ht="20.25" x14ac:dyDescent="0.25">
      <c r="A112" s="86"/>
      <c r="B112" s="15"/>
      <c r="C112" s="20"/>
      <c r="D112" s="20"/>
    </row>
    <row r="113" spans="1:4" ht="20.25" x14ac:dyDescent="0.25">
      <c r="A113" s="86"/>
      <c r="B113" s="15"/>
      <c r="C113" s="20"/>
      <c r="D113" s="20"/>
    </row>
    <row r="114" spans="1:4" ht="20.25" x14ac:dyDescent="0.25">
      <c r="A114" s="86"/>
      <c r="B114" s="15"/>
      <c r="C114" s="20"/>
      <c r="D114" s="20"/>
    </row>
    <row r="115" spans="1:4" ht="20.25" x14ac:dyDescent="0.25">
      <c r="A115" s="86"/>
      <c r="B115" s="15"/>
      <c r="C115" s="20"/>
      <c r="D115" s="20"/>
    </row>
    <row r="116" spans="1:4" ht="20.25" x14ac:dyDescent="0.25">
      <c r="A116" s="86"/>
      <c r="B116" s="15"/>
      <c r="C116" s="20"/>
      <c r="D116" s="20"/>
    </row>
    <row r="117" spans="1:4" ht="20.25" x14ac:dyDescent="0.25">
      <c r="A117" s="86"/>
      <c r="B117" s="15"/>
      <c r="C117" s="20"/>
      <c r="D117" s="20"/>
    </row>
    <row r="118" spans="1:4" ht="20.25" x14ac:dyDescent="0.25">
      <c r="A118" s="86"/>
      <c r="B118" s="15"/>
      <c r="C118" s="20"/>
      <c r="D118" s="20"/>
    </row>
    <row r="119" spans="1:4" ht="20.25" x14ac:dyDescent="0.25">
      <c r="A119" s="86"/>
      <c r="B119" s="15"/>
      <c r="C119" s="20"/>
      <c r="D119" s="20"/>
    </row>
    <row r="120" spans="1:4" ht="20.25" x14ac:dyDescent="0.25">
      <c r="A120" s="86"/>
      <c r="B120" s="15"/>
      <c r="C120" s="20"/>
      <c r="D120" s="20"/>
    </row>
    <row r="121" spans="1:4" ht="20.25" x14ac:dyDescent="0.25">
      <c r="A121" s="86"/>
      <c r="B121" s="15"/>
      <c r="C121" s="20"/>
      <c r="D121" s="20"/>
    </row>
    <row r="122" spans="1:4" ht="20.25" x14ac:dyDescent="0.25">
      <c r="A122" s="86"/>
      <c r="B122" s="15"/>
      <c r="C122" s="20"/>
      <c r="D122" s="20"/>
    </row>
    <row r="123" spans="1:4" ht="20.25" x14ac:dyDescent="0.25">
      <c r="A123" s="86"/>
      <c r="B123" s="15"/>
      <c r="C123" s="20"/>
      <c r="D123" s="20"/>
    </row>
    <row r="124" spans="1:4" ht="20.25" x14ac:dyDescent="0.25">
      <c r="A124" s="86"/>
      <c r="B124" s="15"/>
      <c r="C124" s="20"/>
      <c r="D124" s="20"/>
    </row>
    <row r="125" spans="1:4" ht="20.25" x14ac:dyDescent="0.25">
      <c r="A125" s="86"/>
      <c r="B125" s="15"/>
      <c r="C125" s="20"/>
      <c r="D125" s="20"/>
    </row>
    <row r="126" spans="1:4" ht="20.25" x14ac:dyDescent="0.25">
      <c r="A126" s="86"/>
      <c r="B126" s="15"/>
      <c r="C126" s="20"/>
      <c r="D126" s="20"/>
    </row>
    <row r="127" spans="1:4" ht="20.25" x14ac:dyDescent="0.25">
      <c r="A127" s="86"/>
      <c r="B127" s="15"/>
      <c r="C127" s="20"/>
      <c r="D127" s="20"/>
    </row>
    <row r="128" spans="1:4" ht="20.25" x14ac:dyDescent="0.25">
      <c r="A128" s="86"/>
      <c r="B128" s="15"/>
      <c r="C128" s="20"/>
      <c r="D128" s="20"/>
    </row>
    <row r="129" spans="1:4" ht="20.25" x14ac:dyDescent="0.25">
      <c r="A129" s="86"/>
      <c r="B129" s="15"/>
      <c r="C129" s="20"/>
      <c r="D129" s="20"/>
    </row>
    <row r="130" spans="1:4" ht="20.25" x14ac:dyDescent="0.25">
      <c r="A130" s="86"/>
      <c r="B130" s="15"/>
      <c r="C130" s="20"/>
      <c r="D130" s="20"/>
    </row>
    <row r="131" spans="1:4" ht="20.25" x14ac:dyDescent="0.25">
      <c r="A131" s="86"/>
      <c r="B131" s="15"/>
      <c r="C131" s="20"/>
      <c r="D131" s="20"/>
    </row>
    <row r="132" spans="1:4" ht="20.25" x14ac:dyDescent="0.25">
      <c r="A132" s="86"/>
      <c r="B132" s="15"/>
      <c r="C132" s="20"/>
      <c r="D132" s="20"/>
    </row>
    <row r="133" spans="1:4" ht="20.25" x14ac:dyDescent="0.25">
      <c r="A133" s="86"/>
      <c r="B133" s="15"/>
      <c r="C133" s="20"/>
      <c r="D133" s="20"/>
    </row>
    <row r="134" spans="1:4" ht="20.25" x14ac:dyDescent="0.25">
      <c r="A134" s="86"/>
      <c r="B134" s="15"/>
      <c r="C134" s="20"/>
      <c r="D134" s="20"/>
    </row>
    <row r="135" spans="1:4" ht="20.25" x14ac:dyDescent="0.25">
      <c r="A135" s="86"/>
      <c r="B135" s="15"/>
      <c r="C135" s="20"/>
      <c r="D135" s="20"/>
    </row>
    <row r="136" spans="1:4" ht="20.25" x14ac:dyDescent="0.25">
      <c r="A136" s="86"/>
      <c r="B136" s="15"/>
      <c r="C136" s="20"/>
      <c r="D136" s="20"/>
    </row>
    <row r="137" spans="1:4" ht="20.25" x14ac:dyDescent="0.25">
      <c r="A137" s="86"/>
      <c r="B137" s="15"/>
      <c r="C137" s="20"/>
      <c r="D137" s="20"/>
    </row>
    <row r="138" spans="1:4" ht="20.25" x14ac:dyDescent="0.25">
      <c r="A138" s="86"/>
      <c r="B138" s="15"/>
      <c r="C138" s="20"/>
      <c r="D138" s="20"/>
    </row>
    <row r="139" spans="1:4" ht="20.25" x14ac:dyDescent="0.25">
      <c r="A139" s="86"/>
      <c r="B139" s="15"/>
      <c r="C139" s="20"/>
      <c r="D139" s="20"/>
    </row>
    <row r="140" spans="1:4" ht="20.25" x14ac:dyDescent="0.25">
      <c r="A140" s="86"/>
      <c r="B140" s="15"/>
      <c r="C140" s="20"/>
      <c r="D140" s="20"/>
    </row>
    <row r="141" spans="1:4" ht="20.25" x14ac:dyDescent="0.25">
      <c r="A141" s="86"/>
      <c r="B141" s="15"/>
      <c r="C141" s="20"/>
      <c r="D141" s="20"/>
    </row>
    <row r="142" spans="1:4" ht="20.25" x14ac:dyDescent="0.25">
      <c r="A142" s="86"/>
      <c r="B142" s="15"/>
      <c r="C142" s="20"/>
      <c r="D142" s="20"/>
    </row>
    <row r="143" spans="1:4" ht="20.25" x14ac:dyDescent="0.25">
      <c r="A143" s="86"/>
      <c r="B143" s="15"/>
      <c r="C143" s="20"/>
      <c r="D143" s="20"/>
    </row>
    <row r="144" spans="1:4" ht="20.25" x14ac:dyDescent="0.25">
      <c r="A144" s="86"/>
      <c r="B144" s="15"/>
      <c r="C144" s="20"/>
      <c r="D144" s="20"/>
    </row>
    <row r="145" spans="1:4" ht="20.25" x14ac:dyDescent="0.25">
      <c r="A145" s="86"/>
      <c r="B145" s="15"/>
      <c r="C145" s="20"/>
      <c r="D145" s="20"/>
    </row>
    <row r="146" spans="1:4" ht="20.25" x14ac:dyDescent="0.25">
      <c r="A146" s="86"/>
      <c r="B146" s="15"/>
      <c r="C146" s="20"/>
      <c r="D146" s="20"/>
    </row>
    <row r="147" spans="1:4" ht="20.25" x14ac:dyDescent="0.25">
      <c r="A147" s="86"/>
      <c r="B147" s="15"/>
      <c r="C147" s="20"/>
      <c r="D147" s="20"/>
    </row>
    <row r="148" spans="1:4" ht="20.25" x14ac:dyDescent="0.25">
      <c r="A148" s="86"/>
      <c r="B148" s="15"/>
      <c r="C148" s="20"/>
      <c r="D148" s="20"/>
    </row>
    <row r="149" spans="1:4" ht="20.25" x14ac:dyDescent="0.25">
      <c r="A149" s="86"/>
      <c r="B149" s="15"/>
      <c r="C149" s="20"/>
      <c r="D149" s="20"/>
    </row>
    <row r="150" spans="1:4" ht="20.25" x14ac:dyDescent="0.25">
      <c r="A150" s="86"/>
      <c r="B150" s="15"/>
      <c r="C150" s="20"/>
      <c r="D150" s="20"/>
    </row>
    <row r="151" spans="1:4" ht="20.25" x14ac:dyDescent="0.25">
      <c r="A151" s="86"/>
      <c r="B151" s="15"/>
      <c r="C151" s="20"/>
      <c r="D151" s="20"/>
    </row>
    <row r="152" spans="1:4" ht="20.25" x14ac:dyDescent="0.25">
      <c r="A152" s="86"/>
      <c r="B152" s="15"/>
      <c r="C152" s="20"/>
      <c r="D152" s="20"/>
    </row>
    <row r="153" spans="1:4" ht="20.25" x14ac:dyDescent="0.25">
      <c r="A153" s="86"/>
      <c r="B153" s="15"/>
      <c r="C153" s="20"/>
      <c r="D153" s="20"/>
    </row>
    <row r="154" spans="1:4" ht="20.25" x14ac:dyDescent="0.25">
      <c r="A154" s="86"/>
      <c r="B154" s="15"/>
      <c r="C154" s="20"/>
      <c r="D154" s="20"/>
    </row>
    <row r="155" spans="1:4" ht="20.25" x14ac:dyDescent="0.25">
      <c r="A155" s="86"/>
      <c r="B155" s="15"/>
      <c r="C155" s="20"/>
      <c r="D155" s="20"/>
    </row>
    <row r="156" spans="1:4" ht="20.25" x14ac:dyDescent="0.25">
      <c r="A156" s="86"/>
      <c r="B156" s="15"/>
      <c r="C156" s="20"/>
      <c r="D156" s="20"/>
    </row>
    <row r="157" spans="1:4" ht="20.25" x14ac:dyDescent="0.25">
      <c r="A157" s="86"/>
      <c r="B157" s="15"/>
      <c r="C157" s="20"/>
      <c r="D157" s="20"/>
    </row>
    <row r="158" spans="1:4" ht="20.25" x14ac:dyDescent="0.25">
      <c r="A158" s="86"/>
      <c r="B158" s="15"/>
      <c r="C158" s="20"/>
      <c r="D158" s="20"/>
    </row>
    <row r="159" spans="1:4" ht="20.25" x14ac:dyDescent="0.25">
      <c r="A159" s="86"/>
      <c r="B159" s="15"/>
      <c r="C159" s="20"/>
      <c r="D159" s="20"/>
    </row>
    <row r="160" spans="1:4" ht="20.25" x14ac:dyDescent="0.25">
      <c r="A160" s="86"/>
      <c r="B160" s="15"/>
      <c r="C160" s="20"/>
      <c r="D160" s="20"/>
    </row>
    <row r="161" spans="1:4" ht="20.25" x14ac:dyDescent="0.25">
      <c r="A161" s="86"/>
      <c r="B161" s="15"/>
      <c r="C161" s="20"/>
      <c r="D161" s="20"/>
    </row>
    <row r="162" spans="1:4" ht="20.25" x14ac:dyDescent="0.25">
      <c r="A162" s="86"/>
      <c r="B162" s="15"/>
      <c r="C162" s="20"/>
      <c r="D162" s="20"/>
    </row>
    <row r="163" spans="1:4" ht="20.25" x14ac:dyDescent="0.25">
      <c r="A163" s="86"/>
      <c r="B163" s="15"/>
      <c r="C163" s="20"/>
      <c r="D163" s="20"/>
    </row>
    <row r="164" spans="1:4" ht="20.25" x14ac:dyDescent="0.25">
      <c r="A164" s="86"/>
      <c r="B164" s="15"/>
      <c r="C164" s="20"/>
      <c r="D164" s="20"/>
    </row>
    <row r="165" spans="1:4" ht="20.25" x14ac:dyDescent="0.25">
      <c r="A165" s="86"/>
      <c r="B165" s="15"/>
      <c r="C165" s="20"/>
      <c r="D165" s="20"/>
    </row>
    <row r="166" spans="1:4" ht="20.25" x14ac:dyDescent="0.25">
      <c r="A166" s="86"/>
      <c r="B166" s="15"/>
      <c r="C166" s="20"/>
      <c r="D166" s="20"/>
    </row>
    <row r="167" spans="1:4" ht="20.25" x14ac:dyDescent="0.25">
      <c r="A167" s="86"/>
      <c r="B167" s="15"/>
      <c r="C167" s="20"/>
      <c r="D167" s="20"/>
    </row>
    <row r="168" spans="1:4" ht="20.25" x14ac:dyDescent="0.25">
      <c r="A168" s="86"/>
      <c r="B168" s="15"/>
      <c r="C168" s="20"/>
      <c r="D168" s="20"/>
    </row>
    <row r="169" spans="1:4" ht="20.25" x14ac:dyDescent="0.25">
      <c r="A169" s="86"/>
      <c r="B169" s="15"/>
      <c r="C169" s="20"/>
      <c r="D169" s="20"/>
    </row>
    <row r="170" spans="1:4" ht="20.25" x14ac:dyDescent="0.25">
      <c r="A170" s="86"/>
      <c r="B170" s="15"/>
      <c r="C170" s="20"/>
      <c r="D170" s="20"/>
    </row>
    <row r="171" spans="1:4" ht="20.25" x14ac:dyDescent="0.25">
      <c r="A171" s="86"/>
      <c r="B171" s="15"/>
      <c r="C171" s="20"/>
      <c r="D171" s="20"/>
    </row>
    <row r="172" spans="1:4" ht="20.25" x14ac:dyDescent="0.25">
      <c r="A172" s="86"/>
      <c r="B172" s="15"/>
      <c r="C172" s="20"/>
      <c r="D172" s="20"/>
    </row>
    <row r="173" spans="1:4" ht="20.25" x14ac:dyDescent="0.25">
      <c r="A173" s="86"/>
      <c r="B173" s="15"/>
      <c r="C173" s="20"/>
      <c r="D173" s="20"/>
    </row>
    <row r="174" spans="1:4" ht="20.25" x14ac:dyDescent="0.25">
      <c r="A174" s="86"/>
      <c r="B174" s="15"/>
      <c r="C174" s="20"/>
      <c r="D174" s="20"/>
    </row>
    <row r="175" spans="1:4" ht="20.25" x14ac:dyDescent="0.25">
      <c r="A175" s="86"/>
      <c r="B175" s="15"/>
      <c r="C175" s="20"/>
      <c r="D175" s="20"/>
    </row>
    <row r="176" spans="1:4" ht="20.25" x14ac:dyDescent="0.25">
      <c r="A176" s="86"/>
      <c r="B176" s="15"/>
      <c r="C176" s="20"/>
      <c r="D176" s="20"/>
    </row>
    <row r="177" spans="1:4" ht="20.25" x14ac:dyDescent="0.25">
      <c r="A177" s="86"/>
      <c r="B177" s="15"/>
      <c r="C177" s="20"/>
      <c r="D177" s="20"/>
    </row>
    <row r="178" spans="1:4" ht="20.25" x14ac:dyDescent="0.25">
      <c r="A178" s="86"/>
      <c r="B178" s="15"/>
      <c r="C178" s="20"/>
      <c r="D178" s="20"/>
    </row>
    <row r="179" spans="1:4" ht="20.25" x14ac:dyDescent="0.25">
      <c r="A179" s="86"/>
      <c r="B179" s="15"/>
      <c r="C179" s="20"/>
      <c r="D179" s="20"/>
    </row>
    <row r="180" spans="1:4" ht="20.25" x14ac:dyDescent="0.25">
      <c r="A180" s="86"/>
      <c r="B180" s="15"/>
      <c r="C180" s="20"/>
      <c r="D180" s="20"/>
    </row>
    <row r="181" spans="1:4" ht="20.25" x14ac:dyDescent="0.25">
      <c r="A181" s="86"/>
      <c r="B181" s="15"/>
      <c r="C181" s="20"/>
      <c r="D181" s="20"/>
    </row>
    <row r="182" spans="1:4" ht="20.25" x14ac:dyDescent="0.25">
      <c r="A182" s="86"/>
      <c r="B182" s="15"/>
      <c r="C182" s="20"/>
      <c r="D182" s="20"/>
    </row>
    <row r="183" spans="1:4" ht="20.25" x14ac:dyDescent="0.25">
      <c r="A183" s="86"/>
      <c r="B183" s="15"/>
      <c r="C183" s="20"/>
      <c r="D183" s="20"/>
    </row>
    <row r="184" spans="1:4" ht="20.25" x14ac:dyDescent="0.25">
      <c r="A184" s="86"/>
      <c r="B184" s="15"/>
      <c r="C184" s="20"/>
      <c r="D184" s="20"/>
    </row>
    <row r="185" spans="1:4" ht="20.25" x14ac:dyDescent="0.25">
      <c r="A185" s="86"/>
      <c r="B185" s="15"/>
      <c r="C185" s="20"/>
      <c r="D185" s="20"/>
    </row>
    <row r="186" spans="1:4" ht="20.25" x14ac:dyDescent="0.25">
      <c r="A186" s="86"/>
      <c r="B186" s="15"/>
      <c r="C186" s="20"/>
      <c r="D186" s="20"/>
    </row>
    <row r="187" spans="1:4" ht="20.25" x14ac:dyDescent="0.25">
      <c r="A187" s="86"/>
      <c r="B187" s="15"/>
      <c r="C187" s="20"/>
      <c r="D187" s="20"/>
    </row>
    <row r="188" spans="1:4" ht="20.25" x14ac:dyDescent="0.25">
      <c r="A188" s="86"/>
      <c r="B188" s="15"/>
      <c r="C188" s="20"/>
      <c r="D188" s="20"/>
    </row>
    <row r="189" spans="1:4" ht="20.25" x14ac:dyDescent="0.25">
      <c r="A189" s="86"/>
      <c r="B189" s="15"/>
      <c r="C189" s="20"/>
      <c r="D189" s="20"/>
    </row>
    <row r="190" spans="1:4" ht="20.25" x14ac:dyDescent="0.25">
      <c r="A190" s="86"/>
      <c r="B190" s="15"/>
      <c r="C190" s="20"/>
      <c r="D190" s="20"/>
    </row>
    <row r="191" spans="1:4" ht="20.25" x14ac:dyDescent="0.25">
      <c r="A191" s="86"/>
      <c r="B191" s="15"/>
      <c r="C191" s="20"/>
      <c r="D191" s="20"/>
    </row>
    <row r="192" spans="1:4" ht="20.25" x14ac:dyDescent="0.25">
      <c r="A192" s="86"/>
      <c r="B192" s="15"/>
      <c r="C192" s="20"/>
      <c r="D192" s="20"/>
    </row>
    <row r="193" spans="1:6" ht="20.25" x14ac:dyDescent="0.25">
      <c r="A193" s="86"/>
      <c r="B193" s="15"/>
      <c r="C193" s="20"/>
      <c r="D193" s="20"/>
    </row>
    <row r="194" spans="1:6" ht="20.25" x14ac:dyDescent="0.25">
      <c r="A194" s="86"/>
      <c r="B194" s="15"/>
      <c r="C194" s="20"/>
      <c r="D194" s="20"/>
    </row>
    <row r="195" spans="1:6" ht="20.25" x14ac:dyDescent="0.25">
      <c r="A195" s="86"/>
      <c r="B195" s="15"/>
      <c r="C195" s="20"/>
      <c r="D195" s="20"/>
    </row>
    <row r="196" spans="1:6" ht="20.25" x14ac:dyDescent="0.25">
      <c r="A196" s="86"/>
      <c r="B196" s="15"/>
      <c r="C196" s="20"/>
      <c r="D196" s="20"/>
    </row>
    <row r="197" spans="1:6" ht="20.25" x14ac:dyDescent="0.25">
      <c r="A197" s="86"/>
      <c r="B197" s="15"/>
      <c r="C197" s="20"/>
      <c r="D197" s="20"/>
    </row>
    <row r="198" spans="1:6" ht="20.25" x14ac:dyDescent="0.25">
      <c r="A198" s="86"/>
      <c r="B198" s="15"/>
      <c r="C198" s="20"/>
      <c r="D198" s="20"/>
    </row>
    <row r="199" spans="1:6" ht="20.25" x14ac:dyDescent="0.25">
      <c r="A199" s="86"/>
      <c r="B199" s="15"/>
      <c r="C199" s="20"/>
      <c r="D199" s="20"/>
    </row>
    <row r="200" spans="1:6" ht="20.25" x14ac:dyDescent="0.25">
      <c r="A200" s="86"/>
      <c r="B200" s="15"/>
      <c r="C200" s="20"/>
      <c r="D200" s="20"/>
    </row>
    <row r="201" spans="1:6" ht="20.25" x14ac:dyDescent="0.25">
      <c r="A201" s="86"/>
      <c r="B201" s="15"/>
      <c r="C201" s="20"/>
      <c r="D201" s="20"/>
    </row>
    <row r="202" spans="1:6" ht="20.25" x14ac:dyDescent="0.25">
      <c r="A202" s="86"/>
      <c r="B202" s="15"/>
      <c r="C202" s="20"/>
      <c r="D202" s="20"/>
    </row>
    <row r="203" spans="1:6" ht="20.25" x14ac:dyDescent="0.25">
      <c r="A203" s="86"/>
      <c r="B203" s="15"/>
      <c r="C203" s="20"/>
      <c r="D203" s="20"/>
    </row>
    <row r="204" spans="1:6" ht="20.25" x14ac:dyDescent="0.25">
      <c r="A204" s="86"/>
      <c r="B204" s="15"/>
      <c r="C204" s="20"/>
      <c r="D204" s="20"/>
    </row>
    <row r="205" spans="1:6" ht="20.25" x14ac:dyDescent="0.25">
      <c r="A205" s="86"/>
      <c r="B205" s="15"/>
      <c r="C205" s="20"/>
      <c r="D205" s="20"/>
    </row>
    <row r="206" spans="1:6" ht="20.25" x14ac:dyDescent="0.25">
      <c r="A206" s="86"/>
      <c r="B206" s="15"/>
      <c r="C206" s="20"/>
      <c r="D206" s="20"/>
    </row>
    <row r="207" spans="1:6" ht="20.25" x14ac:dyDescent="0.25">
      <c r="A207" s="86"/>
      <c r="B207" s="15"/>
      <c r="C207" s="20"/>
      <c r="D207" s="20"/>
    </row>
    <row r="208" spans="1:6" ht="20.25" x14ac:dyDescent="0.25">
      <c r="A208" s="86"/>
      <c r="B208" s="15"/>
      <c r="C208" s="20"/>
      <c r="D208" s="20"/>
      <c r="F208" s="114" t="s">
        <v>256</v>
      </c>
    </row>
    <row r="209" spans="1:8" x14ac:dyDescent="0.25">
      <c r="A209" s="66"/>
      <c r="B209" s="15"/>
      <c r="C209" s="15"/>
      <c r="D209" s="15"/>
      <c r="F209" s="114" t="s">
        <v>326</v>
      </c>
    </row>
    <row r="210" spans="1:8" ht="20.25" x14ac:dyDescent="0.25">
      <c r="A210" s="66"/>
      <c r="B210" s="16" t="s">
        <v>345</v>
      </c>
      <c r="C210" s="16" t="s">
        <v>346</v>
      </c>
      <c r="D210" s="19" t="s">
        <v>345</v>
      </c>
      <c r="E210" s="19" t="s">
        <v>346</v>
      </c>
      <c r="F210" s="114" t="s">
        <v>347</v>
      </c>
    </row>
    <row r="211" spans="1:8" ht="21" x14ac:dyDescent="0.35">
      <c r="A211" s="66"/>
      <c r="B211" s="17" t="s">
        <v>348</v>
      </c>
      <c r="C211" s="117" t="s">
        <v>349</v>
      </c>
      <c r="D211" s="116" t="s">
        <v>348</v>
      </c>
      <c r="F211" s="114" t="str">
        <f>IF(NOT(ISBLANK(D211)),D211,IF(NOT(ISBLANK(E211)),"     "&amp;E211,FALSE))</f>
        <v>Afectación Económica o presupuestal</v>
      </c>
      <c r="G211" t="s">
        <v>348</v>
      </c>
      <c r="H211" t="str">
        <f>IF(NOT(ISERROR(MATCH(G211,_xlfn.ANCHORARRAY(B222),0))),F224&amp;"Por favor no seleccionar los criterios de impacto",G211)</f>
        <v>❌Por favor no seleccionar los criterios de impacto</v>
      </c>
    </row>
    <row r="212" spans="1:8" ht="21" x14ac:dyDescent="0.35">
      <c r="A212" s="66"/>
      <c r="B212" s="17" t="s">
        <v>348</v>
      </c>
      <c r="C212" s="117" t="s">
        <v>321</v>
      </c>
      <c r="E212" t="s">
        <v>349</v>
      </c>
      <c r="F212" s="114" t="str">
        <f t="shared" ref="F212:F222" si="0">IF(NOT(ISBLANK(D212)),D212,IF(NOT(ISBLANK(E212)),"     "&amp;E212,FALSE))</f>
        <v xml:space="preserve">     Afectación menor a 130 SMLMV .</v>
      </c>
    </row>
    <row r="213" spans="1:8" ht="21" x14ac:dyDescent="0.35">
      <c r="A213" s="66"/>
      <c r="B213" s="17" t="s">
        <v>348</v>
      </c>
      <c r="C213" s="117" t="s">
        <v>324</v>
      </c>
      <c r="E213" t="s">
        <v>321</v>
      </c>
      <c r="F213" s="114" t="str">
        <f t="shared" si="0"/>
        <v xml:space="preserve">     Entre 130 y 650 SMLMV </v>
      </c>
    </row>
    <row r="214" spans="1:8" ht="21" x14ac:dyDescent="0.35">
      <c r="A214" s="66"/>
      <c r="B214" s="17" t="s">
        <v>348</v>
      </c>
      <c r="C214" s="117" t="s">
        <v>328</v>
      </c>
      <c r="E214" t="s">
        <v>324</v>
      </c>
      <c r="F214" s="114" t="str">
        <f t="shared" si="0"/>
        <v xml:space="preserve">     Entre 650 y 1300 SMLMV </v>
      </c>
    </row>
    <row r="215" spans="1:8" ht="21" x14ac:dyDescent="0.35">
      <c r="A215" s="66"/>
      <c r="B215" s="17" t="s">
        <v>348</v>
      </c>
      <c r="C215" s="117" t="s">
        <v>332</v>
      </c>
      <c r="E215" t="s">
        <v>328</v>
      </c>
      <c r="F215" s="114" t="str">
        <f t="shared" si="0"/>
        <v xml:space="preserve">     Entre 1300 y 6500 SMLMV </v>
      </c>
    </row>
    <row r="216" spans="1:8" ht="21" x14ac:dyDescent="0.35">
      <c r="A216" s="66"/>
      <c r="B216" s="17" t="s">
        <v>313</v>
      </c>
      <c r="C216" s="117" t="s">
        <v>318</v>
      </c>
      <c r="E216" t="s">
        <v>332</v>
      </c>
      <c r="F216" s="114" t="str">
        <f t="shared" si="0"/>
        <v xml:space="preserve">     Mayor a 6500 SMLMV </v>
      </c>
    </row>
    <row r="217" spans="1:8" ht="63" x14ac:dyDescent="0.35">
      <c r="A217" s="66"/>
      <c r="B217" s="17" t="s">
        <v>313</v>
      </c>
      <c r="C217" s="117" t="s">
        <v>322</v>
      </c>
      <c r="D217" s="116" t="s">
        <v>313</v>
      </c>
      <c r="F217" s="114" t="str">
        <f t="shared" si="0"/>
        <v>Pérdida Reputacional</v>
      </c>
    </row>
    <row r="218" spans="1:8" ht="42" x14ac:dyDescent="0.35">
      <c r="A218" s="66"/>
      <c r="B218" s="17" t="s">
        <v>313</v>
      </c>
      <c r="C218" s="117" t="s">
        <v>325</v>
      </c>
      <c r="D218" s="116"/>
      <c r="E218" s="118" t="s">
        <v>318</v>
      </c>
      <c r="F218" s="114" t="str">
        <f t="shared" si="0"/>
        <v xml:space="preserve">     El riesgo afecta la imagen de alguna área de la organización</v>
      </c>
    </row>
    <row r="219" spans="1:8" ht="63" x14ac:dyDescent="0.35">
      <c r="A219" s="66"/>
      <c r="B219" s="17" t="s">
        <v>313</v>
      </c>
      <c r="C219" s="117" t="s">
        <v>350</v>
      </c>
      <c r="D219" s="116"/>
      <c r="E219" s="118" t="s">
        <v>322</v>
      </c>
      <c r="F219" s="114" t="str">
        <f t="shared" si="0"/>
        <v xml:space="preserve">     El riesgo afecta la imagen de la entidad internamente, de conocimiento general, nivel interno, de junta dircetiva y accionistas y/o de provedores</v>
      </c>
    </row>
    <row r="220" spans="1:8" ht="45" x14ac:dyDescent="0.35">
      <c r="A220" s="66"/>
      <c r="B220" s="17" t="s">
        <v>313</v>
      </c>
      <c r="C220" s="117" t="s">
        <v>333</v>
      </c>
      <c r="D220" s="116"/>
      <c r="E220" s="118" t="s">
        <v>325</v>
      </c>
      <c r="F220" s="114" t="str">
        <f t="shared" si="0"/>
        <v xml:space="preserve">     El riesgo afecta la imagen de la entidad con algunos usuarios de relevancia frente al logro de los objetivos</v>
      </c>
    </row>
    <row r="221" spans="1:8" ht="45" x14ac:dyDescent="0.25">
      <c r="A221" s="66"/>
      <c r="B221" s="18"/>
      <c r="C221" s="18"/>
      <c r="D221" s="116"/>
      <c r="E221" s="118" t="s">
        <v>350</v>
      </c>
      <c r="F221" s="114" t="str">
        <f t="shared" si="0"/>
        <v xml:space="preserve">     El riesgo afecta la imagen de de la entidad con efecto publicitario sostenido a nivel de sector administrativo, nivel departamental o municipal</v>
      </c>
    </row>
    <row r="222" spans="1:8" ht="58.5" customHeight="1" x14ac:dyDescent="0.25">
      <c r="A222" s="66"/>
      <c r="B222" s="18" t="str" cm="1">
        <f t="array" ref="B222:B224">_xlfn.UNIQUE(Tabla1[[#All],[Criterios]])</f>
        <v>Criterios</v>
      </c>
      <c r="C222" s="18"/>
      <c r="D222" s="116"/>
      <c r="E222" s="118" t="s">
        <v>333</v>
      </c>
      <c r="F222" s="114" t="str">
        <f t="shared" si="0"/>
        <v xml:space="preserve">     El riesgo afecta la imagen de la entidad a nivel nacional, con efecto publicitarios sostenible a nivel país</v>
      </c>
    </row>
    <row r="223" spans="1:8" x14ac:dyDescent="0.25">
      <c r="A223" s="66"/>
      <c r="B223" s="18" t="str">
        <v>Afectación Económica o presupuestal</v>
      </c>
      <c r="C223" s="18"/>
    </row>
    <row r="224" spans="1:8" x14ac:dyDescent="0.25">
      <c r="B224" s="18" t="str">
        <v>Pérdida Reputacional</v>
      </c>
      <c r="C224" s="18"/>
      <c r="F224" s="115" t="s">
        <v>351</v>
      </c>
    </row>
    <row r="225" spans="2:6" x14ac:dyDescent="0.25">
      <c r="B225" s="14"/>
      <c r="C225" s="14"/>
      <c r="F225" s="115" t="s">
        <v>352</v>
      </c>
    </row>
    <row r="226" spans="2:6" x14ac:dyDescent="0.25">
      <c r="B226" s="14"/>
      <c r="C226" s="14"/>
    </row>
    <row r="227" spans="2:6" x14ac:dyDescent="0.25">
      <c r="B227" s="14"/>
      <c r="C227" s="14"/>
    </row>
    <row r="228" spans="2:6" x14ac:dyDescent="0.25">
      <c r="B228" s="14"/>
      <c r="C228" s="14"/>
      <c r="D228" s="14"/>
    </row>
    <row r="229" spans="2:6" x14ac:dyDescent="0.25">
      <c r="B229" s="14"/>
      <c r="C229" s="14"/>
      <c r="D229" s="14"/>
    </row>
    <row r="230" spans="2:6" x14ac:dyDescent="0.25">
      <c r="B230" s="14"/>
      <c r="C230" s="14"/>
      <c r="D230" s="14"/>
    </row>
    <row r="231" spans="2:6" x14ac:dyDescent="0.25">
      <c r="B231" s="14"/>
      <c r="C231" s="14"/>
      <c r="D231" s="14"/>
    </row>
    <row r="232" spans="2:6" x14ac:dyDescent="0.25">
      <c r="B232" s="14"/>
      <c r="C232" s="14"/>
      <c r="D232" s="14"/>
    </row>
    <row r="233" spans="2:6" x14ac:dyDescent="0.25">
      <c r="B233" s="14"/>
      <c r="C233" s="14"/>
      <c r="D233" s="14"/>
    </row>
  </sheetData>
  <mergeCells count="1">
    <mergeCell ref="B2:E2"/>
  </mergeCells>
  <dataValidations disablePrompts="1" count="1">
    <dataValidation type="list" allowBlank="1" showInputMessage="1" showErrorMessage="1" sqref="G211" xr:uid="{00000000-0002-0000-0700-000000000000}">
      <formula1>$F$211:$F$222</formula1>
    </dataValidation>
  </dataValidations>
  <pageMargins left="0.7" right="0.7" top="0.75" bottom="0.75" header="0.3" footer="0.3"/>
  <pageSetup orientation="portrait"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X18"/>
  <sheetViews>
    <sheetView zoomScale="140" zoomScaleNormal="140" workbookViewId="0">
      <pane xSplit="4" ySplit="2" topLeftCell="E3" activePane="bottomRight" state="frozen"/>
      <selection pane="topRight" activeCell="E1" sqref="E1"/>
      <selection pane="bottomLeft" activeCell="A3" sqref="A3"/>
      <selection pane="bottomRight" activeCell="C3" sqref="C3:D3"/>
    </sheetView>
  </sheetViews>
  <sheetFormatPr baseColWidth="10" defaultColWidth="11.42578125" defaultRowHeight="15" x14ac:dyDescent="0.25"/>
  <cols>
    <col min="2" max="2" width="18" customWidth="1"/>
    <col min="3" max="3" width="26.5703125" customWidth="1"/>
    <col min="4" max="4" width="41.85546875" customWidth="1"/>
    <col min="50" max="50" width="15.42578125" customWidth="1"/>
  </cols>
  <sheetData>
    <row r="2" spans="2:50" ht="15.75" thickBot="1" x14ac:dyDescent="0.3"/>
    <row r="3" spans="2:50" ht="33.75" customHeight="1" thickBot="1" x14ac:dyDescent="0.3">
      <c r="B3" s="547" t="s">
        <v>353</v>
      </c>
      <c r="C3" s="151" t="s">
        <v>354</v>
      </c>
      <c r="D3" s="149" t="s">
        <v>355</v>
      </c>
      <c r="AX3" t="s">
        <v>353</v>
      </c>
    </row>
    <row r="4" spans="2:50" ht="48.75" thickBot="1" x14ac:dyDescent="0.3">
      <c r="B4" s="548"/>
      <c r="C4" s="152" t="s">
        <v>356</v>
      </c>
      <c r="D4" s="150" t="s">
        <v>357</v>
      </c>
      <c r="AX4" t="s">
        <v>132</v>
      </c>
    </row>
    <row r="5" spans="2:50" ht="48.75" thickBot="1" x14ac:dyDescent="0.3">
      <c r="B5" s="548"/>
      <c r="C5" s="152" t="s">
        <v>358</v>
      </c>
      <c r="D5" s="150" t="s">
        <v>359</v>
      </c>
      <c r="AX5" t="s">
        <v>360</v>
      </c>
    </row>
    <row r="6" spans="2:50" ht="36.75" thickBot="1" x14ac:dyDescent="0.3">
      <c r="B6" s="549"/>
      <c r="C6" s="152" t="s">
        <v>361</v>
      </c>
      <c r="D6" s="150" t="s">
        <v>362</v>
      </c>
    </row>
    <row r="7" spans="2:50" ht="36.75" thickBot="1" x14ac:dyDescent="0.3">
      <c r="B7" s="547" t="s">
        <v>132</v>
      </c>
      <c r="C7" s="152" t="s">
        <v>363</v>
      </c>
      <c r="D7" s="150" t="s">
        <v>364</v>
      </c>
    </row>
    <row r="8" spans="2:50" ht="108.75" thickBot="1" x14ac:dyDescent="0.3">
      <c r="B8" s="548"/>
      <c r="C8" s="152" t="s">
        <v>365</v>
      </c>
      <c r="D8" s="150" t="s">
        <v>366</v>
      </c>
    </row>
    <row r="9" spans="2:50" ht="48.75" thickBot="1" x14ac:dyDescent="0.3">
      <c r="B9" s="549"/>
      <c r="C9" s="152" t="s">
        <v>136</v>
      </c>
      <c r="D9" s="150" t="s">
        <v>367</v>
      </c>
    </row>
    <row r="10" spans="2:50" x14ac:dyDescent="0.25">
      <c r="B10" s="547" t="s">
        <v>360</v>
      </c>
      <c r="C10" s="153"/>
      <c r="D10" s="550" t="s">
        <v>368</v>
      </c>
    </row>
    <row r="11" spans="2:50" x14ac:dyDescent="0.25">
      <c r="B11" s="548"/>
      <c r="C11" s="153" t="s">
        <v>139</v>
      </c>
      <c r="D11" s="551"/>
    </row>
    <row r="12" spans="2:50" ht="15.75" thickBot="1" x14ac:dyDescent="0.3">
      <c r="B12" s="548"/>
      <c r="C12" s="152"/>
      <c r="D12" s="552"/>
    </row>
    <row r="13" spans="2:50" ht="22.5" customHeight="1" x14ac:dyDescent="0.25">
      <c r="B13" s="548"/>
      <c r="C13" s="153"/>
      <c r="D13" s="550" t="s">
        <v>369</v>
      </c>
    </row>
    <row r="14" spans="2:50" ht="22.5" customHeight="1" x14ac:dyDescent="0.25">
      <c r="B14" s="548"/>
      <c r="C14" s="153" t="s">
        <v>138</v>
      </c>
      <c r="D14" s="551"/>
    </row>
    <row r="15" spans="2:50" ht="22.5" customHeight="1" thickBot="1" x14ac:dyDescent="0.3">
      <c r="B15" s="548"/>
      <c r="C15" s="152"/>
      <c r="D15" s="552"/>
    </row>
    <row r="16" spans="2:50" ht="25.5" customHeight="1" x14ac:dyDescent="0.25">
      <c r="B16" s="548"/>
      <c r="C16" s="153"/>
      <c r="D16" s="550" t="s">
        <v>370</v>
      </c>
    </row>
    <row r="17" spans="2:4" ht="25.5" customHeight="1" x14ac:dyDescent="0.25">
      <c r="B17" s="548"/>
      <c r="C17" s="153" t="s">
        <v>140</v>
      </c>
      <c r="D17" s="551"/>
    </row>
    <row r="18" spans="2:4" ht="25.5" customHeight="1" thickBot="1" x14ac:dyDescent="0.3">
      <c r="B18" s="549"/>
      <c r="C18" s="152"/>
      <c r="D18" s="552"/>
    </row>
  </sheetData>
  <mergeCells count="6">
    <mergeCell ref="B3:B6"/>
    <mergeCell ref="B7:B9"/>
    <mergeCell ref="B10:B18"/>
    <mergeCell ref="D10:D12"/>
    <mergeCell ref="D13:D15"/>
    <mergeCell ref="D16:D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1:F48"/>
  <sheetViews>
    <sheetView topLeftCell="A3" zoomScale="110" zoomScaleNormal="110" workbookViewId="0">
      <selection activeCell="C14" sqref="C14"/>
    </sheetView>
  </sheetViews>
  <sheetFormatPr baseColWidth="10" defaultColWidth="11.42578125" defaultRowHeight="15" x14ac:dyDescent="0.25"/>
  <cols>
    <col min="1" max="1" width="3.7109375" customWidth="1"/>
    <col min="2" max="2" width="8.28515625" customWidth="1"/>
    <col min="3" max="3" width="27" customWidth="1"/>
    <col min="5" max="5" width="15" customWidth="1"/>
    <col min="6" max="6" width="33.42578125" customWidth="1"/>
  </cols>
  <sheetData>
    <row r="1" spans="3:6" ht="15.75" thickBot="1" x14ac:dyDescent="0.3">
      <c r="C1" s="164" t="s">
        <v>371</v>
      </c>
    </row>
    <row r="2" spans="3:6" ht="15.75" thickBot="1" x14ac:dyDescent="0.3">
      <c r="C2" s="162" t="s">
        <v>372</v>
      </c>
      <c r="E2" s="165" t="s">
        <v>145</v>
      </c>
      <c r="F2" s="166" t="s">
        <v>146</v>
      </c>
    </row>
    <row r="3" spans="3:6" ht="15.75" thickBot="1" x14ac:dyDescent="0.3">
      <c r="C3" s="162" t="s">
        <v>373</v>
      </c>
      <c r="E3" s="315" t="s">
        <v>144</v>
      </c>
      <c r="F3" s="158" t="s">
        <v>148</v>
      </c>
    </row>
    <row r="4" spans="3:6" ht="15.75" thickBot="1" x14ac:dyDescent="0.3">
      <c r="C4" s="162" t="s">
        <v>374</v>
      </c>
      <c r="E4" s="313"/>
      <c r="F4" s="158" t="s">
        <v>150</v>
      </c>
    </row>
    <row r="5" spans="3:6" ht="15.75" thickBot="1" x14ac:dyDescent="0.3">
      <c r="C5" s="162" t="s">
        <v>375</v>
      </c>
      <c r="E5" s="313"/>
      <c r="F5" s="158" t="s">
        <v>152</v>
      </c>
    </row>
    <row r="6" spans="3:6" ht="15.75" thickBot="1" x14ac:dyDescent="0.3">
      <c r="C6" s="162" t="s">
        <v>376</v>
      </c>
      <c r="E6" s="313"/>
      <c r="F6" s="158" t="s">
        <v>154</v>
      </c>
    </row>
    <row r="7" spans="3:6" ht="15.75" thickBot="1" x14ac:dyDescent="0.3">
      <c r="C7" s="163" t="s">
        <v>377</v>
      </c>
      <c r="E7" s="313"/>
      <c r="F7" s="158" t="s">
        <v>155</v>
      </c>
    </row>
    <row r="8" spans="3:6" ht="15.75" thickBot="1" x14ac:dyDescent="0.3">
      <c r="C8" s="162" t="s">
        <v>378</v>
      </c>
      <c r="E8" s="314"/>
      <c r="F8" s="158" t="s">
        <v>156</v>
      </c>
    </row>
    <row r="9" spans="3:6" ht="15.75" thickBot="1" x14ac:dyDescent="0.3">
      <c r="C9" s="162" t="s">
        <v>379</v>
      </c>
      <c r="E9" s="312" t="s">
        <v>153</v>
      </c>
      <c r="F9" s="158" t="s">
        <v>157</v>
      </c>
    </row>
    <row r="10" spans="3:6" ht="15.75" thickBot="1" x14ac:dyDescent="0.3">
      <c r="C10" s="161" t="s">
        <v>380</v>
      </c>
      <c r="E10" s="313"/>
      <c r="F10" s="158" t="s">
        <v>158</v>
      </c>
    </row>
    <row r="11" spans="3:6" ht="15.75" thickBot="1" x14ac:dyDescent="0.3">
      <c r="C11" s="237" t="s">
        <v>381</v>
      </c>
      <c r="E11" s="313"/>
      <c r="F11" s="158" t="s">
        <v>159</v>
      </c>
    </row>
    <row r="12" spans="3:6" ht="15.75" thickBot="1" x14ac:dyDescent="0.3">
      <c r="E12" s="313"/>
      <c r="F12" s="158" t="s">
        <v>160</v>
      </c>
    </row>
    <row r="13" spans="3:6" ht="15.75" thickBot="1" x14ac:dyDescent="0.3">
      <c r="E13" s="314"/>
      <c r="F13" s="158" t="s">
        <v>161</v>
      </c>
    </row>
    <row r="14" spans="3:6" ht="24.75" thickBot="1" x14ac:dyDescent="0.3">
      <c r="E14" s="312" t="s">
        <v>149</v>
      </c>
      <c r="F14" s="158" t="s">
        <v>162</v>
      </c>
    </row>
    <row r="15" spans="3:6" ht="15.75" thickBot="1" x14ac:dyDescent="0.3">
      <c r="E15" s="313"/>
      <c r="F15" s="158" t="s">
        <v>163</v>
      </c>
    </row>
    <row r="16" spans="3:6" ht="15.75" thickBot="1" x14ac:dyDescent="0.3">
      <c r="E16" s="314"/>
      <c r="F16" s="158" t="s">
        <v>164</v>
      </c>
    </row>
    <row r="17" spans="5:6" ht="15.75" thickBot="1" x14ac:dyDescent="0.3">
      <c r="E17" s="312" t="s">
        <v>151</v>
      </c>
      <c r="F17" s="158" t="s">
        <v>165</v>
      </c>
    </row>
    <row r="18" spans="5:6" ht="15.75" thickBot="1" x14ac:dyDescent="0.3">
      <c r="E18" s="313"/>
      <c r="F18" s="158" t="s">
        <v>166</v>
      </c>
    </row>
    <row r="19" spans="5:6" ht="15.75" thickBot="1" x14ac:dyDescent="0.3">
      <c r="E19" s="314"/>
      <c r="F19" s="158" t="s">
        <v>167</v>
      </c>
    </row>
    <row r="20" spans="5:6" ht="24.75" thickBot="1" x14ac:dyDescent="0.3">
      <c r="E20" s="312" t="s">
        <v>142</v>
      </c>
      <c r="F20" s="158" t="s">
        <v>168</v>
      </c>
    </row>
    <row r="21" spans="5:6" ht="15.75" thickBot="1" x14ac:dyDescent="0.3">
      <c r="E21" s="313"/>
      <c r="F21" s="158" t="s">
        <v>169</v>
      </c>
    </row>
    <row r="22" spans="5:6" ht="15.75" thickBot="1" x14ac:dyDescent="0.3">
      <c r="E22" s="313"/>
      <c r="F22" s="158" t="s">
        <v>170</v>
      </c>
    </row>
    <row r="23" spans="5:6" ht="15.75" thickBot="1" x14ac:dyDescent="0.3">
      <c r="E23" s="313"/>
      <c r="F23" s="158" t="s">
        <v>171</v>
      </c>
    </row>
    <row r="24" spans="5:6" ht="15.75" thickBot="1" x14ac:dyDescent="0.3">
      <c r="E24" s="313"/>
      <c r="F24" s="158" t="s">
        <v>172</v>
      </c>
    </row>
    <row r="25" spans="5:6" ht="24.75" thickBot="1" x14ac:dyDescent="0.3">
      <c r="E25" s="313"/>
      <c r="F25" s="158" t="s">
        <v>173</v>
      </c>
    </row>
    <row r="26" spans="5:6" ht="15.75" thickBot="1" x14ac:dyDescent="0.3">
      <c r="E26" s="313"/>
      <c r="F26" s="158" t="s">
        <v>174</v>
      </c>
    </row>
    <row r="27" spans="5:6" ht="24.75" thickBot="1" x14ac:dyDescent="0.3">
      <c r="E27" s="313"/>
      <c r="F27" s="158" t="s">
        <v>175</v>
      </c>
    </row>
    <row r="28" spans="5:6" ht="15.75" thickBot="1" x14ac:dyDescent="0.3">
      <c r="E28" s="313"/>
      <c r="F28" s="158" t="s">
        <v>176</v>
      </c>
    </row>
    <row r="29" spans="5:6" ht="15.75" thickBot="1" x14ac:dyDescent="0.3">
      <c r="E29" s="313"/>
      <c r="F29" s="158" t="s">
        <v>177</v>
      </c>
    </row>
    <row r="30" spans="5:6" ht="15.75" thickBot="1" x14ac:dyDescent="0.3">
      <c r="E30" s="314"/>
      <c r="F30" s="158" t="s">
        <v>178</v>
      </c>
    </row>
    <row r="31" spans="5:6" ht="15.75" thickBot="1" x14ac:dyDescent="0.3">
      <c r="E31" s="312" t="s">
        <v>147</v>
      </c>
      <c r="F31" s="158" t="s">
        <v>179</v>
      </c>
    </row>
    <row r="32" spans="5:6" ht="15.75" thickBot="1" x14ac:dyDescent="0.3">
      <c r="E32" s="313"/>
      <c r="F32" s="158" t="s">
        <v>180</v>
      </c>
    </row>
    <row r="33" spans="5:6" ht="15.75" thickBot="1" x14ac:dyDescent="0.3">
      <c r="E33" s="313"/>
      <c r="F33" s="158" t="s">
        <v>181</v>
      </c>
    </row>
    <row r="34" spans="5:6" ht="15.75" thickBot="1" x14ac:dyDescent="0.3">
      <c r="E34" s="313"/>
      <c r="F34" s="158" t="s">
        <v>182</v>
      </c>
    </row>
    <row r="35" spans="5:6" ht="24.75" thickBot="1" x14ac:dyDescent="0.3">
      <c r="E35" s="314"/>
      <c r="F35" s="158" t="s">
        <v>183</v>
      </c>
    </row>
    <row r="36" spans="5:6" ht="15.75" thickBot="1" x14ac:dyDescent="0.3">
      <c r="E36" s="312" t="s">
        <v>141</v>
      </c>
      <c r="F36" s="158" t="s">
        <v>184</v>
      </c>
    </row>
    <row r="37" spans="5:6" ht="15.75" thickBot="1" x14ac:dyDescent="0.3">
      <c r="E37" s="313"/>
      <c r="F37" s="158" t="s">
        <v>185</v>
      </c>
    </row>
    <row r="38" spans="5:6" ht="15.75" thickBot="1" x14ac:dyDescent="0.3">
      <c r="E38" s="313"/>
      <c r="F38" s="158" t="s">
        <v>186</v>
      </c>
    </row>
    <row r="39" spans="5:6" ht="15.75" thickBot="1" x14ac:dyDescent="0.3">
      <c r="E39" s="313"/>
      <c r="F39" s="158" t="s">
        <v>187</v>
      </c>
    </row>
    <row r="40" spans="5:6" ht="15.75" thickBot="1" x14ac:dyDescent="0.3">
      <c r="E40" s="314"/>
      <c r="F40" s="158" t="s">
        <v>188</v>
      </c>
    </row>
    <row r="41" spans="5:6" ht="15.75" thickBot="1" x14ac:dyDescent="0.3">
      <c r="E41" s="312" t="s">
        <v>143</v>
      </c>
      <c r="F41" s="158" t="s">
        <v>189</v>
      </c>
    </row>
    <row r="42" spans="5:6" ht="15.75" thickBot="1" x14ac:dyDescent="0.3">
      <c r="E42" s="313"/>
      <c r="F42" s="158" t="s">
        <v>190</v>
      </c>
    </row>
    <row r="43" spans="5:6" ht="15.75" thickBot="1" x14ac:dyDescent="0.3">
      <c r="E43" s="313"/>
      <c r="F43" s="158" t="s">
        <v>191</v>
      </c>
    </row>
    <row r="44" spans="5:6" ht="15.75" thickBot="1" x14ac:dyDescent="0.3">
      <c r="E44" s="313"/>
      <c r="F44" s="158" t="s">
        <v>192</v>
      </c>
    </row>
    <row r="45" spans="5:6" ht="24.75" thickBot="1" x14ac:dyDescent="0.3">
      <c r="E45" s="314"/>
      <c r="F45" s="158" t="s">
        <v>193</v>
      </c>
    </row>
    <row r="48" spans="5:6" ht="15" customHeight="1" x14ac:dyDescent="0.25"/>
  </sheetData>
  <mergeCells count="8">
    <mergeCell ref="E36:E40"/>
    <mergeCell ref="E41:E45"/>
    <mergeCell ref="E3:E8"/>
    <mergeCell ref="E9:E13"/>
    <mergeCell ref="E14:E16"/>
    <mergeCell ref="E17:E19"/>
    <mergeCell ref="E20:E30"/>
    <mergeCell ref="E31:E3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topLeftCell="AW97" zoomScale="24" workbookViewId="0">
      <selection activeCell="AA44" sqref="AA44"/>
    </sheetView>
  </sheetViews>
  <sheetFormatPr baseColWidth="10" defaultColWidth="11.42578125" defaultRowHeight="15" x14ac:dyDescent="0.25"/>
  <cols>
    <col min="27" max="27" width="36" customWidth="1"/>
  </cols>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249977111117893"/>
  </sheetPr>
  <dimension ref="B1:F16"/>
  <sheetViews>
    <sheetView workbookViewId="0">
      <selection activeCell="B1" sqref="B1:F1"/>
    </sheetView>
  </sheetViews>
  <sheetFormatPr baseColWidth="10" defaultColWidth="14.28515625" defaultRowHeight="12.75" x14ac:dyDescent="0.2"/>
  <cols>
    <col min="1" max="2" width="14.28515625" style="71"/>
    <col min="3" max="3" width="17" style="71" customWidth="1"/>
    <col min="4" max="4" width="14.28515625" style="71"/>
    <col min="5" max="5" width="46" style="71" customWidth="1"/>
    <col min="6" max="16384" width="14.28515625" style="71"/>
  </cols>
  <sheetData>
    <row r="1" spans="2:6" ht="24" customHeight="1" thickBot="1" x14ac:dyDescent="0.25">
      <c r="B1" s="553" t="s">
        <v>382</v>
      </c>
      <c r="C1" s="554"/>
      <c r="D1" s="554"/>
      <c r="E1" s="554"/>
      <c r="F1" s="555"/>
    </row>
    <row r="2" spans="2:6" ht="16.5" thickBot="1" x14ac:dyDescent="0.3">
      <c r="B2" s="72"/>
      <c r="C2" s="72"/>
      <c r="D2" s="72"/>
      <c r="E2" s="72"/>
      <c r="F2" s="72"/>
    </row>
    <row r="3" spans="2:6" ht="16.5" thickBot="1" x14ac:dyDescent="0.25">
      <c r="B3" s="557" t="s">
        <v>383</v>
      </c>
      <c r="C3" s="558"/>
      <c r="D3" s="558"/>
      <c r="E3" s="84" t="s">
        <v>384</v>
      </c>
      <c r="F3" s="85" t="s">
        <v>385</v>
      </c>
    </row>
    <row r="4" spans="2:6" ht="31.5" x14ac:dyDescent="0.2">
      <c r="B4" s="559" t="s">
        <v>386</v>
      </c>
      <c r="C4" s="561" t="s">
        <v>233</v>
      </c>
      <c r="D4" s="73" t="s">
        <v>240</v>
      </c>
      <c r="E4" s="74" t="s">
        <v>387</v>
      </c>
      <c r="F4" s="75">
        <v>0.25</v>
      </c>
    </row>
    <row r="5" spans="2:6" ht="47.25" x14ac:dyDescent="0.2">
      <c r="B5" s="560"/>
      <c r="C5" s="562"/>
      <c r="D5" s="76" t="s">
        <v>245</v>
      </c>
      <c r="E5" s="77" t="s">
        <v>388</v>
      </c>
      <c r="F5" s="78">
        <v>0.15</v>
      </c>
    </row>
    <row r="6" spans="2:6" ht="47.25" x14ac:dyDescent="0.2">
      <c r="B6" s="560"/>
      <c r="C6" s="562"/>
      <c r="D6" s="76" t="s">
        <v>267</v>
      </c>
      <c r="E6" s="77" t="s">
        <v>389</v>
      </c>
      <c r="F6" s="78">
        <v>0.1</v>
      </c>
    </row>
    <row r="7" spans="2:6" ht="63" x14ac:dyDescent="0.2">
      <c r="B7" s="560"/>
      <c r="C7" s="562" t="s">
        <v>234</v>
      </c>
      <c r="D7" s="76" t="s">
        <v>390</v>
      </c>
      <c r="E7" s="77" t="s">
        <v>391</v>
      </c>
      <c r="F7" s="78">
        <v>0.25</v>
      </c>
    </row>
    <row r="8" spans="2:6" ht="31.5" x14ac:dyDescent="0.2">
      <c r="B8" s="560"/>
      <c r="C8" s="562"/>
      <c r="D8" s="76" t="s">
        <v>241</v>
      </c>
      <c r="E8" s="77" t="s">
        <v>392</v>
      </c>
      <c r="F8" s="78">
        <v>0.15</v>
      </c>
    </row>
    <row r="9" spans="2:6" ht="47.25" x14ac:dyDescent="0.2">
      <c r="B9" s="560" t="s">
        <v>393</v>
      </c>
      <c r="C9" s="562" t="s">
        <v>236</v>
      </c>
      <c r="D9" s="76" t="s">
        <v>242</v>
      </c>
      <c r="E9" s="77" t="s">
        <v>394</v>
      </c>
      <c r="F9" s="79" t="s">
        <v>395</v>
      </c>
    </row>
    <row r="10" spans="2:6" ht="63" x14ac:dyDescent="0.2">
      <c r="B10" s="560"/>
      <c r="C10" s="562"/>
      <c r="D10" s="76" t="s">
        <v>246</v>
      </c>
      <c r="E10" s="77" t="s">
        <v>396</v>
      </c>
      <c r="F10" s="79" t="s">
        <v>395</v>
      </c>
    </row>
    <row r="11" spans="2:6" ht="47.25" x14ac:dyDescent="0.2">
      <c r="B11" s="560"/>
      <c r="C11" s="562" t="s">
        <v>237</v>
      </c>
      <c r="D11" s="76" t="s">
        <v>243</v>
      </c>
      <c r="E11" s="77" t="s">
        <v>397</v>
      </c>
      <c r="F11" s="79" t="s">
        <v>395</v>
      </c>
    </row>
    <row r="12" spans="2:6" ht="47.25" x14ac:dyDescent="0.2">
      <c r="B12" s="560"/>
      <c r="C12" s="562"/>
      <c r="D12" s="76" t="s">
        <v>398</v>
      </c>
      <c r="E12" s="77" t="s">
        <v>399</v>
      </c>
      <c r="F12" s="79" t="s">
        <v>395</v>
      </c>
    </row>
    <row r="13" spans="2:6" ht="31.5" x14ac:dyDescent="0.2">
      <c r="B13" s="560"/>
      <c r="C13" s="562" t="s">
        <v>238</v>
      </c>
      <c r="D13" s="76" t="s">
        <v>244</v>
      </c>
      <c r="E13" s="77" t="s">
        <v>400</v>
      </c>
      <c r="F13" s="79" t="s">
        <v>395</v>
      </c>
    </row>
    <row r="14" spans="2:6" ht="32.25" thickBot="1" x14ac:dyDescent="0.25">
      <c r="B14" s="563"/>
      <c r="C14" s="564"/>
      <c r="D14" s="80" t="s">
        <v>401</v>
      </c>
      <c r="E14" s="81" t="s">
        <v>402</v>
      </c>
      <c r="F14" s="82" t="s">
        <v>395</v>
      </c>
    </row>
    <row r="15" spans="2:6" ht="49.5" customHeight="1" x14ac:dyDescent="0.2">
      <c r="B15" s="556" t="s">
        <v>403</v>
      </c>
      <c r="C15" s="556"/>
      <c r="D15" s="556"/>
      <c r="E15" s="556"/>
      <c r="F15" s="556"/>
    </row>
    <row r="16" spans="2:6" ht="27" customHeight="1" x14ac:dyDescent="0.25">
      <c r="B16" s="8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240</v>
      </c>
    </row>
    <row r="4" spans="1:1" x14ac:dyDescent="0.2">
      <c r="A4" s="2" t="s">
        <v>245</v>
      </c>
    </row>
    <row r="5" spans="1:1" x14ac:dyDescent="0.2">
      <c r="A5" s="2" t="s">
        <v>267</v>
      </c>
    </row>
    <row r="6" spans="1:1" x14ac:dyDescent="0.2">
      <c r="A6" s="2" t="s">
        <v>390</v>
      </c>
    </row>
    <row r="7" spans="1:1" x14ac:dyDescent="0.2">
      <c r="A7" s="2" t="s">
        <v>241</v>
      </c>
    </row>
    <row r="8" spans="1:1" x14ac:dyDescent="0.2">
      <c r="A8" s="2" t="s">
        <v>242</v>
      </c>
    </row>
    <row r="9" spans="1:1" x14ac:dyDescent="0.2">
      <c r="A9" s="2" t="s">
        <v>246</v>
      </c>
    </row>
    <row r="10" spans="1:1" x14ac:dyDescent="0.2">
      <c r="A10" s="2" t="s">
        <v>243</v>
      </c>
    </row>
    <row r="11" spans="1:1" x14ac:dyDescent="0.2">
      <c r="A11" s="2" t="s">
        <v>398</v>
      </c>
    </row>
    <row r="12" spans="1:1" x14ac:dyDescent="0.2">
      <c r="A12" s="2" t="s">
        <v>404</v>
      </c>
    </row>
    <row r="13" spans="1:1" x14ac:dyDescent="0.2">
      <c r="A13" s="2" t="s">
        <v>405</v>
      </c>
    </row>
    <row r="14" spans="1:1" x14ac:dyDescent="0.2">
      <c r="A14" s="2" t="s">
        <v>406</v>
      </c>
    </row>
    <row r="16" spans="1:1" x14ac:dyDescent="0.2">
      <c r="A16" s="2" t="s">
        <v>407</v>
      </c>
    </row>
    <row r="17" spans="1:1" x14ac:dyDescent="0.2">
      <c r="A17" s="2" t="s">
        <v>103</v>
      </c>
    </row>
    <row r="18" spans="1:1" x14ac:dyDescent="0.2">
      <c r="A18" s="2" t="s">
        <v>105</v>
      </c>
    </row>
    <row r="20" spans="1:1" x14ac:dyDescent="0.2">
      <c r="A20" s="2" t="s">
        <v>115</v>
      </c>
    </row>
    <row r="21" spans="1:1" x14ac:dyDescent="0.2">
      <c r="A21" s="2" t="s">
        <v>118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topLeftCell="C10" zoomScale="50" zoomScaleNormal="50" workbookViewId="0">
      <selection activeCell="D9" sqref="D9"/>
    </sheetView>
  </sheetViews>
  <sheetFormatPr baseColWidth="10" defaultColWidth="11.42578125" defaultRowHeight="26.25" x14ac:dyDescent="0.35"/>
  <cols>
    <col min="1" max="1" width="11.85546875" style="119" customWidth="1"/>
    <col min="2" max="2" width="7.42578125" style="120" customWidth="1"/>
    <col min="3" max="3" width="36.85546875" style="121" customWidth="1"/>
    <col min="4" max="4" width="150" style="143" customWidth="1"/>
    <col min="5" max="5" width="168" style="121" customWidth="1"/>
    <col min="6" max="6" width="51.7109375" style="119" customWidth="1"/>
    <col min="7" max="16384" width="11.42578125" style="119"/>
  </cols>
  <sheetData>
    <row r="1" spans="1:6" x14ac:dyDescent="0.35">
      <c r="D1" s="122"/>
      <c r="E1" s="123"/>
    </row>
    <row r="2" spans="1:6" ht="40.5" customHeight="1" thickBot="1" x14ac:dyDescent="0.3">
      <c r="A2" s="124"/>
      <c r="B2" s="301" t="s">
        <v>90</v>
      </c>
      <c r="C2" s="301"/>
      <c r="D2" s="301"/>
      <c r="E2" s="302"/>
      <c r="F2" s="306" t="s">
        <v>91</v>
      </c>
    </row>
    <row r="3" spans="1:6" s="129" customFormat="1" ht="40.5" customHeight="1" thickBot="1" x14ac:dyDescent="0.4">
      <c r="A3" s="125"/>
      <c r="B3" s="303" t="s">
        <v>92</v>
      </c>
      <c r="C3" s="126" t="s">
        <v>93</v>
      </c>
      <c r="D3" s="127" t="s">
        <v>94</v>
      </c>
      <c r="E3" s="128" t="s">
        <v>95</v>
      </c>
      <c r="F3" s="307"/>
    </row>
    <row r="4" spans="1:6" s="129" customFormat="1" ht="228.75" customHeight="1" thickBot="1" x14ac:dyDescent="0.4">
      <c r="A4" s="125"/>
      <c r="B4" s="304"/>
      <c r="C4" s="130" t="s">
        <v>96</v>
      </c>
      <c r="D4" s="308" t="s">
        <v>518</v>
      </c>
      <c r="E4" s="308" t="s">
        <v>519</v>
      </c>
      <c r="F4" s="310" t="s">
        <v>520</v>
      </c>
    </row>
    <row r="5" spans="1:6" s="129" customFormat="1" ht="283.5" customHeight="1" thickBot="1" x14ac:dyDescent="0.4">
      <c r="A5" s="125"/>
      <c r="B5" s="304"/>
      <c r="C5" s="131" t="s">
        <v>97</v>
      </c>
      <c r="D5" s="309"/>
      <c r="E5" s="309"/>
      <c r="F5" s="311"/>
    </row>
    <row r="6" spans="1:6" s="129" customFormat="1" ht="409.5" customHeight="1" thickBot="1" x14ac:dyDescent="0.4">
      <c r="A6" s="125"/>
      <c r="B6" s="304"/>
      <c r="C6" s="133" t="s">
        <v>98</v>
      </c>
      <c r="D6" s="134" t="s">
        <v>552</v>
      </c>
      <c r="E6" s="134" t="s">
        <v>521</v>
      </c>
      <c r="F6" s="254" t="s">
        <v>522</v>
      </c>
    </row>
    <row r="7" spans="1:6" s="129" customFormat="1" ht="154.5" customHeight="1" thickBot="1" x14ac:dyDescent="0.4">
      <c r="A7" s="125"/>
      <c r="B7" s="304"/>
      <c r="C7" s="135" t="s">
        <v>99</v>
      </c>
      <c r="D7" s="132" t="s">
        <v>523</v>
      </c>
      <c r="E7" s="132" t="s">
        <v>524</v>
      </c>
      <c r="F7" s="255" t="s">
        <v>525</v>
      </c>
    </row>
    <row r="8" spans="1:6" s="129" customFormat="1" ht="289.5" thickBot="1" x14ac:dyDescent="0.4">
      <c r="A8" s="125"/>
      <c r="B8" s="304"/>
      <c r="C8" s="136" t="s">
        <v>100</v>
      </c>
      <c r="D8" s="134" t="s">
        <v>526</v>
      </c>
      <c r="E8" s="256" t="s">
        <v>527</v>
      </c>
      <c r="F8" s="257" t="s">
        <v>528</v>
      </c>
    </row>
    <row r="9" spans="1:6" s="129" customFormat="1" ht="342" thickBot="1" x14ac:dyDescent="0.4">
      <c r="A9" s="125"/>
      <c r="B9" s="304"/>
      <c r="C9" s="135" t="s">
        <v>101</v>
      </c>
      <c r="D9" s="132" t="s">
        <v>529</v>
      </c>
      <c r="E9" s="258" t="s">
        <v>530</v>
      </c>
      <c r="F9" s="255" t="s">
        <v>531</v>
      </c>
    </row>
    <row r="10" spans="1:6" s="139" customFormat="1" ht="409.6" thickBot="1" x14ac:dyDescent="0.4">
      <c r="A10" s="137"/>
      <c r="B10" s="304"/>
      <c r="C10" s="138" t="s">
        <v>102</v>
      </c>
      <c r="D10" s="132" t="s">
        <v>532</v>
      </c>
      <c r="E10" s="134" t="s">
        <v>533</v>
      </c>
      <c r="F10" s="255" t="s">
        <v>534</v>
      </c>
    </row>
    <row r="11" spans="1:6" s="139" customFormat="1" ht="303" thickBot="1" x14ac:dyDescent="0.4">
      <c r="A11" s="137"/>
      <c r="B11" s="305"/>
      <c r="C11" s="140"/>
      <c r="D11" s="259" t="s">
        <v>535</v>
      </c>
      <c r="E11" s="260" t="s">
        <v>536</v>
      </c>
      <c r="F11" s="261" t="s">
        <v>537</v>
      </c>
    </row>
    <row r="12" spans="1:6" ht="27" x14ac:dyDescent="0.35">
      <c r="D12" s="141"/>
      <c r="E12" s="142"/>
    </row>
    <row r="17" spans="4:4" x14ac:dyDescent="0.35">
      <c r="D17" s="122"/>
    </row>
    <row r="18" spans="4:4" x14ac:dyDescent="0.35">
      <c r="D18" s="122"/>
    </row>
    <row r="19" spans="4:4" x14ac:dyDescent="0.35">
      <c r="D19" s="122"/>
    </row>
  </sheetData>
  <mergeCells count="6">
    <mergeCell ref="B2:E2"/>
    <mergeCell ref="B3:B11"/>
    <mergeCell ref="F2:F3"/>
    <mergeCell ref="D4:D5"/>
    <mergeCell ref="E4:E5"/>
    <mergeCell ref="F4:F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H71"/>
  <sheetViews>
    <sheetView topLeftCell="A76" workbookViewId="0">
      <selection activeCell="B35" sqref="B35"/>
    </sheetView>
  </sheetViews>
  <sheetFormatPr baseColWidth="10" defaultColWidth="11.42578125" defaultRowHeight="15" x14ac:dyDescent="0.25"/>
  <cols>
    <col min="2" max="2" width="22.85546875" customWidth="1"/>
    <col min="6" max="6" width="17.140625" customWidth="1"/>
    <col min="7" max="7" width="29.28515625" customWidth="1"/>
  </cols>
  <sheetData>
    <row r="2" spans="1:8" x14ac:dyDescent="0.25">
      <c r="B2" t="s">
        <v>103</v>
      </c>
      <c r="E2" t="s">
        <v>104</v>
      </c>
    </row>
    <row r="3" spans="1:8" x14ac:dyDescent="0.25">
      <c r="B3" t="s">
        <v>105</v>
      </c>
      <c r="E3" t="s">
        <v>106</v>
      </c>
    </row>
    <row r="4" spans="1:8" x14ac:dyDescent="0.25">
      <c r="B4" t="s">
        <v>107</v>
      </c>
      <c r="E4" t="s">
        <v>108</v>
      </c>
    </row>
    <row r="5" spans="1:8" x14ac:dyDescent="0.25">
      <c r="B5" t="s">
        <v>109</v>
      </c>
    </row>
    <row r="7" spans="1:8" x14ac:dyDescent="0.25">
      <c r="F7" t="s">
        <v>110</v>
      </c>
      <c r="H7" t="s">
        <v>111</v>
      </c>
    </row>
    <row r="8" spans="1:8" x14ac:dyDescent="0.25">
      <c r="B8" t="s">
        <v>112</v>
      </c>
      <c r="F8" t="s">
        <v>113</v>
      </c>
      <c r="H8" t="s">
        <v>114</v>
      </c>
    </row>
    <row r="9" spans="1:8" x14ac:dyDescent="0.25">
      <c r="B9" t="s">
        <v>115</v>
      </c>
      <c r="F9" t="s">
        <v>116</v>
      </c>
      <c r="H9" t="s">
        <v>117</v>
      </c>
    </row>
    <row r="10" spans="1:8" ht="15.75" thickBot="1" x14ac:dyDescent="0.3">
      <c r="B10" t="s">
        <v>118</v>
      </c>
      <c r="H10" t="s">
        <v>119</v>
      </c>
    </row>
    <row r="11" spans="1:8" ht="15.75" thickBot="1" x14ac:dyDescent="0.3">
      <c r="A11" s="225" t="s">
        <v>23</v>
      </c>
      <c r="B11" s="226"/>
      <c r="C11" s="227"/>
      <c r="D11" s="228"/>
      <c r="H11" t="s">
        <v>120</v>
      </c>
    </row>
    <row r="12" spans="1:8" x14ac:dyDescent="0.25">
      <c r="A12" s="214" t="s">
        <v>121</v>
      </c>
      <c r="B12" s="215" t="s">
        <v>122</v>
      </c>
      <c r="D12" s="216"/>
      <c r="H12" t="s">
        <v>123</v>
      </c>
    </row>
    <row r="13" spans="1:8" x14ac:dyDescent="0.25">
      <c r="A13" s="214"/>
      <c r="B13" s="215" t="s">
        <v>124</v>
      </c>
      <c r="D13" s="216"/>
      <c r="H13" t="s">
        <v>125</v>
      </c>
    </row>
    <row r="14" spans="1:8" x14ac:dyDescent="0.25">
      <c r="A14" s="214"/>
      <c r="B14" s="215" t="s">
        <v>126</v>
      </c>
      <c r="D14" s="216"/>
      <c r="H14" t="s">
        <v>127</v>
      </c>
    </row>
    <row r="15" spans="1:8" x14ac:dyDescent="0.25">
      <c r="A15" s="214"/>
      <c r="B15" s="215" t="s">
        <v>128</v>
      </c>
      <c r="D15" s="216"/>
      <c r="H15" t="s">
        <v>129</v>
      </c>
    </row>
    <row r="16" spans="1:8" x14ac:dyDescent="0.25">
      <c r="A16" s="214"/>
      <c r="B16" s="215" t="s">
        <v>130</v>
      </c>
      <c r="D16" s="216"/>
      <c r="H16" t="s">
        <v>131</v>
      </c>
    </row>
    <row r="17" spans="1:8" x14ac:dyDescent="0.25">
      <c r="A17" s="217" t="s">
        <v>132</v>
      </c>
      <c r="B17" s="218" t="s">
        <v>133</v>
      </c>
      <c r="D17" s="216"/>
      <c r="H17" t="s">
        <v>134</v>
      </c>
    </row>
    <row r="18" spans="1:8" x14ac:dyDescent="0.25">
      <c r="A18" s="217"/>
      <c r="B18" s="218" t="s">
        <v>135</v>
      </c>
      <c r="D18" s="216"/>
      <c r="H18" t="s">
        <v>123</v>
      </c>
    </row>
    <row r="19" spans="1:8" x14ac:dyDescent="0.25">
      <c r="A19" s="217"/>
      <c r="B19" s="218" t="s">
        <v>136</v>
      </c>
      <c r="D19" s="216"/>
    </row>
    <row r="20" spans="1:8" x14ac:dyDescent="0.25">
      <c r="A20" s="219" t="s">
        <v>137</v>
      </c>
      <c r="B20" s="220" t="s">
        <v>138</v>
      </c>
      <c r="D20" s="216"/>
    </row>
    <row r="21" spans="1:8" x14ac:dyDescent="0.25">
      <c r="A21" s="219"/>
      <c r="B21" s="220" t="s">
        <v>139</v>
      </c>
      <c r="D21" s="216"/>
    </row>
    <row r="22" spans="1:8" ht="15.75" thickBot="1" x14ac:dyDescent="0.3">
      <c r="A22" s="221"/>
      <c r="B22" s="222" t="s">
        <v>140</v>
      </c>
      <c r="C22" s="223"/>
      <c r="D22" s="224"/>
    </row>
    <row r="25" spans="1:8" x14ac:dyDescent="0.25">
      <c r="B25" t="s">
        <v>141</v>
      </c>
    </row>
    <row r="26" spans="1:8" x14ac:dyDescent="0.25">
      <c r="B26" t="s">
        <v>142</v>
      </c>
    </row>
    <row r="27" spans="1:8" ht="15.75" thickBot="1" x14ac:dyDescent="0.3">
      <c r="B27" t="s">
        <v>143</v>
      </c>
    </row>
    <row r="28" spans="1:8" ht="15.75" thickBot="1" x14ac:dyDescent="0.3">
      <c r="B28" t="s">
        <v>144</v>
      </c>
      <c r="F28" s="156" t="s">
        <v>145</v>
      </c>
      <c r="G28" s="157" t="s">
        <v>146</v>
      </c>
    </row>
    <row r="29" spans="1:8" ht="15.75" thickBot="1" x14ac:dyDescent="0.3">
      <c r="B29" t="s">
        <v>147</v>
      </c>
      <c r="F29" s="315" t="s">
        <v>144</v>
      </c>
      <c r="G29" s="158" t="s">
        <v>148</v>
      </c>
    </row>
    <row r="30" spans="1:8" ht="15.75" thickBot="1" x14ac:dyDescent="0.3">
      <c r="B30" t="s">
        <v>149</v>
      </c>
      <c r="F30" s="313"/>
      <c r="G30" s="158" t="s">
        <v>150</v>
      </c>
    </row>
    <row r="31" spans="1:8" ht="15.75" thickBot="1" x14ac:dyDescent="0.3">
      <c r="B31" t="s">
        <v>151</v>
      </c>
      <c r="F31" s="313"/>
      <c r="G31" s="158" t="s">
        <v>152</v>
      </c>
    </row>
    <row r="32" spans="1:8" ht="15.75" thickBot="1" x14ac:dyDescent="0.3">
      <c r="B32" t="s">
        <v>153</v>
      </c>
      <c r="F32" s="313"/>
      <c r="G32" s="158" t="s">
        <v>154</v>
      </c>
    </row>
    <row r="33" spans="6:7" ht="15.75" thickBot="1" x14ac:dyDescent="0.3">
      <c r="F33" s="313"/>
      <c r="G33" s="158" t="s">
        <v>155</v>
      </c>
    </row>
    <row r="34" spans="6:7" ht="15.75" thickBot="1" x14ac:dyDescent="0.3">
      <c r="F34" s="314"/>
      <c r="G34" s="158" t="s">
        <v>156</v>
      </c>
    </row>
    <row r="35" spans="6:7" ht="15.75" thickBot="1" x14ac:dyDescent="0.3">
      <c r="F35" s="312" t="s">
        <v>153</v>
      </c>
      <c r="G35" s="158" t="s">
        <v>157</v>
      </c>
    </row>
    <row r="36" spans="6:7" ht="15.75" thickBot="1" x14ac:dyDescent="0.3">
      <c r="F36" s="313"/>
      <c r="G36" s="158" t="s">
        <v>158</v>
      </c>
    </row>
    <row r="37" spans="6:7" ht="15.75" thickBot="1" x14ac:dyDescent="0.3">
      <c r="F37" s="313"/>
      <c r="G37" s="158" t="s">
        <v>159</v>
      </c>
    </row>
    <row r="38" spans="6:7" ht="21.75" customHeight="1" thickBot="1" x14ac:dyDescent="0.3">
      <c r="F38" s="313"/>
      <c r="G38" s="158" t="s">
        <v>160</v>
      </c>
    </row>
    <row r="39" spans="6:7" ht="15.75" thickBot="1" x14ac:dyDescent="0.3">
      <c r="F39" s="314"/>
      <c r="G39" s="158" t="s">
        <v>161</v>
      </c>
    </row>
    <row r="40" spans="6:7" ht="45.75" customHeight="1" thickBot="1" x14ac:dyDescent="0.3">
      <c r="F40" s="312" t="s">
        <v>149</v>
      </c>
      <c r="G40" s="158" t="s">
        <v>162</v>
      </c>
    </row>
    <row r="41" spans="6:7" ht="15.75" thickBot="1" x14ac:dyDescent="0.3">
      <c r="F41" s="313"/>
      <c r="G41" s="158" t="s">
        <v>163</v>
      </c>
    </row>
    <row r="42" spans="6:7" ht="30" customHeight="1" thickBot="1" x14ac:dyDescent="0.3">
      <c r="F42" s="314"/>
      <c r="G42" s="158" t="s">
        <v>164</v>
      </c>
    </row>
    <row r="43" spans="6:7" ht="15.75" thickBot="1" x14ac:dyDescent="0.3">
      <c r="F43" s="312" t="s">
        <v>151</v>
      </c>
      <c r="G43" s="158" t="s">
        <v>165</v>
      </c>
    </row>
    <row r="44" spans="6:7" ht="15.75" thickBot="1" x14ac:dyDescent="0.3">
      <c r="F44" s="313"/>
      <c r="G44" s="158" t="s">
        <v>166</v>
      </c>
    </row>
    <row r="45" spans="6:7" ht="15.75" thickBot="1" x14ac:dyDescent="0.3">
      <c r="F45" s="314"/>
      <c r="G45" s="158" t="s">
        <v>167</v>
      </c>
    </row>
    <row r="46" spans="6:7" ht="24.75" thickBot="1" x14ac:dyDescent="0.3">
      <c r="F46" s="312" t="s">
        <v>142</v>
      </c>
      <c r="G46" s="158" t="s">
        <v>168</v>
      </c>
    </row>
    <row r="47" spans="6:7" ht="15.75" thickBot="1" x14ac:dyDescent="0.3">
      <c r="F47" s="313"/>
      <c r="G47" s="158" t="s">
        <v>169</v>
      </c>
    </row>
    <row r="48" spans="6:7" ht="15.75" thickBot="1" x14ac:dyDescent="0.3">
      <c r="F48" s="313"/>
      <c r="G48" s="158" t="s">
        <v>170</v>
      </c>
    </row>
    <row r="49" spans="6:7" ht="15.75" thickBot="1" x14ac:dyDescent="0.3">
      <c r="F49" s="313"/>
      <c r="G49" s="158" t="s">
        <v>171</v>
      </c>
    </row>
    <row r="50" spans="6:7" ht="15.75" thickBot="1" x14ac:dyDescent="0.3">
      <c r="F50" s="313"/>
      <c r="G50" s="158" t="s">
        <v>172</v>
      </c>
    </row>
    <row r="51" spans="6:7" ht="24.75" thickBot="1" x14ac:dyDescent="0.3">
      <c r="F51" s="313"/>
      <c r="G51" s="158" t="s">
        <v>173</v>
      </c>
    </row>
    <row r="52" spans="6:7" ht="15.75" thickBot="1" x14ac:dyDescent="0.3">
      <c r="F52" s="313"/>
      <c r="G52" s="158" t="s">
        <v>174</v>
      </c>
    </row>
    <row r="53" spans="6:7" ht="24.75" thickBot="1" x14ac:dyDescent="0.3">
      <c r="F53" s="313"/>
      <c r="G53" s="158" t="s">
        <v>175</v>
      </c>
    </row>
    <row r="54" spans="6:7" ht="15.75" thickBot="1" x14ac:dyDescent="0.3">
      <c r="F54" s="313"/>
      <c r="G54" s="158" t="s">
        <v>176</v>
      </c>
    </row>
    <row r="55" spans="6:7" ht="15.75" thickBot="1" x14ac:dyDescent="0.3">
      <c r="F55" s="313"/>
      <c r="G55" s="158" t="s">
        <v>177</v>
      </c>
    </row>
    <row r="56" spans="6:7" ht="15.75" thickBot="1" x14ac:dyDescent="0.3">
      <c r="F56" s="314"/>
      <c r="G56" s="158" t="s">
        <v>178</v>
      </c>
    </row>
    <row r="57" spans="6:7" ht="15.75" thickBot="1" x14ac:dyDescent="0.3">
      <c r="F57" s="312" t="s">
        <v>147</v>
      </c>
      <c r="G57" s="158" t="s">
        <v>179</v>
      </c>
    </row>
    <row r="58" spans="6:7" ht="15.75" thickBot="1" x14ac:dyDescent="0.3">
      <c r="F58" s="313"/>
      <c r="G58" s="158" t="s">
        <v>180</v>
      </c>
    </row>
    <row r="59" spans="6:7" ht="24.75" thickBot="1" x14ac:dyDescent="0.3">
      <c r="F59" s="313"/>
      <c r="G59" s="158" t="s">
        <v>181</v>
      </c>
    </row>
    <row r="60" spans="6:7" ht="15.75" thickBot="1" x14ac:dyDescent="0.3">
      <c r="F60" s="313"/>
      <c r="G60" s="158" t="s">
        <v>182</v>
      </c>
    </row>
    <row r="61" spans="6:7" ht="36.75" thickBot="1" x14ac:dyDescent="0.3">
      <c r="F61" s="314"/>
      <c r="G61" s="158" t="s">
        <v>183</v>
      </c>
    </row>
    <row r="62" spans="6:7" ht="15.75" thickBot="1" x14ac:dyDescent="0.3">
      <c r="F62" s="312" t="s">
        <v>141</v>
      </c>
      <c r="G62" s="158" t="s">
        <v>184</v>
      </c>
    </row>
    <row r="63" spans="6:7" ht="15.75" thickBot="1" x14ac:dyDescent="0.3">
      <c r="F63" s="313"/>
      <c r="G63" s="158" t="s">
        <v>185</v>
      </c>
    </row>
    <row r="64" spans="6:7" ht="15.75" thickBot="1" x14ac:dyDescent="0.3">
      <c r="F64" s="313"/>
      <c r="G64" s="158" t="s">
        <v>186</v>
      </c>
    </row>
    <row r="65" spans="6:7" ht="15.75" thickBot="1" x14ac:dyDescent="0.3">
      <c r="F65" s="313"/>
      <c r="G65" s="158" t="s">
        <v>187</v>
      </c>
    </row>
    <row r="66" spans="6:7" ht="15.75" thickBot="1" x14ac:dyDescent="0.3">
      <c r="F66" s="314"/>
      <c r="G66" s="158" t="s">
        <v>188</v>
      </c>
    </row>
    <row r="67" spans="6:7" ht="15.75" thickBot="1" x14ac:dyDescent="0.3">
      <c r="F67" s="312" t="s">
        <v>143</v>
      </c>
      <c r="G67" s="158" t="s">
        <v>189</v>
      </c>
    </row>
    <row r="68" spans="6:7" ht="15.75" thickBot="1" x14ac:dyDescent="0.3">
      <c r="F68" s="313"/>
      <c r="G68" s="158" t="s">
        <v>190</v>
      </c>
    </row>
    <row r="69" spans="6:7" ht="15.75" thickBot="1" x14ac:dyDescent="0.3">
      <c r="F69" s="313"/>
      <c r="G69" s="158" t="s">
        <v>191</v>
      </c>
    </row>
    <row r="70" spans="6:7" ht="15.75" thickBot="1" x14ac:dyDescent="0.3">
      <c r="F70" s="313"/>
      <c r="G70" s="158" t="s">
        <v>192</v>
      </c>
    </row>
    <row r="71" spans="6:7" ht="24.75" thickBot="1" x14ac:dyDescent="0.3">
      <c r="F71" s="314"/>
      <c r="G71" s="158" t="s">
        <v>193</v>
      </c>
    </row>
  </sheetData>
  <sortState xmlns:xlrd2="http://schemas.microsoft.com/office/spreadsheetml/2017/richdata2" ref="B2:B5">
    <sortCondition ref="B2:B5"/>
  </sortState>
  <mergeCells count="8">
    <mergeCell ref="F62:F66"/>
    <mergeCell ref="F67:F71"/>
    <mergeCell ref="F29:F34"/>
    <mergeCell ref="F35:F39"/>
    <mergeCell ref="F40:F42"/>
    <mergeCell ref="F43:F45"/>
    <mergeCell ref="F46:F56"/>
    <mergeCell ref="F57:F6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JL76"/>
  <sheetViews>
    <sheetView zoomScale="70" zoomScaleNormal="70" zoomScaleSheetLayoutView="50" zoomScalePageLayoutView="60" workbookViewId="0">
      <selection activeCell="M13" sqref="M13:M18"/>
    </sheetView>
  </sheetViews>
  <sheetFormatPr baseColWidth="10" defaultColWidth="11.42578125" defaultRowHeight="15" x14ac:dyDescent="0.2"/>
  <cols>
    <col min="1" max="1" width="6.5703125" style="207" customWidth="1"/>
    <col min="2" max="2" width="16" style="207" customWidth="1"/>
    <col min="3" max="3" width="19.140625" style="207" customWidth="1"/>
    <col min="4" max="4" width="25.28515625" style="207" customWidth="1"/>
    <col min="5" max="5" width="51.140625" style="207" customWidth="1"/>
    <col min="6" max="6" width="21" style="187" customWidth="1"/>
    <col min="7" max="7" width="17.7109375" style="187" customWidth="1"/>
    <col min="8" max="8" width="24.28515625" style="187" customWidth="1"/>
    <col min="9" max="10" width="29.42578125" style="187" customWidth="1"/>
    <col min="11" max="11" width="24.28515625" style="187" customWidth="1"/>
    <col min="12" max="12" width="19.42578125" style="187" customWidth="1"/>
    <col min="13" max="13" width="20.5703125" style="187" customWidth="1"/>
    <col min="14" max="14" width="16.7109375" style="208" customWidth="1"/>
    <col min="15" max="15" width="16.7109375" style="187" customWidth="1"/>
    <col min="16" max="16" width="20.42578125" style="187" hidden="1" customWidth="1"/>
    <col min="17" max="17" width="12.85546875" style="187" customWidth="1"/>
    <col min="18" max="18" width="35.85546875" style="187" hidden="1" customWidth="1"/>
    <col min="19" max="19" width="19" style="187" customWidth="1"/>
    <col min="20" max="20" width="17.5703125" style="187" hidden="1" customWidth="1"/>
    <col min="21" max="21" width="15" style="187" customWidth="1"/>
    <col min="22" max="22" width="16" style="187" customWidth="1"/>
    <col min="23" max="23" width="32.7109375" style="187" customWidth="1"/>
    <col min="24" max="24" width="26.85546875" style="187" hidden="1" customWidth="1"/>
    <col min="25" max="25" width="5.85546875" style="187" customWidth="1"/>
    <col min="26" max="26" width="6.85546875" style="187" customWidth="1"/>
    <col min="27" max="27" width="5" style="187" hidden="1" customWidth="1"/>
    <col min="28" max="28" width="5.5703125" style="187" customWidth="1"/>
    <col min="29" max="29" width="7.140625" style="187" customWidth="1"/>
    <col min="30" max="30" width="6.7109375" style="187" customWidth="1"/>
    <col min="31" max="31" width="7.5703125" style="187" hidden="1" customWidth="1"/>
    <col min="32" max="32" width="8.5703125" style="187" customWidth="1"/>
    <col min="33" max="37" width="10.85546875" style="187" customWidth="1"/>
    <col min="38" max="38" width="10.85546875" style="206" customWidth="1"/>
    <col min="39" max="39" width="23" style="187" customWidth="1"/>
    <col min="40" max="40" width="18.85546875" style="187" customWidth="1"/>
    <col min="41" max="41" width="23.7109375" style="187" customWidth="1"/>
    <col min="42" max="42" width="22.42578125" style="187" customWidth="1"/>
    <col min="43" max="43" width="16.42578125" style="187" customWidth="1"/>
    <col min="44" max="44" width="20.5703125" style="187" customWidth="1"/>
    <col min="45" max="16384" width="11.42578125" style="187"/>
  </cols>
  <sheetData>
    <row r="1" spans="1:272" s="190" customFormat="1" ht="20.25" x14ac:dyDescent="0.3">
      <c r="A1" s="330"/>
      <c r="B1" s="331"/>
      <c r="C1" s="332"/>
      <c r="D1" s="319" t="s">
        <v>194</v>
      </c>
      <c r="E1" s="320"/>
      <c r="F1" s="320"/>
      <c r="G1" s="320"/>
      <c r="H1" s="320"/>
      <c r="I1" s="320"/>
      <c r="J1" s="320"/>
      <c r="K1" s="320"/>
      <c r="L1" s="320"/>
      <c r="M1" s="320"/>
      <c r="N1" s="320"/>
      <c r="O1" s="320"/>
      <c r="P1" s="320"/>
      <c r="Q1" s="320"/>
      <c r="R1" s="320"/>
      <c r="S1" s="320"/>
      <c r="T1" s="321"/>
      <c r="U1" s="241"/>
      <c r="V1" s="241"/>
      <c r="W1" s="241"/>
      <c r="X1" s="346"/>
      <c r="Y1" s="346"/>
      <c r="Z1" s="346"/>
      <c r="AA1" s="346"/>
      <c r="AB1" s="346"/>
      <c r="AC1" s="346"/>
      <c r="AD1" s="346"/>
      <c r="AE1" s="346"/>
      <c r="AF1" s="346"/>
      <c r="AG1" s="346"/>
      <c r="AH1" s="346"/>
      <c r="AI1" s="346"/>
      <c r="AJ1" s="346"/>
      <c r="AK1" s="346"/>
      <c r="AL1" s="346"/>
      <c r="AM1" s="346"/>
      <c r="AN1" s="346"/>
      <c r="AO1" s="346"/>
      <c r="AP1" s="346"/>
      <c r="AQ1" s="346"/>
      <c r="AR1" s="346"/>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row>
    <row r="2" spans="1:272" s="190" customFormat="1" ht="21" thickBot="1" x14ac:dyDescent="0.35">
      <c r="A2" s="333"/>
      <c r="B2" s="334"/>
      <c r="C2" s="335"/>
      <c r="D2" s="322"/>
      <c r="E2" s="323"/>
      <c r="F2" s="323"/>
      <c r="G2" s="323"/>
      <c r="H2" s="323"/>
      <c r="I2" s="323"/>
      <c r="J2" s="323"/>
      <c r="K2" s="323"/>
      <c r="L2" s="323"/>
      <c r="M2" s="323"/>
      <c r="N2" s="323"/>
      <c r="O2" s="323"/>
      <c r="P2" s="323"/>
      <c r="Q2" s="323"/>
      <c r="R2" s="323"/>
      <c r="S2" s="323"/>
      <c r="T2" s="324"/>
      <c r="U2" s="241"/>
      <c r="V2" s="241"/>
      <c r="W2" s="241"/>
      <c r="X2" s="346"/>
      <c r="Y2" s="346"/>
      <c r="Z2" s="346"/>
      <c r="AA2" s="346"/>
      <c r="AB2" s="346"/>
      <c r="AC2" s="346"/>
      <c r="AD2" s="346"/>
      <c r="AE2" s="346"/>
      <c r="AF2" s="346"/>
      <c r="AG2" s="346"/>
      <c r="AH2" s="346"/>
      <c r="AI2" s="346"/>
      <c r="AJ2" s="346"/>
      <c r="AK2" s="346"/>
      <c r="AL2" s="346"/>
      <c r="AM2" s="346"/>
      <c r="AN2" s="346"/>
      <c r="AO2" s="346"/>
      <c r="AP2" s="346"/>
      <c r="AQ2" s="346"/>
      <c r="AR2" s="346"/>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row>
    <row r="3" spans="1:272" s="190" customFormat="1" ht="27.75" customHeight="1" thickBot="1" x14ac:dyDescent="0.35">
      <c r="A3" s="333"/>
      <c r="B3" s="334"/>
      <c r="C3" s="335"/>
      <c r="D3" s="325" t="s">
        <v>195</v>
      </c>
      <c r="E3" s="326"/>
      <c r="F3" s="326"/>
      <c r="G3" s="326"/>
      <c r="H3" s="326"/>
      <c r="I3" s="327"/>
      <c r="J3" s="325" t="s">
        <v>196</v>
      </c>
      <c r="K3" s="326"/>
      <c r="L3" s="326"/>
      <c r="M3" s="326"/>
      <c r="N3" s="326"/>
      <c r="O3" s="326"/>
      <c r="P3" s="326"/>
      <c r="Q3" s="326"/>
      <c r="R3" s="326"/>
      <c r="S3" s="326"/>
      <c r="T3" s="327"/>
      <c r="U3" s="242"/>
      <c r="V3" s="242"/>
      <c r="W3" s="241"/>
      <c r="X3" s="347"/>
      <c r="Y3" s="347"/>
      <c r="Z3" s="347"/>
      <c r="AA3" s="347"/>
      <c r="AB3" s="347"/>
      <c r="AC3" s="347"/>
      <c r="AD3" s="347"/>
      <c r="AE3" s="347"/>
      <c r="AF3" s="347"/>
      <c r="AG3" s="347"/>
      <c r="AH3" s="347"/>
      <c r="AI3" s="347"/>
      <c r="AJ3" s="347"/>
      <c r="AK3" s="347"/>
      <c r="AL3" s="347"/>
      <c r="AM3" s="347"/>
      <c r="AN3" s="347"/>
      <c r="AO3" s="347"/>
      <c r="AP3" s="347"/>
      <c r="AQ3" s="347"/>
      <c r="AR3" s="347"/>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row>
    <row r="4" spans="1:272" s="190" customFormat="1" ht="27.75" customHeight="1" thickBot="1" x14ac:dyDescent="0.35">
      <c r="A4" s="336"/>
      <c r="B4" s="337"/>
      <c r="C4" s="338"/>
      <c r="D4" s="325" t="s">
        <v>408</v>
      </c>
      <c r="E4" s="326"/>
      <c r="F4" s="326"/>
      <c r="G4" s="326"/>
      <c r="H4" s="326"/>
      <c r="I4" s="326"/>
      <c r="J4" s="326"/>
      <c r="K4" s="326"/>
      <c r="L4" s="326"/>
      <c r="M4" s="326"/>
      <c r="N4" s="326"/>
      <c r="O4" s="326"/>
      <c r="P4" s="326"/>
      <c r="Q4" s="326"/>
      <c r="R4" s="326"/>
      <c r="S4" s="326"/>
      <c r="T4" s="327"/>
      <c r="U4" s="241"/>
      <c r="V4" s="241"/>
      <c r="W4" s="241"/>
      <c r="X4" s="347"/>
      <c r="Y4" s="347"/>
      <c r="Z4" s="347"/>
      <c r="AA4" s="347"/>
      <c r="AB4" s="347"/>
      <c r="AC4" s="347"/>
      <c r="AD4" s="347"/>
      <c r="AE4" s="347"/>
      <c r="AF4" s="347"/>
      <c r="AG4" s="347"/>
      <c r="AH4" s="347"/>
      <c r="AI4" s="347"/>
      <c r="AJ4" s="347"/>
      <c r="AK4" s="347"/>
      <c r="AL4" s="347"/>
      <c r="AM4" s="347"/>
      <c r="AN4" s="347"/>
      <c r="AO4" s="347"/>
      <c r="AP4" s="347"/>
      <c r="AQ4" s="347"/>
      <c r="AR4" s="347"/>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row>
    <row r="5" spans="1:272" ht="15.75" thickBot="1" x14ac:dyDescent="0.25">
      <c r="A5" s="191"/>
      <c r="B5" s="192"/>
      <c r="C5" s="191"/>
      <c r="D5" s="191"/>
      <c r="E5" s="191"/>
      <c r="F5" s="193"/>
      <c r="G5" s="193"/>
      <c r="H5" s="193"/>
      <c r="I5" s="193"/>
      <c r="J5" s="193"/>
      <c r="K5" s="193"/>
      <c r="L5" s="193"/>
      <c r="M5" s="193"/>
      <c r="N5" s="194"/>
      <c r="O5" s="193"/>
      <c r="P5" s="193"/>
      <c r="Q5" s="193"/>
      <c r="R5" s="193"/>
      <c r="S5" s="193"/>
      <c r="T5" s="193"/>
      <c r="U5" s="193"/>
      <c r="V5" s="193"/>
      <c r="W5" s="193"/>
      <c r="X5" s="193"/>
      <c r="Y5" s="193"/>
      <c r="Z5" s="193"/>
      <c r="AA5" s="193"/>
      <c r="AB5" s="193"/>
      <c r="AC5" s="193"/>
      <c r="AD5" s="193"/>
      <c r="AE5" s="193"/>
      <c r="AF5" s="193"/>
      <c r="AG5" s="193"/>
      <c r="AH5" s="193"/>
      <c r="AI5" s="193"/>
      <c r="AJ5" s="193"/>
      <c r="AK5" s="193"/>
      <c r="AL5" s="24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row>
    <row r="6" spans="1:272" ht="27" customHeight="1" thickBot="1" x14ac:dyDescent="0.25">
      <c r="A6" s="348" t="s">
        <v>197</v>
      </c>
      <c r="B6" s="349"/>
      <c r="C6" s="355"/>
      <c r="D6" s="356"/>
      <c r="E6" s="356"/>
      <c r="F6" s="356"/>
      <c r="G6" s="356"/>
      <c r="H6" s="356"/>
      <c r="I6" s="356"/>
      <c r="J6" s="356"/>
      <c r="K6" s="356"/>
      <c r="L6" s="356"/>
      <c r="M6" s="356"/>
      <c r="N6" s="356"/>
      <c r="O6" s="356"/>
      <c r="P6" s="356"/>
      <c r="Q6" s="356"/>
      <c r="R6" s="356"/>
      <c r="S6" s="356"/>
      <c r="T6" s="357"/>
      <c r="U6" s="244"/>
      <c r="V6" s="244"/>
      <c r="W6" s="354"/>
      <c r="X6" s="354"/>
      <c r="Y6" s="354"/>
      <c r="Z6" s="345"/>
      <c r="AA6" s="345"/>
      <c r="AB6" s="345"/>
      <c r="AC6" s="345"/>
      <c r="AD6" s="345"/>
      <c r="AE6" s="345"/>
      <c r="AF6" s="345"/>
      <c r="AG6" s="345"/>
      <c r="AH6" s="345"/>
      <c r="AI6" s="345"/>
      <c r="AJ6" s="345"/>
      <c r="AK6" s="345"/>
      <c r="AL6" s="345"/>
      <c r="AM6" s="345"/>
      <c r="AN6" s="345"/>
      <c r="AO6" s="345"/>
      <c r="AP6" s="345"/>
      <c r="AQ6" s="345"/>
      <c r="AR6" s="345"/>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row>
    <row r="7" spans="1:272" ht="27" customHeight="1" thickBot="1" x14ac:dyDescent="0.3">
      <c r="A7" s="350" t="s">
        <v>198</v>
      </c>
      <c r="B7" s="351"/>
      <c r="C7" s="316"/>
      <c r="D7" s="317"/>
      <c r="E7" s="317"/>
      <c r="F7" s="317"/>
      <c r="G7" s="317"/>
      <c r="H7" s="317"/>
      <c r="I7" s="317"/>
      <c r="J7" s="317"/>
      <c r="K7" s="317"/>
      <c r="L7" s="317"/>
      <c r="M7" s="317"/>
      <c r="N7" s="317"/>
      <c r="O7" s="317"/>
      <c r="P7" s="317"/>
      <c r="Q7" s="317"/>
      <c r="R7" s="317"/>
      <c r="S7" s="317"/>
      <c r="T7" s="318"/>
      <c r="U7" s="245"/>
      <c r="V7" s="245"/>
      <c r="W7" s="246"/>
      <c r="X7" s="246"/>
      <c r="Y7" s="246"/>
      <c r="Z7" s="345"/>
      <c r="AA7" s="345"/>
      <c r="AB7" s="345"/>
      <c r="AC7" s="345"/>
      <c r="AD7" s="345"/>
      <c r="AE7" s="345"/>
      <c r="AF7" s="345"/>
      <c r="AG7" s="345"/>
      <c r="AH7" s="345"/>
      <c r="AI7" s="345"/>
      <c r="AJ7" s="345"/>
      <c r="AK7" s="345"/>
      <c r="AL7" s="345"/>
      <c r="AM7" s="345"/>
      <c r="AN7" s="345"/>
      <c r="AO7" s="345"/>
      <c r="AP7" s="345"/>
      <c r="AQ7" s="345"/>
      <c r="AR7" s="345"/>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row>
    <row r="8" spans="1:272" ht="27" customHeight="1" thickBot="1" x14ac:dyDescent="0.3">
      <c r="A8" s="352" t="s">
        <v>199</v>
      </c>
      <c r="B8" s="353"/>
      <c r="C8" s="316"/>
      <c r="D8" s="317"/>
      <c r="E8" s="317"/>
      <c r="F8" s="317"/>
      <c r="G8" s="317"/>
      <c r="H8" s="317"/>
      <c r="I8" s="317"/>
      <c r="J8" s="317"/>
      <c r="K8" s="317"/>
      <c r="L8" s="317"/>
      <c r="M8" s="317"/>
      <c r="N8" s="317"/>
      <c r="O8" s="317"/>
      <c r="P8" s="317"/>
      <c r="Q8" s="317"/>
      <c r="R8" s="317"/>
      <c r="S8" s="317"/>
      <c r="T8" s="318"/>
      <c r="U8" s="245"/>
      <c r="V8" s="245"/>
      <c r="W8" s="246"/>
      <c r="X8" s="246"/>
      <c r="Y8" s="246"/>
      <c r="Z8" s="345"/>
      <c r="AA8" s="345"/>
      <c r="AB8" s="345"/>
      <c r="AC8" s="345"/>
      <c r="AD8" s="345"/>
      <c r="AE8" s="345"/>
      <c r="AF8" s="345"/>
      <c r="AG8" s="345"/>
      <c r="AH8" s="345"/>
      <c r="AI8" s="345"/>
      <c r="AJ8" s="345"/>
      <c r="AK8" s="345"/>
      <c r="AL8" s="345"/>
      <c r="AM8" s="345"/>
      <c r="AN8" s="345"/>
      <c r="AO8" s="345"/>
      <c r="AP8" s="345"/>
      <c r="AQ8" s="345"/>
      <c r="AR8" s="345"/>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row>
    <row r="9" spans="1:272" ht="15.75" x14ac:dyDescent="0.25">
      <c r="A9" s="195"/>
      <c r="B9" s="195"/>
      <c r="C9" s="196"/>
      <c r="D9" s="196"/>
      <c r="E9" s="196"/>
      <c r="F9" s="196"/>
      <c r="G9" s="196"/>
      <c r="H9" s="196"/>
      <c r="I9" s="196"/>
      <c r="J9" s="196"/>
      <c r="K9" s="196"/>
      <c r="L9" s="196"/>
      <c r="M9" s="196"/>
      <c r="N9" s="196"/>
      <c r="O9" s="196"/>
      <c r="P9" s="196"/>
      <c r="Q9" s="196"/>
      <c r="R9" s="196"/>
      <c r="S9" s="196"/>
      <c r="T9" s="196"/>
      <c r="U9" s="196"/>
      <c r="V9" s="196"/>
      <c r="W9" s="197"/>
      <c r="X9" s="197"/>
      <c r="Y9" s="197"/>
      <c r="Z9" s="198"/>
      <c r="AA9" s="198"/>
      <c r="AB9" s="198"/>
      <c r="AC9" s="198"/>
      <c r="AD9" s="198"/>
      <c r="AE9" s="198"/>
      <c r="AF9" s="198"/>
      <c r="AG9" s="198"/>
      <c r="AH9" s="198"/>
      <c r="AI9" s="198"/>
      <c r="AJ9" s="198"/>
      <c r="AK9" s="198"/>
      <c r="AL9" s="198"/>
      <c r="AM9" s="198"/>
      <c r="AN9" s="198"/>
      <c r="AO9" s="198"/>
      <c r="AP9" s="198"/>
      <c r="AQ9" s="198"/>
      <c r="AR9" s="198"/>
    </row>
    <row r="10" spans="1:272" ht="27.75" customHeight="1" x14ac:dyDescent="0.2">
      <c r="A10" s="360" t="s">
        <v>200</v>
      </c>
      <c r="B10" s="361"/>
      <c r="C10" s="361"/>
      <c r="D10" s="361"/>
      <c r="E10" s="361"/>
      <c r="F10" s="362"/>
      <c r="G10" s="377" t="s">
        <v>201</v>
      </c>
      <c r="H10" s="378"/>
      <c r="I10" s="378"/>
      <c r="J10" s="378"/>
      <c r="K10" s="379"/>
      <c r="L10" s="386" t="s">
        <v>202</v>
      </c>
      <c r="M10" s="387"/>
      <c r="N10" s="380" t="s">
        <v>203</v>
      </c>
      <c r="O10" s="381"/>
      <c r="P10" s="381"/>
      <c r="Q10" s="381"/>
      <c r="R10" s="381"/>
      <c r="S10" s="381"/>
      <c r="T10" s="381"/>
      <c r="U10" s="381"/>
      <c r="V10" s="382"/>
      <c r="W10" s="388" t="s">
        <v>204</v>
      </c>
      <c r="X10" s="388"/>
      <c r="Y10" s="388"/>
      <c r="Z10" s="388"/>
      <c r="AA10" s="388"/>
      <c r="AB10" s="388"/>
      <c r="AC10" s="388"/>
      <c r="AD10" s="388"/>
      <c r="AE10" s="388"/>
      <c r="AF10" s="383" t="s">
        <v>205</v>
      </c>
      <c r="AG10" s="384"/>
      <c r="AH10" s="384"/>
      <c r="AI10" s="384"/>
      <c r="AJ10" s="385"/>
      <c r="AK10" s="380" t="s">
        <v>409</v>
      </c>
      <c r="AL10" s="381"/>
      <c r="AM10" s="381"/>
      <c r="AN10" s="381"/>
      <c r="AO10" s="382"/>
      <c r="AP10" s="380" t="s">
        <v>410</v>
      </c>
      <c r="AQ10" s="381"/>
      <c r="AR10" s="382"/>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row>
    <row r="11" spans="1:272" ht="15.75" x14ac:dyDescent="0.2">
      <c r="A11" s="370" t="s">
        <v>208</v>
      </c>
      <c r="B11" s="371" t="s">
        <v>15</v>
      </c>
      <c r="C11" s="364" t="s">
        <v>17</v>
      </c>
      <c r="D11" s="364" t="s">
        <v>19</v>
      </c>
      <c r="E11" s="371" t="s">
        <v>21</v>
      </c>
      <c r="F11" s="364" t="s">
        <v>23</v>
      </c>
      <c r="G11" s="373" t="s">
        <v>110</v>
      </c>
      <c r="H11" s="373" t="s">
        <v>209</v>
      </c>
      <c r="I11" s="373" t="s">
        <v>210</v>
      </c>
      <c r="J11" s="373" t="s">
        <v>211</v>
      </c>
      <c r="K11" s="373" t="s">
        <v>212</v>
      </c>
      <c r="L11" s="386"/>
      <c r="M11" s="387"/>
      <c r="N11" s="375" t="s">
        <v>213</v>
      </c>
      <c r="O11" s="375" t="s">
        <v>214</v>
      </c>
      <c r="P11" s="363" t="s">
        <v>215</v>
      </c>
      <c r="Q11" s="375" t="s">
        <v>216</v>
      </c>
      <c r="R11" s="375" t="s">
        <v>217</v>
      </c>
      <c r="S11" s="375" t="s">
        <v>218</v>
      </c>
      <c r="T11" s="363" t="s">
        <v>215</v>
      </c>
      <c r="U11" s="375" t="s">
        <v>29</v>
      </c>
      <c r="V11" s="376" t="s">
        <v>219</v>
      </c>
      <c r="W11" s="375" t="s">
        <v>31</v>
      </c>
      <c r="X11" s="375" t="s">
        <v>33</v>
      </c>
      <c r="Y11" s="375" t="s">
        <v>220</v>
      </c>
      <c r="Z11" s="375"/>
      <c r="AA11" s="375"/>
      <c r="AB11" s="375"/>
      <c r="AC11" s="375"/>
      <c r="AD11" s="375"/>
      <c r="AE11" s="376" t="s">
        <v>221</v>
      </c>
      <c r="AF11" s="376" t="s">
        <v>222</v>
      </c>
      <c r="AG11" s="376" t="s">
        <v>215</v>
      </c>
      <c r="AH11" s="376" t="s">
        <v>223</v>
      </c>
      <c r="AI11" s="376" t="s">
        <v>215</v>
      </c>
      <c r="AJ11" s="376" t="s">
        <v>224</v>
      </c>
      <c r="AK11" s="376" t="s">
        <v>49</v>
      </c>
      <c r="AL11" s="375" t="s">
        <v>225</v>
      </c>
      <c r="AM11" s="375" t="s">
        <v>226</v>
      </c>
      <c r="AN11" s="375" t="s">
        <v>227</v>
      </c>
      <c r="AO11" s="375" t="s">
        <v>228</v>
      </c>
      <c r="AP11" s="375" t="s">
        <v>225</v>
      </c>
      <c r="AQ11" s="375" t="s">
        <v>227</v>
      </c>
      <c r="AR11" s="375" t="s">
        <v>226</v>
      </c>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row>
    <row r="12" spans="1:272" s="202" customFormat="1" ht="98.25" x14ac:dyDescent="0.25">
      <c r="A12" s="370"/>
      <c r="B12" s="371"/>
      <c r="C12" s="364"/>
      <c r="D12" s="364"/>
      <c r="E12" s="371"/>
      <c r="F12" s="364"/>
      <c r="G12" s="374"/>
      <c r="H12" s="374"/>
      <c r="I12" s="374"/>
      <c r="J12" s="374"/>
      <c r="K12" s="374"/>
      <c r="L12" s="239" t="s">
        <v>411</v>
      </c>
      <c r="M12" s="239" t="s">
        <v>232</v>
      </c>
      <c r="N12" s="375"/>
      <c r="O12" s="375"/>
      <c r="P12" s="363"/>
      <c r="Q12" s="375"/>
      <c r="R12" s="375"/>
      <c r="S12" s="363"/>
      <c r="T12" s="363"/>
      <c r="U12" s="375"/>
      <c r="V12" s="376"/>
      <c r="W12" s="375"/>
      <c r="X12" s="375"/>
      <c r="Y12" s="199" t="s">
        <v>233</v>
      </c>
      <c r="Z12" s="199" t="s">
        <v>234</v>
      </c>
      <c r="AA12" s="199" t="s">
        <v>235</v>
      </c>
      <c r="AB12" s="199" t="s">
        <v>236</v>
      </c>
      <c r="AC12" s="199" t="s">
        <v>237</v>
      </c>
      <c r="AD12" s="199" t="s">
        <v>238</v>
      </c>
      <c r="AE12" s="376"/>
      <c r="AF12" s="376"/>
      <c r="AG12" s="376"/>
      <c r="AH12" s="376"/>
      <c r="AI12" s="376"/>
      <c r="AJ12" s="376"/>
      <c r="AK12" s="376"/>
      <c r="AL12" s="375"/>
      <c r="AM12" s="375"/>
      <c r="AN12" s="375"/>
      <c r="AO12" s="375"/>
      <c r="AP12" s="375"/>
      <c r="AQ12" s="375"/>
      <c r="AR12" s="375"/>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c r="FU12" s="201"/>
      <c r="FV12" s="201"/>
      <c r="FW12" s="201"/>
      <c r="FX12" s="201"/>
      <c r="FY12" s="201"/>
      <c r="FZ12" s="201"/>
      <c r="GA12" s="201"/>
      <c r="GB12" s="201"/>
      <c r="GC12" s="201"/>
      <c r="GD12" s="201"/>
      <c r="GE12" s="201"/>
      <c r="GF12" s="201"/>
      <c r="GG12" s="201"/>
      <c r="GH12" s="201"/>
      <c r="GI12" s="201"/>
      <c r="GJ12" s="201"/>
      <c r="GK12" s="201"/>
      <c r="GL12" s="201"/>
      <c r="GM12" s="201"/>
      <c r="GN12" s="201"/>
      <c r="GO12" s="201"/>
      <c r="GP12" s="201"/>
      <c r="GQ12" s="201"/>
      <c r="GR12" s="201"/>
      <c r="GS12" s="201"/>
      <c r="GT12" s="201"/>
      <c r="GU12" s="201"/>
      <c r="GV12" s="201"/>
      <c r="GW12" s="201"/>
      <c r="GX12" s="201"/>
      <c r="GY12" s="201"/>
      <c r="GZ12" s="201"/>
      <c r="HA12" s="201"/>
      <c r="HB12" s="201"/>
      <c r="HC12" s="201"/>
      <c r="HD12" s="201"/>
      <c r="HE12" s="201"/>
      <c r="HF12" s="201"/>
      <c r="HG12" s="201"/>
      <c r="HH12" s="201"/>
      <c r="HI12" s="201"/>
      <c r="HJ12" s="201"/>
      <c r="HK12" s="201"/>
      <c r="HL12" s="201"/>
      <c r="HM12" s="201"/>
      <c r="HN12" s="201"/>
      <c r="HO12" s="201"/>
      <c r="HP12" s="201"/>
      <c r="HQ12" s="201"/>
      <c r="HR12" s="201"/>
      <c r="HS12" s="201"/>
      <c r="HT12" s="201"/>
      <c r="HU12" s="201"/>
      <c r="HV12" s="201"/>
      <c r="HW12" s="201"/>
      <c r="HX12" s="201"/>
      <c r="HY12" s="201"/>
      <c r="HZ12" s="201"/>
      <c r="IA12" s="201"/>
      <c r="IB12" s="201"/>
      <c r="IC12" s="201"/>
      <c r="ID12" s="201"/>
      <c r="IE12" s="201"/>
      <c r="IF12" s="201"/>
      <c r="IG12" s="201"/>
      <c r="IH12" s="201"/>
      <c r="II12" s="201"/>
      <c r="IJ12" s="201"/>
      <c r="IK12" s="201"/>
      <c r="IL12" s="201"/>
      <c r="IM12" s="201"/>
      <c r="IN12" s="201"/>
      <c r="IO12" s="201"/>
      <c r="IP12" s="201"/>
      <c r="IQ12" s="201"/>
      <c r="IR12" s="201"/>
      <c r="IS12" s="201"/>
      <c r="IT12" s="201"/>
      <c r="IU12" s="201"/>
      <c r="IV12" s="201"/>
      <c r="IW12" s="201"/>
      <c r="IX12" s="201"/>
      <c r="IY12" s="201"/>
      <c r="IZ12" s="201"/>
      <c r="JA12" s="201"/>
      <c r="JB12" s="201"/>
      <c r="JC12" s="201"/>
      <c r="JD12" s="201"/>
      <c r="JE12" s="201"/>
      <c r="JF12" s="201"/>
      <c r="JG12" s="201"/>
      <c r="JH12" s="201"/>
      <c r="JI12" s="201"/>
      <c r="JJ12" s="201"/>
      <c r="JK12" s="201"/>
      <c r="JL12" s="201"/>
    </row>
    <row r="13" spans="1:272" s="204" customFormat="1" x14ac:dyDescent="0.25">
      <c r="A13" s="328">
        <v>1</v>
      </c>
      <c r="B13" s="329"/>
      <c r="C13" s="329"/>
      <c r="D13" s="329"/>
      <c r="E13" s="372"/>
      <c r="F13" s="329"/>
      <c r="G13" s="342"/>
      <c r="H13" s="342"/>
      <c r="I13" s="342"/>
      <c r="J13" s="342"/>
      <c r="K13" s="342"/>
      <c r="L13" s="342"/>
      <c r="M13" s="342"/>
      <c r="N13" s="339"/>
      <c r="O13" s="340" t="str">
        <f>IF(N13&lt;=0,"",IF(N13&lt;=2,"Muy Baja",IF(N13&lt;=24,"Baja",IF(N13&lt;=500,"Media",IF(N13&lt;=5000,"Alta","Muy Alta")))))</f>
        <v/>
      </c>
      <c r="P13" s="341" t="str">
        <f>IF(O13="","",IF(O13="Muy Baja",0.2,IF(O13="Baja",0.4,IF(O13="Media",0.6,IF(O13="Alta",0.8,IF(O13="Muy Alta",1,))))))</f>
        <v/>
      </c>
      <c r="Q13" s="359"/>
      <c r="R13" s="341">
        <f>IF(NOT(ISERROR(MATCH(Q13,'Tabla Impacto'!$B$222:$B$224,0))),'Tabla Impacto'!$F$224&amp;"Por favor no seleccionar los criterios de impacto(Afectación Económica o presupuestal y Pérdida Reputacional)",Q13)</f>
        <v>0</v>
      </c>
      <c r="S13" s="340" t="str">
        <f>IF(OR(R13='Tabla Impacto'!$C$12,R13='Tabla Impacto'!$D$12),"Leve",IF(OR(R13='Tabla Impacto'!$C$13,R13='Tabla Impacto'!$D$13),"Menor",IF(OR(R13='Tabla Impacto'!$C$14,R13='Tabla Impacto'!$D$14),"Moderado",IF(OR(R13='Tabla Impacto'!$C$15,R13='Tabla Impacto'!$D$15),"Mayor",IF(OR(R13='Tabla Impacto'!$C$16,R13='Tabla Impacto'!$D$16),"Catastrófico","")))))</f>
        <v/>
      </c>
      <c r="T13" s="341" t="str">
        <f>IF(S13="","",IF(S13="Leve",0.2,IF(S13="Menor",0.4,IF(S13="Moderado",0.6,IF(S13="Mayor",0.8,IF(S13="Catastrófico",1,))))))</f>
        <v/>
      </c>
      <c r="U13" s="358" t="str">
        <f>IF(OR(AND(O13="Muy Baja",S13="Leve"),AND(O13="Muy Baja",S13="Menor"),AND(O13="Baja",S13="Leve")),"Bajo",IF(OR(AND(O13="Muy baja",S13="Moderado"),AND(O13="Baja",S13="Menor"),AND(O13="Baja",S13="Moderado"),AND(O13="Media",S13="Leve"),AND(O13="Media",S13="Menor"),AND(O13="Media",S13="Moderado"),AND(O13="Alta",S13="Leve"),AND(O13="Alta",S13="Menor")),"Moderado",IF(OR(AND(O13="Muy Baja",S13="Mayor"),AND(O13="Baja",S13="Mayor"),AND(O13="Media",S13="Mayor"),AND(O13="Alta",S13="Moderado"),AND(O13="Alta",S13="Mayor"),AND(O13="Muy Alta",S13="Leve"),AND(O13="Muy Alta",S13="Menor"),AND(O13="Muy Alta",S13="Moderado"),AND(O13="Muy Alta",S13="Mayor")),"Alto",IF(OR(AND(O13="Muy Baja",S13="Catastrófico"),AND(O13="Baja",S13="Catastrófico"),AND(O13="Media",S13="Catastrófico"),AND(O13="Alta",S13="Catastrófico"),AND(O13="Muy Alta",S13="Catastrófico")),"Extremo",""))))</f>
        <v/>
      </c>
      <c r="V13" s="203">
        <v>1</v>
      </c>
      <c r="W13" s="229"/>
      <c r="X13" s="178" t="str">
        <f t="shared" ref="X13:X16" si="0">IF(OR(Y13="Preventivo",Y13="Detectivo"),"Probabilidad",IF(Y13="Correctivo","Impacto",""))</f>
        <v/>
      </c>
      <c r="Y13" s="179"/>
      <c r="Z13" s="179"/>
      <c r="AA13" s="180" t="str">
        <f>IF(AND(Y13="Preventivo",Z13="Automático"),"50%",IF(AND(Y13="Preventivo",Z13="Manual"),"40%",IF(AND(Y13="Detectivo",Z13="Automático"),"40%",IF(AND(Y13="Detectivo",Z13="Manual"),"30%",IF(AND(Y13="Correctivo",Z13="Automático"),"35%",IF(AND(Y13="Correctivo",Z13="Manual"),"25%",""))))))</f>
        <v/>
      </c>
      <c r="AB13" s="179"/>
      <c r="AC13" s="179"/>
      <c r="AD13" s="179"/>
      <c r="AE13" s="181" t="str">
        <f>IFERROR(IF(X13="Probabilidad",(P13-(+P13*AA13)),IF(X13="Impacto",P13,"")),"")</f>
        <v/>
      </c>
      <c r="AF13" s="182" t="str">
        <f>IFERROR(IF(AE13="","",IF(AE13&lt;=0.2,"Muy Baja",IF(AE13&lt;=0.4,"Baja",IF(AE13&lt;=0.6,"Media",IF(AE13&lt;=0.8,"Alta","Muy Alta"))))),"")</f>
        <v/>
      </c>
      <c r="AG13" s="180" t="str">
        <f>+AE13</f>
        <v/>
      </c>
      <c r="AH13" s="182" t="str">
        <f>IFERROR(IF(AI13="","",IF(AI13&lt;=0.2,"Leve",IF(AI13&lt;=0.4,"Menor",IF(AI13&lt;=0.6,"Moderado",IF(AI13&lt;=0.8,"Mayor","Catastrófico"))))),"")</f>
        <v/>
      </c>
      <c r="AI13" s="180" t="str">
        <f>IFERROR(IF(X13="Impacto",(T13-(+T13*AA13)),IF(X13="Probabilidad",T13,"")),"")</f>
        <v/>
      </c>
      <c r="AJ13" s="183" t="str">
        <f>IFERROR(IF(OR(AND(AF13="Muy Baja",AH13="Leve"),AND(AF13="Muy Baja",AH13="Menor"),AND(AF13="Baja",AH13="Leve")),"Bajo",IF(OR(AND(AF13="Muy baja",AH13="Moderado"),AND(AF13="Baja",AH13="Menor"),AND(AF13="Baja",AH13="Moderado"),AND(AF13="Media",AH13="Leve"),AND(AF13="Media",AH13="Menor"),AND(AF13="Media",AH13="Moderado"),AND(AF13="Alta",AH13="Leve"),AND(AF13="Alta",AH13="Menor")),"Moderado",IF(OR(AND(AF13="Muy Baja",AH13="Mayor"),AND(AF13="Baja",AH13="Mayor"),AND(AF13="Media",AH13="Mayor"),AND(AF13="Alta",AH13="Moderado"),AND(AF13="Alta",AH13="Mayor"),AND(AF13="Muy Alta",AH13="Leve"),AND(AF13="Muy Alta",AH13="Menor"),AND(AF13="Muy Alta",AH13="Moderado"),AND(AF13="Muy Alta",AH13="Mayor")),"Alto",IF(OR(AND(AF13="Muy Baja",AH13="Catastrófico"),AND(AF13="Baja",AH13="Catastrófico"),AND(AF13="Media",AH13="Catastrófico"),AND(AF13="Alta",AH13="Catastrófico"),AND(AF13="Muy Alta",AH13="Catastrófico")),"Extremo","")))),"")</f>
        <v/>
      </c>
      <c r="AK13" s="184"/>
      <c r="AL13" s="175"/>
      <c r="AM13" s="185"/>
      <c r="AN13" s="185"/>
      <c r="AO13" s="186"/>
      <c r="AP13" s="329"/>
      <c r="AQ13" s="329"/>
      <c r="AR13" s="329"/>
    </row>
    <row r="14" spans="1:272" ht="19.5" customHeight="1" x14ac:dyDescent="0.2">
      <c r="A14" s="328"/>
      <c r="B14" s="329"/>
      <c r="C14" s="329"/>
      <c r="D14" s="329"/>
      <c r="E14" s="372"/>
      <c r="F14" s="329"/>
      <c r="G14" s="343"/>
      <c r="H14" s="343"/>
      <c r="I14" s="343"/>
      <c r="J14" s="343"/>
      <c r="K14" s="343"/>
      <c r="L14" s="343"/>
      <c r="M14" s="343"/>
      <c r="N14" s="339"/>
      <c r="O14" s="340"/>
      <c r="P14" s="341"/>
      <c r="Q14" s="359"/>
      <c r="R14" s="341">
        <f>IF(NOT(ISERROR(MATCH(Q14,_xlfn.ANCHORARRAY(E25),0))),P27&amp;"Por favor no seleccionar los criterios de impacto",Q14)</f>
        <v>0</v>
      </c>
      <c r="S14" s="340"/>
      <c r="T14" s="341"/>
      <c r="U14" s="358"/>
      <c r="V14" s="203">
        <v>2</v>
      </c>
      <c r="W14" s="229"/>
      <c r="X14" s="178" t="str">
        <f t="shared" si="0"/>
        <v/>
      </c>
      <c r="Y14" s="179"/>
      <c r="Z14" s="179"/>
      <c r="AA14" s="180" t="str">
        <f t="shared" ref="AA14:AA18" si="1">IF(AND(Y14="Preventivo",Z14="Automático"),"50%",IF(AND(Y14="Preventivo",Z14="Manual"),"40%",IF(AND(Y14="Detectivo",Z14="Automático"),"40%",IF(AND(Y14="Detectivo",Z14="Manual"),"30%",IF(AND(Y14="Correctivo",Z14="Automático"),"35%",IF(AND(Y14="Correctivo",Z14="Manual"),"25%",""))))))</f>
        <v/>
      </c>
      <c r="AB14" s="179"/>
      <c r="AC14" s="179"/>
      <c r="AD14" s="179"/>
      <c r="AE14" s="181" t="str">
        <f>IFERROR(IF(AND(X13="Probabilidad",X14="Probabilidad"),(AG13-(+AG13*AA14)),IF(X14="Probabilidad",(P13-(+P13*AA14)),IF(X14="Impacto",AG13,""))),"")</f>
        <v/>
      </c>
      <c r="AF14" s="182" t="str">
        <f t="shared" ref="AF14:AF72" si="2">IFERROR(IF(AE14="","",IF(AE14&lt;=0.2,"Muy Baja",IF(AE14&lt;=0.4,"Baja",IF(AE14&lt;=0.6,"Media",IF(AE14&lt;=0.8,"Alta","Muy Alta"))))),"")</f>
        <v/>
      </c>
      <c r="AG14" s="180" t="str">
        <f t="shared" ref="AG14:AG18" si="3">+AE14</f>
        <v/>
      </c>
      <c r="AH14" s="182" t="str">
        <f t="shared" ref="AH14:AH72" si="4">IFERROR(IF(AI14="","",IF(AI14&lt;=0.2,"Leve",IF(AI14&lt;=0.4,"Menor",IF(AI14&lt;=0.6,"Moderado",IF(AI14&lt;=0.8,"Mayor","Catastrófico"))))),"")</f>
        <v/>
      </c>
      <c r="AI14" s="180" t="str">
        <f>IFERROR(IF(AND(X13="Impacto",X14="Impacto"),(AI13-(+AI13*AA14)),IF(X14="Impacto",($T$13-(+$T$13*AA14)),IF(X14="Probabilidad",AI13,""))),"")</f>
        <v/>
      </c>
      <c r="AJ14" s="183" t="str">
        <f t="shared" ref="AJ14:AJ18" si="5">IFERROR(IF(OR(AND(AF14="Muy Baja",AH14="Leve"),AND(AF14="Muy Baja",AH14="Menor"),AND(AF14="Baja",AH14="Leve")),"Bajo",IF(OR(AND(AF14="Muy baja",AH14="Moderado"),AND(AF14="Baja",AH14="Menor"),AND(AF14="Baja",AH14="Moderado"),AND(AF14="Media",AH14="Leve"),AND(AF14="Media",AH14="Menor"),AND(AF14="Media",AH14="Moderado"),AND(AF14="Alta",AH14="Leve"),AND(AF14="Alta",AH14="Menor")),"Moderado",IF(OR(AND(AF14="Muy Baja",AH14="Mayor"),AND(AF14="Baja",AH14="Mayor"),AND(AF14="Media",AH14="Mayor"),AND(AF14="Alta",AH14="Moderado"),AND(AF14="Alta",AH14="Mayor"),AND(AF14="Muy Alta",AH14="Leve"),AND(AF14="Muy Alta",AH14="Menor"),AND(AF14="Muy Alta",AH14="Moderado"),AND(AF14="Muy Alta",AH14="Mayor")),"Alto",IF(OR(AND(AF14="Muy Baja",AH14="Catastrófico"),AND(AF14="Baja",AH14="Catastrófico"),AND(AF14="Media",AH14="Catastrófico"),AND(AF14="Alta",AH14="Catastrófico"),AND(AF14="Muy Alta",AH14="Catastrófico")),"Extremo","")))),"")</f>
        <v/>
      </c>
      <c r="AK14" s="184"/>
      <c r="AL14" s="175"/>
      <c r="AM14" s="185"/>
      <c r="AN14" s="175"/>
      <c r="AO14" s="186"/>
      <c r="AP14" s="329"/>
      <c r="AQ14" s="329"/>
      <c r="AR14" s="329"/>
    </row>
    <row r="15" spans="1:272" x14ac:dyDescent="0.2">
      <c r="A15" s="328"/>
      <c r="B15" s="329"/>
      <c r="C15" s="329"/>
      <c r="D15" s="329"/>
      <c r="E15" s="372"/>
      <c r="F15" s="329"/>
      <c r="G15" s="343"/>
      <c r="H15" s="343"/>
      <c r="I15" s="343"/>
      <c r="J15" s="343"/>
      <c r="K15" s="343"/>
      <c r="L15" s="343"/>
      <c r="M15" s="343"/>
      <c r="N15" s="339"/>
      <c r="O15" s="340"/>
      <c r="P15" s="341"/>
      <c r="Q15" s="359"/>
      <c r="R15" s="341">
        <f>IF(NOT(ISERROR(MATCH(Q15,_xlfn.ANCHORARRAY(E26),0))),P28&amp;"Por favor no seleccionar los criterios de impacto",Q15)</f>
        <v>0</v>
      </c>
      <c r="S15" s="340"/>
      <c r="T15" s="341"/>
      <c r="U15" s="358"/>
      <c r="V15" s="203">
        <v>3</v>
      </c>
      <c r="W15" s="177"/>
      <c r="X15" s="178" t="str">
        <f t="shared" si="0"/>
        <v/>
      </c>
      <c r="Y15" s="179"/>
      <c r="Z15" s="179"/>
      <c r="AA15" s="180" t="str">
        <f t="shared" si="1"/>
        <v/>
      </c>
      <c r="AB15" s="179"/>
      <c r="AC15" s="179"/>
      <c r="AD15" s="179"/>
      <c r="AE15" s="181" t="str">
        <f>IFERROR(IF(AND(X14="Probabilidad",X15="Probabilidad"),(AG14-(+AG14*AA15)),IF(AND(X14="Impacto",X15="Probabilidad"),(AG13-(+AG13*AA15)),IF(X15="Impacto",AG14,""))),"")</f>
        <v/>
      </c>
      <c r="AF15" s="182" t="str">
        <f t="shared" si="2"/>
        <v/>
      </c>
      <c r="AG15" s="180" t="str">
        <f t="shared" si="3"/>
        <v/>
      </c>
      <c r="AH15" s="182" t="str">
        <f t="shared" si="4"/>
        <v/>
      </c>
      <c r="AI15" s="180" t="str">
        <f>IFERROR(IF(AND(X14="Impacto",X15="Impacto"),(AI14-(+AI14*AA15)),IF(AND(X14="Probabilidad",X15="Impacto"),(AI13-(+AI13*AA15)),IF(X15="Probabilidad",AI14,""))),"")</f>
        <v/>
      </c>
      <c r="AJ15" s="183" t="str">
        <f t="shared" si="5"/>
        <v/>
      </c>
      <c r="AK15" s="184"/>
      <c r="AL15" s="175"/>
      <c r="AM15" s="185"/>
      <c r="AN15" s="185"/>
      <c r="AO15" s="186"/>
      <c r="AP15" s="329"/>
      <c r="AQ15" s="329"/>
      <c r="AR15" s="329"/>
    </row>
    <row r="16" spans="1:272" x14ac:dyDescent="0.2">
      <c r="A16" s="328"/>
      <c r="B16" s="329"/>
      <c r="C16" s="329"/>
      <c r="D16" s="329"/>
      <c r="E16" s="372"/>
      <c r="F16" s="329"/>
      <c r="G16" s="343"/>
      <c r="H16" s="343"/>
      <c r="I16" s="343"/>
      <c r="J16" s="343"/>
      <c r="K16" s="343"/>
      <c r="L16" s="343"/>
      <c r="M16" s="343"/>
      <c r="N16" s="339"/>
      <c r="O16" s="340"/>
      <c r="P16" s="341"/>
      <c r="Q16" s="359"/>
      <c r="R16" s="341">
        <f>IF(NOT(ISERROR(MATCH(Q16,_xlfn.ANCHORARRAY(E27),0))),P29&amp;"Por favor no seleccionar los criterios de impacto",Q16)</f>
        <v>0</v>
      </c>
      <c r="S16" s="340"/>
      <c r="T16" s="341"/>
      <c r="U16" s="358"/>
      <c r="V16" s="203">
        <v>4</v>
      </c>
      <c r="W16" s="176"/>
      <c r="X16" s="178" t="str">
        <f t="shared" si="0"/>
        <v/>
      </c>
      <c r="Y16" s="179"/>
      <c r="Z16" s="179"/>
      <c r="AA16" s="180" t="str">
        <f t="shared" si="1"/>
        <v/>
      </c>
      <c r="AB16" s="179"/>
      <c r="AC16" s="179"/>
      <c r="AD16" s="179"/>
      <c r="AE16" s="181" t="str">
        <f t="shared" ref="AE16:AE18" si="6">IFERROR(IF(AND(X15="Probabilidad",X16="Probabilidad"),(AG15-(+AG15*AA16)),IF(AND(X15="Impacto",X16="Probabilidad"),(AG14-(+AG14*AA16)),IF(X16="Impacto",AG15,""))),"")</f>
        <v/>
      </c>
      <c r="AF16" s="182" t="str">
        <f t="shared" si="2"/>
        <v/>
      </c>
      <c r="AG16" s="180" t="str">
        <f t="shared" si="3"/>
        <v/>
      </c>
      <c r="AH16" s="182" t="str">
        <f t="shared" si="4"/>
        <v/>
      </c>
      <c r="AI16" s="180" t="str">
        <f t="shared" ref="AI16:AI18" si="7">IFERROR(IF(AND(X15="Impacto",X16="Impacto"),(AI15-(+AI15*AA16)),IF(AND(X15="Probabilidad",X16="Impacto"),(AI14-(+AI14*AA16)),IF(X16="Probabilidad",AI15,""))),"")</f>
        <v/>
      </c>
      <c r="AJ16" s="183" t="str">
        <f>IFERROR(IF(OR(AND(AF16="Muy Baja",AH16="Leve"),AND(AF16="Muy Baja",AH16="Menor"),AND(AF16="Baja",AH16="Leve")),"Bajo",IF(OR(AND(AF16="Muy baja",AH16="Moderado"),AND(AF16="Baja",AH16="Menor"),AND(AF16="Baja",AH16="Moderado"),AND(AF16="Media",AH16="Leve"),AND(AF16="Media",AH16="Menor"),AND(AF16="Media",AH16="Moderado"),AND(AF16="Alta",AH16="Leve"),AND(AF16="Alta",AH16="Menor")),"Moderado",IF(OR(AND(AF16="Muy Baja",AH16="Mayor"),AND(AF16="Baja",AH16="Mayor"),AND(AF16="Media",AH16="Mayor"),AND(AF16="Alta",AH16="Moderado"),AND(AF16="Alta",AH16="Mayor"),AND(AF16="Muy Alta",AH16="Leve"),AND(AF16="Muy Alta",AH16="Menor"),AND(AF16="Muy Alta",AH16="Moderado"),AND(AF16="Muy Alta",AH16="Mayor")),"Alto",IF(OR(AND(AF16="Muy Baja",AH16="Catastrófico"),AND(AF16="Baja",AH16="Catastrófico"),AND(AF16="Media",AH16="Catastrófico"),AND(AF16="Alta",AH16="Catastrófico"),AND(AF16="Muy Alta",AH16="Catastrófico")),"Extremo","")))),"")</f>
        <v/>
      </c>
      <c r="AK16" s="184"/>
      <c r="AL16" s="175"/>
      <c r="AM16" s="185"/>
      <c r="AN16" s="185"/>
      <c r="AO16" s="186"/>
      <c r="AP16" s="329"/>
      <c r="AQ16" s="329"/>
      <c r="AR16" s="329"/>
    </row>
    <row r="17" spans="1:44" x14ac:dyDescent="0.2">
      <c r="A17" s="328"/>
      <c r="B17" s="329"/>
      <c r="C17" s="329"/>
      <c r="D17" s="329"/>
      <c r="E17" s="372"/>
      <c r="F17" s="329"/>
      <c r="G17" s="343"/>
      <c r="H17" s="343"/>
      <c r="I17" s="343"/>
      <c r="J17" s="343"/>
      <c r="K17" s="343"/>
      <c r="L17" s="343"/>
      <c r="M17" s="343"/>
      <c r="N17" s="339"/>
      <c r="O17" s="340"/>
      <c r="P17" s="341"/>
      <c r="Q17" s="359"/>
      <c r="R17" s="341">
        <f>IF(NOT(ISERROR(MATCH(Q17,_xlfn.ANCHORARRAY(E28),0))),P30&amp;"Por favor no seleccionar los criterios de impacto",Q17)</f>
        <v>0</v>
      </c>
      <c r="S17" s="340"/>
      <c r="T17" s="341"/>
      <c r="U17" s="358"/>
      <c r="V17" s="203">
        <v>5</v>
      </c>
      <c r="W17" s="176"/>
      <c r="X17" s="178" t="str">
        <f t="shared" ref="X17:X18" si="8">IF(OR(Y17="Preventivo",Y17="Detectivo"),"Probabilidad",IF(Y17="Correctivo","Impacto",""))</f>
        <v/>
      </c>
      <c r="Y17" s="179"/>
      <c r="Z17" s="179"/>
      <c r="AA17" s="180" t="str">
        <f t="shared" si="1"/>
        <v/>
      </c>
      <c r="AB17" s="179"/>
      <c r="AC17" s="179"/>
      <c r="AD17" s="179"/>
      <c r="AE17" s="181" t="str">
        <f t="shared" si="6"/>
        <v/>
      </c>
      <c r="AF17" s="182" t="str">
        <f t="shared" si="2"/>
        <v/>
      </c>
      <c r="AG17" s="180" t="str">
        <f t="shared" si="3"/>
        <v/>
      </c>
      <c r="AH17" s="182" t="str">
        <f t="shared" si="4"/>
        <v/>
      </c>
      <c r="AI17" s="180" t="str">
        <f t="shared" si="7"/>
        <v/>
      </c>
      <c r="AJ17" s="183" t="str">
        <f t="shared" si="5"/>
        <v/>
      </c>
      <c r="AK17" s="184"/>
      <c r="AL17" s="175"/>
      <c r="AM17" s="185"/>
      <c r="AN17" s="185"/>
      <c r="AO17" s="186"/>
      <c r="AP17" s="329"/>
      <c r="AQ17" s="329"/>
      <c r="AR17" s="329"/>
    </row>
    <row r="18" spans="1:44" x14ac:dyDescent="0.2">
      <c r="A18" s="328"/>
      <c r="B18" s="329"/>
      <c r="C18" s="329"/>
      <c r="D18" s="329"/>
      <c r="E18" s="372"/>
      <c r="F18" s="329"/>
      <c r="G18" s="344"/>
      <c r="H18" s="344"/>
      <c r="I18" s="344"/>
      <c r="J18" s="344"/>
      <c r="K18" s="344"/>
      <c r="L18" s="344"/>
      <c r="M18" s="344"/>
      <c r="N18" s="339"/>
      <c r="O18" s="340"/>
      <c r="P18" s="341"/>
      <c r="Q18" s="359"/>
      <c r="R18" s="341">
        <f>IF(NOT(ISERROR(MATCH(Q18,_xlfn.ANCHORARRAY(E29),0))),P31&amp;"Por favor no seleccionar los criterios de impacto",Q18)</f>
        <v>0</v>
      </c>
      <c r="S18" s="340"/>
      <c r="T18" s="341"/>
      <c r="U18" s="358"/>
      <c r="V18" s="203">
        <v>6</v>
      </c>
      <c r="W18" s="176"/>
      <c r="X18" s="178" t="str">
        <f t="shared" si="8"/>
        <v/>
      </c>
      <c r="Y18" s="179"/>
      <c r="Z18" s="179"/>
      <c r="AA18" s="180" t="str">
        <f t="shared" si="1"/>
        <v/>
      </c>
      <c r="AB18" s="179"/>
      <c r="AC18" s="179"/>
      <c r="AD18" s="179"/>
      <c r="AE18" s="181" t="str">
        <f t="shared" si="6"/>
        <v/>
      </c>
      <c r="AF18" s="182" t="str">
        <f t="shared" si="2"/>
        <v/>
      </c>
      <c r="AG18" s="180" t="str">
        <f t="shared" si="3"/>
        <v/>
      </c>
      <c r="AH18" s="182" t="str">
        <f t="shared" si="4"/>
        <v/>
      </c>
      <c r="AI18" s="180" t="str">
        <f t="shared" si="7"/>
        <v/>
      </c>
      <c r="AJ18" s="183" t="str">
        <f t="shared" si="5"/>
        <v/>
      </c>
      <c r="AK18" s="184"/>
      <c r="AL18" s="175"/>
      <c r="AM18" s="185"/>
      <c r="AN18" s="185"/>
      <c r="AO18" s="186"/>
      <c r="AP18" s="329"/>
      <c r="AQ18" s="329"/>
      <c r="AR18" s="329"/>
    </row>
    <row r="19" spans="1:44" x14ac:dyDescent="0.2">
      <c r="A19" s="328">
        <v>2</v>
      </c>
      <c r="B19" s="329"/>
      <c r="C19" s="329"/>
      <c r="D19" s="329"/>
      <c r="E19" s="372"/>
      <c r="F19" s="329"/>
      <c r="G19" s="342"/>
      <c r="H19" s="342"/>
      <c r="I19" s="342"/>
      <c r="J19" s="342"/>
      <c r="K19" s="342"/>
      <c r="L19" s="342"/>
      <c r="M19" s="342"/>
      <c r="N19" s="339"/>
      <c r="O19" s="340" t="str">
        <f>IF(N19&lt;=0,"",IF(N19&lt;=2,"Muy Baja",IF(N19&lt;=24,"Baja",IF(N19&lt;=500,"Media",IF(N19&lt;=5000,"Alta","Muy Alta")))))</f>
        <v/>
      </c>
      <c r="P19" s="341" t="str">
        <f>IF(O19="","",IF(O19="Muy Baja",0.2,IF(O19="Baja",0.4,IF(O19="Media",0.6,IF(O19="Alta",0.8,IF(O19="Muy Alta",1,))))))</f>
        <v/>
      </c>
      <c r="Q19" s="359"/>
      <c r="R19" s="341">
        <f>IF(NOT(ISERROR(MATCH(Q19,'Tabla Impacto'!$B$222:$B$224,0))),'Tabla Impacto'!$F$224&amp;"Por favor no seleccionar los criterios de impacto(Afectación Económica o presupuestal y Pérdida Reputacional)",Q19)</f>
        <v>0</v>
      </c>
      <c r="S19" s="340" t="str">
        <f>IF(OR(R19='Tabla Impacto'!$C$12,R19='Tabla Impacto'!$D$12),"Leve",IF(OR(R19='Tabla Impacto'!$C$13,R19='Tabla Impacto'!$D$13),"Menor",IF(OR(R19='Tabla Impacto'!$C$14,R19='Tabla Impacto'!$D$14),"Moderado",IF(OR(R19='Tabla Impacto'!$C$15,R19='Tabla Impacto'!$D$15),"Mayor",IF(OR(R19='Tabla Impacto'!$C$16,R19='Tabla Impacto'!$D$16),"Catastrófico","")))))</f>
        <v/>
      </c>
      <c r="T19" s="341" t="str">
        <f>IF(S19="","",IF(S19="Leve",0.2,IF(S19="Menor",0.4,IF(S19="Moderado",0.6,IF(S19="Mayor",0.8,IF(S19="Catastrófico",1,))))))</f>
        <v/>
      </c>
      <c r="U19" s="358" t="str">
        <f>IF(OR(AND(O19="Muy Baja",S19="Leve"),AND(O19="Muy Baja",S19="Menor"),AND(O19="Baja",S19="Leve")),"Bajo",IF(OR(AND(O19="Muy baja",S19="Moderado"),AND(O19="Baja",S19="Menor"),AND(O19="Baja",S19="Moderado"),AND(O19="Media",S19="Leve"),AND(O19="Media",S19="Menor"),AND(O19="Media",S19="Moderado"),AND(O19="Alta",S19="Leve"),AND(O19="Alta",S19="Menor")),"Moderado",IF(OR(AND(O19="Muy Baja",S19="Mayor"),AND(O19="Baja",S19="Mayor"),AND(O19="Media",S19="Mayor"),AND(O19="Alta",S19="Moderado"),AND(O19="Alta",S19="Mayor"),AND(O19="Muy Alta",S19="Leve"),AND(O19="Muy Alta",S19="Menor"),AND(O19="Muy Alta",S19="Moderado"),AND(O19="Muy Alta",S19="Mayor")),"Alto",IF(OR(AND(O19="Muy Baja",S19="Catastrófico"),AND(O19="Baja",S19="Catastrófico"),AND(O19="Media",S19="Catastrófico"),AND(O19="Alta",S19="Catastrófico"),AND(O19="Muy Alta",S19="Catastrófico")),"Extremo",""))))</f>
        <v/>
      </c>
      <c r="V19" s="203">
        <v>1</v>
      </c>
      <c r="W19" s="176"/>
      <c r="X19" s="178" t="str">
        <f>IF(OR(Y19="Preventivo",Y19="Detectivo"),"Probabilidad",IF(Y19="Correctivo","Impacto",""))</f>
        <v/>
      </c>
      <c r="Y19" s="179"/>
      <c r="Z19" s="179"/>
      <c r="AA19" s="180" t="str">
        <f>IF(AND(Y19="Preventivo",Z19="Automático"),"50%",IF(AND(Y19="Preventivo",Z19="Manual"),"40%",IF(AND(Y19="Detectivo",Z19="Automático"),"40%",IF(AND(Y19="Detectivo",Z19="Manual"),"30%",IF(AND(Y19="Correctivo",Z19="Automático"),"35%",IF(AND(Y19="Correctivo",Z19="Manual"),"25%",""))))))</f>
        <v/>
      </c>
      <c r="AB19" s="179"/>
      <c r="AC19" s="179"/>
      <c r="AD19" s="179"/>
      <c r="AE19" s="181" t="str">
        <f>IFERROR(IF(X19="Probabilidad",(P19-(+P19*AA19)),IF(X19="Impacto",P19,"")),"")</f>
        <v/>
      </c>
      <c r="AF19" s="182" t="str">
        <f>IFERROR(IF(AE19="","",IF(AE19&lt;=0.2,"Muy Baja",IF(AE19&lt;=0.4,"Baja",IF(AE19&lt;=0.6,"Media",IF(AE19&lt;=0.8,"Alta","Muy Alta"))))),"")</f>
        <v/>
      </c>
      <c r="AG19" s="180" t="str">
        <f>+AE19</f>
        <v/>
      </c>
      <c r="AH19" s="182" t="str">
        <f>IFERROR(IF(AI19="","",IF(AI19&lt;=0.2,"Leve",IF(AI19&lt;=0.4,"Menor",IF(AI19&lt;=0.6,"Moderado",IF(AI19&lt;=0.8,"Mayor","Catastrófico"))))),"")</f>
        <v/>
      </c>
      <c r="AI19" s="180" t="str">
        <f t="shared" ref="AI19" si="9">IFERROR(IF(X19="Impacto",(T19-(+T19*AA19)),IF(X19="Probabilidad",T19,"")),"")</f>
        <v/>
      </c>
      <c r="AJ19" s="183" t="str">
        <f>IFERROR(IF(OR(AND(AF19="Muy Baja",AH19="Leve"),AND(AF19="Muy Baja",AH19="Menor"),AND(AF19="Baja",AH19="Leve")),"Bajo",IF(OR(AND(AF19="Muy baja",AH19="Moderado"),AND(AF19="Baja",AH19="Menor"),AND(AF19="Baja",AH19="Moderado"),AND(AF19="Media",AH19="Leve"),AND(AF19="Media",AH19="Menor"),AND(AF19="Media",AH19="Moderado"),AND(AF19="Alta",AH19="Leve"),AND(AF19="Alta",AH19="Menor")),"Moderado",IF(OR(AND(AF19="Muy Baja",AH19="Mayor"),AND(AF19="Baja",AH19="Mayor"),AND(AF19="Media",AH19="Mayor"),AND(AF19="Alta",AH19="Moderado"),AND(AF19="Alta",AH19="Mayor"),AND(AF19="Muy Alta",AH19="Leve"),AND(AF19="Muy Alta",AH19="Menor"),AND(AF19="Muy Alta",AH19="Moderado"),AND(AF19="Muy Alta",AH19="Mayor")),"Alto",IF(OR(AND(AF19="Muy Baja",AH19="Catastrófico"),AND(AF19="Baja",AH19="Catastrófico"),AND(AF19="Media",AH19="Catastrófico"),AND(AF19="Alta",AH19="Catastrófico"),AND(AF19="Muy Alta",AH19="Catastrófico")),"Extremo","")))),"")</f>
        <v/>
      </c>
      <c r="AK19" s="184"/>
      <c r="AL19" s="175"/>
      <c r="AM19" s="185"/>
      <c r="AN19" s="185"/>
      <c r="AO19" s="186"/>
      <c r="AP19" s="339"/>
      <c r="AQ19" s="339"/>
      <c r="AR19" s="339"/>
    </row>
    <row r="20" spans="1:44" x14ac:dyDescent="0.2">
      <c r="A20" s="328"/>
      <c r="B20" s="329"/>
      <c r="C20" s="329"/>
      <c r="D20" s="329"/>
      <c r="E20" s="372"/>
      <c r="F20" s="329"/>
      <c r="G20" s="343"/>
      <c r="H20" s="343"/>
      <c r="I20" s="343"/>
      <c r="J20" s="343"/>
      <c r="K20" s="343"/>
      <c r="L20" s="343"/>
      <c r="M20" s="343"/>
      <c r="N20" s="339"/>
      <c r="O20" s="340"/>
      <c r="P20" s="341"/>
      <c r="Q20" s="359"/>
      <c r="R20" s="341">
        <f>IF(NOT(ISERROR(MATCH(Q20,_xlfn.ANCHORARRAY(E31),0))),P33&amp;"Por favor no seleccionar los criterios de impacto",Q20)</f>
        <v>0</v>
      </c>
      <c r="S20" s="340"/>
      <c r="T20" s="341"/>
      <c r="U20" s="358"/>
      <c r="V20" s="203">
        <v>2</v>
      </c>
      <c r="W20" s="176"/>
      <c r="X20" s="178" t="str">
        <f>IF(OR(Y20="Preventivo",Y20="Detectivo"),"Probabilidad",IF(Y20="Correctivo","Impacto",""))</f>
        <v/>
      </c>
      <c r="Y20" s="179"/>
      <c r="Z20" s="179"/>
      <c r="AA20" s="180" t="str">
        <f t="shared" ref="AA20:AA24" si="10">IF(AND(Y20="Preventivo",Z20="Automático"),"50%",IF(AND(Y20="Preventivo",Z20="Manual"),"40%",IF(AND(Y20="Detectivo",Z20="Automático"),"40%",IF(AND(Y20="Detectivo",Z20="Manual"),"30%",IF(AND(Y20="Correctivo",Z20="Automático"),"35%",IF(AND(Y20="Correctivo",Z20="Manual"),"25%",""))))))</f>
        <v/>
      </c>
      <c r="AB20" s="179"/>
      <c r="AC20" s="179"/>
      <c r="AD20" s="179"/>
      <c r="AE20" s="181" t="str">
        <f>IFERROR(IF(AND(X19="Probabilidad",X20="Probabilidad"),(AG19-(+AG19*AA20)),IF(X20="Probabilidad",(P19-(+P19*AA20)),IF(X20="Impacto",AG19,""))),"")</f>
        <v/>
      </c>
      <c r="AF20" s="182" t="str">
        <f t="shared" si="2"/>
        <v/>
      </c>
      <c r="AG20" s="180" t="str">
        <f t="shared" ref="AG20:AG24" si="11">+AE20</f>
        <v/>
      </c>
      <c r="AH20" s="182" t="str">
        <f t="shared" si="4"/>
        <v/>
      </c>
      <c r="AI20" s="180" t="str">
        <f t="shared" ref="AI20" si="12">IFERROR(IF(AND(X19="Impacto",X20="Impacto"),(AI19-(+AI19*AA20)),IF(X20="Impacto",($T$13-(+$T$13*AA20)),IF(X20="Probabilidad",AI19,""))),"")</f>
        <v/>
      </c>
      <c r="AJ20" s="183" t="str">
        <f t="shared" ref="AJ20:AJ21" si="13">IFERROR(IF(OR(AND(AF20="Muy Baja",AH20="Leve"),AND(AF20="Muy Baja",AH20="Menor"),AND(AF20="Baja",AH20="Leve")),"Bajo",IF(OR(AND(AF20="Muy baja",AH20="Moderado"),AND(AF20="Baja",AH20="Menor"),AND(AF20="Baja",AH20="Moderado"),AND(AF20="Media",AH20="Leve"),AND(AF20="Media",AH20="Menor"),AND(AF20="Media",AH20="Moderado"),AND(AF20="Alta",AH20="Leve"),AND(AF20="Alta",AH20="Menor")),"Moderado",IF(OR(AND(AF20="Muy Baja",AH20="Mayor"),AND(AF20="Baja",AH20="Mayor"),AND(AF20="Media",AH20="Mayor"),AND(AF20="Alta",AH20="Moderado"),AND(AF20="Alta",AH20="Mayor"),AND(AF20="Muy Alta",AH20="Leve"),AND(AF20="Muy Alta",AH20="Menor"),AND(AF20="Muy Alta",AH20="Moderado"),AND(AF20="Muy Alta",AH20="Mayor")),"Alto",IF(OR(AND(AF20="Muy Baja",AH20="Catastrófico"),AND(AF20="Baja",AH20="Catastrófico"),AND(AF20="Media",AH20="Catastrófico"),AND(AF20="Alta",AH20="Catastrófico"),AND(AF20="Muy Alta",AH20="Catastrófico")),"Extremo","")))),"")</f>
        <v/>
      </c>
      <c r="AK20" s="184"/>
      <c r="AL20" s="175"/>
      <c r="AM20" s="185"/>
      <c r="AN20" s="175"/>
      <c r="AO20" s="186"/>
      <c r="AP20" s="339"/>
      <c r="AQ20" s="339"/>
      <c r="AR20" s="339"/>
    </row>
    <row r="21" spans="1:44" x14ac:dyDescent="0.2">
      <c r="A21" s="328"/>
      <c r="B21" s="329"/>
      <c r="C21" s="329"/>
      <c r="D21" s="329"/>
      <c r="E21" s="372"/>
      <c r="F21" s="329"/>
      <c r="G21" s="343"/>
      <c r="H21" s="343"/>
      <c r="I21" s="343"/>
      <c r="J21" s="343"/>
      <c r="K21" s="343"/>
      <c r="L21" s="343"/>
      <c r="M21" s="343"/>
      <c r="N21" s="339"/>
      <c r="O21" s="340"/>
      <c r="P21" s="341"/>
      <c r="Q21" s="359"/>
      <c r="R21" s="341">
        <f>IF(NOT(ISERROR(MATCH(Q21,_xlfn.ANCHORARRAY(E32),0))),P34&amp;"Por favor no seleccionar los criterios de impacto",Q21)</f>
        <v>0</v>
      </c>
      <c r="S21" s="340"/>
      <c r="T21" s="341"/>
      <c r="U21" s="358"/>
      <c r="V21" s="203">
        <v>3</v>
      </c>
      <c r="W21" s="177"/>
      <c r="X21" s="178" t="str">
        <f>IF(OR(Y21="Preventivo",Y21="Detectivo"),"Probabilidad",IF(Y21="Correctivo","Impacto",""))</f>
        <v/>
      </c>
      <c r="Y21" s="179"/>
      <c r="Z21" s="179"/>
      <c r="AA21" s="180" t="str">
        <f t="shared" si="10"/>
        <v/>
      </c>
      <c r="AB21" s="179"/>
      <c r="AC21" s="179"/>
      <c r="AD21" s="179"/>
      <c r="AE21" s="181" t="str">
        <f>IFERROR(IF(AND(X20="Probabilidad",X21="Probabilidad"),(AG20-(+AG20*AA21)),IF(AND(X20="Impacto",X21="Probabilidad"),(AG19-(+AG19*AA21)),IF(X21="Impacto",AG20,""))),"")</f>
        <v/>
      </c>
      <c r="AF21" s="182" t="str">
        <f t="shared" si="2"/>
        <v/>
      </c>
      <c r="AG21" s="180" t="str">
        <f t="shared" si="11"/>
        <v/>
      </c>
      <c r="AH21" s="182" t="str">
        <f t="shared" si="4"/>
        <v/>
      </c>
      <c r="AI21" s="180" t="str">
        <f t="shared" ref="AI21:AI72" si="14">IFERROR(IF(AND(X20="Impacto",X21="Impacto"),(AI20-(+AI20*AA21)),IF(AND(X20="Probabilidad",X21="Impacto"),(AI19-(+AI19*AA21)),IF(X21="Probabilidad",AI20,""))),"")</f>
        <v/>
      </c>
      <c r="AJ21" s="183" t="str">
        <f t="shared" si="13"/>
        <v/>
      </c>
      <c r="AK21" s="184"/>
      <c r="AL21" s="175"/>
      <c r="AM21" s="185"/>
      <c r="AN21" s="185"/>
      <c r="AO21" s="186"/>
      <c r="AP21" s="339"/>
      <c r="AQ21" s="339"/>
      <c r="AR21" s="339"/>
    </row>
    <row r="22" spans="1:44" x14ac:dyDescent="0.2">
      <c r="A22" s="328"/>
      <c r="B22" s="329"/>
      <c r="C22" s="329"/>
      <c r="D22" s="329"/>
      <c r="E22" s="372"/>
      <c r="F22" s="329"/>
      <c r="G22" s="343"/>
      <c r="H22" s="343"/>
      <c r="I22" s="343"/>
      <c r="J22" s="343"/>
      <c r="K22" s="343"/>
      <c r="L22" s="343"/>
      <c r="M22" s="343"/>
      <c r="N22" s="339"/>
      <c r="O22" s="340"/>
      <c r="P22" s="341"/>
      <c r="Q22" s="359"/>
      <c r="R22" s="341">
        <f>IF(NOT(ISERROR(MATCH(Q22,_xlfn.ANCHORARRAY(E33),0))),P35&amp;"Por favor no seleccionar los criterios de impacto",Q22)</f>
        <v>0</v>
      </c>
      <c r="S22" s="340"/>
      <c r="T22" s="341"/>
      <c r="U22" s="358"/>
      <c r="V22" s="203">
        <v>4</v>
      </c>
      <c r="W22" s="176"/>
      <c r="X22" s="178" t="str">
        <f t="shared" ref="X22:X24" si="15">IF(OR(Y22="Preventivo",Y22="Detectivo"),"Probabilidad",IF(Y22="Correctivo","Impacto",""))</f>
        <v/>
      </c>
      <c r="Y22" s="179"/>
      <c r="Z22" s="179"/>
      <c r="AA22" s="180" t="str">
        <f t="shared" si="10"/>
        <v/>
      </c>
      <c r="AB22" s="179"/>
      <c r="AC22" s="179"/>
      <c r="AD22" s="179"/>
      <c r="AE22" s="181" t="str">
        <f t="shared" ref="AE22:AE24" si="16">IFERROR(IF(AND(X21="Probabilidad",X22="Probabilidad"),(AG21-(+AG21*AA22)),IF(AND(X21="Impacto",X22="Probabilidad"),(AG20-(+AG20*AA22)),IF(X22="Impacto",AG21,""))),"")</f>
        <v/>
      </c>
      <c r="AF22" s="182" t="str">
        <f t="shared" si="2"/>
        <v/>
      </c>
      <c r="AG22" s="180" t="str">
        <f t="shared" si="11"/>
        <v/>
      </c>
      <c r="AH22" s="182" t="str">
        <f t="shared" si="4"/>
        <v/>
      </c>
      <c r="AI22" s="180" t="str">
        <f t="shared" si="14"/>
        <v/>
      </c>
      <c r="AJ22" s="183" t="str">
        <f>IFERROR(IF(OR(AND(AF22="Muy Baja",AH22="Leve"),AND(AF22="Muy Baja",AH22="Menor"),AND(AF22="Baja",AH22="Leve")),"Bajo",IF(OR(AND(AF22="Muy baja",AH22="Moderado"),AND(AF22="Baja",AH22="Menor"),AND(AF22="Baja",AH22="Moderado"),AND(AF22="Media",AH22="Leve"),AND(AF22="Media",AH22="Menor"),AND(AF22="Media",AH22="Moderado"),AND(AF22="Alta",AH22="Leve"),AND(AF22="Alta",AH22="Menor")),"Moderado",IF(OR(AND(AF22="Muy Baja",AH22="Mayor"),AND(AF22="Baja",AH22="Mayor"),AND(AF22="Media",AH22="Mayor"),AND(AF22="Alta",AH22="Moderado"),AND(AF22="Alta",AH22="Mayor"),AND(AF22="Muy Alta",AH22="Leve"),AND(AF22="Muy Alta",AH22="Menor"),AND(AF22="Muy Alta",AH22="Moderado"),AND(AF22="Muy Alta",AH22="Mayor")),"Alto",IF(OR(AND(AF22="Muy Baja",AH22="Catastrófico"),AND(AF22="Baja",AH22="Catastrófico"),AND(AF22="Media",AH22="Catastrófico"),AND(AF22="Alta",AH22="Catastrófico"),AND(AF22="Muy Alta",AH22="Catastrófico")),"Extremo","")))),"")</f>
        <v/>
      </c>
      <c r="AK22" s="184"/>
      <c r="AL22" s="175"/>
      <c r="AM22" s="185"/>
      <c r="AN22" s="185"/>
      <c r="AO22" s="186"/>
      <c r="AP22" s="339"/>
      <c r="AQ22" s="339"/>
      <c r="AR22" s="339"/>
    </row>
    <row r="23" spans="1:44" x14ac:dyDescent="0.2">
      <c r="A23" s="328"/>
      <c r="B23" s="329"/>
      <c r="C23" s="329"/>
      <c r="D23" s="329"/>
      <c r="E23" s="372"/>
      <c r="F23" s="329"/>
      <c r="G23" s="343"/>
      <c r="H23" s="343"/>
      <c r="I23" s="343"/>
      <c r="J23" s="343"/>
      <c r="K23" s="343"/>
      <c r="L23" s="343"/>
      <c r="M23" s="343"/>
      <c r="N23" s="339"/>
      <c r="O23" s="340"/>
      <c r="P23" s="341"/>
      <c r="Q23" s="359"/>
      <c r="R23" s="341">
        <f>IF(NOT(ISERROR(MATCH(Q23,_xlfn.ANCHORARRAY(E34),0))),P36&amp;"Por favor no seleccionar los criterios de impacto",Q23)</f>
        <v>0</v>
      </c>
      <c r="S23" s="340"/>
      <c r="T23" s="341"/>
      <c r="U23" s="358"/>
      <c r="V23" s="203">
        <v>5</v>
      </c>
      <c r="W23" s="176"/>
      <c r="X23" s="178" t="str">
        <f t="shared" si="15"/>
        <v/>
      </c>
      <c r="Y23" s="179"/>
      <c r="Z23" s="179"/>
      <c r="AA23" s="180" t="str">
        <f t="shared" si="10"/>
        <v/>
      </c>
      <c r="AB23" s="179"/>
      <c r="AC23" s="179"/>
      <c r="AD23" s="179"/>
      <c r="AE23" s="181" t="str">
        <f t="shared" si="16"/>
        <v/>
      </c>
      <c r="AF23" s="182" t="str">
        <f t="shared" si="2"/>
        <v/>
      </c>
      <c r="AG23" s="180" t="str">
        <f t="shared" si="11"/>
        <v/>
      </c>
      <c r="AH23" s="182" t="str">
        <f t="shared" si="4"/>
        <v/>
      </c>
      <c r="AI23" s="180" t="str">
        <f t="shared" si="14"/>
        <v/>
      </c>
      <c r="AJ23" s="183" t="str">
        <f t="shared" ref="AJ23:AJ24" si="17">IFERROR(IF(OR(AND(AF23="Muy Baja",AH23="Leve"),AND(AF23="Muy Baja",AH23="Menor"),AND(AF23="Baja",AH23="Leve")),"Bajo",IF(OR(AND(AF23="Muy baja",AH23="Moderado"),AND(AF23="Baja",AH23="Menor"),AND(AF23="Baja",AH23="Moderado"),AND(AF23="Media",AH23="Leve"),AND(AF23="Media",AH23="Menor"),AND(AF23="Media",AH23="Moderado"),AND(AF23="Alta",AH23="Leve"),AND(AF23="Alta",AH23="Menor")),"Moderado",IF(OR(AND(AF23="Muy Baja",AH23="Mayor"),AND(AF23="Baja",AH23="Mayor"),AND(AF23="Media",AH23="Mayor"),AND(AF23="Alta",AH23="Moderado"),AND(AF23="Alta",AH23="Mayor"),AND(AF23="Muy Alta",AH23="Leve"),AND(AF23="Muy Alta",AH23="Menor"),AND(AF23="Muy Alta",AH23="Moderado"),AND(AF23="Muy Alta",AH23="Mayor")),"Alto",IF(OR(AND(AF23="Muy Baja",AH23="Catastrófico"),AND(AF23="Baja",AH23="Catastrófico"),AND(AF23="Media",AH23="Catastrófico"),AND(AF23="Alta",AH23="Catastrófico"),AND(AF23="Muy Alta",AH23="Catastrófico")),"Extremo","")))),"")</f>
        <v/>
      </c>
      <c r="AK23" s="184"/>
      <c r="AL23" s="175"/>
      <c r="AM23" s="185"/>
      <c r="AN23" s="185"/>
      <c r="AO23" s="186"/>
      <c r="AP23" s="339"/>
      <c r="AQ23" s="339"/>
      <c r="AR23" s="339"/>
    </row>
    <row r="24" spans="1:44" x14ac:dyDescent="0.2">
      <c r="A24" s="328"/>
      <c r="B24" s="329"/>
      <c r="C24" s="329"/>
      <c r="D24" s="329"/>
      <c r="E24" s="372"/>
      <c r="F24" s="329"/>
      <c r="G24" s="344"/>
      <c r="H24" s="344"/>
      <c r="I24" s="344"/>
      <c r="J24" s="344"/>
      <c r="K24" s="344"/>
      <c r="L24" s="344"/>
      <c r="M24" s="344"/>
      <c r="N24" s="339"/>
      <c r="O24" s="340"/>
      <c r="P24" s="341"/>
      <c r="Q24" s="359"/>
      <c r="R24" s="341">
        <f>IF(NOT(ISERROR(MATCH(Q24,_xlfn.ANCHORARRAY(E35),0))),P37&amp;"Por favor no seleccionar los criterios de impacto",Q24)</f>
        <v>0</v>
      </c>
      <c r="S24" s="340"/>
      <c r="T24" s="341"/>
      <c r="U24" s="358"/>
      <c r="V24" s="203">
        <v>6</v>
      </c>
      <c r="W24" s="176"/>
      <c r="X24" s="178" t="str">
        <f t="shared" si="15"/>
        <v/>
      </c>
      <c r="Y24" s="179"/>
      <c r="Z24" s="179"/>
      <c r="AA24" s="180" t="str">
        <f t="shared" si="10"/>
        <v/>
      </c>
      <c r="AB24" s="179"/>
      <c r="AC24" s="179"/>
      <c r="AD24" s="179"/>
      <c r="AE24" s="181" t="str">
        <f t="shared" si="16"/>
        <v/>
      </c>
      <c r="AF24" s="182" t="str">
        <f t="shared" si="2"/>
        <v/>
      </c>
      <c r="AG24" s="180" t="str">
        <f t="shared" si="11"/>
        <v/>
      </c>
      <c r="AH24" s="182" t="str">
        <f t="shared" si="4"/>
        <v/>
      </c>
      <c r="AI24" s="180" t="str">
        <f t="shared" si="14"/>
        <v/>
      </c>
      <c r="AJ24" s="183" t="str">
        <f t="shared" si="17"/>
        <v/>
      </c>
      <c r="AK24" s="184"/>
      <c r="AL24" s="175"/>
      <c r="AM24" s="185"/>
      <c r="AN24" s="185"/>
      <c r="AO24" s="186"/>
      <c r="AP24" s="339"/>
      <c r="AQ24" s="339"/>
      <c r="AR24" s="339"/>
    </row>
    <row r="25" spans="1:44" x14ac:dyDescent="0.2">
      <c r="A25" s="328">
        <v>3</v>
      </c>
      <c r="B25" s="329"/>
      <c r="C25" s="329"/>
      <c r="D25" s="329"/>
      <c r="E25" s="372"/>
      <c r="F25" s="329"/>
      <c r="G25" s="342"/>
      <c r="H25" s="342"/>
      <c r="I25" s="342"/>
      <c r="J25" s="342"/>
      <c r="K25" s="342"/>
      <c r="L25" s="342"/>
      <c r="M25" s="342"/>
      <c r="N25" s="339"/>
      <c r="O25" s="340" t="str">
        <f>IF(N25&lt;=0,"",IF(N25&lt;=2,"Muy Baja",IF(N25&lt;=24,"Baja",IF(N25&lt;=500,"Media",IF(N25&lt;=5000,"Alta","Muy Alta")))))</f>
        <v/>
      </c>
      <c r="P25" s="341" t="str">
        <f>IF(O25="","",IF(O25="Muy Baja",0.2,IF(O25="Baja",0.4,IF(O25="Media",0.6,IF(O25="Alta",0.8,IF(O25="Muy Alta",1,))))))</f>
        <v/>
      </c>
      <c r="Q25" s="359"/>
      <c r="R25" s="341">
        <f>IF(NOT(ISERROR(MATCH(Q25,'Tabla Impacto'!$B$222:$B$224,0))),'Tabla Impacto'!$F$224&amp;"Por favor no seleccionar los criterios de impacto(Afectación Económica o presupuestal y Pérdida Reputacional)",Q25)</f>
        <v>0</v>
      </c>
      <c r="S25" s="340" t="str">
        <f>IF(OR(R25='Tabla Impacto'!$C$12,R25='Tabla Impacto'!$D$12),"Leve",IF(OR(R25='Tabla Impacto'!$C$13,R25='Tabla Impacto'!$D$13),"Menor",IF(OR(R25='Tabla Impacto'!$C$14,R25='Tabla Impacto'!$D$14),"Moderado",IF(OR(R25='Tabla Impacto'!$C$15,R25='Tabla Impacto'!$D$15),"Mayor",IF(OR(R25='Tabla Impacto'!$C$16,R25='Tabla Impacto'!$D$16),"Catastrófico","")))))</f>
        <v/>
      </c>
      <c r="T25" s="341" t="str">
        <f>IF(S25="","",IF(S25="Leve",0.2,IF(S25="Menor",0.4,IF(S25="Moderado",0.6,IF(S25="Mayor",0.8,IF(S25="Catastrófico",1,))))))</f>
        <v/>
      </c>
      <c r="U25" s="358" t="str">
        <f>IF(OR(AND(O25="Muy Baja",S25="Leve"),AND(O25="Muy Baja",S25="Menor"),AND(O25="Baja",S25="Leve")),"Bajo",IF(OR(AND(O25="Muy baja",S25="Moderado"),AND(O25="Baja",S25="Menor"),AND(O25="Baja",S25="Moderado"),AND(O25="Media",S25="Leve"),AND(O25="Media",S25="Menor"),AND(O25="Media",S25="Moderado"),AND(O25="Alta",S25="Leve"),AND(O25="Alta",S25="Menor")),"Moderado",IF(OR(AND(O25="Muy Baja",S25="Mayor"),AND(O25="Baja",S25="Mayor"),AND(O25="Media",S25="Mayor"),AND(O25="Alta",S25="Moderado"),AND(O25="Alta",S25="Mayor"),AND(O25="Muy Alta",S25="Leve"),AND(O25="Muy Alta",S25="Menor"),AND(O25="Muy Alta",S25="Moderado"),AND(O25="Muy Alta",S25="Mayor")),"Alto",IF(OR(AND(O25="Muy Baja",S25="Catastrófico"),AND(O25="Baja",S25="Catastrófico"),AND(O25="Media",S25="Catastrófico"),AND(O25="Alta",S25="Catastrófico"),AND(O25="Muy Alta",S25="Catastrófico")),"Extremo",""))))</f>
        <v/>
      </c>
      <c r="V25" s="203">
        <v>1</v>
      </c>
      <c r="W25" s="176"/>
      <c r="X25" s="178" t="str">
        <f>IF(OR(Y25="Preventivo",Y25="Detectivo"),"Probabilidad",IF(Y25="Correctivo","Impacto",""))</f>
        <v/>
      </c>
      <c r="Y25" s="179"/>
      <c r="Z25" s="179"/>
      <c r="AA25" s="180" t="str">
        <f>IF(AND(Y25="Preventivo",Z25="Automático"),"50%",IF(AND(Y25="Preventivo",Z25="Manual"),"40%",IF(AND(Y25="Detectivo",Z25="Automático"),"40%",IF(AND(Y25="Detectivo",Z25="Manual"),"30%",IF(AND(Y25="Correctivo",Z25="Automático"),"35%",IF(AND(Y25="Correctivo",Z25="Manual"),"25%",""))))))</f>
        <v/>
      </c>
      <c r="AB25" s="179"/>
      <c r="AC25" s="179"/>
      <c r="AD25" s="179"/>
      <c r="AE25" s="181" t="str">
        <f>IFERROR(IF(X25="Probabilidad",(P25-(+P25*AA25)),IF(X25="Impacto",P25,"")),"")</f>
        <v/>
      </c>
      <c r="AF25" s="182" t="str">
        <f>IFERROR(IF(AE25="","",IF(AE25&lt;=0.2,"Muy Baja",IF(AE25&lt;=0.4,"Baja",IF(AE25&lt;=0.6,"Media",IF(AE25&lt;=0.8,"Alta","Muy Alta"))))),"")</f>
        <v/>
      </c>
      <c r="AG25" s="180" t="str">
        <f>+AE25</f>
        <v/>
      </c>
      <c r="AH25" s="182" t="str">
        <f>IFERROR(IF(AI25="","",IF(AI25&lt;=0.2,"Leve",IF(AI25&lt;=0.4,"Menor",IF(AI25&lt;=0.6,"Moderado",IF(AI25&lt;=0.8,"Mayor","Catastrófico"))))),"")</f>
        <v/>
      </c>
      <c r="AI25" s="180" t="str">
        <f t="shared" ref="AI25" si="18">IFERROR(IF(X25="Impacto",(T25-(+T25*AA25)),IF(X25="Probabilidad",T25,"")),"")</f>
        <v/>
      </c>
      <c r="AJ25" s="183" t="str">
        <f>IFERROR(IF(OR(AND(AF25="Muy Baja",AH25="Leve"),AND(AF25="Muy Baja",AH25="Menor"),AND(AF25="Baja",AH25="Leve")),"Bajo",IF(OR(AND(AF25="Muy baja",AH25="Moderado"),AND(AF25="Baja",AH25="Menor"),AND(AF25="Baja",AH25="Moderado"),AND(AF25="Media",AH25="Leve"),AND(AF25="Media",AH25="Menor"),AND(AF25="Media",AH25="Moderado"),AND(AF25="Alta",AH25="Leve"),AND(AF25="Alta",AH25="Menor")),"Moderado",IF(OR(AND(AF25="Muy Baja",AH25="Mayor"),AND(AF25="Baja",AH25="Mayor"),AND(AF25="Media",AH25="Mayor"),AND(AF25="Alta",AH25="Moderado"),AND(AF25="Alta",AH25="Mayor"),AND(AF25="Muy Alta",AH25="Leve"),AND(AF25="Muy Alta",AH25="Menor"),AND(AF25="Muy Alta",AH25="Moderado"),AND(AF25="Muy Alta",AH25="Mayor")),"Alto",IF(OR(AND(AF25="Muy Baja",AH25="Catastrófico"),AND(AF25="Baja",AH25="Catastrófico"),AND(AF25="Media",AH25="Catastrófico"),AND(AF25="Alta",AH25="Catastrófico"),AND(AF25="Muy Alta",AH25="Catastrófico")),"Extremo","")))),"")</f>
        <v/>
      </c>
      <c r="AK25" s="184"/>
      <c r="AL25" s="175"/>
      <c r="AM25" s="185"/>
      <c r="AN25" s="185"/>
      <c r="AO25" s="186"/>
      <c r="AP25" s="339"/>
      <c r="AQ25" s="339"/>
      <c r="AR25" s="339"/>
    </row>
    <row r="26" spans="1:44" x14ac:dyDescent="0.2">
      <c r="A26" s="328"/>
      <c r="B26" s="329"/>
      <c r="C26" s="329"/>
      <c r="D26" s="329"/>
      <c r="E26" s="372"/>
      <c r="F26" s="329"/>
      <c r="G26" s="343"/>
      <c r="H26" s="343"/>
      <c r="I26" s="343"/>
      <c r="J26" s="343"/>
      <c r="K26" s="343"/>
      <c r="L26" s="343"/>
      <c r="M26" s="343"/>
      <c r="N26" s="339"/>
      <c r="O26" s="340"/>
      <c r="P26" s="341"/>
      <c r="Q26" s="359"/>
      <c r="R26" s="341">
        <f>IF(NOT(ISERROR(MATCH(Q26,_xlfn.ANCHORARRAY(E37),0))),P39&amp;"Por favor no seleccionar los criterios de impacto",Q26)</f>
        <v>0</v>
      </c>
      <c r="S26" s="340"/>
      <c r="T26" s="341"/>
      <c r="U26" s="358"/>
      <c r="V26" s="203">
        <v>2</v>
      </c>
      <c r="W26" s="176"/>
      <c r="X26" s="178" t="str">
        <f>IF(OR(Y26="Preventivo",Y26="Detectivo"),"Probabilidad",IF(Y26="Correctivo","Impacto",""))</f>
        <v/>
      </c>
      <c r="Y26" s="179"/>
      <c r="Z26" s="179"/>
      <c r="AA26" s="180" t="str">
        <f t="shared" ref="AA26:AA30" si="19">IF(AND(Y26="Preventivo",Z26="Automático"),"50%",IF(AND(Y26="Preventivo",Z26="Manual"),"40%",IF(AND(Y26="Detectivo",Z26="Automático"),"40%",IF(AND(Y26="Detectivo",Z26="Manual"),"30%",IF(AND(Y26="Correctivo",Z26="Automático"),"35%",IF(AND(Y26="Correctivo",Z26="Manual"),"25%",""))))))</f>
        <v/>
      </c>
      <c r="AB26" s="179"/>
      <c r="AC26" s="179"/>
      <c r="AD26" s="179"/>
      <c r="AE26" s="181" t="str">
        <f>IFERROR(IF(AND(X25="Probabilidad",X26="Probabilidad"),(AG25-(+AG25*AA26)),IF(X26="Probabilidad",(P25-(+P25*AA26)),IF(X26="Impacto",AG25,""))),"")</f>
        <v/>
      </c>
      <c r="AF26" s="182" t="str">
        <f t="shared" si="2"/>
        <v/>
      </c>
      <c r="AG26" s="180" t="str">
        <f t="shared" ref="AG26:AG30" si="20">+AE26</f>
        <v/>
      </c>
      <c r="AH26" s="182" t="str">
        <f t="shared" si="4"/>
        <v/>
      </c>
      <c r="AI26" s="180" t="str">
        <f t="shared" ref="AI26" si="21">IFERROR(IF(AND(X25="Impacto",X26="Impacto"),(AI25-(+AI25*AA26)),IF(X26="Impacto",($T$13-(+$T$13*AA26)),IF(X26="Probabilidad",AI25,""))),"")</f>
        <v/>
      </c>
      <c r="AJ26" s="183" t="str">
        <f t="shared" ref="AJ26:AJ27" si="22">IFERROR(IF(OR(AND(AF26="Muy Baja",AH26="Leve"),AND(AF26="Muy Baja",AH26="Menor"),AND(AF26="Baja",AH26="Leve")),"Bajo",IF(OR(AND(AF26="Muy baja",AH26="Moderado"),AND(AF26="Baja",AH26="Menor"),AND(AF26="Baja",AH26="Moderado"),AND(AF26="Media",AH26="Leve"),AND(AF26="Media",AH26="Menor"),AND(AF26="Media",AH26="Moderado"),AND(AF26="Alta",AH26="Leve"),AND(AF26="Alta",AH26="Menor")),"Moderado",IF(OR(AND(AF26="Muy Baja",AH26="Mayor"),AND(AF26="Baja",AH26="Mayor"),AND(AF26="Media",AH26="Mayor"),AND(AF26="Alta",AH26="Moderado"),AND(AF26="Alta",AH26="Mayor"),AND(AF26="Muy Alta",AH26="Leve"),AND(AF26="Muy Alta",AH26="Menor"),AND(AF26="Muy Alta",AH26="Moderado"),AND(AF26="Muy Alta",AH26="Mayor")),"Alto",IF(OR(AND(AF26="Muy Baja",AH26="Catastrófico"),AND(AF26="Baja",AH26="Catastrófico"),AND(AF26="Media",AH26="Catastrófico"),AND(AF26="Alta",AH26="Catastrófico"),AND(AF26="Muy Alta",AH26="Catastrófico")),"Extremo","")))),"")</f>
        <v/>
      </c>
      <c r="AK26" s="184"/>
      <c r="AL26" s="175"/>
      <c r="AM26" s="185"/>
      <c r="AN26" s="185"/>
      <c r="AO26" s="186"/>
      <c r="AP26" s="339"/>
      <c r="AQ26" s="339"/>
      <c r="AR26" s="339"/>
    </row>
    <row r="27" spans="1:44" x14ac:dyDescent="0.2">
      <c r="A27" s="328"/>
      <c r="B27" s="329"/>
      <c r="C27" s="329"/>
      <c r="D27" s="329"/>
      <c r="E27" s="372"/>
      <c r="F27" s="329"/>
      <c r="G27" s="343"/>
      <c r="H27" s="343"/>
      <c r="I27" s="343"/>
      <c r="J27" s="343"/>
      <c r="K27" s="343"/>
      <c r="L27" s="343"/>
      <c r="M27" s="343"/>
      <c r="N27" s="339"/>
      <c r="O27" s="340"/>
      <c r="P27" s="341"/>
      <c r="Q27" s="359"/>
      <c r="R27" s="341">
        <f>IF(NOT(ISERROR(MATCH(Q27,_xlfn.ANCHORARRAY(E38),0))),P40&amp;"Por favor no seleccionar los criterios de impacto",Q27)</f>
        <v>0</v>
      </c>
      <c r="S27" s="340"/>
      <c r="T27" s="341"/>
      <c r="U27" s="358"/>
      <c r="V27" s="203">
        <v>3</v>
      </c>
      <c r="W27" s="176"/>
      <c r="X27" s="178" t="str">
        <f>IF(OR(Y27="Preventivo",Y27="Detectivo"),"Probabilidad",IF(Y27="Correctivo","Impacto",""))</f>
        <v/>
      </c>
      <c r="Y27" s="179"/>
      <c r="Z27" s="179"/>
      <c r="AA27" s="180" t="str">
        <f t="shared" si="19"/>
        <v/>
      </c>
      <c r="AB27" s="179"/>
      <c r="AC27" s="179"/>
      <c r="AD27" s="179"/>
      <c r="AE27" s="181" t="str">
        <f>IFERROR(IF(AND(X26="Probabilidad",X27="Probabilidad"),(AG26-(+AG26*AA27)),IF(AND(X26="Impacto",X27="Probabilidad"),(AG25-(+AG25*AA27)),IF(X27="Impacto",AG26,""))),"")</f>
        <v/>
      </c>
      <c r="AF27" s="182" t="str">
        <f t="shared" si="2"/>
        <v/>
      </c>
      <c r="AG27" s="180" t="str">
        <f t="shared" si="20"/>
        <v/>
      </c>
      <c r="AH27" s="182" t="str">
        <f t="shared" si="4"/>
        <v/>
      </c>
      <c r="AI27" s="180" t="str">
        <f t="shared" ref="AI27" si="23">IFERROR(IF(AND(X26="Impacto",X27="Impacto"),(AI26-(+AI26*AA27)),IF(AND(X26="Probabilidad",X27="Impacto"),(AI25-(+AI25*AA27)),IF(X27="Probabilidad",AI26,""))),"")</f>
        <v/>
      </c>
      <c r="AJ27" s="183" t="str">
        <f t="shared" si="22"/>
        <v/>
      </c>
      <c r="AK27" s="184"/>
      <c r="AL27" s="175"/>
      <c r="AM27" s="185"/>
      <c r="AN27" s="185"/>
      <c r="AO27" s="186"/>
      <c r="AP27" s="339"/>
      <c r="AQ27" s="339"/>
      <c r="AR27" s="339"/>
    </row>
    <row r="28" spans="1:44" x14ac:dyDescent="0.2">
      <c r="A28" s="328"/>
      <c r="B28" s="329"/>
      <c r="C28" s="329"/>
      <c r="D28" s="329"/>
      <c r="E28" s="372"/>
      <c r="F28" s="329"/>
      <c r="G28" s="343"/>
      <c r="H28" s="343"/>
      <c r="I28" s="343"/>
      <c r="J28" s="343"/>
      <c r="K28" s="343"/>
      <c r="L28" s="343"/>
      <c r="M28" s="343"/>
      <c r="N28" s="339"/>
      <c r="O28" s="340"/>
      <c r="P28" s="341"/>
      <c r="Q28" s="359"/>
      <c r="R28" s="341">
        <f>IF(NOT(ISERROR(MATCH(Q28,_xlfn.ANCHORARRAY(E39),0))),P41&amp;"Por favor no seleccionar los criterios de impacto",Q28)</f>
        <v>0</v>
      </c>
      <c r="S28" s="340"/>
      <c r="T28" s="341"/>
      <c r="U28" s="358"/>
      <c r="V28" s="203">
        <v>4</v>
      </c>
      <c r="W28" s="176"/>
      <c r="X28" s="178" t="str">
        <f t="shared" ref="X28:X30" si="24">IF(OR(Y28="Preventivo",Y28="Detectivo"),"Probabilidad",IF(Y28="Correctivo","Impacto",""))</f>
        <v/>
      </c>
      <c r="Y28" s="179"/>
      <c r="Z28" s="179"/>
      <c r="AA28" s="180" t="str">
        <f t="shared" si="19"/>
        <v/>
      </c>
      <c r="AB28" s="179"/>
      <c r="AC28" s="179"/>
      <c r="AD28" s="179"/>
      <c r="AE28" s="181" t="str">
        <f t="shared" ref="AE28:AE30" si="25">IFERROR(IF(AND(X27="Probabilidad",X28="Probabilidad"),(AG27-(+AG27*AA28)),IF(AND(X27="Impacto",X28="Probabilidad"),(AG26-(+AG26*AA28)),IF(X28="Impacto",AG27,""))),"")</f>
        <v/>
      </c>
      <c r="AF28" s="182" t="str">
        <f t="shared" si="2"/>
        <v/>
      </c>
      <c r="AG28" s="180" t="str">
        <f t="shared" si="20"/>
        <v/>
      </c>
      <c r="AH28" s="182" t="str">
        <f t="shared" si="4"/>
        <v/>
      </c>
      <c r="AI28" s="180" t="str">
        <f t="shared" si="14"/>
        <v/>
      </c>
      <c r="AJ28" s="183" t="str">
        <f>IFERROR(IF(OR(AND(AF28="Muy Baja",AH28="Leve"),AND(AF28="Muy Baja",AH28="Menor"),AND(AF28="Baja",AH28="Leve")),"Bajo",IF(OR(AND(AF28="Muy baja",AH28="Moderado"),AND(AF28="Baja",AH28="Menor"),AND(AF28="Baja",AH28="Moderado"),AND(AF28="Media",AH28="Leve"),AND(AF28="Media",AH28="Menor"),AND(AF28="Media",AH28="Moderado"),AND(AF28="Alta",AH28="Leve"),AND(AF28="Alta",AH28="Menor")),"Moderado",IF(OR(AND(AF28="Muy Baja",AH28="Mayor"),AND(AF28="Baja",AH28="Mayor"),AND(AF28="Media",AH28="Mayor"),AND(AF28="Alta",AH28="Moderado"),AND(AF28="Alta",AH28="Mayor"),AND(AF28="Muy Alta",AH28="Leve"),AND(AF28="Muy Alta",AH28="Menor"),AND(AF28="Muy Alta",AH28="Moderado"),AND(AF28="Muy Alta",AH28="Mayor")),"Alto",IF(OR(AND(AF28="Muy Baja",AH28="Catastrófico"),AND(AF28="Baja",AH28="Catastrófico"),AND(AF28="Media",AH28="Catastrófico"),AND(AF28="Alta",AH28="Catastrófico"),AND(AF28="Muy Alta",AH28="Catastrófico")),"Extremo","")))),"")</f>
        <v/>
      </c>
      <c r="AK28" s="184"/>
      <c r="AL28" s="175"/>
      <c r="AM28" s="185"/>
      <c r="AN28" s="185"/>
      <c r="AO28" s="186"/>
      <c r="AP28" s="339"/>
      <c r="AQ28" s="339"/>
      <c r="AR28" s="339"/>
    </row>
    <row r="29" spans="1:44" x14ac:dyDescent="0.2">
      <c r="A29" s="328"/>
      <c r="B29" s="329"/>
      <c r="C29" s="329"/>
      <c r="D29" s="329"/>
      <c r="E29" s="372"/>
      <c r="F29" s="329"/>
      <c r="G29" s="343"/>
      <c r="H29" s="343"/>
      <c r="I29" s="343"/>
      <c r="J29" s="343"/>
      <c r="K29" s="343"/>
      <c r="L29" s="343"/>
      <c r="M29" s="343"/>
      <c r="N29" s="339"/>
      <c r="O29" s="340"/>
      <c r="P29" s="341"/>
      <c r="Q29" s="359"/>
      <c r="R29" s="341">
        <f>IF(NOT(ISERROR(MATCH(Q29,_xlfn.ANCHORARRAY(E40),0))),P42&amp;"Por favor no seleccionar los criterios de impacto",Q29)</f>
        <v>0</v>
      </c>
      <c r="S29" s="340"/>
      <c r="T29" s="341"/>
      <c r="U29" s="358"/>
      <c r="V29" s="203">
        <v>5</v>
      </c>
      <c r="W29" s="176"/>
      <c r="X29" s="178" t="str">
        <f t="shared" si="24"/>
        <v/>
      </c>
      <c r="Y29" s="179"/>
      <c r="Z29" s="179"/>
      <c r="AA29" s="180" t="str">
        <f t="shared" si="19"/>
        <v/>
      </c>
      <c r="AB29" s="179"/>
      <c r="AC29" s="179"/>
      <c r="AD29" s="179"/>
      <c r="AE29" s="181" t="str">
        <f t="shared" si="25"/>
        <v/>
      </c>
      <c r="AF29" s="182" t="str">
        <f t="shared" si="2"/>
        <v/>
      </c>
      <c r="AG29" s="180" t="str">
        <f t="shared" si="20"/>
        <v/>
      </c>
      <c r="AH29" s="182" t="str">
        <f t="shared" si="4"/>
        <v/>
      </c>
      <c r="AI29" s="180" t="str">
        <f t="shared" si="14"/>
        <v/>
      </c>
      <c r="AJ29" s="183" t="str">
        <f t="shared" ref="AJ29:AJ30" si="26">IFERROR(IF(OR(AND(AF29="Muy Baja",AH29="Leve"),AND(AF29="Muy Baja",AH29="Menor"),AND(AF29="Baja",AH29="Leve")),"Bajo",IF(OR(AND(AF29="Muy baja",AH29="Moderado"),AND(AF29="Baja",AH29="Menor"),AND(AF29="Baja",AH29="Moderado"),AND(AF29="Media",AH29="Leve"),AND(AF29="Media",AH29="Menor"),AND(AF29="Media",AH29="Moderado"),AND(AF29="Alta",AH29="Leve"),AND(AF29="Alta",AH29="Menor")),"Moderado",IF(OR(AND(AF29="Muy Baja",AH29="Mayor"),AND(AF29="Baja",AH29="Mayor"),AND(AF29="Media",AH29="Mayor"),AND(AF29="Alta",AH29="Moderado"),AND(AF29="Alta",AH29="Mayor"),AND(AF29="Muy Alta",AH29="Leve"),AND(AF29="Muy Alta",AH29="Menor"),AND(AF29="Muy Alta",AH29="Moderado"),AND(AF29="Muy Alta",AH29="Mayor")),"Alto",IF(OR(AND(AF29="Muy Baja",AH29="Catastrófico"),AND(AF29="Baja",AH29="Catastrófico"),AND(AF29="Media",AH29="Catastrófico"),AND(AF29="Alta",AH29="Catastrófico"),AND(AF29="Muy Alta",AH29="Catastrófico")),"Extremo","")))),"")</f>
        <v/>
      </c>
      <c r="AK29" s="184"/>
      <c r="AL29" s="175"/>
      <c r="AM29" s="185"/>
      <c r="AN29" s="185"/>
      <c r="AO29" s="186"/>
      <c r="AP29" s="339"/>
      <c r="AQ29" s="339"/>
      <c r="AR29" s="339"/>
    </row>
    <row r="30" spans="1:44" x14ac:dyDescent="0.2">
      <c r="A30" s="328"/>
      <c r="B30" s="329"/>
      <c r="C30" s="329"/>
      <c r="D30" s="329"/>
      <c r="E30" s="372"/>
      <c r="F30" s="329"/>
      <c r="G30" s="344"/>
      <c r="H30" s="344"/>
      <c r="I30" s="344"/>
      <c r="J30" s="344"/>
      <c r="K30" s="344"/>
      <c r="L30" s="344"/>
      <c r="M30" s="344"/>
      <c r="N30" s="339"/>
      <c r="O30" s="340"/>
      <c r="P30" s="341"/>
      <c r="Q30" s="359"/>
      <c r="R30" s="341">
        <f>IF(NOT(ISERROR(MATCH(Q30,_xlfn.ANCHORARRAY(E41),0))),P43&amp;"Por favor no seleccionar los criterios de impacto",Q30)</f>
        <v>0</v>
      </c>
      <c r="S30" s="340"/>
      <c r="T30" s="341"/>
      <c r="U30" s="358"/>
      <c r="V30" s="203">
        <v>6</v>
      </c>
      <c r="W30" s="176"/>
      <c r="X30" s="178" t="str">
        <f t="shared" si="24"/>
        <v/>
      </c>
      <c r="Y30" s="179"/>
      <c r="Z30" s="179"/>
      <c r="AA30" s="180" t="str">
        <f t="shared" si="19"/>
        <v/>
      </c>
      <c r="AB30" s="179"/>
      <c r="AC30" s="179"/>
      <c r="AD30" s="179"/>
      <c r="AE30" s="181" t="str">
        <f t="shared" si="25"/>
        <v/>
      </c>
      <c r="AF30" s="182" t="str">
        <f t="shared" si="2"/>
        <v/>
      </c>
      <c r="AG30" s="180" t="str">
        <f t="shared" si="20"/>
        <v/>
      </c>
      <c r="AH30" s="182" t="str">
        <f t="shared" si="4"/>
        <v/>
      </c>
      <c r="AI30" s="180" t="str">
        <f t="shared" si="14"/>
        <v/>
      </c>
      <c r="AJ30" s="183" t="str">
        <f t="shared" si="26"/>
        <v/>
      </c>
      <c r="AK30" s="184"/>
      <c r="AL30" s="175"/>
      <c r="AM30" s="185"/>
      <c r="AN30" s="185"/>
      <c r="AO30" s="186"/>
      <c r="AP30" s="339"/>
      <c r="AQ30" s="339"/>
      <c r="AR30" s="339"/>
    </row>
    <row r="31" spans="1:44" x14ac:dyDescent="0.2">
      <c r="A31" s="328">
        <v>4</v>
      </c>
      <c r="B31" s="329"/>
      <c r="C31" s="329"/>
      <c r="D31" s="329"/>
      <c r="E31" s="368"/>
      <c r="F31" s="329"/>
      <c r="G31" s="342"/>
      <c r="H31" s="342"/>
      <c r="I31" s="342"/>
      <c r="J31" s="342"/>
      <c r="K31" s="342"/>
      <c r="L31" s="342"/>
      <c r="M31" s="342"/>
      <c r="N31" s="339"/>
      <c r="O31" s="340" t="str">
        <f>IF(N31&lt;=0,"",IF(N31&lt;=2,"Muy Baja",IF(N31&lt;=24,"Baja",IF(N31&lt;=500,"Media",IF(N31&lt;=5000,"Alta","Muy Alta")))))</f>
        <v/>
      </c>
      <c r="P31" s="341" t="str">
        <f>IF(O31="","",IF(O31="Muy Baja",0.2,IF(O31="Baja",0.4,IF(O31="Media",0.6,IF(O31="Alta",0.8,IF(O31="Muy Alta",1,))))))</f>
        <v/>
      </c>
      <c r="Q31" s="359"/>
      <c r="R31" s="341">
        <f>IF(NOT(ISERROR(MATCH(Q31,'Tabla Impacto'!$B$222:$B$224,0))),'Tabla Impacto'!$F$224&amp;"Por favor no seleccionar los criterios de impacto(Afectación Económica o presupuestal y Pérdida Reputacional)",Q31)</f>
        <v>0</v>
      </c>
      <c r="S31" s="340" t="str">
        <f>IF(OR(R31='Tabla Impacto'!$C$12,R31='Tabla Impacto'!$D$12),"Leve",IF(OR(R31='Tabla Impacto'!$C$13,R31='Tabla Impacto'!$D$13),"Menor",IF(OR(R31='Tabla Impacto'!$C$14,R31='Tabla Impacto'!$D$14),"Moderado",IF(OR(R31='Tabla Impacto'!$C$15,R31='Tabla Impacto'!$D$15),"Mayor",IF(OR(R31='Tabla Impacto'!$C$16,R31='Tabla Impacto'!$D$16),"Catastrófico","")))))</f>
        <v/>
      </c>
      <c r="T31" s="341" t="str">
        <f>IF(S31="","",IF(S31="Leve",0.2,IF(S31="Menor",0.4,IF(S31="Moderado",0.6,IF(S31="Mayor",0.8,IF(S31="Catastrófico",1,))))))</f>
        <v/>
      </c>
      <c r="U31" s="358" t="str">
        <f>IF(OR(AND(O31="Muy Baja",S31="Leve"),AND(O31="Muy Baja",S31="Menor"),AND(O31="Baja",S31="Leve")),"Bajo",IF(OR(AND(O31="Muy baja",S31="Moderado"),AND(O31="Baja",S31="Menor"),AND(O31="Baja",S31="Moderado"),AND(O31="Media",S31="Leve"),AND(O31="Media",S31="Menor"),AND(O31="Media",S31="Moderado"),AND(O31="Alta",S31="Leve"),AND(O31="Alta",S31="Menor")),"Moderado",IF(OR(AND(O31="Muy Baja",S31="Mayor"),AND(O31="Baja",S31="Mayor"),AND(O31="Media",S31="Mayor"),AND(O31="Alta",S31="Moderado"),AND(O31="Alta",S31="Mayor"),AND(O31="Muy Alta",S31="Leve"),AND(O31="Muy Alta",S31="Menor"),AND(O31="Muy Alta",S31="Moderado"),AND(O31="Muy Alta",S31="Mayor")),"Alto",IF(OR(AND(O31="Muy Baja",S31="Catastrófico"),AND(O31="Baja",S31="Catastrófico"),AND(O31="Media",S31="Catastrófico"),AND(O31="Alta",S31="Catastrófico"),AND(O31="Muy Alta",S31="Catastrófico")),"Extremo",""))))</f>
        <v/>
      </c>
      <c r="V31" s="203">
        <v>1</v>
      </c>
      <c r="W31" s="176"/>
      <c r="X31" s="178" t="str">
        <f>IF(OR(Y31="Preventivo",Y31="Detectivo"),"Probabilidad",IF(Y31="Correctivo","Impacto",""))</f>
        <v/>
      </c>
      <c r="Y31" s="179"/>
      <c r="Z31" s="179"/>
      <c r="AA31" s="180" t="str">
        <f>IF(AND(Y31="Preventivo",Z31="Automático"),"50%",IF(AND(Y31="Preventivo",Z31="Manual"),"40%",IF(AND(Y31="Detectivo",Z31="Automático"),"40%",IF(AND(Y31="Detectivo",Z31="Manual"),"30%",IF(AND(Y31="Correctivo",Z31="Automático"),"35%",IF(AND(Y31="Correctivo",Z31="Manual"),"25%",""))))))</f>
        <v/>
      </c>
      <c r="AB31" s="179"/>
      <c r="AC31" s="179"/>
      <c r="AD31" s="179"/>
      <c r="AE31" s="181" t="str">
        <f>IFERROR(IF(X31="Probabilidad",(P31-(+P31*AA31)),IF(X31="Impacto",P31,"")),"")</f>
        <v/>
      </c>
      <c r="AF31" s="182" t="str">
        <f>IFERROR(IF(AE31="","",IF(AE31&lt;=0.2,"Muy Baja",IF(AE31&lt;=0.4,"Baja",IF(AE31&lt;=0.6,"Media",IF(AE31&lt;=0.8,"Alta","Muy Alta"))))),"")</f>
        <v/>
      </c>
      <c r="AG31" s="180" t="str">
        <f>+AE31</f>
        <v/>
      </c>
      <c r="AH31" s="182" t="str">
        <f>IFERROR(IF(AI31="","",IF(AI31&lt;=0.2,"Leve",IF(AI31&lt;=0.4,"Menor",IF(AI31&lt;=0.6,"Moderado",IF(AI31&lt;=0.8,"Mayor","Catastrófico"))))),"")</f>
        <v/>
      </c>
      <c r="AI31" s="180" t="str">
        <f t="shared" ref="AI31" si="27">IFERROR(IF(X31="Impacto",(T31-(+T31*AA31)),IF(X31="Probabilidad",T31,"")),"")</f>
        <v/>
      </c>
      <c r="AJ31" s="183" t="str">
        <f>IFERROR(IF(OR(AND(AF31="Muy Baja",AH31="Leve"),AND(AF31="Muy Baja",AH31="Menor"),AND(AF31="Baja",AH31="Leve")),"Bajo",IF(OR(AND(AF31="Muy baja",AH31="Moderado"),AND(AF31="Baja",AH31="Menor"),AND(AF31="Baja",AH31="Moderado"),AND(AF31="Media",AH31="Leve"),AND(AF31="Media",AH31="Menor"),AND(AF31="Media",AH31="Moderado"),AND(AF31="Alta",AH31="Leve"),AND(AF31="Alta",AH31="Menor")),"Moderado",IF(OR(AND(AF31="Muy Baja",AH31="Mayor"),AND(AF31="Baja",AH31="Mayor"),AND(AF31="Media",AH31="Mayor"),AND(AF31="Alta",AH31="Moderado"),AND(AF31="Alta",AH31="Mayor"),AND(AF31="Muy Alta",AH31="Leve"),AND(AF31="Muy Alta",AH31="Menor"),AND(AF31="Muy Alta",AH31="Moderado"),AND(AF31="Muy Alta",AH31="Mayor")),"Alto",IF(OR(AND(AF31="Muy Baja",AH31="Catastrófico"),AND(AF31="Baja",AH31="Catastrófico"),AND(AF31="Media",AH31="Catastrófico"),AND(AF31="Alta",AH31="Catastrófico"),AND(AF31="Muy Alta",AH31="Catastrófico")),"Extremo","")))),"")</f>
        <v/>
      </c>
      <c r="AK31" s="184"/>
      <c r="AL31" s="175"/>
      <c r="AM31" s="185"/>
      <c r="AN31" s="185"/>
      <c r="AO31" s="186"/>
      <c r="AP31" s="339"/>
      <c r="AQ31" s="339"/>
      <c r="AR31" s="339"/>
    </row>
    <row r="32" spans="1:44" x14ac:dyDescent="0.2">
      <c r="A32" s="328"/>
      <c r="B32" s="329"/>
      <c r="C32" s="329"/>
      <c r="D32" s="329"/>
      <c r="E32" s="369"/>
      <c r="F32" s="329"/>
      <c r="G32" s="343"/>
      <c r="H32" s="343"/>
      <c r="I32" s="343"/>
      <c r="J32" s="343"/>
      <c r="K32" s="343"/>
      <c r="L32" s="343"/>
      <c r="M32" s="343"/>
      <c r="N32" s="339"/>
      <c r="O32" s="340"/>
      <c r="P32" s="341"/>
      <c r="Q32" s="359"/>
      <c r="R32" s="341">
        <f>IF(NOT(ISERROR(MATCH(Q32,_xlfn.ANCHORARRAY(E43),0))),P45&amp;"Por favor no seleccionar los criterios de impacto",Q32)</f>
        <v>0</v>
      </c>
      <c r="S32" s="340"/>
      <c r="T32" s="341"/>
      <c r="U32" s="358"/>
      <c r="V32" s="203">
        <v>2</v>
      </c>
      <c r="W32" s="176"/>
      <c r="X32" s="178" t="str">
        <f>IF(OR(Y32="Preventivo",Y32="Detectivo"),"Probabilidad",IF(Y32="Correctivo","Impacto",""))</f>
        <v/>
      </c>
      <c r="Y32" s="179"/>
      <c r="Z32" s="179"/>
      <c r="AA32" s="180" t="str">
        <f t="shared" ref="AA32:AA36" si="28">IF(AND(Y32="Preventivo",Z32="Automático"),"50%",IF(AND(Y32="Preventivo",Z32="Manual"),"40%",IF(AND(Y32="Detectivo",Z32="Automático"),"40%",IF(AND(Y32="Detectivo",Z32="Manual"),"30%",IF(AND(Y32="Correctivo",Z32="Automático"),"35%",IF(AND(Y32="Correctivo",Z32="Manual"),"25%",""))))))</f>
        <v/>
      </c>
      <c r="AB32" s="179"/>
      <c r="AC32" s="179"/>
      <c r="AD32" s="179"/>
      <c r="AE32" s="181" t="str">
        <f>IFERROR(IF(AND(X31="Probabilidad",X32="Probabilidad"),(AG31-(+AG31*AA32)),IF(X32="Probabilidad",(P31-(+P31*AA32)),IF(X32="Impacto",AG31,""))),"")</f>
        <v/>
      </c>
      <c r="AF32" s="182" t="str">
        <f t="shared" si="2"/>
        <v/>
      </c>
      <c r="AG32" s="180" t="str">
        <f t="shared" ref="AG32:AG36" si="29">+AE32</f>
        <v/>
      </c>
      <c r="AH32" s="182" t="str">
        <f t="shared" si="4"/>
        <v/>
      </c>
      <c r="AI32" s="180" t="str">
        <f t="shared" ref="AI32" si="30">IFERROR(IF(AND(X31="Impacto",X32="Impacto"),(AI31-(+AI31*AA32)),IF(X32="Impacto",($T$13-(+$T$13*AA32)),IF(X32="Probabilidad",AI31,""))),"")</f>
        <v/>
      </c>
      <c r="AJ32" s="183" t="str">
        <f t="shared" ref="AJ32:AJ33" si="31">IFERROR(IF(OR(AND(AF32="Muy Baja",AH32="Leve"),AND(AF32="Muy Baja",AH32="Menor"),AND(AF32="Baja",AH32="Leve")),"Bajo",IF(OR(AND(AF32="Muy baja",AH32="Moderado"),AND(AF32="Baja",AH32="Menor"),AND(AF32="Baja",AH32="Moderado"),AND(AF32="Media",AH32="Leve"),AND(AF32="Media",AH32="Menor"),AND(AF32="Media",AH32="Moderado"),AND(AF32="Alta",AH32="Leve"),AND(AF32="Alta",AH32="Menor")),"Moderado",IF(OR(AND(AF32="Muy Baja",AH32="Mayor"),AND(AF32="Baja",AH32="Mayor"),AND(AF32="Media",AH32="Mayor"),AND(AF32="Alta",AH32="Moderado"),AND(AF32="Alta",AH32="Mayor"),AND(AF32="Muy Alta",AH32="Leve"),AND(AF32="Muy Alta",AH32="Menor"),AND(AF32="Muy Alta",AH32="Moderado"),AND(AF32="Muy Alta",AH32="Mayor")),"Alto",IF(OR(AND(AF32="Muy Baja",AH32="Catastrófico"),AND(AF32="Baja",AH32="Catastrófico"),AND(AF32="Media",AH32="Catastrófico"),AND(AF32="Alta",AH32="Catastrófico"),AND(AF32="Muy Alta",AH32="Catastrófico")),"Extremo","")))),"")</f>
        <v/>
      </c>
      <c r="AK32" s="184"/>
      <c r="AL32" s="175"/>
      <c r="AM32" s="185"/>
      <c r="AN32" s="185"/>
      <c r="AO32" s="186"/>
      <c r="AP32" s="339"/>
      <c r="AQ32" s="339"/>
      <c r="AR32" s="339"/>
    </row>
    <row r="33" spans="1:44" x14ac:dyDescent="0.2">
      <c r="A33" s="328"/>
      <c r="B33" s="329"/>
      <c r="C33" s="329"/>
      <c r="D33" s="329"/>
      <c r="E33" s="369"/>
      <c r="F33" s="329"/>
      <c r="G33" s="343"/>
      <c r="H33" s="343"/>
      <c r="I33" s="343"/>
      <c r="J33" s="343"/>
      <c r="K33" s="343"/>
      <c r="L33" s="343"/>
      <c r="M33" s="343"/>
      <c r="N33" s="339"/>
      <c r="O33" s="340"/>
      <c r="P33" s="341"/>
      <c r="Q33" s="359"/>
      <c r="R33" s="341">
        <f>IF(NOT(ISERROR(MATCH(Q33,_xlfn.ANCHORARRAY(E44),0))),P46&amp;"Por favor no seleccionar los criterios de impacto",Q33)</f>
        <v>0</v>
      </c>
      <c r="S33" s="340"/>
      <c r="T33" s="341"/>
      <c r="U33" s="358"/>
      <c r="V33" s="203">
        <v>3</v>
      </c>
      <c r="W33" s="177"/>
      <c r="X33" s="178" t="str">
        <f>IF(OR(Y33="Preventivo",Y33="Detectivo"),"Probabilidad",IF(Y33="Correctivo","Impacto",""))</f>
        <v/>
      </c>
      <c r="Y33" s="179"/>
      <c r="Z33" s="179"/>
      <c r="AA33" s="180" t="str">
        <f t="shared" si="28"/>
        <v/>
      </c>
      <c r="AB33" s="179"/>
      <c r="AC33" s="179"/>
      <c r="AD33" s="179"/>
      <c r="AE33" s="181" t="str">
        <f>IFERROR(IF(AND(X32="Probabilidad",X33="Probabilidad"),(AG32-(+AG32*AA33)),IF(AND(X32="Impacto",X33="Probabilidad"),(AG31-(+AG31*AA33)),IF(X33="Impacto",AG32,""))),"")</f>
        <v/>
      </c>
      <c r="AF33" s="182" t="str">
        <f t="shared" si="2"/>
        <v/>
      </c>
      <c r="AG33" s="180" t="str">
        <f t="shared" si="29"/>
        <v/>
      </c>
      <c r="AH33" s="182" t="str">
        <f t="shared" si="4"/>
        <v/>
      </c>
      <c r="AI33" s="180" t="str">
        <f t="shared" ref="AI33" si="32">IFERROR(IF(AND(X32="Impacto",X33="Impacto"),(AI32-(+AI32*AA33)),IF(AND(X32="Probabilidad",X33="Impacto"),(AI31-(+AI31*AA33)),IF(X33="Probabilidad",AI32,""))),"")</f>
        <v/>
      </c>
      <c r="AJ33" s="183" t="str">
        <f t="shared" si="31"/>
        <v/>
      </c>
      <c r="AK33" s="184"/>
      <c r="AL33" s="175"/>
      <c r="AM33" s="185"/>
      <c r="AN33" s="185"/>
      <c r="AO33" s="186"/>
      <c r="AP33" s="339"/>
      <c r="AQ33" s="339"/>
      <c r="AR33" s="339"/>
    </row>
    <row r="34" spans="1:44" x14ac:dyDescent="0.2">
      <c r="A34" s="328"/>
      <c r="B34" s="329"/>
      <c r="C34" s="329"/>
      <c r="D34" s="329"/>
      <c r="E34" s="369"/>
      <c r="F34" s="329"/>
      <c r="G34" s="343"/>
      <c r="H34" s="343"/>
      <c r="I34" s="343"/>
      <c r="J34" s="343"/>
      <c r="K34" s="343"/>
      <c r="L34" s="343"/>
      <c r="M34" s="343"/>
      <c r="N34" s="339"/>
      <c r="O34" s="340"/>
      <c r="P34" s="341"/>
      <c r="Q34" s="359"/>
      <c r="R34" s="341">
        <f>IF(NOT(ISERROR(MATCH(Q34,_xlfn.ANCHORARRAY(E45),0))),P47&amp;"Por favor no seleccionar los criterios de impacto",Q34)</f>
        <v>0</v>
      </c>
      <c r="S34" s="340"/>
      <c r="T34" s="341"/>
      <c r="U34" s="358"/>
      <c r="V34" s="203">
        <v>4</v>
      </c>
      <c r="W34" s="176"/>
      <c r="X34" s="178" t="str">
        <f t="shared" ref="X34:X36" si="33">IF(OR(Y34="Preventivo",Y34="Detectivo"),"Probabilidad",IF(Y34="Correctivo","Impacto",""))</f>
        <v/>
      </c>
      <c r="Y34" s="179"/>
      <c r="Z34" s="179"/>
      <c r="AA34" s="180" t="str">
        <f t="shared" si="28"/>
        <v/>
      </c>
      <c r="AB34" s="179"/>
      <c r="AC34" s="179"/>
      <c r="AD34" s="179"/>
      <c r="AE34" s="181" t="str">
        <f t="shared" ref="AE34:AE36" si="34">IFERROR(IF(AND(X33="Probabilidad",X34="Probabilidad"),(AG33-(+AG33*AA34)),IF(AND(X33="Impacto",X34="Probabilidad"),(AG32-(+AG32*AA34)),IF(X34="Impacto",AG33,""))),"")</f>
        <v/>
      </c>
      <c r="AF34" s="182" t="str">
        <f t="shared" si="2"/>
        <v/>
      </c>
      <c r="AG34" s="180" t="str">
        <f t="shared" si="29"/>
        <v/>
      </c>
      <c r="AH34" s="182" t="str">
        <f t="shared" si="4"/>
        <v/>
      </c>
      <c r="AI34" s="180" t="str">
        <f t="shared" si="14"/>
        <v/>
      </c>
      <c r="AJ34" s="183" t="str">
        <f>IFERROR(IF(OR(AND(AF34="Muy Baja",AH34="Leve"),AND(AF34="Muy Baja",AH34="Menor"),AND(AF34="Baja",AH34="Leve")),"Bajo",IF(OR(AND(AF34="Muy baja",AH34="Moderado"),AND(AF34="Baja",AH34="Menor"),AND(AF34="Baja",AH34="Moderado"),AND(AF34="Media",AH34="Leve"),AND(AF34="Media",AH34="Menor"),AND(AF34="Media",AH34="Moderado"),AND(AF34="Alta",AH34="Leve"),AND(AF34="Alta",AH34="Menor")),"Moderado",IF(OR(AND(AF34="Muy Baja",AH34="Mayor"),AND(AF34="Baja",AH34="Mayor"),AND(AF34="Media",AH34="Mayor"),AND(AF34="Alta",AH34="Moderado"),AND(AF34="Alta",AH34="Mayor"),AND(AF34="Muy Alta",AH34="Leve"),AND(AF34="Muy Alta",AH34="Menor"),AND(AF34="Muy Alta",AH34="Moderado"),AND(AF34="Muy Alta",AH34="Mayor")),"Alto",IF(OR(AND(AF34="Muy Baja",AH34="Catastrófico"),AND(AF34="Baja",AH34="Catastrófico"),AND(AF34="Media",AH34="Catastrófico"),AND(AF34="Alta",AH34="Catastrófico"),AND(AF34="Muy Alta",AH34="Catastrófico")),"Extremo","")))),"")</f>
        <v/>
      </c>
      <c r="AK34" s="184"/>
      <c r="AL34" s="175"/>
      <c r="AM34" s="185"/>
      <c r="AN34" s="185"/>
      <c r="AO34" s="186"/>
      <c r="AP34" s="339"/>
      <c r="AQ34" s="339"/>
      <c r="AR34" s="339"/>
    </row>
    <row r="35" spans="1:44" x14ac:dyDescent="0.2">
      <c r="A35" s="328"/>
      <c r="B35" s="329"/>
      <c r="C35" s="329"/>
      <c r="D35" s="329"/>
      <c r="E35" s="369"/>
      <c r="F35" s="329"/>
      <c r="G35" s="343"/>
      <c r="H35" s="343"/>
      <c r="I35" s="343"/>
      <c r="J35" s="343"/>
      <c r="K35" s="343"/>
      <c r="L35" s="343"/>
      <c r="M35" s="343"/>
      <c r="N35" s="339"/>
      <c r="O35" s="340"/>
      <c r="P35" s="341"/>
      <c r="Q35" s="359"/>
      <c r="R35" s="341">
        <f>IF(NOT(ISERROR(MATCH(Q35,_xlfn.ANCHORARRAY(E46),0))),P48&amp;"Por favor no seleccionar los criterios de impacto",Q35)</f>
        <v>0</v>
      </c>
      <c r="S35" s="340"/>
      <c r="T35" s="341"/>
      <c r="U35" s="358"/>
      <c r="V35" s="203">
        <v>5</v>
      </c>
      <c r="W35" s="176"/>
      <c r="X35" s="178" t="str">
        <f t="shared" si="33"/>
        <v/>
      </c>
      <c r="Y35" s="179"/>
      <c r="Z35" s="179"/>
      <c r="AA35" s="180" t="str">
        <f t="shared" si="28"/>
        <v/>
      </c>
      <c r="AB35" s="179"/>
      <c r="AC35" s="179"/>
      <c r="AD35" s="179"/>
      <c r="AE35" s="181" t="str">
        <f t="shared" si="34"/>
        <v/>
      </c>
      <c r="AF35" s="182" t="str">
        <f>IFERROR(IF(AE35="","",IF(AE35&lt;=0.2,"Muy Baja",IF(AE35&lt;=0.4,"Baja",IF(AE35&lt;=0.6,"Media",IF(AE35&lt;=0.8,"Alta","Muy Alta"))))),"")</f>
        <v/>
      </c>
      <c r="AG35" s="180" t="str">
        <f t="shared" si="29"/>
        <v/>
      </c>
      <c r="AH35" s="182" t="str">
        <f t="shared" si="4"/>
        <v/>
      </c>
      <c r="AI35" s="180" t="str">
        <f t="shared" si="14"/>
        <v/>
      </c>
      <c r="AJ35" s="183" t="str">
        <f t="shared" ref="AJ35:AJ36" si="35">IFERROR(IF(OR(AND(AF35="Muy Baja",AH35="Leve"),AND(AF35="Muy Baja",AH35="Menor"),AND(AF35="Baja",AH35="Leve")),"Bajo",IF(OR(AND(AF35="Muy baja",AH35="Moderado"),AND(AF35="Baja",AH35="Menor"),AND(AF35="Baja",AH35="Moderado"),AND(AF35="Media",AH35="Leve"),AND(AF35="Media",AH35="Menor"),AND(AF35="Media",AH35="Moderado"),AND(AF35="Alta",AH35="Leve"),AND(AF35="Alta",AH35="Menor")),"Moderado",IF(OR(AND(AF35="Muy Baja",AH35="Mayor"),AND(AF35="Baja",AH35="Mayor"),AND(AF35="Media",AH35="Mayor"),AND(AF35="Alta",AH35="Moderado"),AND(AF35="Alta",AH35="Mayor"),AND(AF35="Muy Alta",AH35="Leve"),AND(AF35="Muy Alta",AH35="Menor"),AND(AF35="Muy Alta",AH35="Moderado"),AND(AF35="Muy Alta",AH35="Mayor")),"Alto",IF(OR(AND(AF35="Muy Baja",AH35="Catastrófico"),AND(AF35="Baja",AH35="Catastrófico"),AND(AF35="Media",AH35="Catastrófico"),AND(AF35="Alta",AH35="Catastrófico"),AND(AF35="Muy Alta",AH35="Catastrófico")),"Extremo","")))),"")</f>
        <v/>
      </c>
      <c r="AK35" s="184"/>
      <c r="AL35" s="175"/>
      <c r="AM35" s="185"/>
      <c r="AN35" s="185"/>
      <c r="AO35" s="186"/>
      <c r="AP35" s="339"/>
      <c r="AQ35" s="339"/>
      <c r="AR35" s="339"/>
    </row>
    <row r="36" spans="1:44" x14ac:dyDescent="0.2">
      <c r="A36" s="328"/>
      <c r="B36" s="329"/>
      <c r="C36" s="329"/>
      <c r="D36" s="329"/>
      <c r="E36" s="369"/>
      <c r="F36" s="329"/>
      <c r="G36" s="344"/>
      <c r="H36" s="344"/>
      <c r="I36" s="344"/>
      <c r="J36" s="344"/>
      <c r="K36" s="344"/>
      <c r="L36" s="344"/>
      <c r="M36" s="344"/>
      <c r="N36" s="339"/>
      <c r="O36" s="340"/>
      <c r="P36" s="341"/>
      <c r="Q36" s="359"/>
      <c r="R36" s="341">
        <f>IF(NOT(ISERROR(MATCH(Q36,_xlfn.ANCHORARRAY(E47),0))),P49&amp;"Por favor no seleccionar los criterios de impacto",Q36)</f>
        <v>0</v>
      </c>
      <c r="S36" s="340"/>
      <c r="T36" s="341"/>
      <c r="U36" s="358"/>
      <c r="V36" s="203">
        <v>6</v>
      </c>
      <c r="W36" s="176"/>
      <c r="X36" s="178" t="str">
        <f t="shared" si="33"/>
        <v/>
      </c>
      <c r="Y36" s="179"/>
      <c r="Z36" s="179"/>
      <c r="AA36" s="180" t="str">
        <f t="shared" si="28"/>
        <v/>
      </c>
      <c r="AB36" s="179"/>
      <c r="AC36" s="179"/>
      <c r="AD36" s="179"/>
      <c r="AE36" s="181" t="str">
        <f t="shared" si="34"/>
        <v/>
      </c>
      <c r="AF36" s="182" t="str">
        <f t="shared" si="2"/>
        <v/>
      </c>
      <c r="AG36" s="180" t="str">
        <f t="shared" si="29"/>
        <v/>
      </c>
      <c r="AH36" s="182" t="str">
        <f t="shared" si="4"/>
        <v/>
      </c>
      <c r="AI36" s="180" t="str">
        <f t="shared" si="14"/>
        <v/>
      </c>
      <c r="AJ36" s="183" t="str">
        <f t="shared" si="35"/>
        <v/>
      </c>
      <c r="AK36" s="184"/>
      <c r="AL36" s="175"/>
      <c r="AM36" s="185"/>
      <c r="AN36" s="185"/>
      <c r="AO36" s="186"/>
      <c r="AP36" s="339"/>
      <c r="AQ36" s="339"/>
      <c r="AR36" s="339"/>
    </row>
    <row r="37" spans="1:44" x14ac:dyDescent="0.2">
      <c r="A37" s="328">
        <v>5</v>
      </c>
      <c r="B37" s="329"/>
      <c r="C37" s="329"/>
      <c r="D37" s="329"/>
      <c r="E37" s="329"/>
      <c r="F37" s="329"/>
      <c r="G37" s="342"/>
      <c r="H37" s="342"/>
      <c r="I37" s="342"/>
      <c r="J37" s="342"/>
      <c r="K37" s="342"/>
      <c r="L37" s="342"/>
      <c r="M37" s="342"/>
      <c r="N37" s="339"/>
      <c r="O37" s="340" t="str">
        <f>IF(N37&lt;=0,"",IF(N37&lt;=2,"Muy Baja",IF(N37&lt;=24,"Baja",IF(N37&lt;=500,"Media",IF(N37&lt;=5000,"Alta","Muy Alta")))))</f>
        <v/>
      </c>
      <c r="P37" s="341" t="str">
        <f>IF(O37="","",IF(O37="Muy Baja",0.2,IF(O37="Baja",0.4,IF(O37="Media",0.6,IF(O37="Alta",0.8,IF(O37="Muy Alta",1,))))))</f>
        <v/>
      </c>
      <c r="Q37" s="359"/>
      <c r="R37" s="341">
        <f>IF(NOT(ISERROR(MATCH(Q37,'Tabla Impacto'!$B$222:$B$224,0))),'Tabla Impacto'!$F$224&amp;"Por favor no seleccionar los criterios de impacto(Afectación Económica o presupuestal y Pérdida Reputacional)",Q37)</f>
        <v>0</v>
      </c>
      <c r="S37" s="340" t="str">
        <f>IF(OR(R37='Tabla Impacto'!$C$12,R37='Tabla Impacto'!$D$12),"Leve",IF(OR(R37='Tabla Impacto'!$C$13,R37='Tabla Impacto'!$D$13),"Menor",IF(OR(R37='Tabla Impacto'!$C$14,R37='Tabla Impacto'!$D$14),"Moderado",IF(OR(R37='Tabla Impacto'!$C$15,R37='Tabla Impacto'!$D$15),"Mayor",IF(OR(R37='Tabla Impacto'!$C$16,R37='Tabla Impacto'!$D$16),"Catastrófico","")))))</f>
        <v/>
      </c>
      <c r="T37" s="341" t="str">
        <f>IF(S37="","",IF(S37="Leve",0.2,IF(S37="Menor",0.4,IF(S37="Moderado",0.6,IF(S37="Mayor",0.8,IF(S37="Catastrófico",1,))))))</f>
        <v/>
      </c>
      <c r="U37" s="358" t="str">
        <f>IF(OR(AND(O37="Muy Baja",S37="Leve"),AND(O37="Muy Baja",S37="Menor"),AND(O37="Baja",S37="Leve")),"Bajo",IF(OR(AND(O37="Muy baja",S37="Moderado"),AND(O37="Baja",S37="Menor"),AND(O37="Baja",S37="Moderado"),AND(O37="Media",S37="Leve"),AND(O37="Media",S37="Menor"),AND(O37="Media",S37="Moderado"),AND(O37="Alta",S37="Leve"),AND(O37="Alta",S37="Menor")),"Moderado",IF(OR(AND(O37="Muy Baja",S37="Mayor"),AND(O37="Baja",S37="Mayor"),AND(O37="Media",S37="Mayor"),AND(O37="Alta",S37="Moderado"),AND(O37="Alta",S37="Mayor"),AND(O37="Muy Alta",S37="Leve"),AND(O37="Muy Alta",S37="Menor"),AND(O37="Muy Alta",S37="Moderado"),AND(O37="Muy Alta",S37="Mayor")),"Alto",IF(OR(AND(O37="Muy Baja",S37="Catastrófico"),AND(O37="Baja",S37="Catastrófico"),AND(O37="Media",S37="Catastrófico"),AND(O37="Alta",S37="Catastrófico"),AND(O37="Muy Alta",S37="Catastrófico")),"Extremo",""))))</f>
        <v/>
      </c>
      <c r="V37" s="203">
        <v>1</v>
      </c>
      <c r="W37" s="176"/>
      <c r="X37" s="178" t="str">
        <f>IF(OR(Y37="Preventivo",Y37="Detectivo"),"Probabilidad",IF(Y37="Correctivo","Impacto",""))</f>
        <v/>
      </c>
      <c r="Y37" s="179"/>
      <c r="Z37" s="179"/>
      <c r="AA37" s="180" t="str">
        <f>IF(AND(Y37="Preventivo",Z37="Automático"),"50%",IF(AND(Y37="Preventivo",Z37="Manual"),"40%",IF(AND(Y37="Detectivo",Z37="Automático"),"40%",IF(AND(Y37="Detectivo",Z37="Manual"),"30%",IF(AND(Y37="Correctivo",Z37="Automático"),"35%",IF(AND(Y37="Correctivo",Z37="Manual"),"25%",""))))))</f>
        <v/>
      </c>
      <c r="AB37" s="179"/>
      <c r="AC37" s="179"/>
      <c r="AD37" s="179"/>
      <c r="AE37" s="181" t="str">
        <f>IFERROR(IF(X37="Probabilidad",(P37-(+P37*AA37)),IF(X37="Impacto",P37,"")),"")</f>
        <v/>
      </c>
      <c r="AF37" s="182" t="str">
        <f>IFERROR(IF(AE37="","",IF(AE37&lt;=0.2,"Muy Baja",IF(AE37&lt;=0.4,"Baja",IF(AE37&lt;=0.6,"Media",IF(AE37&lt;=0.8,"Alta","Muy Alta"))))),"")</f>
        <v/>
      </c>
      <c r="AG37" s="180" t="str">
        <f>+AE37</f>
        <v/>
      </c>
      <c r="AH37" s="182" t="str">
        <f>IFERROR(IF(AI37="","",IF(AI37&lt;=0.2,"Leve",IF(AI37&lt;=0.4,"Menor",IF(AI37&lt;=0.6,"Moderado",IF(AI37&lt;=0.8,"Mayor","Catastrófico"))))),"")</f>
        <v/>
      </c>
      <c r="AI37" s="180" t="str">
        <f t="shared" ref="AI37" si="36">IFERROR(IF(X37="Impacto",(T37-(+T37*AA37)),IF(X37="Probabilidad",T37,"")),"")</f>
        <v/>
      </c>
      <c r="AJ37" s="183" t="str">
        <f>IFERROR(IF(OR(AND(AF37="Muy Baja",AH37="Leve"),AND(AF37="Muy Baja",AH37="Menor"),AND(AF37="Baja",AH37="Leve")),"Bajo",IF(OR(AND(AF37="Muy baja",AH37="Moderado"),AND(AF37="Baja",AH37="Menor"),AND(AF37="Baja",AH37="Moderado"),AND(AF37="Media",AH37="Leve"),AND(AF37="Media",AH37="Menor"),AND(AF37="Media",AH37="Moderado"),AND(AF37="Alta",AH37="Leve"),AND(AF37="Alta",AH37="Menor")),"Moderado",IF(OR(AND(AF37="Muy Baja",AH37="Mayor"),AND(AF37="Baja",AH37="Mayor"),AND(AF37="Media",AH37="Mayor"),AND(AF37="Alta",AH37="Moderado"),AND(AF37="Alta",AH37="Mayor"),AND(AF37="Muy Alta",AH37="Leve"),AND(AF37="Muy Alta",AH37="Menor"),AND(AF37="Muy Alta",AH37="Moderado"),AND(AF37="Muy Alta",AH37="Mayor")),"Alto",IF(OR(AND(AF37="Muy Baja",AH37="Catastrófico"),AND(AF37="Baja",AH37="Catastrófico"),AND(AF37="Media",AH37="Catastrófico"),AND(AF37="Alta",AH37="Catastrófico"),AND(AF37="Muy Alta",AH37="Catastrófico")),"Extremo","")))),"")</f>
        <v/>
      </c>
      <c r="AK37" s="184"/>
      <c r="AL37" s="175"/>
      <c r="AM37" s="185"/>
      <c r="AN37" s="185"/>
      <c r="AO37" s="186"/>
      <c r="AP37" s="339"/>
      <c r="AQ37" s="339"/>
      <c r="AR37" s="339"/>
    </row>
    <row r="38" spans="1:44" x14ac:dyDescent="0.2">
      <c r="A38" s="328"/>
      <c r="B38" s="329"/>
      <c r="C38" s="329"/>
      <c r="D38" s="329"/>
      <c r="E38" s="329"/>
      <c r="F38" s="329"/>
      <c r="G38" s="343"/>
      <c r="H38" s="343"/>
      <c r="I38" s="343"/>
      <c r="J38" s="343"/>
      <c r="K38" s="343"/>
      <c r="L38" s="343"/>
      <c r="M38" s="343"/>
      <c r="N38" s="339"/>
      <c r="O38" s="340"/>
      <c r="P38" s="341"/>
      <c r="Q38" s="359"/>
      <c r="R38" s="341">
        <f>IF(NOT(ISERROR(MATCH(Q38,_xlfn.ANCHORARRAY(E49),0))),P51&amp;"Por favor no seleccionar los criterios de impacto",Q38)</f>
        <v>0</v>
      </c>
      <c r="S38" s="340"/>
      <c r="T38" s="341"/>
      <c r="U38" s="358"/>
      <c r="V38" s="203">
        <v>2</v>
      </c>
      <c r="W38" s="176"/>
      <c r="X38" s="178" t="str">
        <f>IF(OR(Y38="Preventivo",Y38="Detectivo"),"Probabilidad",IF(Y38="Correctivo","Impacto",""))</f>
        <v/>
      </c>
      <c r="Y38" s="179"/>
      <c r="Z38" s="179"/>
      <c r="AA38" s="180" t="str">
        <f t="shared" ref="AA38:AA42" si="37">IF(AND(Y38="Preventivo",Z38="Automático"),"50%",IF(AND(Y38="Preventivo",Z38="Manual"),"40%",IF(AND(Y38="Detectivo",Z38="Automático"),"40%",IF(AND(Y38="Detectivo",Z38="Manual"),"30%",IF(AND(Y38="Correctivo",Z38="Automático"),"35%",IF(AND(Y38="Correctivo",Z38="Manual"),"25%",""))))))</f>
        <v/>
      </c>
      <c r="AB38" s="179"/>
      <c r="AC38" s="179"/>
      <c r="AD38" s="179"/>
      <c r="AE38" s="181" t="str">
        <f>IFERROR(IF(AND(X37="Probabilidad",X38="Probabilidad"),(AG37-(+AG37*AA38)),IF(X38="Probabilidad",(P37-(+P37*AA38)),IF(X38="Impacto",AG37,""))),"")</f>
        <v/>
      </c>
      <c r="AF38" s="182" t="str">
        <f t="shared" si="2"/>
        <v/>
      </c>
      <c r="AG38" s="180" t="str">
        <f t="shared" ref="AG38:AG42" si="38">+AE38</f>
        <v/>
      </c>
      <c r="AH38" s="182" t="str">
        <f t="shared" si="4"/>
        <v/>
      </c>
      <c r="AI38" s="180" t="str">
        <f t="shared" ref="AI38" si="39">IFERROR(IF(AND(X37="Impacto",X38="Impacto"),(AI37-(+AI37*AA38)),IF(X38="Impacto",($T$13-(+$T$13*AA38)),IF(X38="Probabilidad",AI37,""))),"")</f>
        <v/>
      </c>
      <c r="AJ38" s="183" t="str">
        <f t="shared" ref="AJ38:AJ39" si="40">IFERROR(IF(OR(AND(AF38="Muy Baja",AH38="Leve"),AND(AF38="Muy Baja",AH38="Menor"),AND(AF38="Baja",AH38="Leve")),"Bajo",IF(OR(AND(AF38="Muy baja",AH38="Moderado"),AND(AF38="Baja",AH38="Menor"),AND(AF38="Baja",AH38="Moderado"),AND(AF38="Media",AH38="Leve"),AND(AF38="Media",AH38="Menor"),AND(AF38="Media",AH38="Moderado"),AND(AF38="Alta",AH38="Leve"),AND(AF38="Alta",AH38="Menor")),"Moderado",IF(OR(AND(AF38="Muy Baja",AH38="Mayor"),AND(AF38="Baja",AH38="Mayor"),AND(AF38="Media",AH38="Mayor"),AND(AF38="Alta",AH38="Moderado"),AND(AF38="Alta",AH38="Mayor"),AND(AF38="Muy Alta",AH38="Leve"),AND(AF38="Muy Alta",AH38="Menor"),AND(AF38="Muy Alta",AH38="Moderado"),AND(AF38="Muy Alta",AH38="Mayor")),"Alto",IF(OR(AND(AF38="Muy Baja",AH38="Catastrófico"),AND(AF38="Baja",AH38="Catastrófico"),AND(AF38="Media",AH38="Catastrófico"),AND(AF38="Alta",AH38="Catastrófico"),AND(AF38="Muy Alta",AH38="Catastrófico")),"Extremo","")))),"")</f>
        <v/>
      </c>
      <c r="AK38" s="184"/>
      <c r="AL38" s="175"/>
      <c r="AM38" s="185"/>
      <c r="AN38" s="185"/>
      <c r="AO38" s="186"/>
      <c r="AP38" s="339"/>
      <c r="AQ38" s="339"/>
      <c r="AR38" s="339"/>
    </row>
    <row r="39" spans="1:44" x14ac:dyDescent="0.2">
      <c r="A39" s="328"/>
      <c r="B39" s="329"/>
      <c r="C39" s="329"/>
      <c r="D39" s="329"/>
      <c r="E39" s="329"/>
      <c r="F39" s="329"/>
      <c r="G39" s="343"/>
      <c r="H39" s="343"/>
      <c r="I39" s="343"/>
      <c r="J39" s="343"/>
      <c r="K39" s="343"/>
      <c r="L39" s="343"/>
      <c r="M39" s="343"/>
      <c r="N39" s="339"/>
      <c r="O39" s="340"/>
      <c r="P39" s="341"/>
      <c r="Q39" s="359"/>
      <c r="R39" s="341">
        <f>IF(NOT(ISERROR(MATCH(Q39,_xlfn.ANCHORARRAY(E50),0))),P52&amp;"Por favor no seleccionar los criterios de impacto",Q39)</f>
        <v>0</v>
      </c>
      <c r="S39" s="340"/>
      <c r="T39" s="341"/>
      <c r="U39" s="358"/>
      <c r="V39" s="203">
        <v>3</v>
      </c>
      <c r="W39" s="177"/>
      <c r="X39" s="178" t="str">
        <f>IF(OR(Y39="Preventivo",Y39="Detectivo"),"Probabilidad",IF(Y39="Correctivo","Impacto",""))</f>
        <v/>
      </c>
      <c r="Y39" s="179"/>
      <c r="Z39" s="179"/>
      <c r="AA39" s="180" t="str">
        <f t="shared" si="37"/>
        <v/>
      </c>
      <c r="AB39" s="179"/>
      <c r="AC39" s="179"/>
      <c r="AD39" s="179"/>
      <c r="AE39" s="181" t="str">
        <f>IFERROR(IF(AND(X38="Probabilidad",X39="Probabilidad"),(AG38-(+AG38*AA39)),IF(AND(X38="Impacto",X39="Probabilidad"),(AG37-(+AG37*AA39)),IF(X39="Impacto",AG38,""))),"")</f>
        <v/>
      </c>
      <c r="AF39" s="182" t="str">
        <f t="shared" si="2"/>
        <v/>
      </c>
      <c r="AG39" s="180" t="str">
        <f t="shared" si="38"/>
        <v/>
      </c>
      <c r="AH39" s="182" t="str">
        <f t="shared" si="4"/>
        <v/>
      </c>
      <c r="AI39" s="180" t="str">
        <f t="shared" ref="AI39" si="41">IFERROR(IF(AND(X38="Impacto",X39="Impacto"),(AI38-(+AI38*AA39)),IF(AND(X38="Probabilidad",X39="Impacto"),(AI37-(+AI37*AA39)),IF(X39="Probabilidad",AI38,""))),"")</f>
        <v/>
      </c>
      <c r="AJ39" s="183" t="str">
        <f t="shared" si="40"/>
        <v/>
      </c>
      <c r="AK39" s="184"/>
      <c r="AL39" s="175"/>
      <c r="AM39" s="185"/>
      <c r="AN39" s="185"/>
      <c r="AO39" s="186"/>
      <c r="AP39" s="339"/>
      <c r="AQ39" s="339"/>
      <c r="AR39" s="339"/>
    </row>
    <row r="40" spans="1:44" x14ac:dyDescent="0.2">
      <c r="A40" s="328"/>
      <c r="B40" s="329"/>
      <c r="C40" s="329"/>
      <c r="D40" s="329"/>
      <c r="E40" s="329"/>
      <c r="F40" s="329"/>
      <c r="G40" s="343"/>
      <c r="H40" s="343"/>
      <c r="I40" s="343"/>
      <c r="J40" s="343"/>
      <c r="K40" s="343"/>
      <c r="L40" s="343"/>
      <c r="M40" s="343"/>
      <c r="N40" s="339"/>
      <c r="O40" s="340"/>
      <c r="P40" s="341"/>
      <c r="Q40" s="359"/>
      <c r="R40" s="341">
        <f>IF(NOT(ISERROR(MATCH(Q40,_xlfn.ANCHORARRAY(E51),0))),P53&amp;"Por favor no seleccionar los criterios de impacto",Q40)</f>
        <v>0</v>
      </c>
      <c r="S40" s="340"/>
      <c r="T40" s="341"/>
      <c r="U40" s="358"/>
      <c r="V40" s="203">
        <v>4</v>
      </c>
      <c r="W40" s="176"/>
      <c r="X40" s="178" t="str">
        <f t="shared" ref="X40:X42" si="42">IF(OR(Y40="Preventivo",Y40="Detectivo"),"Probabilidad",IF(Y40="Correctivo","Impacto",""))</f>
        <v/>
      </c>
      <c r="Y40" s="179"/>
      <c r="Z40" s="179"/>
      <c r="AA40" s="180" t="str">
        <f t="shared" si="37"/>
        <v/>
      </c>
      <c r="AB40" s="179"/>
      <c r="AC40" s="179"/>
      <c r="AD40" s="179"/>
      <c r="AE40" s="181" t="str">
        <f t="shared" ref="AE40:AE42" si="43">IFERROR(IF(AND(X39="Probabilidad",X40="Probabilidad"),(AG39-(+AG39*AA40)),IF(AND(X39="Impacto",X40="Probabilidad"),(AG38-(+AG38*AA40)),IF(X40="Impacto",AG39,""))),"")</f>
        <v/>
      </c>
      <c r="AF40" s="182" t="str">
        <f t="shared" si="2"/>
        <v/>
      </c>
      <c r="AG40" s="180" t="str">
        <f t="shared" si="38"/>
        <v/>
      </c>
      <c r="AH40" s="182" t="str">
        <f t="shared" si="4"/>
        <v/>
      </c>
      <c r="AI40" s="180" t="str">
        <f t="shared" si="14"/>
        <v/>
      </c>
      <c r="AJ40" s="183" t="str">
        <f>IFERROR(IF(OR(AND(AF40="Muy Baja",AH40="Leve"),AND(AF40="Muy Baja",AH40="Menor"),AND(AF40="Baja",AH40="Leve")),"Bajo",IF(OR(AND(AF40="Muy baja",AH40="Moderado"),AND(AF40="Baja",AH40="Menor"),AND(AF40="Baja",AH40="Moderado"),AND(AF40="Media",AH40="Leve"),AND(AF40="Media",AH40="Menor"),AND(AF40="Media",AH40="Moderado"),AND(AF40="Alta",AH40="Leve"),AND(AF40="Alta",AH40="Menor")),"Moderado",IF(OR(AND(AF40="Muy Baja",AH40="Mayor"),AND(AF40="Baja",AH40="Mayor"),AND(AF40="Media",AH40="Mayor"),AND(AF40="Alta",AH40="Moderado"),AND(AF40="Alta",AH40="Mayor"),AND(AF40="Muy Alta",AH40="Leve"),AND(AF40="Muy Alta",AH40="Menor"),AND(AF40="Muy Alta",AH40="Moderado"),AND(AF40="Muy Alta",AH40="Mayor")),"Alto",IF(OR(AND(AF40="Muy Baja",AH40="Catastrófico"),AND(AF40="Baja",AH40="Catastrófico"),AND(AF40="Media",AH40="Catastrófico"),AND(AF40="Alta",AH40="Catastrófico"),AND(AF40="Muy Alta",AH40="Catastrófico")),"Extremo","")))),"")</f>
        <v/>
      </c>
      <c r="AK40" s="184"/>
      <c r="AL40" s="175"/>
      <c r="AM40" s="185"/>
      <c r="AN40" s="185"/>
      <c r="AO40" s="186"/>
      <c r="AP40" s="339"/>
      <c r="AQ40" s="339"/>
      <c r="AR40" s="339"/>
    </row>
    <row r="41" spans="1:44" x14ac:dyDescent="0.2">
      <c r="A41" s="328"/>
      <c r="B41" s="329"/>
      <c r="C41" s="329"/>
      <c r="D41" s="329"/>
      <c r="E41" s="329"/>
      <c r="F41" s="329"/>
      <c r="G41" s="343"/>
      <c r="H41" s="343"/>
      <c r="I41" s="343"/>
      <c r="J41" s="343"/>
      <c r="K41" s="343"/>
      <c r="L41" s="343"/>
      <c r="M41" s="343"/>
      <c r="N41" s="339"/>
      <c r="O41" s="340"/>
      <c r="P41" s="341"/>
      <c r="Q41" s="359"/>
      <c r="R41" s="341">
        <f>IF(NOT(ISERROR(MATCH(Q41,_xlfn.ANCHORARRAY(E52),0))),P54&amp;"Por favor no seleccionar los criterios de impacto",Q41)</f>
        <v>0</v>
      </c>
      <c r="S41" s="340"/>
      <c r="T41" s="341"/>
      <c r="U41" s="358"/>
      <c r="V41" s="203">
        <v>5</v>
      </c>
      <c r="W41" s="176"/>
      <c r="X41" s="178" t="str">
        <f t="shared" si="42"/>
        <v/>
      </c>
      <c r="Y41" s="179"/>
      <c r="Z41" s="179"/>
      <c r="AA41" s="180" t="str">
        <f t="shared" si="37"/>
        <v/>
      </c>
      <c r="AB41" s="179"/>
      <c r="AC41" s="179"/>
      <c r="AD41" s="179"/>
      <c r="AE41" s="181" t="str">
        <f t="shared" si="43"/>
        <v/>
      </c>
      <c r="AF41" s="182" t="str">
        <f t="shared" si="2"/>
        <v/>
      </c>
      <c r="AG41" s="180" t="str">
        <f t="shared" si="38"/>
        <v/>
      </c>
      <c r="AH41" s="182" t="str">
        <f t="shared" si="4"/>
        <v/>
      </c>
      <c r="AI41" s="180" t="str">
        <f t="shared" si="14"/>
        <v/>
      </c>
      <c r="AJ41" s="183" t="str">
        <f t="shared" ref="AJ41:AJ42" si="44">IFERROR(IF(OR(AND(AF41="Muy Baja",AH41="Leve"),AND(AF41="Muy Baja",AH41="Menor"),AND(AF41="Baja",AH41="Leve")),"Bajo",IF(OR(AND(AF41="Muy baja",AH41="Moderado"),AND(AF41="Baja",AH41="Menor"),AND(AF41="Baja",AH41="Moderado"),AND(AF41="Media",AH41="Leve"),AND(AF41="Media",AH41="Menor"),AND(AF41="Media",AH41="Moderado"),AND(AF41="Alta",AH41="Leve"),AND(AF41="Alta",AH41="Menor")),"Moderado",IF(OR(AND(AF41="Muy Baja",AH41="Mayor"),AND(AF41="Baja",AH41="Mayor"),AND(AF41="Media",AH41="Mayor"),AND(AF41="Alta",AH41="Moderado"),AND(AF41="Alta",AH41="Mayor"),AND(AF41="Muy Alta",AH41="Leve"),AND(AF41="Muy Alta",AH41="Menor"),AND(AF41="Muy Alta",AH41="Moderado"),AND(AF41="Muy Alta",AH41="Mayor")),"Alto",IF(OR(AND(AF41="Muy Baja",AH41="Catastrófico"),AND(AF41="Baja",AH41="Catastrófico"),AND(AF41="Media",AH41="Catastrófico"),AND(AF41="Alta",AH41="Catastrófico"),AND(AF41="Muy Alta",AH41="Catastrófico")),"Extremo","")))),"")</f>
        <v/>
      </c>
      <c r="AK41" s="184"/>
      <c r="AL41" s="175"/>
      <c r="AM41" s="185"/>
      <c r="AN41" s="185"/>
      <c r="AO41" s="186"/>
      <c r="AP41" s="339"/>
      <c r="AQ41" s="339"/>
      <c r="AR41" s="339"/>
    </row>
    <row r="42" spans="1:44" x14ac:dyDescent="0.2">
      <c r="A42" s="328"/>
      <c r="B42" s="329"/>
      <c r="C42" s="329"/>
      <c r="D42" s="329"/>
      <c r="E42" s="329"/>
      <c r="F42" s="329"/>
      <c r="G42" s="344"/>
      <c r="H42" s="344"/>
      <c r="I42" s="344"/>
      <c r="J42" s="344"/>
      <c r="K42" s="344"/>
      <c r="L42" s="344"/>
      <c r="M42" s="344"/>
      <c r="N42" s="339"/>
      <c r="O42" s="340"/>
      <c r="P42" s="341"/>
      <c r="Q42" s="359"/>
      <c r="R42" s="341">
        <f>IF(NOT(ISERROR(MATCH(Q42,_xlfn.ANCHORARRAY(E53),0))),P55&amp;"Por favor no seleccionar los criterios de impacto",Q42)</f>
        <v>0</v>
      </c>
      <c r="S42" s="340"/>
      <c r="T42" s="341"/>
      <c r="U42" s="358"/>
      <c r="V42" s="203">
        <v>6</v>
      </c>
      <c r="W42" s="176"/>
      <c r="X42" s="178" t="str">
        <f t="shared" si="42"/>
        <v/>
      </c>
      <c r="Y42" s="179"/>
      <c r="Z42" s="179"/>
      <c r="AA42" s="180" t="str">
        <f t="shared" si="37"/>
        <v/>
      </c>
      <c r="AB42" s="179"/>
      <c r="AC42" s="179"/>
      <c r="AD42" s="179"/>
      <c r="AE42" s="181" t="str">
        <f t="shared" si="43"/>
        <v/>
      </c>
      <c r="AF42" s="182" t="str">
        <f t="shared" si="2"/>
        <v/>
      </c>
      <c r="AG42" s="180" t="str">
        <f t="shared" si="38"/>
        <v/>
      </c>
      <c r="AH42" s="182" t="str">
        <f t="shared" si="4"/>
        <v/>
      </c>
      <c r="AI42" s="180" t="str">
        <f t="shared" si="14"/>
        <v/>
      </c>
      <c r="AJ42" s="183" t="str">
        <f t="shared" si="44"/>
        <v/>
      </c>
      <c r="AK42" s="184"/>
      <c r="AL42" s="175"/>
      <c r="AM42" s="185"/>
      <c r="AN42" s="185"/>
      <c r="AO42" s="186"/>
      <c r="AP42" s="339"/>
      <c r="AQ42" s="339"/>
      <c r="AR42" s="339"/>
    </row>
    <row r="43" spans="1:44" x14ac:dyDescent="0.2">
      <c r="A43" s="328">
        <v>6</v>
      </c>
      <c r="B43" s="329"/>
      <c r="C43" s="329"/>
      <c r="D43" s="329"/>
      <c r="E43" s="342"/>
      <c r="F43" s="329"/>
      <c r="G43" s="342"/>
      <c r="H43" s="342"/>
      <c r="I43" s="342"/>
      <c r="J43" s="342"/>
      <c r="K43" s="342"/>
      <c r="L43" s="342"/>
      <c r="M43" s="342"/>
      <c r="N43" s="339"/>
      <c r="O43" s="340" t="str">
        <f>IF(N43&lt;=0,"",IF(N43&lt;=2,"Muy Baja",IF(N43&lt;=24,"Baja",IF(N43&lt;=500,"Media",IF(N43&lt;=5000,"Alta","Muy Alta")))))</f>
        <v/>
      </c>
      <c r="P43" s="341" t="str">
        <f>IF(O43="","",IF(O43="Muy Baja",0.2,IF(O43="Baja",0.4,IF(O43="Media",0.6,IF(O43="Alta",0.8,IF(O43="Muy Alta",1,))))))</f>
        <v/>
      </c>
      <c r="Q43" s="359"/>
      <c r="R43" s="341">
        <f>IF(NOT(ISERROR(MATCH(Q43,'Tabla Impacto'!$B$222:$B$224,0))),'Tabla Impacto'!$F$224&amp;"Por favor no seleccionar los criterios de impacto(Afectación Económica o presupuestal y Pérdida Reputacional)",Q43)</f>
        <v>0</v>
      </c>
      <c r="S43" s="340" t="str">
        <f>IF(OR(R43='Tabla Impacto'!$C$12,R43='Tabla Impacto'!$D$12),"Leve",IF(OR(R43='Tabla Impacto'!$C$13,R43='Tabla Impacto'!$D$13),"Menor",IF(OR(R43='Tabla Impacto'!$C$14,R43='Tabla Impacto'!$D$14),"Moderado",IF(OR(R43='Tabla Impacto'!$C$15,R43='Tabla Impacto'!$D$15),"Mayor",IF(OR(R43='Tabla Impacto'!$C$16,R43='Tabla Impacto'!$D$16),"Catastrófico","")))))</f>
        <v/>
      </c>
      <c r="T43" s="341" t="str">
        <f>IF(S43="","",IF(S43="Leve",0.2,IF(S43="Menor",0.4,IF(S43="Moderado",0.6,IF(S43="Mayor",0.8,IF(S43="Catastrófico",1,))))))</f>
        <v/>
      </c>
      <c r="U43" s="358" t="str">
        <f>IF(OR(AND(O43="Muy Baja",S43="Leve"),AND(O43="Muy Baja",S43="Menor"),AND(O43="Baja",S43="Leve")),"Bajo",IF(OR(AND(O43="Muy baja",S43="Moderado"),AND(O43="Baja",S43="Menor"),AND(O43="Baja",S43="Moderado"),AND(O43="Media",S43="Leve"),AND(O43="Media",S43="Menor"),AND(O43="Media",S43="Moderado"),AND(O43="Alta",S43="Leve"),AND(O43="Alta",S43="Menor")),"Moderado",IF(OR(AND(O43="Muy Baja",S43="Mayor"),AND(O43="Baja",S43="Mayor"),AND(O43="Media",S43="Mayor"),AND(O43="Alta",S43="Moderado"),AND(O43="Alta",S43="Mayor"),AND(O43="Muy Alta",S43="Leve"),AND(O43="Muy Alta",S43="Menor"),AND(O43="Muy Alta",S43="Moderado"),AND(O43="Muy Alta",S43="Mayor")),"Alto",IF(OR(AND(O43="Muy Baja",S43="Catastrófico"),AND(O43="Baja",S43="Catastrófico"),AND(O43="Media",S43="Catastrófico"),AND(O43="Alta",S43="Catastrófico"),AND(O43="Muy Alta",S43="Catastrófico")),"Extremo",""))))</f>
        <v/>
      </c>
      <c r="V43" s="203">
        <v>1</v>
      </c>
      <c r="W43" s="176"/>
      <c r="X43" s="178" t="str">
        <f>IF(OR(Y43="Preventivo",Y43="Detectivo"),"Probabilidad",IF(Y43="Correctivo","Impacto",""))</f>
        <v/>
      </c>
      <c r="Y43" s="179"/>
      <c r="Z43" s="179"/>
      <c r="AA43" s="180" t="str">
        <f>IF(AND(Y43="Preventivo",Z43="Automático"),"50%",IF(AND(Y43="Preventivo",Z43="Manual"),"40%",IF(AND(Y43="Detectivo",Z43="Automático"),"40%",IF(AND(Y43="Detectivo",Z43="Manual"),"30%",IF(AND(Y43="Correctivo",Z43="Automático"),"35%",IF(AND(Y43="Correctivo",Z43="Manual"),"25%",""))))))</f>
        <v/>
      </c>
      <c r="AB43" s="179"/>
      <c r="AC43" s="179"/>
      <c r="AD43" s="179"/>
      <c r="AE43" s="181" t="str">
        <f>IFERROR(IF(X43="Probabilidad",(P43-(+P43*AA43)),IF(X43="Impacto",P43,"")),"")</f>
        <v/>
      </c>
      <c r="AF43" s="182" t="str">
        <f>IFERROR(IF(AE43="","",IF(AE43&lt;=0.2,"Muy Baja",IF(AE43&lt;=0.4,"Baja",IF(AE43&lt;=0.6,"Media",IF(AE43&lt;=0.8,"Alta","Muy Alta"))))),"")</f>
        <v/>
      </c>
      <c r="AG43" s="180" t="str">
        <f>+AE43</f>
        <v/>
      </c>
      <c r="AH43" s="182" t="str">
        <f>IFERROR(IF(AI43="","",IF(AI43&lt;=0.2,"Leve",IF(AI43&lt;=0.4,"Menor",IF(AI43&lt;=0.6,"Moderado",IF(AI43&lt;=0.8,"Mayor","Catastrófico"))))),"")</f>
        <v/>
      </c>
      <c r="AI43" s="180" t="str">
        <f t="shared" ref="AI43" si="45">IFERROR(IF(X43="Impacto",(T43-(+T43*AA43)),IF(X43="Probabilidad",T43,"")),"")</f>
        <v/>
      </c>
      <c r="AJ43" s="183" t="str">
        <f>IFERROR(IF(OR(AND(AF43="Muy Baja",AH43="Leve"),AND(AF43="Muy Baja",AH43="Menor"),AND(AF43="Baja",AH43="Leve")),"Bajo",IF(OR(AND(AF43="Muy baja",AH43="Moderado"),AND(AF43="Baja",AH43="Menor"),AND(AF43="Baja",AH43="Moderado"),AND(AF43="Media",AH43="Leve"),AND(AF43="Media",AH43="Menor"),AND(AF43="Media",AH43="Moderado"),AND(AF43="Alta",AH43="Leve"),AND(AF43="Alta",AH43="Menor")),"Moderado",IF(OR(AND(AF43="Muy Baja",AH43="Mayor"),AND(AF43="Baja",AH43="Mayor"),AND(AF43="Media",AH43="Mayor"),AND(AF43="Alta",AH43="Moderado"),AND(AF43="Alta",AH43="Mayor"),AND(AF43="Muy Alta",AH43="Leve"),AND(AF43="Muy Alta",AH43="Menor"),AND(AF43="Muy Alta",AH43="Moderado"),AND(AF43="Muy Alta",AH43="Mayor")),"Alto",IF(OR(AND(AF43="Muy Baja",AH43="Catastrófico"),AND(AF43="Baja",AH43="Catastrófico"),AND(AF43="Media",AH43="Catastrófico"),AND(AF43="Alta",AH43="Catastrófico"),AND(AF43="Muy Alta",AH43="Catastrófico")),"Extremo","")))),"")</f>
        <v/>
      </c>
      <c r="AK43" s="179"/>
      <c r="AL43" s="175"/>
      <c r="AM43" s="185"/>
      <c r="AN43" s="185"/>
      <c r="AO43" s="186"/>
      <c r="AP43" s="339"/>
      <c r="AQ43" s="339"/>
      <c r="AR43" s="339"/>
    </row>
    <row r="44" spans="1:44" x14ac:dyDescent="0.2">
      <c r="A44" s="328"/>
      <c r="B44" s="329"/>
      <c r="C44" s="329"/>
      <c r="D44" s="329"/>
      <c r="E44" s="343"/>
      <c r="F44" s="329"/>
      <c r="G44" s="343"/>
      <c r="H44" s="343"/>
      <c r="I44" s="343"/>
      <c r="J44" s="343"/>
      <c r="K44" s="343"/>
      <c r="L44" s="343"/>
      <c r="M44" s="343"/>
      <c r="N44" s="339"/>
      <c r="O44" s="340"/>
      <c r="P44" s="341"/>
      <c r="Q44" s="359"/>
      <c r="R44" s="341">
        <f>IF(NOT(ISERROR(MATCH(Q44,_xlfn.ANCHORARRAY(E55),0))),P57&amp;"Por favor no seleccionar los criterios de impacto",Q44)</f>
        <v>0</v>
      </c>
      <c r="S44" s="340"/>
      <c r="T44" s="341"/>
      <c r="U44" s="358"/>
      <c r="V44" s="203">
        <v>2</v>
      </c>
      <c r="W44" s="176"/>
      <c r="X44" s="178" t="str">
        <f>IF(OR(Y44="Preventivo",Y44="Detectivo"),"Probabilidad",IF(Y44="Correctivo","Impacto",""))</f>
        <v/>
      </c>
      <c r="Y44" s="179"/>
      <c r="Z44" s="179"/>
      <c r="AA44" s="180" t="str">
        <f t="shared" ref="AA44:AA48" si="46">IF(AND(Y44="Preventivo",Z44="Automático"),"50%",IF(AND(Y44="Preventivo",Z44="Manual"),"40%",IF(AND(Y44="Detectivo",Z44="Automático"),"40%",IF(AND(Y44="Detectivo",Z44="Manual"),"30%",IF(AND(Y44="Correctivo",Z44="Automático"),"35%",IF(AND(Y44="Correctivo",Z44="Manual"),"25%",""))))))</f>
        <v/>
      </c>
      <c r="AB44" s="179"/>
      <c r="AC44" s="179"/>
      <c r="AD44" s="179"/>
      <c r="AE44" s="181" t="str">
        <f>IFERROR(IF(AND(X43="Probabilidad",X44="Probabilidad"),(AG43-(+AG43*AA44)),IF(X44="Probabilidad",(P43-(+P43*AA44)),IF(X44="Impacto",AG43,""))),"")</f>
        <v/>
      </c>
      <c r="AF44" s="182" t="str">
        <f t="shared" si="2"/>
        <v/>
      </c>
      <c r="AG44" s="180" t="str">
        <f t="shared" ref="AG44:AG48" si="47">+AE44</f>
        <v/>
      </c>
      <c r="AH44" s="182" t="str">
        <f t="shared" si="4"/>
        <v/>
      </c>
      <c r="AI44" s="180" t="str">
        <f t="shared" ref="AI44" si="48">IFERROR(IF(AND(X43="Impacto",X44="Impacto"),(AI43-(+AI43*AA44)),IF(X44="Impacto",($T$13-(+$T$13*AA44)),IF(X44="Probabilidad",AI43,""))),"")</f>
        <v/>
      </c>
      <c r="AJ44" s="183" t="str">
        <f t="shared" ref="AJ44:AJ45" si="49">IFERROR(IF(OR(AND(AF44="Muy Baja",AH44="Leve"),AND(AF44="Muy Baja",AH44="Menor"),AND(AF44="Baja",AH44="Leve")),"Bajo",IF(OR(AND(AF44="Muy baja",AH44="Moderado"),AND(AF44="Baja",AH44="Menor"),AND(AF44="Baja",AH44="Moderado"),AND(AF44="Media",AH44="Leve"),AND(AF44="Media",AH44="Menor"),AND(AF44="Media",AH44="Moderado"),AND(AF44="Alta",AH44="Leve"),AND(AF44="Alta",AH44="Menor")),"Moderado",IF(OR(AND(AF44="Muy Baja",AH44="Mayor"),AND(AF44="Baja",AH44="Mayor"),AND(AF44="Media",AH44="Mayor"),AND(AF44="Alta",AH44="Moderado"),AND(AF44="Alta",AH44="Mayor"),AND(AF44="Muy Alta",AH44="Leve"),AND(AF44="Muy Alta",AH44="Menor"),AND(AF44="Muy Alta",AH44="Moderado"),AND(AF44="Muy Alta",AH44="Mayor")),"Alto",IF(OR(AND(AF44="Muy Baja",AH44="Catastrófico"),AND(AF44="Baja",AH44="Catastrófico"),AND(AF44="Media",AH44="Catastrófico"),AND(AF44="Alta",AH44="Catastrófico"),AND(AF44="Muy Alta",AH44="Catastrófico")),"Extremo","")))),"")</f>
        <v/>
      </c>
      <c r="AK44" s="184"/>
      <c r="AL44" s="175"/>
      <c r="AM44" s="185"/>
      <c r="AN44" s="185"/>
      <c r="AO44" s="186"/>
      <c r="AP44" s="339"/>
      <c r="AQ44" s="339"/>
      <c r="AR44" s="339"/>
    </row>
    <row r="45" spans="1:44" x14ac:dyDescent="0.2">
      <c r="A45" s="328"/>
      <c r="B45" s="329"/>
      <c r="C45" s="329"/>
      <c r="D45" s="329"/>
      <c r="E45" s="343"/>
      <c r="F45" s="329"/>
      <c r="G45" s="343"/>
      <c r="H45" s="343"/>
      <c r="I45" s="343"/>
      <c r="J45" s="343"/>
      <c r="K45" s="343"/>
      <c r="L45" s="343"/>
      <c r="M45" s="343"/>
      <c r="N45" s="339"/>
      <c r="O45" s="340"/>
      <c r="P45" s="341"/>
      <c r="Q45" s="359"/>
      <c r="R45" s="341">
        <f>IF(NOT(ISERROR(MATCH(Q45,_xlfn.ANCHORARRAY(E56),0))),P58&amp;"Por favor no seleccionar los criterios de impacto",Q45)</f>
        <v>0</v>
      </c>
      <c r="S45" s="340"/>
      <c r="T45" s="341"/>
      <c r="U45" s="358"/>
      <c r="V45" s="203">
        <v>3</v>
      </c>
      <c r="W45" s="177"/>
      <c r="X45" s="178" t="str">
        <f>IF(OR(Y45="Preventivo",Y45="Detectivo"),"Probabilidad",IF(Y45="Correctivo","Impacto",""))</f>
        <v/>
      </c>
      <c r="Y45" s="179"/>
      <c r="Z45" s="179"/>
      <c r="AA45" s="180" t="str">
        <f t="shared" si="46"/>
        <v/>
      </c>
      <c r="AB45" s="179"/>
      <c r="AC45" s="179"/>
      <c r="AD45" s="179"/>
      <c r="AE45" s="181" t="str">
        <f>IFERROR(IF(AND(X44="Probabilidad",X45="Probabilidad"),(AG44-(+AG44*AA45)),IF(AND(X44="Impacto",X45="Probabilidad"),(AG43-(+AG43*AA45)),IF(X45="Impacto",AG44,""))),"")</f>
        <v/>
      </c>
      <c r="AF45" s="182" t="str">
        <f t="shared" si="2"/>
        <v/>
      </c>
      <c r="AG45" s="180" t="str">
        <f t="shared" si="47"/>
        <v/>
      </c>
      <c r="AH45" s="182" t="str">
        <f t="shared" si="4"/>
        <v/>
      </c>
      <c r="AI45" s="180" t="str">
        <f t="shared" ref="AI45" si="50">IFERROR(IF(AND(X44="Impacto",X45="Impacto"),(AI44-(+AI44*AA45)),IF(AND(X44="Probabilidad",X45="Impacto"),(AI43-(+AI43*AA45)),IF(X45="Probabilidad",AI44,""))),"")</f>
        <v/>
      </c>
      <c r="AJ45" s="183" t="str">
        <f t="shared" si="49"/>
        <v/>
      </c>
      <c r="AK45" s="184"/>
      <c r="AL45" s="175"/>
      <c r="AM45" s="185"/>
      <c r="AN45" s="185"/>
      <c r="AO45" s="186"/>
      <c r="AP45" s="339"/>
      <c r="AQ45" s="339"/>
      <c r="AR45" s="339"/>
    </row>
    <row r="46" spans="1:44" x14ac:dyDescent="0.2">
      <c r="A46" s="328"/>
      <c r="B46" s="329"/>
      <c r="C46" s="329"/>
      <c r="D46" s="329"/>
      <c r="E46" s="343"/>
      <c r="F46" s="329"/>
      <c r="G46" s="343"/>
      <c r="H46" s="343"/>
      <c r="I46" s="343"/>
      <c r="J46" s="343"/>
      <c r="K46" s="343"/>
      <c r="L46" s="343"/>
      <c r="M46" s="343"/>
      <c r="N46" s="339"/>
      <c r="O46" s="340"/>
      <c r="P46" s="341"/>
      <c r="Q46" s="359"/>
      <c r="R46" s="341">
        <f>IF(NOT(ISERROR(MATCH(Q46,_xlfn.ANCHORARRAY(E57),0))),P59&amp;"Por favor no seleccionar los criterios de impacto",Q46)</f>
        <v>0</v>
      </c>
      <c r="S46" s="340"/>
      <c r="T46" s="341"/>
      <c r="U46" s="358"/>
      <c r="V46" s="203">
        <v>4</v>
      </c>
      <c r="W46" s="176"/>
      <c r="X46" s="178" t="str">
        <f t="shared" ref="X46:X48" si="51">IF(OR(Y46="Preventivo",Y46="Detectivo"),"Probabilidad",IF(Y46="Correctivo","Impacto",""))</f>
        <v/>
      </c>
      <c r="Y46" s="179"/>
      <c r="Z46" s="179"/>
      <c r="AA46" s="180" t="str">
        <f t="shared" si="46"/>
        <v/>
      </c>
      <c r="AB46" s="179"/>
      <c r="AC46" s="179"/>
      <c r="AD46" s="179"/>
      <c r="AE46" s="181" t="str">
        <f t="shared" ref="AE46:AE48" si="52">IFERROR(IF(AND(X45="Probabilidad",X46="Probabilidad"),(AG45-(+AG45*AA46)),IF(AND(X45="Impacto",X46="Probabilidad"),(AG44-(+AG44*AA46)),IF(X46="Impacto",AG45,""))),"")</f>
        <v/>
      </c>
      <c r="AF46" s="182" t="str">
        <f t="shared" si="2"/>
        <v/>
      </c>
      <c r="AG46" s="180" t="str">
        <f t="shared" si="47"/>
        <v/>
      </c>
      <c r="AH46" s="182" t="str">
        <f t="shared" si="4"/>
        <v/>
      </c>
      <c r="AI46" s="180" t="str">
        <f t="shared" si="14"/>
        <v/>
      </c>
      <c r="AJ46" s="183" t="str">
        <f>IFERROR(IF(OR(AND(AF46="Muy Baja",AH46="Leve"),AND(AF46="Muy Baja",AH46="Menor"),AND(AF46="Baja",AH46="Leve")),"Bajo",IF(OR(AND(AF46="Muy baja",AH46="Moderado"),AND(AF46="Baja",AH46="Menor"),AND(AF46="Baja",AH46="Moderado"),AND(AF46="Media",AH46="Leve"),AND(AF46="Media",AH46="Menor"),AND(AF46="Media",AH46="Moderado"),AND(AF46="Alta",AH46="Leve"),AND(AF46="Alta",AH46="Menor")),"Moderado",IF(OR(AND(AF46="Muy Baja",AH46="Mayor"),AND(AF46="Baja",AH46="Mayor"),AND(AF46="Media",AH46="Mayor"),AND(AF46="Alta",AH46="Moderado"),AND(AF46="Alta",AH46="Mayor"),AND(AF46="Muy Alta",AH46="Leve"),AND(AF46="Muy Alta",AH46="Menor"),AND(AF46="Muy Alta",AH46="Moderado"),AND(AF46="Muy Alta",AH46="Mayor")),"Alto",IF(OR(AND(AF46="Muy Baja",AH46="Catastrófico"),AND(AF46="Baja",AH46="Catastrófico"),AND(AF46="Media",AH46="Catastrófico"),AND(AF46="Alta",AH46="Catastrófico"),AND(AF46="Muy Alta",AH46="Catastrófico")),"Extremo","")))),"")</f>
        <v/>
      </c>
      <c r="AK46" s="184"/>
      <c r="AL46" s="175"/>
      <c r="AM46" s="185"/>
      <c r="AN46" s="185"/>
      <c r="AO46" s="186"/>
      <c r="AP46" s="339"/>
      <c r="AQ46" s="339"/>
      <c r="AR46" s="339"/>
    </row>
    <row r="47" spans="1:44" x14ac:dyDescent="0.2">
      <c r="A47" s="328"/>
      <c r="B47" s="329"/>
      <c r="C47" s="329"/>
      <c r="D47" s="329"/>
      <c r="E47" s="343"/>
      <c r="F47" s="329"/>
      <c r="G47" s="343"/>
      <c r="H47" s="343"/>
      <c r="I47" s="343"/>
      <c r="J47" s="343"/>
      <c r="K47" s="343"/>
      <c r="L47" s="343"/>
      <c r="M47" s="343"/>
      <c r="N47" s="339"/>
      <c r="O47" s="340"/>
      <c r="P47" s="341"/>
      <c r="Q47" s="359"/>
      <c r="R47" s="341">
        <f>IF(NOT(ISERROR(MATCH(Q47,_xlfn.ANCHORARRAY(E58),0))),P60&amp;"Por favor no seleccionar los criterios de impacto",Q47)</f>
        <v>0</v>
      </c>
      <c r="S47" s="340"/>
      <c r="T47" s="341"/>
      <c r="U47" s="358"/>
      <c r="V47" s="203">
        <v>5</v>
      </c>
      <c r="W47" s="176"/>
      <c r="X47" s="178" t="str">
        <f t="shared" si="51"/>
        <v/>
      </c>
      <c r="Y47" s="179"/>
      <c r="Z47" s="179"/>
      <c r="AA47" s="180" t="str">
        <f t="shared" si="46"/>
        <v/>
      </c>
      <c r="AB47" s="179"/>
      <c r="AC47" s="179"/>
      <c r="AD47" s="179"/>
      <c r="AE47" s="181" t="str">
        <f t="shared" si="52"/>
        <v/>
      </c>
      <c r="AF47" s="182" t="str">
        <f t="shared" si="2"/>
        <v/>
      </c>
      <c r="AG47" s="180" t="str">
        <f t="shared" si="47"/>
        <v/>
      </c>
      <c r="AH47" s="182" t="str">
        <f t="shared" si="4"/>
        <v/>
      </c>
      <c r="AI47" s="180" t="str">
        <f t="shared" si="14"/>
        <v/>
      </c>
      <c r="AJ47" s="183" t="str">
        <f t="shared" ref="AJ47" si="53">IFERROR(IF(OR(AND(AF47="Muy Baja",AH47="Leve"),AND(AF47="Muy Baja",AH47="Menor"),AND(AF47="Baja",AH47="Leve")),"Bajo",IF(OR(AND(AF47="Muy baja",AH47="Moderado"),AND(AF47="Baja",AH47="Menor"),AND(AF47="Baja",AH47="Moderado"),AND(AF47="Media",AH47="Leve"),AND(AF47="Media",AH47="Menor"),AND(AF47="Media",AH47="Moderado"),AND(AF47="Alta",AH47="Leve"),AND(AF47="Alta",AH47="Menor")),"Moderado",IF(OR(AND(AF47="Muy Baja",AH47="Mayor"),AND(AF47="Baja",AH47="Mayor"),AND(AF47="Media",AH47="Mayor"),AND(AF47="Alta",AH47="Moderado"),AND(AF47="Alta",AH47="Mayor"),AND(AF47="Muy Alta",AH47="Leve"),AND(AF47="Muy Alta",AH47="Menor"),AND(AF47="Muy Alta",AH47="Moderado"),AND(AF47="Muy Alta",AH47="Mayor")),"Alto",IF(OR(AND(AF47="Muy Baja",AH47="Catastrófico"),AND(AF47="Baja",AH47="Catastrófico"),AND(AF47="Media",AH47="Catastrófico"),AND(AF47="Alta",AH47="Catastrófico"),AND(AF47="Muy Alta",AH47="Catastrófico")),"Extremo","")))),"")</f>
        <v/>
      </c>
      <c r="AK47" s="184"/>
      <c r="AL47" s="175"/>
      <c r="AM47" s="185"/>
      <c r="AN47" s="185"/>
      <c r="AO47" s="186"/>
      <c r="AP47" s="339"/>
      <c r="AQ47" s="339"/>
      <c r="AR47" s="339"/>
    </row>
    <row r="48" spans="1:44" x14ac:dyDescent="0.2">
      <c r="A48" s="328"/>
      <c r="B48" s="329"/>
      <c r="C48" s="329"/>
      <c r="D48" s="329"/>
      <c r="E48" s="344"/>
      <c r="F48" s="329"/>
      <c r="G48" s="344"/>
      <c r="H48" s="344"/>
      <c r="I48" s="344"/>
      <c r="J48" s="344"/>
      <c r="K48" s="344"/>
      <c r="L48" s="344"/>
      <c r="M48" s="344"/>
      <c r="N48" s="339"/>
      <c r="O48" s="340"/>
      <c r="P48" s="341"/>
      <c r="Q48" s="359"/>
      <c r="R48" s="341">
        <f>IF(NOT(ISERROR(MATCH(Q48,_xlfn.ANCHORARRAY(E59),0))),P61&amp;"Por favor no seleccionar los criterios de impacto",Q48)</f>
        <v>0</v>
      </c>
      <c r="S48" s="340"/>
      <c r="T48" s="341"/>
      <c r="U48" s="358"/>
      <c r="V48" s="203">
        <v>6</v>
      </c>
      <c r="W48" s="176"/>
      <c r="X48" s="178" t="str">
        <f t="shared" si="51"/>
        <v/>
      </c>
      <c r="Y48" s="179"/>
      <c r="Z48" s="179"/>
      <c r="AA48" s="180" t="str">
        <f t="shared" si="46"/>
        <v/>
      </c>
      <c r="AB48" s="179"/>
      <c r="AC48" s="179"/>
      <c r="AD48" s="179"/>
      <c r="AE48" s="181" t="str">
        <f t="shared" si="52"/>
        <v/>
      </c>
      <c r="AF48" s="182" t="str">
        <f t="shared" si="2"/>
        <v/>
      </c>
      <c r="AG48" s="180" t="str">
        <f t="shared" si="47"/>
        <v/>
      </c>
      <c r="AH48" s="182" t="str">
        <f>IFERROR(IF(AI48="","",IF(AI48&lt;=0.2,"Leve",IF(AI48&lt;=0.4,"Menor",IF(AI48&lt;=0.6,"Moderado",IF(AI48&lt;=0.8,"Mayor","Catastrófico"))))),"")</f>
        <v/>
      </c>
      <c r="AI48" s="180" t="str">
        <f t="shared" si="14"/>
        <v/>
      </c>
      <c r="AJ48" s="183" t="str">
        <f>IFERROR(IF(OR(AND(AF48="Muy Baja",AH48="Leve"),AND(AF48="Muy Baja",AH48="Menor"),AND(AF48="Baja",AH48="Leve")),"Bajo",IF(OR(AND(AF48="Muy baja",AH48="Moderado"),AND(AF48="Baja",AH48="Menor"),AND(AF48="Baja",AH48="Moderado"),AND(AF48="Media",AH48="Leve"),AND(AF48="Media",AH48="Menor"),AND(AF48="Media",AH48="Moderado"),AND(AF48="Alta",AH48="Leve"),AND(AF48="Alta",AH48="Menor")),"Moderado",IF(OR(AND(AF48="Muy Baja",AH48="Mayor"),AND(AF48="Baja",AH48="Mayor"),AND(AF48="Media",AH48="Mayor"),AND(AF48="Alta",AH48="Moderado"),AND(AF48="Alta",AH48="Mayor"),AND(AF48="Muy Alta",AH48="Leve"),AND(AF48="Muy Alta",AH48="Menor"),AND(AF48="Muy Alta",AH48="Moderado"),AND(AF48="Muy Alta",AH48="Mayor")),"Alto",IF(OR(AND(AF48="Muy Baja",AH48="Catastrófico"),AND(AF48="Baja",AH48="Catastrófico"),AND(AF48="Media",AH48="Catastrófico"),AND(AF48="Alta",AH48="Catastrófico"),AND(AF48="Muy Alta",AH48="Catastrófico")),"Extremo","")))),"")</f>
        <v/>
      </c>
      <c r="AK48" s="184"/>
      <c r="AL48" s="175"/>
      <c r="AM48" s="185"/>
      <c r="AN48" s="185"/>
      <c r="AO48" s="186"/>
      <c r="AP48" s="339"/>
      <c r="AQ48" s="339"/>
      <c r="AR48" s="339"/>
    </row>
    <row r="49" spans="1:44" x14ac:dyDescent="0.2">
      <c r="A49" s="328">
        <v>7</v>
      </c>
      <c r="B49" s="329"/>
      <c r="C49" s="329"/>
      <c r="D49" s="367"/>
      <c r="E49" s="329"/>
      <c r="F49" s="329"/>
      <c r="G49" s="342"/>
      <c r="H49" s="342"/>
      <c r="I49" s="342"/>
      <c r="J49" s="342"/>
      <c r="K49" s="342"/>
      <c r="L49" s="342"/>
      <c r="M49" s="342"/>
      <c r="N49" s="339"/>
      <c r="O49" s="340" t="str">
        <f>IF(N49&lt;=0,"",IF(N49&lt;=2,"Muy Baja",IF(N49&lt;=24,"Baja",IF(N49&lt;=500,"Media",IF(N49&lt;=5000,"Alta","Muy Alta")))))</f>
        <v/>
      </c>
      <c r="P49" s="341" t="str">
        <f>IF(O49="","",IF(O49="Muy Baja",0.2,IF(O49="Baja",0.4,IF(O49="Media",0.6,IF(O49="Alta",0.8,IF(O49="Muy Alta",1,))))))</f>
        <v/>
      </c>
      <c r="Q49" s="359"/>
      <c r="R49" s="341">
        <f>IF(NOT(ISERROR(MATCH(Q49,'Tabla Impacto'!$B$222:$B$224,0))),'Tabla Impacto'!$F$224&amp;"Por favor no seleccionar los criterios de impacto(Afectación Económica o presupuestal y Pérdida Reputacional)",Q49)</f>
        <v>0</v>
      </c>
      <c r="S49" s="340" t="str">
        <f>IF(OR(R49='Tabla Impacto'!$C$12,R49='Tabla Impacto'!$D$12),"Leve",IF(OR(R49='Tabla Impacto'!$C$13,R49='Tabla Impacto'!$D$13),"Menor",IF(OR(R49='Tabla Impacto'!$C$14,R49='Tabla Impacto'!$D$14),"Moderado",IF(OR(R49='Tabla Impacto'!$C$15,R49='Tabla Impacto'!$D$15),"Mayor",IF(OR(R49='Tabla Impacto'!$C$16,R49='Tabla Impacto'!$D$16),"Catastrófico","")))))</f>
        <v/>
      </c>
      <c r="T49" s="341" t="str">
        <f>IF(S49="","",IF(S49="Leve",0.2,IF(S49="Menor",0.4,IF(S49="Moderado",0.6,IF(S49="Mayor",0.8,IF(S49="Catastrófico",1,))))))</f>
        <v/>
      </c>
      <c r="U49" s="358" t="str">
        <f>IF(OR(AND(O49="Muy Baja",S49="Leve"),AND(O49="Muy Baja",S49="Menor"),AND(O49="Baja",S49="Leve")),"Bajo",IF(OR(AND(O49="Muy baja",S49="Moderado"),AND(O49="Baja",S49="Menor"),AND(O49="Baja",S49="Moderado"),AND(O49="Media",S49="Leve"),AND(O49="Media",S49="Menor"),AND(O49="Media",S49="Moderado"),AND(O49="Alta",S49="Leve"),AND(O49="Alta",S49="Menor")),"Moderado",IF(OR(AND(O49="Muy Baja",S49="Mayor"),AND(O49="Baja",S49="Mayor"),AND(O49="Media",S49="Mayor"),AND(O49="Alta",S49="Moderado"),AND(O49="Alta",S49="Mayor"),AND(O49="Muy Alta",S49="Leve"),AND(O49="Muy Alta",S49="Menor"),AND(O49="Muy Alta",S49="Moderado"),AND(O49="Muy Alta",S49="Mayor")),"Alto",IF(OR(AND(O49="Muy Baja",S49="Catastrófico"),AND(O49="Baja",S49="Catastrófico"),AND(O49="Media",S49="Catastrófico"),AND(O49="Alta",S49="Catastrófico"),AND(O49="Muy Alta",S49="Catastrófico")),"Extremo",""))))</f>
        <v/>
      </c>
      <c r="V49" s="203">
        <v>1</v>
      </c>
      <c r="W49" s="188"/>
      <c r="X49" s="178" t="str">
        <f>IF(OR(Y49="Preventivo",Y49="Detectivo"),"Probabilidad",IF(Y49="Correctivo","Impacto",""))</f>
        <v/>
      </c>
      <c r="Y49" s="179"/>
      <c r="Z49" s="179"/>
      <c r="AA49" s="180" t="str">
        <f>IF(AND(Y49="Preventivo",Z49="Automático"),"50%",IF(AND(Y49="Preventivo",Z49="Manual"),"40%",IF(AND(Y49="Detectivo",Z49="Automático"),"40%",IF(AND(Y49="Detectivo",Z49="Manual"),"30%",IF(AND(Y49="Correctivo",Z49="Automático"),"35%",IF(AND(Y49="Correctivo",Z49="Manual"),"25%",""))))))</f>
        <v/>
      </c>
      <c r="AB49" s="179"/>
      <c r="AC49" s="179"/>
      <c r="AD49" s="179"/>
      <c r="AE49" s="181" t="str">
        <f>IFERROR(IF(X49="Probabilidad",(P49-(+P49*AA49)),IF(X49="Impacto",P49,"")),"")</f>
        <v/>
      </c>
      <c r="AF49" s="182" t="str">
        <f>IFERROR(IF(AE49="","",IF(AE49&lt;=0.2,"Muy Baja",IF(AE49&lt;=0.4,"Baja",IF(AE49&lt;=0.6,"Media",IF(AE49&lt;=0.8,"Alta","Muy Alta"))))),"")</f>
        <v/>
      </c>
      <c r="AG49" s="180" t="str">
        <f>+AE49</f>
        <v/>
      </c>
      <c r="AH49" s="182" t="str">
        <f>IFERROR(IF(AI49="","",IF(AI49&lt;=0.2,"Leve",IF(AI49&lt;=0.4,"Menor",IF(AI49&lt;=0.6,"Moderado",IF(AI49&lt;=0.8,"Mayor","Catastrófico"))))),"")</f>
        <v/>
      </c>
      <c r="AI49" s="180" t="str">
        <f t="shared" ref="AI49" si="54">IFERROR(IF(X49="Impacto",(T49-(+T49*AA49)),IF(X49="Probabilidad",T49,"")),"")</f>
        <v/>
      </c>
      <c r="AJ49" s="183" t="str">
        <f>IFERROR(IF(OR(AND(AF49="Muy Baja",AH49="Leve"),AND(AF49="Muy Baja",AH49="Menor"),AND(AF49="Baja",AH49="Leve")),"Bajo",IF(OR(AND(AF49="Muy baja",AH49="Moderado"),AND(AF49="Baja",AH49="Menor"),AND(AF49="Baja",AH49="Moderado"),AND(AF49="Media",AH49="Leve"),AND(AF49="Media",AH49="Menor"),AND(AF49="Media",AH49="Moderado"),AND(AF49="Alta",AH49="Leve"),AND(AF49="Alta",AH49="Menor")),"Moderado",IF(OR(AND(AF49="Muy Baja",AH49="Mayor"),AND(AF49="Baja",AH49="Mayor"),AND(AF49="Media",AH49="Mayor"),AND(AF49="Alta",AH49="Moderado"),AND(AF49="Alta",AH49="Mayor"),AND(AF49="Muy Alta",AH49="Leve"),AND(AF49="Muy Alta",AH49="Menor"),AND(AF49="Muy Alta",AH49="Moderado"),AND(AF49="Muy Alta",AH49="Mayor")),"Alto",IF(OR(AND(AF49="Muy Baja",AH49="Catastrófico"),AND(AF49="Baja",AH49="Catastrófico"),AND(AF49="Media",AH49="Catastrófico"),AND(AF49="Alta",AH49="Catastrófico"),AND(AF49="Muy Alta",AH49="Catastrófico")),"Extremo","")))),"")</f>
        <v/>
      </c>
      <c r="AK49" s="184"/>
      <c r="AL49" s="175"/>
      <c r="AM49" s="185"/>
      <c r="AN49" s="185"/>
      <c r="AO49" s="186"/>
      <c r="AP49" s="339"/>
      <c r="AQ49" s="339"/>
      <c r="AR49" s="339"/>
    </row>
    <row r="50" spans="1:44" x14ac:dyDescent="0.2">
      <c r="A50" s="328"/>
      <c r="B50" s="329"/>
      <c r="C50" s="329"/>
      <c r="D50" s="367"/>
      <c r="E50" s="329"/>
      <c r="F50" s="329"/>
      <c r="G50" s="343"/>
      <c r="H50" s="343"/>
      <c r="I50" s="343"/>
      <c r="J50" s="343"/>
      <c r="K50" s="343"/>
      <c r="L50" s="343"/>
      <c r="M50" s="343"/>
      <c r="N50" s="339"/>
      <c r="O50" s="340"/>
      <c r="P50" s="341"/>
      <c r="Q50" s="359"/>
      <c r="R50" s="341">
        <f>IF(NOT(ISERROR(MATCH(Q50,_xlfn.ANCHORARRAY(E61),0))),P63&amp;"Por favor no seleccionar los criterios de impacto",Q50)</f>
        <v>0</v>
      </c>
      <c r="S50" s="340"/>
      <c r="T50" s="341"/>
      <c r="U50" s="358"/>
      <c r="V50" s="203">
        <v>2</v>
      </c>
      <c r="W50" s="176"/>
      <c r="X50" s="178" t="str">
        <f>IF(OR(Y50="Preventivo",Y50="Detectivo"),"Probabilidad",IF(Y50="Correctivo","Impacto",""))</f>
        <v/>
      </c>
      <c r="Y50" s="179"/>
      <c r="Z50" s="179"/>
      <c r="AA50" s="180" t="str">
        <f t="shared" ref="AA50:AA54" si="55">IF(AND(Y50="Preventivo",Z50="Automático"),"50%",IF(AND(Y50="Preventivo",Z50="Manual"),"40%",IF(AND(Y50="Detectivo",Z50="Automático"),"40%",IF(AND(Y50="Detectivo",Z50="Manual"),"30%",IF(AND(Y50="Correctivo",Z50="Automático"),"35%",IF(AND(Y50="Correctivo",Z50="Manual"),"25%",""))))))</f>
        <v/>
      </c>
      <c r="AB50" s="179"/>
      <c r="AC50" s="179"/>
      <c r="AD50" s="179"/>
      <c r="AE50" s="181" t="str">
        <f>IFERROR(IF(AND(X49="Probabilidad",X50="Probabilidad"),(AG49-(+AG49*AA50)),IF(X50="Probabilidad",(P49-(+P49*AA50)),IF(X50="Impacto",AG49,""))),"")</f>
        <v/>
      </c>
      <c r="AF50" s="182" t="str">
        <f t="shared" si="2"/>
        <v/>
      </c>
      <c r="AG50" s="180" t="str">
        <f t="shared" ref="AG50:AG54" si="56">+AE50</f>
        <v/>
      </c>
      <c r="AH50" s="182" t="str">
        <f t="shared" si="4"/>
        <v/>
      </c>
      <c r="AI50" s="180" t="str">
        <f t="shared" ref="AI50" si="57">IFERROR(IF(AND(X49="Impacto",X50="Impacto"),(AI49-(+AI49*AA50)),IF(X50="Impacto",($T$13-(+$T$13*AA50)),IF(X50="Probabilidad",AI49,""))),"")</f>
        <v/>
      </c>
      <c r="AJ50" s="183" t="str">
        <f t="shared" ref="AJ50:AJ51" si="58">IFERROR(IF(OR(AND(AF50="Muy Baja",AH50="Leve"),AND(AF50="Muy Baja",AH50="Menor"),AND(AF50="Baja",AH50="Leve")),"Bajo",IF(OR(AND(AF50="Muy baja",AH50="Moderado"),AND(AF50="Baja",AH50="Menor"),AND(AF50="Baja",AH50="Moderado"),AND(AF50="Media",AH50="Leve"),AND(AF50="Media",AH50="Menor"),AND(AF50="Media",AH50="Moderado"),AND(AF50="Alta",AH50="Leve"),AND(AF50="Alta",AH50="Menor")),"Moderado",IF(OR(AND(AF50="Muy Baja",AH50="Mayor"),AND(AF50="Baja",AH50="Mayor"),AND(AF50="Media",AH50="Mayor"),AND(AF50="Alta",AH50="Moderado"),AND(AF50="Alta",AH50="Mayor"),AND(AF50="Muy Alta",AH50="Leve"),AND(AF50="Muy Alta",AH50="Menor"),AND(AF50="Muy Alta",AH50="Moderado"),AND(AF50="Muy Alta",AH50="Mayor")),"Alto",IF(OR(AND(AF50="Muy Baja",AH50="Catastrófico"),AND(AF50="Baja",AH50="Catastrófico"),AND(AF50="Media",AH50="Catastrófico"),AND(AF50="Alta",AH50="Catastrófico"),AND(AF50="Muy Alta",AH50="Catastrófico")),"Extremo","")))),"")</f>
        <v/>
      </c>
      <c r="AK50" s="184"/>
      <c r="AL50" s="175"/>
      <c r="AM50" s="185"/>
      <c r="AN50" s="185"/>
      <c r="AO50" s="186"/>
      <c r="AP50" s="339"/>
      <c r="AQ50" s="339"/>
      <c r="AR50" s="339"/>
    </row>
    <row r="51" spans="1:44" x14ac:dyDescent="0.2">
      <c r="A51" s="328"/>
      <c r="B51" s="329"/>
      <c r="C51" s="329"/>
      <c r="D51" s="367"/>
      <c r="E51" s="329"/>
      <c r="F51" s="329"/>
      <c r="G51" s="343"/>
      <c r="H51" s="343"/>
      <c r="I51" s="343"/>
      <c r="J51" s="343"/>
      <c r="K51" s="343"/>
      <c r="L51" s="343"/>
      <c r="M51" s="343"/>
      <c r="N51" s="339"/>
      <c r="O51" s="340"/>
      <c r="P51" s="341"/>
      <c r="Q51" s="359"/>
      <c r="R51" s="341">
        <f>IF(NOT(ISERROR(MATCH(Q51,_xlfn.ANCHORARRAY(E62),0))),P64&amp;"Por favor no seleccionar los criterios de impacto",Q51)</f>
        <v>0</v>
      </c>
      <c r="S51" s="340"/>
      <c r="T51" s="341"/>
      <c r="U51" s="358"/>
      <c r="V51" s="203">
        <v>3</v>
      </c>
      <c r="W51" s="177"/>
      <c r="X51" s="178" t="str">
        <f>IF(OR(Y51="Preventivo",Y51="Detectivo"),"Probabilidad",IF(Y51="Correctivo","Impacto",""))</f>
        <v/>
      </c>
      <c r="Y51" s="179"/>
      <c r="Z51" s="179"/>
      <c r="AA51" s="180" t="str">
        <f t="shared" si="55"/>
        <v/>
      </c>
      <c r="AB51" s="179"/>
      <c r="AC51" s="179"/>
      <c r="AD51" s="179"/>
      <c r="AE51" s="181" t="str">
        <f>IFERROR(IF(AND(X50="Probabilidad",X51="Probabilidad"),(AG50-(+AG50*AA51)),IF(AND(X50="Impacto",X51="Probabilidad"),(AG49-(+AG49*AA51)),IF(X51="Impacto",AG50,""))),"")</f>
        <v/>
      </c>
      <c r="AF51" s="182" t="str">
        <f t="shared" si="2"/>
        <v/>
      </c>
      <c r="AG51" s="180" t="str">
        <f t="shared" si="56"/>
        <v/>
      </c>
      <c r="AH51" s="182" t="str">
        <f t="shared" si="4"/>
        <v/>
      </c>
      <c r="AI51" s="180" t="str">
        <f t="shared" ref="AI51" si="59">IFERROR(IF(AND(X50="Impacto",X51="Impacto"),(AI50-(+AI50*AA51)),IF(AND(X50="Probabilidad",X51="Impacto"),(AI49-(+AI49*AA51)),IF(X51="Probabilidad",AI50,""))),"")</f>
        <v/>
      </c>
      <c r="AJ51" s="183" t="str">
        <f t="shared" si="58"/>
        <v/>
      </c>
      <c r="AK51" s="184"/>
      <c r="AL51" s="175"/>
      <c r="AM51" s="185"/>
      <c r="AN51" s="185"/>
      <c r="AO51" s="186"/>
      <c r="AP51" s="339"/>
      <c r="AQ51" s="339"/>
      <c r="AR51" s="339"/>
    </row>
    <row r="52" spans="1:44" x14ac:dyDescent="0.2">
      <c r="A52" s="328"/>
      <c r="B52" s="329"/>
      <c r="C52" s="329"/>
      <c r="D52" s="367"/>
      <c r="E52" s="329"/>
      <c r="F52" s="329"/>
      <c r="G52" s="343"/>
      <c r="H52" s="343"/>
      <c r="I52" s="343"/>
      <c r="J52" s="343"/>
      <c r="K52" s="343"/>
      <c r="L52" s="343"/>
      <c r="M52" s="343"/>
      <c r="N52" s="339"/>
      <c r="O52" s="340"/>
      <c r="P52" s="341"/>
      <c r="Q52" s="359"/>
      <c r="R52" s="341">
        <f>IF(NOT(ISERROR(MATCH(Q52,_xlfn.ANCHORARRAY(E63),0))),P65&amp;"Por favor no seleccionar los criterios de impacto",Q52)</f>
        <v>0</v>
      </c>
      <c r="S52" s="340"/>
      <c r="T52" s="341"/>
      <c r="U52" s="358"/>
      <c r="V52" s="203">
        <v>4</v>
      </c>
      <c r="W52" s="176"/>
      <c r="X52" s="178" t="str">
        <f t="shared" ref="X52:X54" si="60">IF(OR(Y52="Preventivo",Y52="Detectivo"),"Probabilidad",IF(Y52="Correctivo","Impacto",""))</f>
        <v/>
      </c>
      <c r="Y52" s="179"/>
      <c r="Z52" s="179"/>
      <c r="AA52" s="180" t="str">
        <f t="shared" si="55"/>
        <v/>
      </c>
      <c r="AB52" s="179"/>
      <c r="AC52" s="179"/>
      <c r="AD52" s="179"/>
      <c r="AE52" s="181" t="str">
        <f t="shared" ref="AE52:AE54" si="61">IFERROR(IF(AND(X51="Probabilidad",X52="Probabilidad"),(AG51-(+AG51*AA52)),IF(AND(X51="Impacto",X52="Probabilidad"),(AG50-(+AG50*AA52)),IF(X52="Impacto",AG51,""))),"")</f>
        <v/>
      </c>
      <c r="AF52" s="182" t="str">
        <f t="shared" si="2"/>
        <v/>
      </c>
      <c r="AG52" s="180" t="str">
        <f t="shared" si="56"/>
        <v/>
      </c>
      <c r="AH52" s="182" t="str">
        <f t="shared" si="4"/>
        <v/>
      </c>
      <c r="AI52" s="180" t="str">
        <f t="shared" si="14"/>
        <v/>
      </c>
      <c r="AJ52" s="183" t="str">
        <f>IFERROR(IF(OR(AND(AF52="Muy Baja",AH52="Leve"),AND(AF52="Muy Baja",AH52="Menor"),AND(AF52="Baja",AH52="Leve")),"Bajo",IF(OR(AND(AF52="Muy baja",AH52="Moderado"),AND(AF52="Baja",AH52="Menor"),AND(AF52="Baja",AH52="Moderado"),AND(AF52="Media",AH52="Leve"),AND(AF52="Media",AH52="Menor"),AND(AF52="Media",AH52="Moderado"),AND(AF52="Alta",AH52="Leve"),AND(AF52="Alta",AH52="Menor")),"Moderado",IF(OR(AND(AF52="Muy Baja",AH52="Mayor"),AND(AF52="Baja",AH52="Mayor"),AND(AF52="Media",AH52="Mayor"),AND(AF52="Alta",AH52="Moderado"),AND(AF52="Alta",AH52="Mayor"),AND(AF52="Muy Alta",AH52="Leve"),AND(AF52="Muy Alta",AH52="Menor"),AND(AF52="Muy Alta",AH52="Moderado"),AND(AF52="Muy Alta",AH52="Mayor")),"Alto",IF(OR(AND(AF52="Muy Baja",AH52="Catastrófico"),AND(AF52="Baja",AH52="Catastrófico"),AND(AF52="Media",AH52="Catastrófico"),AND(AF52="Alta",AH52="Catastrófico"),AND(AF52="Muy Alta",AH52="Catastrófico")),"Extremo","")))),"")</f>
        <v/>
      </c>
      <c r="AK52" s="184"/>
      <c r="AL52" s="175"/>
      <c r="AM52" s="185"/>
      <c r="AN52" s="185"/>
      <c r="AO52" s="186"/>
      <c r="AP52" s="339"/>
      <c r="AQ52" s="339"/>
      <c r="AR52" s="339"/>
    </row>
    <row r="53" spans="1:44" x14ac:dyDescent="0.2">
      <c r="A53" s="328"/>
      <c r="B53" s="329"/>
      <c r="C53" s="329"/>
      <c r="D53" s="367"/>
      <c r="E53" s="329"/>
      <c r="F53" s="329"/>
      <c r="G53" s="343"/>
      <c r="H53" s="343"/>
      <c r="I53" s="343"/>
      <c r="J53" s="343"/>
      <c r="K53" s="343"/>
      <c r="L53" s="343"/>
      <c r="M53" s="343"/>
      <c r="N53" s="339"/>
      <c r="O53" s="340"/>
      <c r="P53" s="341"/>
      <c r="Q53" s="359"/>
      <c r="R53" s="341">
        <f>IF(NOT(ISERROR(MATCH(Q53,_xlfn.ANCHORARRAY(E64),0))),P66&amp;"Por favor no seleccionar los criterios de impacto",Q53)</f>
        <v>0</v>
      </c>
      <c r="S53" s="340"/>
      <c r="T53" s="341"/>
      <c r="U53" s="358"/>
      <c r="V53" s="203">
        <v>5</v>
      </c>
      <c r="W53" s="176"/>
      <c r="X53" s="178" t="str">
        <f t="shared" si="60"/>
        <v/>
      </c>
      <c r="Y53" s="179"/>
      <c r="Z53" s="179"/>
      <c r="AA53" s="180" t="str">
        <f t="shared" si="55"/>
        <v/>
      </c>
      <c r="AB53" s="179"/>
      <c r="AC53" s="179"/>
      <c r="AD53" s="179"/>
      <c r="AE53" s="181" t="str">
        <f t="shared" si="61"/>
        <v/>
      </c>
      <c r="AF53" s="182" t="str">
        <f t="shared" si="2"/>
        <v/>
      </c>
      <c r="AG53" s="180" t="str">
        <f t="shared" si="56"/>
        <v/>
      </c>
      <c r="AH53" s="182" t="str">
        <f t="shared" si="4"/>
        <v/>
      </c>
      <c r="AI53" s="180" t="str">
        <f t="shared" si="14"/>
        <v/>
      </c>
      <c r="AJ53" s="183" t="str">
        <f t="shared" ref="AJ53:AJ54" si="62">IFERROR(IF(OR(AND(AF53="Muy Baja",AH53="Leve"),AND(AF53="Muy Baja",AH53="Menor"),AND(AF53="Baja",AH53="Leve")),"Bajo",IF(OR(AND(AF53="Muy baja",AH53="Moderado"),AND(AF53="Baja",AH53="Menor"),AND(AF53="Baja",AH53="Moderado"),AND(AF53="Media",AH53="Leve"),AND(AF53="Media",AH53="Menor"),AND(AF53="Media",AH53="Moderado"),AND(AF53="Alta",AH53="Leve"),AND(AF53="Alta",AH53="Menor")),"Moderado",IF(OR(AND(AF53="Muy Baja",AH53="Mayor"),AND(AF53="Baja",AH53="Mayor"),AND(AF53="Media",AH53="Mayor"),AND(AF53="Alta",AH53="Moderado"),AND(AF53="Alta",AH53="Mayor"),AND(AF53="Muy Alta",AH53="Leve"),AND(AF53="Muy Alta",AH53="Menor"),AND(AF53="Muy Alta",AH53="Moderado"),AND(AF53="Muy Alta",AH53="Mayor")),"Alto",IF(OR(AND(AF53="Muy Baja",AH53="Catastrófico"),AND(AF53="Baja",AH53="Catastrófico"),AND(AF53="Media",AH53="Catastrófico"),AND(AF53="Alta",AH53="Catastrófico"),AND(AF53="Muy Alta",AH53="Catastrófico")),"Extremo","")))),"")</f>
        <v/>
      </c>
      <c r="AK53" s="184"/>
      <c r="AL53" s="175"/>
      <c r="AM53" s="185"/>
      <c r="AN53" s="185"/>
      <c r="AO53" s="186"/>
      <c r="AP53" s="339"/>
      <c r="AQ53" s="339"/>
      <c r="AR53" s="339"/>
    </row>
    <row r="54" spans="1:44" x14ac:dyDescent="0.2">
      <c r="A54" s="328"/>
      <c r="B54" s="329"/>
      <c r="C54" s="329"/>
      <c r="D54" s="367"/>
      <c r="E54" s="329"/>
      <c r="F54" s="329"/>
      <c r="G54" s="344"/>
      <c r="H54" s="344"/>
      <c r="I54" s="344"/>
      <c r="J54" s="344"/>
      <c r="K54" s="344"/>
      <c r="L54" s="344"/>
      <c r="M54" s="344"/>
      <c r="N54" s="339"/>
      <c r="O54" s="340"/>
      <c r="P54" s="341"/>
      <c r="Q54" s="359"/>
      <c r="R54" s="341">
        <f>IF(NOT(ISERROR(MATCH(Q54,_xlfn.ANCHORARRAY(E65),0))),P67&amp;"Por favor no seleccionar los criterios de impacto",Q54)</f>
        <v>0</v>
      </c>
      <c r="S54" s="340"/>
      <c r="T54" s="341"/>
      <c r="U54" s="358"/>
      <c r="V54" s="203">
        <v>6</v>
      </c>
      <c r="W54" s="176"/>
      <c r="X54" s="178" t="str">
        <f t="shared" si="60"/>
        <v/>
      </c>
      <c r="Y54" s="179"/>
      <c r="Z54" s="179"/>
      <c r="AA54" s="180" t="str">
        <f t="shared" si="55"/>
        <v/>
      </c>
      <c r="AB54" s="179"/>
      <c r="AC54" s="179"/>
      <c r="AD54" s="179"/>
      <c r="AE54" s="181" t="str">
        <f t="shared" si="61"/>
        <v/>
      </c>
      <c r="AF54" s="182" t="str">
        <f t="shared" si="2"/>
        <v/>
      </c>
      <c r="AG54" s="180" t="str">
        <f t="shared" si="56"/>
        <v/>
      </c>
      <c r="AH54" s="182" t="str">
        <f t="shared" si="4"/>
        <v/>
      </c>
      <c r="AI54" s="180" t="str">
        <f t="shared" si="14"/>
        <v/>
      </c>
      <c r="AJ54" s="183" t="str">
        <f t="shared" si="62"/>
        <v/>
      </c>
      <c r="AK54" s="184"/>
      <c r="AL54" s="175"/>
      <c r="AM54" s="185"/>
      <c r="AN54" s="185"/>
      <c r="AO54" s="186"/>
      <c r="AP54" s="339"/>
      <c r="AQ54" s="339"/>
      <c r="AR54" s="339"/>
    </row>
    <row r="55" spans="1:44" x14ac:dyDescent="0.2">
      <c r="A55" s="328">
        <v>8</v>
      </c>
      <c r="B55" s="329"/>
      <c r="C55" s="329"/>
      <c r="D55" s="329"/>
      <c r="E55" s="329"/>
      <c r="F55" s="329"/>
      <c r="G55" s="342"/>
      <c r="H55" s="342"/>
      <c r="I55" s="342"/>
      <c r="J55" s="342"/>
      <c r="K55" s="342"/>
      <c r="L55" s="342"/>
      <c r="M55" s="342"/>
      <c r="N55" s="339"/>
      <c r="O55" s="340" t="str">
        <f>IF(N55&lt;=0,"",IF(N55&lt;=2,"Muy Baja",IF(N55&lt;=24,"Baja",IF(N55&lt;=500,"Media",IF(N55&lt;=5000,"Alta","Muy Alta")))))</f>
        <v/>
      </c>
      <c r="P55" s="341" t="str">
        <f>IF(O55="","",IF(O55="Muy Baja",0.2,IF(O55="Baja",0.4,IF(O55="Media",0.6,IF(O55="Alta",0.8,IF(O55="Muy Alta",1,))))))</f>
        <v/>
      </c>
      <c r="Q55" s="359"/>
      <c r="R55" s="341">
        <f>IF(NOT(ISERROR(MATCH(Q55,'Tabla Impacto'!$B$222:$B$224,0))),'Tabla Impacto'!$F$224&amp;"Por favor no seleccionar los criterios de impacto(Afectación Económica o presupuestal y Pérdida Reputacional)",Q55)</f>
        <v>0</v>
      </c>
      <c r="S55" s="340" t="str">
        <f>IF(OR(R55='Tabla Impacto'!$C$12,R55='Tabla Impacto'!$D$12),"Leve",IF(OR(R55='Tabla Impacto'!$C$13,R55='Tabla Impacto'!$D$13),"Menor",IF(OR(R55='Tabla Impacto'!$C$14,R55='Tabla Impacto'!$D$14),"Moderado",IF(OR(R55='Tabla Impacto'!$C$15,R55='Tabla Impacto'!$D$15),"Mayor",IF(OR(R55='Tabla Impacto'!$C$16,R55='Tabla Impacto'!$D$16),"Catastrófico","")))))</f>
        <v/>
      </c>
      <c r="T55" s="341" t="str">
        <f>IF(S55="","",IF(S55="Leve",0.2,IF(S55="Menor",0.4,IF(S55="Moderado",0.6,IF(S55="Mayor",0.8,IF(S55="Catastrófico",1,))))))</f>
        <v/>
      </c>
      <c r="U55" s="358" t="str">
        <f>IF(OR(AND(O55="Muy Baja",S55="Leve"),AND(O55="Muy Baja",S55="Menor"),AND(O55="Baja",S55="Leve")),"Bajo",IF(OR(AND(O55="Muy baja",S55="Moderado"),AND(O55="Baja",S55="Menor"),AND(O55="Baja",S55="Moderado"),AND(O55="Media",S55="Leve"),AND(O55="Media",S55="Menor"),AND(O55="Media",S55="Moderado"),AND(O55="Alta",S55="Leve"),AND(O55="Alta",S55="Menor")),"Moderado",IF(OR(AND(O55="Muy Baja",S55="Mayor"),AND(O55="Baja",S55="Mayor"),AND(O55="Media",S55="Mayor"),AND(O55="Alta",S55="Moderado"),AND(O55="Alta",S55="Mayor"),AND(O55="Muy Alta",S55="Leve"),AND(O55="Muy Alta",S55="Menor"),AND(O55="Muy Alta",S55="Moderado"),AND(O55="Muy Alta",S55="Mayor")),"Alto",IF(OR(AND(O55="Muy Baja",S55="Catastrófico"),AND(O55="Baja",S55="Catastrófico"),AND(O55="Media",S55="Catastrófico"),AND(O55="Alta",S55="Catastrófico"),AND(O55="Muy Alta",S55="Catastrófico")),"Extremo",""))))</f>
        <v/>
      </c>
      <c r="V55" s="203">
        <v>1</v>
      </c>
      <c r="W55" s="176"/>
      <c r="X55" s="178" t="str">
        <f>IF(OR(Y55="Preventivo",Y55="Detectivo"),"Probabilidad",IF(Y55="Correctivo","Impacto",""))</f>
        <v/>
      </c>
      <c r="Y55" s="179"/>
      <c r="Z55" s="179"/>
      <c r="AA55" s="180" t="str">
        <f>IF(AND(Y55="Preventivo",Z55="Automático"),"50%",IF(AND(Y55="Preventivo",Z55="Manual"),"40%",IF(AND(Y55="Detectivo",Z55="Automático"),"40%",IF(AND(Y55="Detectivo",Z55="Manual"),"30%",IF(AND(Y55="Correctivo",Z55="Automático"),"35%",IF(AND(Y55="Correctivo",Z55="Manual"),"25%",""))))))</f>
        <v/>
      </c>
      <c r="AB55" s="179"/>
      <c r="AC55" s="179"/>
      <c r="AD55" s="179"/>
      <c r="AE55" s="181" t="str">
        <f>IFERROR(IF(X55="Probabilidad",(P55-(+P55*AA55)),IF(X55="Impacto",P55,"")),"")</f>
        <v/>
      </c>
      <c r="AF55" s="182" t="str">
        <f>IFERROR(IF(AE55="","",IF(AE55&lt;=0.2,"Muy Baja",IF(AE55&lt;=0.4,"Baja",IF(AE55&lt;=0.6,"Media",IF(AE55&lt;=0.8,"Alta","Muy Alta"))))),"")</f>
        <v/>
      </c>
      <c r="AG55" s="180" t="str">
        <f>+AE55</f>
        <v/>
      </c>
      <c r="AH55" s="182" t="str">
        <f>IFERROR(IF(AI55="","",IF(AI55&lt;=0.2,"Leve",IF(AI55&lt;=0.4,"Menor",IF(AI55&lt;=0.6,"Moderado",IF(AI55&lt;=0.8,"Mayor","Catastrófico"))))),"")</f>
        <v/>
      </c>
      <c r="AI55" s="180" t="str">
        <f t="shared" ref="AI55" si="63">IFERROR(IF(X55="Impacto",(T55-(+T55*AA55)),IF(X55="Probabilidad",T55,"")),"")</f>
        <v/>
      </c>
      <c r="AJ55" s="183" t="str">
        <f>IFERROR(IF(OR(AND(AF55="Muy Baja",AH55="Leve"),AND(AF55="Muy Baja",AH55="Menor"),AND(AF55="Baja",AH55="Leve")),"Bajo",IF(OR(AND(AF55="Muy baja",AH55="Moderado"),AND(AF55="Baja",AH55="Menor"),AND(AF55="Baja",AH55="Moderado"),AND(AF55="Media",AH55="Leve"),AND(AF55="Media",AH55="Menor"),AND(AF55="Media",AH55="Moderado"),AND(AF55="Alta",AH55="Leve"),AND(AF55="Alta",AH55="Menor")),"Moderado",IF(OR(AND(AF55="Muy Baja",AH55="Mayor"),AND(AF55="Baja",AH55="Mayor"),AND(AF55="Media",AH55="Mayor"),AND(AF55="Alta",AH55="Moderado"),AND(AF55="Alta",AH55="Mayor"),AND(AF55="Muy Alta",AH55="Leve"),AND(AF55="Muy Alta",AH55="Menor"),AND(AF55="Muy Alta",AH55="Moderado"),AND(AF55="Muy Alta",AH55="Mayor")),"Alto",IF(OR(AND(AF55="Muy Baja",AH55="Catastrófico"),AND(AF55="Baja",AH55="Catastrófico"),AND(AF55="Media",AH55="Catastrófico"),AND(AF55="Alta",AH55="Catastrófico"),AND(AF55="Muy Alta",AH55="Catastrófico")),"Extremo","")))),"")</f>
        <v/>
      </c>
      <c r="AK55" s="184"/>
      <c r="AL55" s="175"/>
      <c r="AM55" s="185"/>
      <c r="AN55" s="185"/>
      <c r="AO55" s="186"/>
      <c r="AP55" s="339"/>
      <c r="AQ55" s="339"/>
      <c r="AR55" s="339"/>
    </row>
    <row r="56" spans="1:44" x14ac:dyDescent="0.2">
      <c r="A56" s="328"/>
      <c r="B56" s="329"/>
      <c r="C56" s="329"/>
      <c r="D56" s="329"/>
      <c r="E56" s="329"/>
      <c r="F56" s="329"/>
      <c r="G56" s="343"/>
      <c r="H56" s="343"/>
      <c r="I56" s="343"/>
      <c r="J56" s="343"/>
      <c r="K56" s="343"/>
      <c r="L56" s="343"/>
      <c r="M56" s="343"/>
      <c r="N56" s="339"/>
      <c r="O56" s="340"/>
      <c r="P56" s="341"/>
      <c r="Q56" s="359"/>
      <c r="R56" s="341">
        <f>IF(NOT(ISERROR(MATCH(Q56,_xlfn.ANCHORARRAY(E67),0))),P69&amp;"Por favor no seleccionar los criterios de impacto",Q56)</f>
        <v>0</v>
      </c>
      <c r="S56" s="340"/>
      <c r="T56" s="341"/>
      <c r="U56" s="358"/>
      <c r="V56" s="203">
        <v>2</v>
      </c>
      <c r="W56" s="176"/>
      <c r="X56" s="178" t="str">
        <f>IF(OR(Y56="Preventivo",Y56="Detectivo"),"Probabilidad",IF(Y56="Correctivo","Impacto",""))</f>
        <v/>
      </c>
      <c r="Y56" s="179"/>
      <c r="Z56" s="179"/>
      <c r="AA56" s="180" t="str">
        <f t="shared" ref="AA56:AA60" si="64">IF(AND(Y56="Preventivo",Z56="Automático"),"50%",IF(AND(Y56="Preventivo",Z56="Manual"),"40%",IF(AND(Y56="Detectivo",Z56="Automático"),"40%",IF(AND(Y56="Detectivo",Z56="Manual"),"30%",IF(AND(Y56="Correctivo",Z56="Automático"),"35%",IF(AND(Y56="Correctivo",Z56="Manual"),"25%",""))))))</f>
        <v/>
      </c>
      <c r="AB56" s="179"/>
      <c r="AC56" s="179"/>
      <c r="AD56" s="179"/>
      <c r="AE56" s="181" t="str">
        <f>IFERROR(IF(AND(X55="Probabilidad",X56="Probabilidad"),(AG55-(+AG55*AA56)),IF(X56="Probabilidad",(P55-(+P55*AA56)),IF(X56="Impacto",AG55,""))),"")</f>
        <v/>
      </c>
      <c r="AF56" s="182" t="str">
        <f t="shared" si="2"/>
        <v/>
      </c>
      <c r="AG56" s="180" t="str">
        <f t="shared" ref="AG56:AG60" si="65">+AE56</f>
        <v/>
      </c>
      <c r="AH56" s="182" t="str">
        <f t="shared" si="4"/>
        <v/>
      </c>
      <c r="AI56" s="180" t="str">
        <f t="shared" ref="AI56" si="66">IFERROR(IF(AND(X55="Impacto",X56="Impacto"),(AI55-(+AI55*AA56)),IF(X56="Impacto",($T$13-(+$T$13*AA56)),IF(X56="Probabilidad",AI55,""))),"")</f>
        <v/>
      </c>
      <c r="AJ56" s="183" t="str">
        <f t="shared" ref="AJ56:AJ57" si="67">IFERROR(IF(OR(AND(AF56="Muy Baja",AH56="Leve"),AND(AF56="Muy Baja",AH56="Menor"),AND(AF56="Baja",AH56="Leve")),"Bajo",IF(OR(AND(AF56="Muy baja",AH56="Moderado"),AND(AF56="Baja",AH56="Menor"),AND(AF56="Baja",AH56="Moderado"),AND(AF56="Media",AH56="Leve"),AND(AF56="Media",AH56="Menor"),AND(AF56="Media",AH56="Moderado"),AND(AF56="Alta",AH56="Leve"),AND(AF56="Alta",AH56="Menor")),"Moderado",IF(OR(AND(AF56="Muy Baja",AH56="Mayor"),AND(AF56="Baja",AH56="Mayor"),AND(AF56="Media",AH56="Mayor"),AND(AF56="Alta",AH56="Moderado"),AND(AF56="Alta",AH56="Mayor"),AND(AF56="Muy Alta",AH56="Leve"),AND(AF56="Muy Alta",AH56="Menor"),AND(AF56="Muy Alta",AH56="Moderado"),AND(AF56="Muy Alta",AH56="Mayor")),"Alto",IF(OR(AND(AF56="Muy Baja",AH56="Catastrófico"),AND(AF56="Baja",AH56="Catastrófico"),AND(AF56="Media",AH56="Catastrófico"),AND(AF56="Alta",AH56="Catastrófico"),AND(AF56="Muy Alta",AH56="Catastrófico")),"Extremo","")))),"")</f>
        <v/>
      </c>
      <c r="AK56" s="184"/>
      <c r="AL56" s="175"/>
      <c r="AM56" s="185"/>
      <c r="AN56" s="185"/>
      <c r="AO56" s="186"/>
      <c r="AP56" s="339"/>
      <c r="AQ56" s="339"/>
      <c r="AR56" s="339"/>
    </row>
    <row r="57" spans="1:44" x14ac:dyDescent="0.2">
      <c r="A57" s="328"/>
      <c r="B57" s="329"/>
      <c r="C57" s="329"/>
      <c r="D57" s="329"/>
      <c r="E57" s="329"/>
      <c r="F57" s="329"/>
      <c r="G57" s="343"/>
      <c r="H57" s="343"/>
      <c r="I57" s="343"/>
      <c r="J57" s="343"/>
      <c r="K57" s="343"/>
      <c r="L57" s="343"/>
      <c r="M57" s="343"/>
      <c r="N57" s="339"/>
      <c r="O57" s="340"/>
      <c r="P57" s="341"/>
      <c r="Q57" s="359"/>
      <c r="R57" s="341">
        <f>IF(NOT(ISERROR(MATCH(Q57,_xlfn.ANCHORARRAY(E68),0))),P70&amp;"Por favor no seleccionar los criterios de impacto",Q57)</f>
        <v>0</v>
      </c>
      <c r="S57" s="340"/>
      <c r="T57" s="341"/>
      <c r="U57" s="358"/>
      <c r="V57" s="203">
        <v>3</v>
      </c>
      <c r="W57" s="177"/>
      <c r="X57" s="178" t="str">
        <f>IF(OR(Y57="Preventivo",Y57="Detectivo"),"Probabilidad",IF(Y57="Correctivo","Impacto",""))</f>
        <v/>
      </c>
      <c r="Y57" s="179"/>
      <c r="Z57" s="179"/>
      <c r="AA57" s="180" t="str">
        <f t="shared" si="64"/>
        <v/>
      </c>
      <c r="AB57" s="179"/>
      <c r="AC57" s="179"/>
      <c r="AD57" s="179"/>
      <c r="AE57" s="181" t="str">
        <f>IFERROR(IF(AND(X56="Probabilidad",X57="Probabilidad"),(AG56-(+AG56*AA57)),IF(AND(X56="Impacto",X57="Probabilidad"),(AG55-(+AG55*AA57)),IF(X57="Impacto",AG56,""))),"")</f>
        <v/>
      </c>
      <c r="AF57" s="182" t="str">
        <f t="shared" si="2"/>
        <v/>
      </c>
      <c r="AG57" s="180" t="str">
        <f t="shared" si="65"/>
        <v/>
      </c>
      <c r="AH57" s="182" t="str">
        <f t="shared" si="4"/>
        <v/>
      </c>
      <c r="AI57" s="180" t="str">
        <f t="shared" ref="AI57" si="68">IFERROR(IF(AND(X56="Impacto",X57="Impacto"),(AI56-(+AI56*AA57)),IF(AND(X56="Probabilidad",X57="Impacto"),(AI55-(+AI55*AA57)),IF(X57="Probabilidad",AI56,""))),"")</f>
        <v/>
      </c>
      <c r="AJ57" s="183" t="str">
        <f t="shared" si="67"/>
        <v/>
      </c>
      <c r="AK57" s="184"/>
      <c r="AL57" s="175"/>
      <c r="AM57" s="185"/>
      <c r="AN57" s="185"/>
      <c r="AO57" s="186"/>
      <c r="AP57" s="339"/>
      <c r="AQ57" s="339"/>
      <c r="AR57" s="339"/>
    </row>
    <row r="58" spans="1:44" x14ac:dyDescent="0.2">
      <c r="A58" s="328"/>
      <c r="B58" s="329"/>
      <c r="C58" s="329"/>
      <c r="D58" s="329"/>
      <c r="E58" s="329"/>
      <c r="F58" s="329"/>
      <c r="G58" s="343"/>
      <c r="H58" s="343"/>
      <c r="I58" s="343"/>
      <c r="J58" s="343"/>
      <c r="K58" s="343"/>
      <c r="L58" s="343"/>
      <c r="M58" s="343"/>
      <c r="N58" s="339"/>
      <c r="O58" s="340"/>
      <c r="P58" s="341"/>
      <c r="Q58" s="359"/>
      <c r="R58" s="341">
        <f>IF(NOT(ISERROR(MATCH(Q58,_xlfn.ANCHORARRAY(E69),0))),P71&amp;"Por favor no seleccionar los criterios de impacto",Q58)</f>
        <v>0</v>
      </c>
      <c r="S58" s="340"/>
      <c r="T58" s="341"/>
      <c r="U58" s="358"/>
      <c r="V58" s="203">
        <v>4</v>
      </c>
      <c r="W58" s="176"/>
      <c r="X58" s="178" t="str">
        <f t="shared" ref="X58:X60" si="69">IF(OR(Y58="Preventivo",Y58="Detectivo"),"Probabilidad",IF(Y58="Correctivo","Impacto",""))</f>
        <v/>
      </c>
      <c r="Y58" s="179"/>
      <c r="Z58" s="179"/>
      <c r="AA58" s="180" t="str">
        <f t="shared" si="64"/>
        <v/>
      </c>
      <c r="AB58" s="179"/>
      <c r="AC58" s="179"/>
      <c r="AD58" s="179"/>
      <c r="AE58" s="181" t="str">
        <f t="shared" ref="AE58:AE60" si="70">IFERROR(IF(AND(X57="Probabilidad",X58="Probabilidad"),(AG57-(+AG57*AA58)),IF(AND(X57="Impacto",X58="Probabilidad"),(AG56-(+AG56*AA58)),IF(X58="Impacto",AG57,""))),"")</f>
        <v/>
      </c>
      <c r="AF58" s="182" t="str">
        <f t="shared" si="2"/>
        <v/>
      </c>
      <c r="AG58" s="180" t="str">
        <f t="shared" si="65"/>
        <v/>
      </c>
      <c r="AH58" s="182" t="str">
        <f t="shared" si="4"/>
        <v/>
      </c>
      <c r="AI58" s="180" t="str">
        <f t="shared" si="14"/>
        <v/>
      </c>
      <c r="AJ58" s="183" t="str">
        <f>IFERROR(IF(OR(AND(AF58="Muy Baja",AH58="Leve"),AND(AF58="Muy Baja",AH58="Menor"),AND(AF58="Baja",AH58="Leve")),"Bajo",IF(OR(AND(AF58="Muy baja",AH58="Moderado"),AND(AF58="Baja",AH58="Menor"),AND(AF58="Baja",AH58="Moderado"),AND(AF58="Media",AH58="Leve"),AND(AF58="Media",AH58="Menor"),AND(AF58="Media",AH58="Moderado"),AND(AF58="Alta",AH58="Leve"),AND(AF58="Alta",AH58="Menor")),"Moderado",IF(OR(AND(AF58="Muy Baja",AH58="Mayor"),AND(AF58="Baja",AH58="Mayor"),AND(AF58="Media",AH58="Mayor"),AND(AF58="Alta",AH58="Moderado"),AND(AF58="Alta",AH58="Mayor"),AND(AF58="Muy Alta",AH58="Leve"),AND(AF58="Muy Alta",AH58="Menor"),AND(AF58="Muy Alta",AH58="Moderado"),AND(AF58="Muy Alta",AH58="Mayor")),"Alto",IF(OR(AND(AF58="Muy Baja",AH58="Catastrófico"),AND(AF58="Baja",AH58="Catastrófico"),AND(AF58="Media",AH58="Catastrófico"),AND(AF58="Alta",AH58="Catastrófico"),AND(AF58="Muy Alta",AH58="Catastrófico")),"Extremo","")))),"")</f>
        <v/>
      </c>
      <c r="AK58" s="184"/>
      <c r="AL58" s="175"/>
      <c r="AM58" s="185"/>
      <c r="AN58" s="185"/>
      <c r="AO58" s="186"/>
      <c r="AP58" s="339"/>
      <c r="AQ58" s="339"/>
      <c r="AR58" s="339"/>
    </row>
    <row r="59" spans="1:44" x14ac:dyDescent="0.2">
      <c r="A59" s="328"/>
      <c r="B59" s="329"/>
      <c r="C59" s="329"/>
      <c r="D59" s="329"/>
      <c r="E59" s="329"/>
      <c r="F59" s="329"/>
      <c r="G59" s="343"/>
      <c r="H59" s="343"/>
      <c r="I59" s="343"/>
      <c r="J59" s="343"/>
      <c r="K59" s="343"/>
      <c r="L59" s="343"/>
      <c r="M59" s="343"/>
      <c r="N59" s="339"/>
      <c r="O59" s="340"/>
      <c r="P59" s="341"/>
      <c r="Q59" s="359"/>
      <c r="R59" s="341">
        <f>IF(NOT(ISERROR(MATCH(Q59,_xlfn.ANCHORARRAY(E70),0))),P72&amp;"Por favor no seleccionar los criterios de impacto",Q59)</f>
        <v>0</v>
      </c>
      <c r="S59" s="340"/>
      <c r="T59" s="341"/>
      <c r="U59" s="358"/>
      <c r="V59" s="203">
        <v>5</v>
      </c>
      <c r="W59" s="176"/>
      <c r="X59" s="178" t="str">
        <f t="shared" si="69"/>
        <v/>
      </c>
      <c r="Y59" s="179"/>
      <c r="Z59" s="179"/>
      <c r="AA59" s="180" t="str">
        <f t="shared" si="64"/>
        <v/>
      </c>
      <c r="AB59" s="179"/>
      <c r="AC59" s="179"/>
      <c r="AD59" s="179"/>
      <c r="AE59" s="181" t="str">
        <f t="shared" si="70"/>
        <v/>
      </c>
      <c r="AF59" s="182" t="str">
        <f t="shared" si="2"/>
        <v/>
      </c>
      <c r="AG59" s="180" t="str">
        <f t="shared" si="65"/>
        <v/>
      </c>
      <c r="AH59" s="182" t="str">
        <f t="shared" si="4"/>
        <v/>
      </c>
      <c r="AI59" s="180" t="str">
        <f t="shared" si="14"/>
        <v/>
      </c>
      <c r="AJ59" s="183" t="str">
        <f t="shared" ref="AJ59:AJ60" si="71">IFERROR(IF(OR(AND(AF59="Muy Baja",AH59="Leve"),AND(AF59="Muy Baja",AH59="Menor"),AND(AF59="Baja",AH59="Leve")),"Bajo",IF(OR(AND(AF59="Muy baja",AH59="Moderado"),AND(AF59="Baja",AH59="Menor"),AND(AF59="Baja",AH59="Moderado"),AND(AF59="Media",AH59="Leve"),AND(AF59="Media",AH59="Menor"),AND(AF59="Media",AH59="Moderado"),AND(AF59="Alta",AH59="Leve"),AND(AF59="Alta",AH59="Menor")),"Moderado",IF(OR(AND(AF59="Muy Baja",AH59="Mayor"),AND(AF59="Baja",AH59="Mayor"),AND(AF59="Media",AH59="Mayor"),AND(AF59="Alta",AH59="Moderado"),AND(AF59="Alta",AH59="Mayor"),AND(AF59="Muy Alta",AH59="Leve"),AND(AF59="Muy Alta",AH59="Menor"),AND(AF59="Muy Alta",AH59="Moderado"),AND(AF59="Muy Alta",AH59="Mayor")),"Alto",IF(OR(AND(AF59="Muy Baja",AH59="Catastrófico"),AND(AF59="Baja",AH59="Catastrófico"),AND(AF59="Media",AH59="Catastrófico"),AND(AF59="Alta",AH59="Catastrófico"),AND(AF59="Muy Alta",AH59="Catastrófico")),"Extremo","")))),"")</f>
        <v/>
      </c>
      <c r="AK59" s="184"/>
      <c r="AL59" s="175"/>
      <c r="AM59" s="185"/>
      <c r="AN59" s="185"/>
      <c r="AO59" s="186"/>
      <c r="AP59" s="339"/>
      <c r="AQ59" s="339"/>
      <c r="AR59" s="339"/>
    </row>
    <row r="60" spans="1:44" x14ac:dyDescent="0.2">
      <c r="A60" s="328"/>
      <c r="B60" s="329"/>
      <c r="C60" s="329"/>
      <c r="D60" s="329"/>
      <c r="E60" s="329"/>
      <c r="F60" s="329"/>
      <c r="G60" s="344"/>
      <c r="H60" s="344"/>
      <c r="I60" s="344"/>
      <c r="J60" s="344"/>
      <c r="K60" s="344"/>
      <c r="L60" s="344"/>
      <c r="M60" s="344"/>
      <c r="N60" s="339"/>
      <c r="O60" s="340"/>
      <c r="P60" s="341"/>
      <c r="Q60" s="359"/>
      <c r="R60" s="341">
        <f>IF(NOT(ISERROR(MATCH(Q60,_xlfn.ANCHORARRAY(E71),0))),Q73&amp;"Por favor no seleccionar los criterios de impacto",Q60)</f>
        <v>0</v>
      </c>
      <c r="S60" s="340"/>
      <c r="T60" s="341"/>
      <c r="U60" s="358"/>
      <c r="V60" s="203">
        <v>6</v>
      </c>
      <c r="W60" s="176"/>
      <c r="X60" s="178" t="str">
        <f t="shared" si="69"/>
        <v/>
      </c>
      <c r="Y60" s="179"/>
      <c r="Z60" s="179"/>
      <c r="AA60" s="180" t="str">
        <f t="shared" si="64"/>
        <v/>
      </c>
      <c r="AB60" s="179"/>
      <c r="AC60" s="179"/>
      <c r="AD60" s="179"/>
      <c r="AE60" s="181" t="str">
        <f t="shared" si="70"/>
        <v/>
      </c>
      <c r="AF60" s="182" t="str">
        <f t="shared" si="2"/>
        <v/>
      </c>
      <c r="AG60" s="180" t="str">
        <f t="shared" si="65"/>
        <v/>
      </c>
      <c r="AH60" s="182" t="str">
        <f t="shared" si="4"/>
        <v/>
      </c>
      <c r="AI60" s="180" t="str">
        <f t="shared" si="14"/>
        <v/>
      </c>
      <c r="AJ60" s="183" t="str">
        <f t="shared" si="71"/>
        <v/>
      </c>
      <c r="AK60" s="184"/>
      <c r="AL60" s="175"/>
      <c r="AM60" s="185"/>
      <c r="AN60" s="185"/>
      <c r="AO60" s="186"/>
      <c r="AP60" s="339"/>
      <c r="AQ60" s="339"/>
      <c r="AR60" s="339"/>
    </row>
    <row r="61" spans="1:44" x14ac:dyDescent="0.2">
      <c r="A61" s="328">
        <v>9</v>
      </c>
      <c r="B61" s="329"/>
      <c r="C61" s="329"/>
      <c r="D61" s="329"/>
      <c r="E61" s="329"/>
      <c r="F61" s="329"/>
      <c r="G61" s="342"/>
      <c r="H61" s="342"/>
      <c r="I61" s="210"/>
      <c r="J61" s="210"/>
      <c r="K61" s="210"/>
      <c r="L61" s="342"/>
      <c r="M61" s="342"/>
      <c r="N61" s="339"/>
      <c r="O61" s="340" t="str">
        <f>IF(N61&lt;=0,"",IF(N61&lt;=2,"Muy Baja",IF(N61&lt;=24,"Baja",IF(N61&lt;=500,"Media",IF(N61&lt;=5000,"Alta","Muy Alta")))))</f>
        <v/>
      </c>
      <c r="P61" s="341" t="str">
        <f>IF(O61="","",IF(O61="Muy Baja",0.2,IF(O61="Baja",0.4,IF(O61="Media",0.6,IF(O61="Alta",0.8,IF(O61="Muy Alta",1,))))))</f>
        <v/>
      </c>
      <c r="Q61" s="359"/>
      <c r="R61" s="341">
        <f>IF(NOT(ISERROR(MATCH(Q61,'Tabla Impacto'!$B$222:$B$224,0))),'Tabla Impacto'!$F$224&amp;"Por favor no seleccionar los criterios de impacto(Afectación Económica o presupuestal y Pérdida Reputacional)",Q61)</f>
        <v>0</v>
      </c>
      <c r="S61" s="340" t="str">
        <f>IF(OR(R61='Tabla Impacto'!$C$12,R61='Tabla Impacto'!$D$12),"Leve",IF(OR(R61='Tabla Impacto'!$C$13,R61='Tabla Impacto'!$D$13),"Menor",IF(OR(R61='Tabla Impacto'!$C$14,R61='Tabla Impacto'!$D$14),"Moderado",IF(OR(R61='Tabla Impacto'!$C$15,R61='Tabla Impacto'!$D$15),"Mayor",IF(OR(R61='Tabla Impacto'!$C$16,R61='Tabla Impacto'!$D$16),"Catastrófico","")))))</f>
        <v/>
      </c>
      <c r="T61" s="341" t="str">
        <f>IF(S61="","",IF(S61="Leve",0.2,IF(S61="Menor",0.4,IF(S61="Moderado",0.6,IF(S61="Mayor",0.8,IF(S61="Catastrófico",1,))))))</f>
        <v/>
      </c>
      <c r="U61" s="358" t="str">
        <f>IF(OR(AND(O61="Muy Baja",S61="Leve"),AND(O61="Muy Baja",S61="Menor"),AND(O61="Baja",S61="Leve")),"Bajo",IF(OR(AND(O61="Muy baja",S61="Moderado"),AND(O61="Baja",S61="Menor"),AND(O61="Baja",S61="Moderado"),AND(O61="Media",S61="Leve"),AND(O61="Media",S61="Menor"),AND(O61="Media",S61="Moderado"),AND(O61="Alta",S61="Leve"),AND(O61="Alta",S61="Menor")),"Moderado",IF(OR(AND(O61="Muy Baja",S61="Mayor"),AND(O61="Baja",S61="Mayor"),AND(O61="Media",S61="Mayor"),AND(O61="Alta",S61="Moderado"),AND(O61="Alta",S61="Mayor"),AND(O61="Muy Alta",S61="Leve"),AND(O61="Muy Alta",S61="Menor"),AND(O61="Muy Alta",S61="Moderado"),AND(O61="Muy Alta",S61="Mayor")),"Alto",IF(OR(AND(O61="Muy Baja",S61="Catastrófico"),AND(O61="Baja",S61="Catastrófico"),AND(O61="Media",S61="Catastrófico"),AND(O61="Alta",S61="Catastrófico"),AND(O61="Muy Alta",S61="Catastrófico")),"Extremo",""))))</f>
        <v/>
      </c>
      <c r="V61" s="203">
        <v>1</v>
      </c>
      <c r="W61" s="176"/>
      <c r="X61" s="178" t="str">
        <f>IF(OR(Y61="Preventivo",Y61="Detectivo"),"Probabilidad",IF(Y61="Correctivo","Impacto",""))</f>
        <v/>
      </c>
      <c r="Y61" s="179"/>
      <c r="Z61" s="179"/>
      <c r="AA61" s="180" t="str">
        <f>IF(AND(Y61="Preventivo",Z61="Automático"),"50%",IF(AND(Y61="Preventivo",Z61="Manual"),"40%",IF(AND(Y61="Detectivo",Z61="Automático"),"40%",IF(AND(Y61="Detectivo",Z61="Manual"),"30%",IF(AND(Y61="Correctivo",Z61="Automático"),"35%",IF(AND(Y61="Correctivo",Z61="Manual"),"25%",""))))))</f>
        <v/>
      </c>
      <c r="AB61" s="179"/>
      <c r="AC61" s="179"/>
      <c r="AD61" s="179"/>
      <c r="AE61" s="181" t="str">
        <f>IFERROR(IF(X61="Probabilidad",(P61-(+P61*AA61)),IF(X61="Impacto",P61,"")),"")</f>
        <v/>
      </c>
      <c r="AF61" s="182" t="str">
        <f>IFERROR(IF(AE61="","",IF(AE61&lt;=0.2,"Muy Baja",IF(AE61&lt;=0.4,"Baja",IF(AE61&lt;=0.6,"Media",IF(AE61&lt;=0.8,"Alta","Muy Alta"))))),"")</f>
        <v/>
      </c>
      <c r="AG61" s="180" t="str">
        <f>+AE61</f>
        <v/>
      </c>
      <c r="AH61" s="182" t="str">
        <f>IFERROR(IF(AI61="","",IF(AI61&lt;=0.2,"Leve",IF(AI61&lt;=0.4,"Menor",IF(AI61&lt;=0.6,"Moderado",IF(AI61&lt;=0.8,"Mayor","Catastrófico"))))),"")</f>
        <v/>
      </c>
      <c r="AI61" s="180" t="str">
        <f t="shared" ref="AI61" si="72">IFERROR(IF(X61="Impacto",(T61-(+T61*AA61)),IF(X61="Probabilidad",T61,"")),"")</f>
        <v/>
      </c>
      <c r="AJ61" s="183" t="str">
        <f>IFERROR(IF(OR(AND(AF61="Muy Baja",AH61="Leve"),AND(AF61="Muy Baja",AH61="Menor"),AND(AF61="Baja",AH61="Leve")),"Bajo",IF(OR(AND(AF61="Muy baja",AH61="Moderado"),AND(AF61="Baja",AH61="Menor"),AND(AF61="Baja",AH61="Moderado"),AND(AF61="Media",AH61="Leve"),AND(AF61="Media",AH61="Menor"),AND(AF61="Media",AH61="Moderado"),AND(AF61="Alta",AH61="Leve"),AND(AF61="Alta",AH61="Menor")),"Moderado",IF(OR(AND(AF61="Muy Baja",AH61="Mayor"),AND(AF61="Baja",AH61="Mayor"),AND(AF61="Media",AH61="Mayor"),AND(AF61="Alta",AH61="Moderado"),AND(AF61="Alta",AH61="Mayor"),AND(AF61="Muy Alta",AH61="Leve"),AND(AF61="Muy Alta",AH61="Menor"),AND(AF61="Muy Alta",AH61="Moderado"),AND(AF61="Muy Alta",AH61="Mayor")),"Alto",IF(OR(AND(AF61="Muy Baja",AH61="Catastrófico"),AND(AF61="Baja",AH61="Catastrófico"),AND(AF61="Media",AH61="Catastrófico"),AND(AF61="Alta",AH61="Catastrófico"),AND(AF61="Muy Alta",AH61="Catastrófico")),"Extremo","")))),"")</f>
        <v/>
      </c>
      <c r="AK61" s="184"/>
      <c r="AL61" s="175"/>
      <c r="AM61" s="185"/>
      <c r="AN61" s="185"/>
      <c r="AO61" s="186"/>
      <c r="AP61" s="339"/>
      <c r="AQ61" s="339"/>
      <c r="AR61" s="339"/>
    </row>
    <row r="62" spans="1:44" x14ac:dyDescent="0.2">
      <c r="A62" s="328"/>
      <c r="B62" s="329"/>
      <c r="C62" s="329"/>
      <c r="D62" s="329"/>
      <c r="E62" s="329"/>
      <c r="F62" s="329"/>
      <c r="G62" s="343"/>
      <c r="H62" s="343"/>
      <c r="I62" s="211"/>
      <c r="J62" s="211"/>
      <c r="K62" s="211"/>
      <c r="L62" s="343"/>
      <c r="M62" s="343"/>
      <c r="N62" s="339"/>
      <c r="O62" s="340"/>
      <c r="P62" s="341"/>
      <c r="Q62" s="359"/>
      <c r="R62" s="341">
        <f>IF(NOT(ISERROR(MATCH(Q62,_xlfn.ANCHORARRAY(F73),0))),Q75&amp;"Por favor no seleccionar los criterios de impacto",Q62)</f>
        <v>0</v>
      </c>
      <c r="S62" s="340"/>
      <c r="T62" s="341"/>
      <c r="U62" s="358"/>
      <c r="V62" s="203">
        <v>2</v>
      </c>
      <c r="W62" s="176"/>
      <c r="X62" s="178" t="str">
        <f>IF(OR(Y62="Preventivo",Y62="Detectivo"),"Probabilidad",IF(Y62="Correctivo","Impacto",""))</f>
        <v/>
      </c>
      <c r="Y62" s="179"/>
      <c r="Z62" s="179"/>
      <c r="AA62" s="180" t="str">
        <f t="shared" ref="AA62:AA66" si="73">IF(AND(Y62="Preventivo",Z62="Automático"),"50%",IF(AND(Y62="Preventivo",Z62="Manual"),"40%",IF(AND(Y62="Detectivo",Z62="Automático"),"40%",IF(AND(Y62="Detectivo",Z62="Manual"),"30%",IF(AND(Y62="Correctivo",Z62="Automático"),"35%",IF(AND(Y62="Correctivo",Z62="Manual"),"25%",""))))))</f>
        <v/>
      </c>
      <c r="AB62" s="179"/>
      <c r="AC62" s="179"/>
      <c r="AD62" s="179"/>
      <c r="AE62" s="181" t="str">
        <f>IFERROR(IF(AND(X61="Probabilidad",X62="Probabilidad"),(AG61-(+AG61*AA62)),IF(X62="Probabilidad",(P61-(+P61*AA62)),IF(X62="Impacto",AG61,""))),"")</f>
        <v/>
      </c>
      <c r="AF62" s="182" t="str">
        <f t="shared" si="2"/>
        <v/>
      </c>
      <c r="AG62" s="180" t="str">
        <f t="shared" ref="AG62:AG66" si="74">+AE62</f>
        <v/>
      </c>
      <c r="AH62" s="182" t="str">
        <f t="shared" si="4"/>
        <v/>
      </c>
      <c r="AI62" s="180" t="str">
        <f t="shared" ref="AI62" si="75">IFERROR(IF(AND(X61="Impacto",X62="Impacto"),(AI61-(+AI61*AA62)),IF(X62="Impacto",($T$13-(+$T$13*AA62)),IF(X62="Probabilidad",AI61,""))),"")</f>
        <v/>
      </c>
      <c r="AJ62" s="183" t="str">
        <f t="shared" ref="AJ62:AJ63" si="76">IFERROR(IF(OR(AND(AF62="Muy Baja",AH62="Leve"),AND(AF62="Muy Baja",AH62="Menor"),AND(AF62="Baja",AH62="Leve")),"Bajo",IF(OR(AND(AF62="Muy baja",AH62="Moderado"),AND(AF62="Baja",AH62="Menor"),AND(AF62="Baja",AH62="Moderado"),AND(AF62="Media",AH62="Leve"),AND(AF62="Media",AH62="Menor"),AND(AF62="Media",AH62="Moderado"),AND(AF62="Alta",AH62="Leve"),AND(AF62="Alta",AH62="Menor")),"Moderado",IF(OR(AND(AF62="Muy Baja",AH62="Mayor"),AND(AF62="Baja",AH62="Mayor"),AND(AF62="Media",AH62="Mayor"),AND(AF62="Alta",AH62="Moderado"),AND(AF62="Alta",AH62="Mayor"),AND(AF62="Muy Alta",AH62="Leve"),AND(AF62="Muy Alta",AH62="Menor"),AND(AF62="Muy Alta",AH62="Moderado"),AND(AF62="Muy Alta",AH62="Mayor")),"Alto",IF(OR(AND(AF62="Muy Baja",AH62="Catastrófico"),AND(AF62="Baja",AH62="Catastrófico"),AND(AF62="Media",AH62="Catastrófico"),AND(AF62="Alta",AH62="Catastrófico"),AND(AF62="Muy Alta",AH62="Catastrófico")),"Extremo","")))),"")</f>
        <v/>
      </c>
      <c r="AK62" s="184"/>
      <c r="AL62" s="175"/>
      <c r="AM62" s="185"/>
      <c r="AN62" s="185"/>
      <c r="AO62" s="186"/>
      <c r="AP62" s="339"/>
      <c r="AQ62" s="339"/>
      <c r="AR62" s="339"/>
    </row>
    <row r="63" spans="1:44" x14ac:dyDescent="0.2">
      <c r="A63" s="328"/>
      <c r="B63" s="329"/>
      <c r="C63" s="329"/>
      <c r="D63" s="329"/>
      <c r="E63" s="329"/>
      <c r="F63" s="329"/>
      <c r="G63" s="343"/>
      <c r="H63" s="343"/>
      <c r="I63" s="211"/>
      <c r="J63" s="211"/>
      <c r="K63" s="211"/>
      <c r="L63" s="343"/>
      <c r="M63" s="343"/>
      <c r="N63" s="339"/>
      <c r="O63" s="340"/>
      <c r="P63" s="341"/>
      <c r="Q63" s="359"/>
      <c r="R63" s="341">
        <f>IF(NOT(ISERROR(MATCH(Q63,_xlfn.ANCHORARRAY(F74),0))),Q76&amp;"Por favor no seleccionar los criterios de impacto",Q63)</f>
        <v>0</v>
      </c>
      <c r="S63" s="340"/>
      <c r="T63" s="341"/>
      <c r="U63" s="358"/>
      <c r="V63" s="203">
        <v>3</v>
      </c>
      <c r="W63" s="176"/>
      <c r="X63" s="178" t="str">
        <f>IF(OR(Y63="Preventivo",Y63="Detectivo"),"Probabilidad",IF(Y63="Correctivo","Impacto",""))</f>
        <v/>
      </c>
      <c r="Y63" s="179"/>
      <c r="Z63" s="179"/>
      <c r="AA63" s="180" t="str">
        <f t="shared" si="73"/>
        <v/>
      </c>
      <c r="AB63" s="179"/>
      <c r="AC63" s="179"/>
      <c r="AD63" s="179"/>
      <c r="AE63" s="181" t="str">
        <f>IFERROR(IF(AND(X62="Probabilidad",X63="Probabilidad"),(AG62-(+AG62*AA63)),IF(AND(X62="Impacto",X63="Probabilidad"),(AG61-(+AG61*AA63)),IF(X63="Impacto",AG62,""))),"")</f>
        <v/>
      </c>
      <c r="AF63" s="182" t="str">
        <f t="shared" si="2"/>
        <v/>
      </c>
      <c r="AG63" s="180" t="str">
        <f t="shared" si="74"/>
        <v/>
      </c>
      <c r="AH63" s="182" t="str">
        <f t="shared" si="4"/>
        <v/>
      </c>
      <c r="AI63" s="180" t="str">
        <f t="shared" ref="AI63" si="77">IFERROR(IF(AND(X62="Impacto",X63="Impacto"),(AI62-(+AI62*AA63)),IF(AND(X62="Probabilidad",X63="Impacto"),(AI61-(+AI61*AA63)),IF(X63="Probabilidad",AI62,""))),"")</f>
        <v/>
      </c>
      <c r="AJ63" s="183" t="str">
        <f t="shared" si="76"/>
        <v/>
      </c>
      <c r="AK63" s="184"/>
      <c r="AL63" s="175"/>
      <c r="AM63" s="185"/>
      <c r="AN63" s="185"/>
      <c r="AO63" s="186"/>
      <c r="AP63" s="339"/>
      <c r="AQ63" s="339"/>
      <c r="AR63" s="339"/>
    </row>
    <row r="64" spans="1:44" x14ac:dyDescent="0.2">
      <c r="A64" s="328"/>
      <c r="B64" s="329"/>
      <c r="C64" s="329"/>
      <c r="D64" s="329"/>
      <c r="E64" s="329"/>
      <c r="F64" s="329"/>
      <c r="G64" s="343"/>
      <c r="H64" s="343"/>
      <c r="I64" s="211"/>
      <c r="J64" s="211"/>
      <c r="K64" s="211"/>
      <c r="L64" s="343"/>
      <c r="M64" s="343"/>
      <c r="N64" s="339"/>
      <c r="O64" s="340"/>
      <c r="P64" s="341"/>
      <c r="Q64" s="359"/>
      <c r="R64" s="341">
        <f>IF(NOT(ISERROR(MATCH(Q64,_xlfn.ANCHORARRAY(F75),0))),Q77&amp;"Por favor no seleccionar los criterios de impacto",Q64)</f>
        <v>0</v>
      </c>
      <c r="S64" s="340"/>
      <c r="T64" s="341"/>
      <c r="U64" s="358"/>
      <c r="V64" s="203">
        <v>4</v>
      </c>
      <c r="W64" s="176"/>
      <c r="X64" s="178" t="str">
        <f t="shared" ref="X64:X66" si="78">IF(OR(Y64="Preventivo",Y64="Detectivo"),"Probabilidad",IF(Y64="Correctivo","Impacto",""))</f>
        <v/>
      </c>
      <c r="Y64" s="179"/>
      <c r="Z64" s="179"/>
      <c r="AA64" s="180" t="str">
        <f t="shared" si="73"/>
        <v/>
      </c>
      <c r="AB64" s="179"/>
      <c r="AC64" s="179"/>
      <c r="AD64" s="179"/>
      <c r="AE64" s="181" t="str">
        <f t="shared" ref="AE64:AE66" si="79">IFERROR(IF(AND(X63="Probabilidad",X64="Probabilidad"),(AG63-(+AG63*AA64)),IF(AND(X63="Impacto",X64="Probabilidad"),(AG62-(+AG62*AA64)),IF(X64="Impacto",AG63,""))),"")</f>
        <v/>
      </c>
      <c r="AF64" s="182" t="str">
        <f t="shared" si="2"/>
        <v/>
      </c>
      <c r="AG64" s="180" t="str">
        <f t="shared" si="74"/>
        <v/>
      </c>
      <c r="AH64" s="182" t="str">
        <f t="shared" si="4"/>
        <v/>
      </c>
      <c r="AI64" s="180" t="str">
        <f t="shared" si="14"/>
        <v/>
      </c>
      <c r="AJ64" s="183" t="str">
        <f>IFERROR(IF(OR(AND(AF64="Muy Baja",AH64="Leve"),AND(AF64="Muy Baja",AH64="Menor"),AND(AF64="Baja",AH64="Leve")),"Bajo",IF(OR(AND(AF64="Muy baja",AH64="Moderado"),AND(AF64="Baja",AH64="Menor"),AND(AF64="Baja",AH64="Moderado"),AND(AF64="Media",AH64="Leve"),AND(AF64="Media",AH64="Menor"),AND(AF64="Media",AH64="Moderado"),AND(AF64="Alta",AH64="Leve"),AND(AF64="Alta",AH64="Menor")),"Moderado",IF(OR(AND(AF64="Muy Baja",AH64="Mayor"),AND(AF64="Baja",AH64="Mayor"),AND(AF64="Media",AH64="Mayor"),AND(AF64="Alta",AH64="Moderado"),AND(AF64="Alta",AH64="Mayor"),AND(AF64="Muy Alta",AH64="Leve"),AND(AF64="Muy Alta",AH64="Menor"),AND(AF64="Muy Alta",AH64="Moderado"),AND(AF64="Muy Alta",AH64="Mayor")),"Alto",IF(OR(AND(AF64="Muy Baja",AH64="Catastrófico"),AND(AF64="Baja",AH64="Catastrófico"),AND(AF64="Media",AH64="Catastrófico"),AND(AF64="Alta",AH64="Catastrófico"),AND(AF64="Muy Alta",AH64="Catastrófico")),"Extremo","")))),"")</f>
        <v/>
      </c>
      <c r="AK64" s="184"/>
      <c r="AL64" s="175"/>
      <c r="AM64" s="185"/>
      <c r="AN64" s="185"/>
      <c r="AO64" s="186"/>
      <c r="AP64" s="339"/>
      <c r="AQ64" s="339"/>
      <c r="AR64" s="339"/>
    </row>
    <row r="65" spans="1:44" x14ac:dyDescent="0.2">
      <c r="A65" s="328"/>
      <c r="B65" s="329"/>
      <c r="C65" s="329"/>
      <c r="D65" s="329"/>
      <c r="E65" s="329"/>
      <c r="F65" s="329"/>
      <c r="G65" s="343"/>
      <c r="H65" s="343"/>
      <c r="I65" s="211"/>
      <c r="J65" s="211"/>
      <c r="K65" s="211"/>
      <c r="L65" s="343"/>
      <c r="M65" s="343"/>
      <c r="N65" s="339"/>
      <c r="O65" s="340"/>
      <c r="P65" s="341"/>
      <c r="Q65" s="359"/>
      <c r="R65" s="341">
        <f>IF(NOT(ISERROR(MATCH(Q65,_xlfn.ANCHORARRAY(F76),0))),Q78&amp;"Por favor no seleccionar los criterios de impacto",Q65)</f>
        <v>0</v>
      </c>
      <c r="S65" s="340"/>
      <c r="T65" s="341"/>
      <c r="U65" s="358"/>
      <c r="V65" s="203">
        <v>5</v>
      </c>
      <c r="W65" s="176"/>
      <c r="X65" s="178" t="str">
        <f t="shared" si="78"/>
        <v/>
      </c>
      <c r="Y65" s="179"/>
      <c r="Z65" s="179"/>
      <c r="AA65" s="180" t="str">
        <f t="shared" si="73"/>
        <v/>
      </c>
      <c r="AB65" s="179"/>
      <c r="AC65" s="179"/>
      <c r="AD65" s="179"/>
      <c r="AE65" s="181" t="str">
        <f t="shared" si="79"/>
        <v/>
      </c>
      <c r="AF65" s="182" t="str">
        <f t="shared" si="2"/>
        <v/>
      </c>
      <c r="AG65" s="180" t="str">
        <f t="shared" si="74"/>
        <v/>
      </c>
      <c r="AH65" s="182" t="str">
        <f t="shared" si="4"/>
        <v/>
      </c>
      <c r="AI65" s="180" t="str">
        <f t="shared" si="14"/>
        <v/>
      </c>
      <c r="AJ65" s="183" t="str">
        <f t="shared" ref="AJ65:AJ66" si="80">IFERROR(IF(OR(AND(AF65="Muy Baja",AH65="Leve"),AND(AF65="Muy Baja",AH65="Menor"),AND(AF65="Baja",AH65="Leve")),"Bajo",IF(OR(AND(AF65="Muy baja",AH65="Moderado"),AND(AF65="Baja",AH65="Menor"),AND(AF65="Baja",AH65="Moderado"),AND(AF65="Media",AH65="Leve"),AND(AF65="Media",AH65="Menor"),AND(AF65="Media",AH65="Moderado"),AND(AF65="Alta",AH65="Leve"),AND(AF65="Alta",AH65="Menor")),"Moderado",IF(OR(AND(AF65="Muy Baja",AH65="Mayor"),AND(AF65="Baja",AH65="Mayor"),AND(AF65="Media",AH65="Mayor"),AND(AF65="Alta",AH65="Moderado"),AND(AF65="Alta",AH65="Mayor"),AND(AF65="Muy Alta",AH65="Leve"),AND(AF65="Muy Alta",AH65="Menor"),AND(AF65="Muy Alta",AH65="Moderado"),AND(AF65="Muy Alta",AH65="Mayor")),"Alto",IF(OR(AND(AF65="Muy Baja",AH65="Catastrófico"),AND(AF65="Baja",AH65="Catastrófico"),AND(AF65="Media",AH65="Catastrófico"),AND(AF65="Alta",AH65="Catastrófico"),AND(AF65="Muy Alta",AH65="Catastrófico")),"Extremo","")))),"")</f>
        <v/>
      </c>
      <c r="AK65" s="184"/>
      <c r="AL65" s="175"/>
      <c r="AM65" s="185"/>
      <c r="AN65" s="185"/>
      <c r="AO65" s="186"/>
      <c r="AP65" s="339"/>
      <c r="AQ65" s="339"/>
      <c r="AR65" s="339"/>
    </row>
    <row r="66" spans="1:44" x14ac:dyDescent="0.2">
      <c r="A66" s="328"/>
      <c r="B66" s="329"/>
      <c r="C66" s="329"/>
      <c r="D66" s="329"/>
      <c r="E66" s="329"/>
      <c r="F66" s="329"/>
      <c r="G66" s="344"/>
      <c r="H66" s="344"/>
      <c r="I66" s="212"/>
      <c r="J66" s="212"/>
      <c r="K66" s="212"/>
      <c r="L66" s="344"/>
      <c r="M66" s="344"/>
      <c r="N66" s="339"/>
      <c r="O66" s="340"/>
      <c r="P66" s="341"/>
      <c r="Q66" s="359"/>
      <c r="R66" s="341">
        <f>IF(NOT(ISERROR(MATCH(Q66,_xlfn.ANCHORARRAY(F77),0))),Q79&amp;"Por favor no seleccionar los criterios de impacto",Q66)</f>
        <v>0</v>
      </c>
      <c r="S66" s="340"/>
      <c r="T66" s="341"/>
      <c r="U66" s="358"/>
      <c r="V66" s="203">
        <v>6</v>
      </c>
      <c r="W66" s="176"/>
      <c r="X66" s="178" t="str">
        <f t="shared" si="78"/>
        <v/>
      </c>
      <c r="Y66" s="179"/>
      <c r="Z66" s="179"/>
      <c r="AA66" s="180" t="str">
        <f t="shared" si="73"/>
        <v/>
      </c>
      <c r="AB66" s="179"/>
      <c r="AC66" s="179"/>
      <c r="AD66" s="179"/>
      <c r="AE66" s="181" t="str">
        <f t="shared" si="79"/>
        <v/>
      </c>
      <c r="AF66" s="182" t="str">
        <f t="shared" si="2"/>
        <v/>
      </c>
      <c r="AG66" s="180" t="str">
        <f t="shared" si="74"/>
        <v/>
      </c>
      <c r="AH66" s="182" t="str">
        <f t="shared" si="4"/>
        <v/>
      </c>
      <c r="AI66" s="180" t="str">
        <f t="shared" si="14"/>
        <v/>
      </c>
      <c r="AJ66" s="183" t="str">
        <f t="shared" si="80"/>
        <v/>
      </c>
      <c r="AK66" s="184"/>
      <c r="AL66" s="175"/>
      <c r="AM66" s="185"/>
      <c r="AN66" s="185"/>
      <c r="AO66" s="186"/>
      <c r="AP66" s="339"/>
      <c r="AQ66" s="339"/>
      <c r="AR66" s="339"/>
    </row>
    <row r="67" spans="1:44" x14ac:dyDescent="0.2">
      <c r="A67" s="328">
        <v>10</v>
      </c>
      <c r="B67" s="329"/>
      <c r="C67" s="329"/>
      <c r="D67" s="329"/>
      <c r="E67" s="329"/>
      <c r="F67" s="329"/>
      <c r="G67" s="342"/>
      <c r="H67" s="342"/>
      <c r="I67" s="210"/>
      <c r="J67" s="210"/>
      <c r="K67" s="210"/>
      <c r="L67" s="342"/>
      <c r="M67" s="342"/>
      <c r="N67" s="339"/>
      <c r="O67" s="340" t="str">
        <f>IF(N67&lt;=0,"",IF(N67&lt;=2,"Muy Baja",IF(N67&lt;=24,"Baja",IF(N67&lt;=500,"Media",IF(N67&lt;=5000,"Alta","Muy Alta")))))</f>
        <v/>
      </c>
      <c r="P67" s="341" t="str">
        <f>IF(O67="","",IF(O67="Muy Baja",0.2,IF(O67="Baja",0.4,IF(O67="Media",0.6,IF(O67="Alta",0.8,IF(O67="Muy Alta",1,))))))</f>
        <v/>
      </c>
      <c r="Q67" s="359"/>
      <c r="R67" s="341">
        <f>IF(NOT(ISERROR(MATCH(Q67,'Tabla Impacto'!$B$222:$B$224,0))),'Tabla Impacto'!$F$224&amp;"Por favor no seleccionar los criterios de impacto(Afectación Económica o presupuestal y Pérdida Reputacional)",Q67)</f>
        <v>0</v>
      </c>
      <c r="S67" s="340" t="str">
        <f>IF(OR(R67='Tabla Impacto'!$C$12,R67='Tabla Impacto'!$D$12),"Leve",IF(OR(R67='Tabla Impacto'!$C$13,R67='Tabla Impacto'!$D$13),"Menor",IF(OR(R67='Tabla Impacto'!$C$14,R67='Tabla Impacto'!$D$14),"Moderado",IF(OR(R67='Tabla Impacto'!$C$15,R67='Tabla Impacto'!$D$15),"Mayor",IF(OR(R67='Tabla Impacto'!$C$16,R67='Tabla Impacto'!$D$16),"Catastrófico","")))))</f>
        <v/>
      </c>
      <c r="T67" s="341" t="str">
        <f>IF(S67="","",IF(S67="Leve",0.2,IF(S67="Menor",0.4,IF(S67="Moderado",0.6,IF(S67="Mayor",0.8,IF(S67="Catastrófico",1,))))))</f>
        <v/>
      </c>
      <c r="U67" s="358" t="str">
        <f>IF(OR(AND(O67="Muy Baja",S67="Leve"),AND(O67="Muy Baja",S67="Menor"),AND(O67="Baja",S67="Leve")),"Bajo",IF(OR(AND(O67="Muy baja",S67="Moderado"),AND(O67="Baja",S67="Menor"),AND(O67="Baja",S67="Moderado"),AND(O67="Media",S67="Leve"),AND(O67="Media",S67="Menor"),AND(O67="Media",S67="Moderado"),AND(O67="Alta",S67="Leve"),AND(O67="Alta",S67="Menor")),"Moderado",IF(OR(AND(O67="Muy Baja",S67="Mayor"),AND(O67="Baja",S67="Mayor"),AND(O67="Media",S67="Mayor"),AND(O67="Alta",S67="Moderado"),AND(O67="Alta",S67="Mayor"),AND(O67="Muy Alta",S67="Leve"),AND(O67="Muy Alta",S67="Menor"),AND(O67="Muy Alta",S67="Moderado"),AND(O67="Muy Alta",S67="Mayor")),"Alto",IF(OR(AND(O67="Muy Baja",S67="Catastrófico"),AND(O67="Baja",S67="Catastrófico"),AND(O67="Media",S67="Catastrófico"),AND(O67="Alta",S67="Catastrófico"),AND(O67="Muy Alta",S67="Catastrófico")),"Extremo",""))))</f>
        <v/>
      </c>
      <c r="V67" s="203">
        <v>1</v>
      </c>
      <c r="W67" s="176"/>
      <c r="X67" s="178" t="str">
        <f>IF(OR(Y67="Preventivo",Y67="Detectivo"),"Probabilidad",IF(Y67="Correctivo","Impacto",""))</f>
        <v/>
      </c>
      <c r="Y67" s="179"/>
      <c r="Z67" s="179"/>
      <c r="AA67" s="180" t="str">
        <f>IF(AND(Y67="Preventivo",Z67="Automático"),"50%",IF(AND(Y67="Preventivo",Z67="Manual"),"40%",IF(AND(Y67="Detectivo",Z67="Automático"),"40%",IF(AND(Y67="Detectivo",Z67="Manual"),"30%",IF(AND(Y67="Correctivo",Z67="Automático"),"35%",IF(AND(Y67="Correctivo",Z67="Manual"),"25%",""))))))</f>
        <v/>
      </c>
      <c r="AB67" s="179"/>
      <c r="AC67" s="179"/>
      <c r="AD67" s="179"/>
      <c r="AE67" s="181" t="str">
        <f>IFERROR(IF(X67="Probabilidad",(P67-(+P67*AA67)),IF(X67="Impacto",P67,"")),"")</f>
        <v/>
      </c>
      <c r="AF67" s="182" t="str">
        <f>IFERROR(IF(AE67="","",IF(AE67&lt;=0.2,"Muy Baja",IF(AE67&lt;=0.4,"Baja",IF(AE67&lt;=0.6,"Media",IF(AE67&lt;=0.8,"Alta","Muy Alta"))))),"")</f>
        <v/>
      </c>
      <c r="AG67" s="180" t="str">
        <f>+AE67</f>
        <v/>
      </c>
      <c r="AH67" s="182" t="str">
        <f>IFERROR(IF(AI67="","",IF(AI67&lt;=0.2,"Leve",IF(AI67&lt;=0.4,"Menor",IF(AI67&lt;=0.6,"Moderado",IF(AI67&lt;=0.8,"Mayor","Catastrófico"))))),"")</f>
        <v/>
      </c>
      <c r="AI67" s="180" t="str">
        <f t="shared" ref="AI67" si="81">IFERROR(IF(X67="Impacto",(T67-(+T67*AA67)),IF(X67="Probabilidad",T67,"")),"")</f>
        <v/>
      </c>
      <c r="AJ67" s="183" t="str">
        <f>IFERROR(IF(OR(AND(AF67="Muy Baja",AH67="Leve"),AND(AF67="Muy Baja",AH67="Menor"),AND(AF67="Baja",AH67="Leve")),"Bajo",IF(OR(AND(AF67="Muy baja",AH67="Moderado"),AND(AF67="Baja",AH67="Menor"),AND(AF67="Baja",AH67="Moderado"),AND(AF67="Media",AH67="Leve"),AND(AF67="Media",AH67="Menor"),AND(AF67="Media",AH67="Moderado"),AND(AF67="Alta",AH67="Leve"),AND(AF67="Alta",AH67="Menor")),"Moderado",IF(OR(AND(AF67="Muy Baja",AH67="Mayor"),AND(AF67="Baja",AH67="Mayor"),AND(AF67="Media",AH67="Mayor"),AND(AF67="Alta",AH67="Moderado"),AND(AF67="Alta",AH67="Mayor"),AND(AF67="Muy Alta",AH67="Leve"),AND(AF67="Muy Alta",AH67="Menor"),AND(AF67="Muy Alta",AH67="Moderado"),AND(AF67="Muy Alta",AH67="Mayor")),"Alto",IF(OR(AND(AF67="Muy Baja",AH67="Catastrófico"),AND(AF67="Baja",AH67="Catastrófico"),AND(AF67="Media",AH67="Catastrófico"),AND(AF67="Alta",AH67="Catastrófico"),AND(AF67="Muy Alta",AH67="Catastrófico")),"Extremo","")))),"")</f>
        <v/>
      </c>
      <c r="AK67" s="184"/>
      <c r="AL67" s="175"/>
      <c r="AM67" s="185"/>
      <c r="AN67" s="185"/>
      <c r="AO67" s="186"/>
      <c r="AP67" s="339"/>
      <c r="AQ67" s="339"/>
      <c r="AR67" s="339"/>
    </row>
    <row r="68" spans="1:44" x14ac:dyDescent="0.2">
      <c r="A68" s="328"/>
      <c r="B68" s="329"/>
      <c r="C68" s="329"/>
      <c r="D68" s="329"/>
      <c r="E68" s="329"/>
      <c r="F68" s="329"/>
      <c r="G68" s="343"/>
      <c r="H68" s="343"/>
      <c r="I68" s="211"/>
      <c r="J68" s="211"/>
      <c r="K68" s="211"/>
      <c r="L68" s="343"/>
      <c r="M68" s="343"/>
      <c r="N68" s="339"/>
      <c r="O68" s="340"/>
      <c r="P68" s="341"/>
      <c r="Q68" s="359"/>
      <c r="R68" s="341">
        <f>IF(NOT(ISERROR(MATCH(Q68,_xlfn.ANCHORARRAY(F79),0))),Q81&amp;"Por favor no seleccionar los criterios de impacto",Q68)</f>
        <v>0</v>
      </c>
      <c r="S68" s="340"/>
      <c r="T68" s="341"/>
      <c r="U68" s="358"/>
      <c r="V68" s="203">
        <v>2</v>
      </c>
      <c r="W68" s="176"/>
      <c r="X68" s="178" t="str">
        <f>IF(OR(Y68="Preventivo",Y68="Detectivo"),"Probabilidad",IF(Y68="Correctivo","Impacto",""))</f>
        <v/>
      </c>
      <c r="Y68" s="179"/>
      <c r="Z68" s="179"/>
      <c r="AA68" s="180" t="str">
        <f t="shared" ref="AA68:AA72" si="82">IF(AND(Y68="Preventivo",Z68="Automático"),"50%",IF(AND(Y68="Preventivo",Z68="Manual"),"40%",IF(AND(Y68="Detectivo",Z68="Automático"),"40%",IF(AND(Y68="Detectivo",Z68="Manual"),"30%",IF(AND(Y68="Correctivo",Z68="Automático"),"35%",IF(AND(Y68="Correctivo",Z68="Manual"),"25%",""))))))</f>
        <v/>
      </c>
      <c r="AB68" s="179"/>
      <c r="AC68" s="179"/>
      <c r="AD68" s="179"/>
      <c r="AE68" s="181" t="str">
        <f>IFERROR(IF(AND(X67="Probabilidad",X68="Probabilidad"),(AG67-(+AG67*AA68)),IF(X68="Probabilidad",(P67-(+P67*AA68)),IF(X68="Impacto",AG67,""))),"")</f>
        <v/>
      </c>
      <c r="AF68" s="182" t="str">
        <f t="shared" si="2"/>
        <v/>
      </c>
      <c r="AG68" s="180" t="str">
        <f t="shared" ref="AG68:AG72" si="83">+AE68</f>
        <v/>
      </c>
      <c r="AH68" s="182" t="str">
        <f t="shared" si="4"/>
        <v/>
      </c>
      <c r="AI68" s="180" t="str">
        <f t="shared" ref="AI68" si="84">IFERROR(IF(AND(X67="Impacto",X68="Impacto"),(AI67-(+AI67*AA68)),IF(X68="Impacto",($T$13-(+$T$13*AA68)),IF(X68="Probabilidad",AI67,""))),"")</f>
        <v/>
      </c>
      <c r="AJ68" s="183" t="str">
        <f t="shared" ref="AJ68:AJ69" si="85">IFERROR(IF(OR(AND(AF68="Muy Baja",AH68="Leve"),AND(AF68="Muy Baja",AH68="Menor"),AND(AF68="Baja",AH68="Leve")),"Bajo",IF(OR(AND(AF68="Muy baja",AH68="Moderado"),AND(AF68="Baja",AH68="Menor"),AND(AF68="Baja",AH68="Moderado"),AND(AF68="Media",AH68="Leve"),AND(AF68="Media",AH68="Menor"),AND(AF68="Media",AH68="Moderado"),AND(AF68="Alta",AH68="Leve"),AND(AF68="Alta",AH68="Menor")),"Moderado",IF(OR(AND(AF68="Muy Baja",AH68="Mayor"),AND(AF68="Baja",AH68="Mayor"),AND(AF68="Media",AH68="Mayor"),AND(AF68="Alta",AH68="Moderado"),AND(AF68="Alta",AH68="Mayor"),AND(AF68="Muy Alta",AH68="Leve"),AND(AF68="Muy Alta",AH68="Menor"),AND(AF68="Muy Alta",AH68="Moderado"),AND(AF68="Muy Alta",AH68="Mayor")),"Alto",IF(OR(AND(AF68="Muy Baja",AH68="Catastrófico"),AND(AF68="Baja",AH68="Catastrófico"),AND(AF68="Media",AH68="Catastrófico"),AND(AF68="Alta",AH68="Catastrófico"),AND(AF68="Muy Alta",AH68="Catastrófico")),"Extremo","")))),"")</f>
        <v/>
      </c>
      <c r="AK68" s="184"/>
      <c r="AL68" s="175"/>
      <c r="AM68" s="185"/>
      <c r="AN68" s="185"/>
      <c r="AO68" s="186"/>
      <c r="AP68" s="339"/>
      <c r="AQ68" s="339"/>
      <c r="AR68" s="339"/>
    </row>
    <row r="69" spans="1:44" x14ac:dyDescent="0.2">
      <c r="A69" s="328"/>
      <c r="B69" s="329"/>
      <c r="C69" s="329"/>
      <c r="D69" s="329"/>
      <c r="E69" s="329"/>
      <c r="F69" s="329"/>
      <c r="G69" s="343"/>
      <c r="H69" s="343"/>
      <c r="I69" s="211"/>
      <c r="J69" s="211"/>
      <c r="K69" s="211"/>
      <c r="L69" s="343"/>
      <c r="M69" s="343"/>
      <c r="N69" s="339"/>
      <c r="O69" s="340"/>
      <c r="P69" s="341"/>
      <c r="Q69" s="359"/>
      <c r="R69" s="341">
        <f>IF(NOT(ISERROR(MATCH(Q69,_xlfn.ANCHORARRAY(F80),0))),Q82&amp;"Por favor no seleccionar los criterios de impacto",Q69)</f>
        <v>0</v>
      </c>
      <c r="S69" s="340"/>
      <c r="T69" s="341"/>
      <c r="U69" s="358"/>
      <c r="V69" s="203">
        <v>3</v>
      </c>
      <c r="W69" s="176"/>
      <c r="X69" s="178" t="str">
        <f>IF(OR(Y69="Preventivo",Y69="Detectivo"),"Probabilidad",IF(Y69="Correctivo","Impacto",""))</f>
        <v/>
      </c>
      <c r="Y69" s="179"/>
      <c r="Z69" s="179"/>
      <c r="AA69" s="180" t="str">
        <f t="shared" si="82"/>
        <v/>
      </c>
      <c r="AB69" s="179"/>
      <c r="AC69" s="179"/>
      <c r="AD69" s="179"/>
      <c r="AE69" s="181" t="str">
        <f>IFERROR(IF(AND(X68="Probabilidad",X69="Probabilidad"),(AG68-(+AG68*AA69)),IF(AND(X68="Impacto",X69="Probabilidad"),(AG67-(+AG67*AA69)),IF(X69="Impacto",AG68,""))),"")</f>
        <v/>
      </c>
      <c r="AF69" s="182" t="str">
        <f t="shared" si="2"/>
        <v/>
      </c>
      <c r="AG69" s="180" t="str">
        <f t="shared" si="83"/>
        <v/>
      </c>
      <c r="AH69" s="182" t="str">
        <f t="shared" si="4"/>
        <v/>
      </c>
      <c r="AI69" s="180" t="str">
        <f t="shared" ref="AI69" si="86">IFERROR(IF(AND(X68="Impacto",X69="Impacto"),(AI68-(+AI68*AA69)),IF(AND(X68="Probabilidad",X69="Impacto"),(AI67-(+AI67*AA69)),IF(X69="Probabilidad",AI68,""))),"")</f>
        <v/>
      </c>
      <c r="AJ69" s="183" t="str">
        <f t="shared" si="85"/>
        <v/>
      </c>
      <c r="AK69" s="184"/>
      <c r="AL69" s="175"/>
      <c r="AM69" s="185"/>
      <c r="AN69" s="185"/>
      <c r="AO69" s="186"/>
      <c r="AP69" s="339"/>
      <c r="AQ69" s="339"/>
      <c r="AR69" s="339"/>
    </row>
    <row r="70" spans="1:44" x14ac:dyDescent="0.2">
      <c r="A70" s="328"/>
      <c r="B70" s="329"/>
      <c r="C70" s="329"/>
      <c r="D70" s="329"/>
      <c r="E70" s="329"/>
      <c r="F70" s="329"/>
      <c r="G70" s="343"/>
      <c r="H70" s="343"/>
      <c r="I70" s="211"/>
      <c r="J70" s="211"/>
      <c r="K70" s="211"/>
      <c r="L70" s="343"/>
      <c r="M70" s="343"/>
      <c r="N70" s="339"/>
      <c r="O70" s="340"/>
      <c r="P70" s="341"/>
      <c r="Q70" s="359"/>
      <c r="R70" s="341">
        <f>IF(NOT(ISERROR(MATCH(Q70,_xlfn.ANCHORARRAY(F81),0))),Q83&amp;"Por favor no seleccionar los criterios de impacto",Q70)</f>
        <v>0</v>
      </c>
      <c r="S70" s="340"/>
      <c r="T70" s="341"/>
      <c r="U70" s="358"/>
      <c r="V70" s="203">
        <v>4</v>
      </c>
      <c r="W70" s="176"/>
      <c r="X70" s="178" t="str">
        <f t="shared" ref="X70:X72" si="87">IF(OR(Y70="Preventivo",Y70="Detectivo"),"Probabilidad",IF(Y70="Correctivo","Impacto",""))</f>
        <v/>
      </c>
      <c r="Y70" s="179"/>
      <c r="Z70" s="179"/>
      <c r="AA70" s="180" t="str">
        <f t="shared" si="82"/>
        <v/>
      </c>
      <c r="AB70" s="179"/>
      <c r="AC70" s="179"/>
      <c r="AD70" s="179"/>
      <c r="AE70" s="181" t="str">
        <f t="shared" ref="AE70:AE72" si="88">IFERROR(IF(AND(X69="Probabilidad",X70="Probabilidad"),(AG69-(+AG69*AA70)),IF(AND(X69="Impacto",X70="Probabilidad"),(AG68-(+AG68*AA70)),IF(X70="Impacto",AG69,""))),"")</f>
        <v/>
      </c>
      <c r="AF70" s="182" t="str">
        <f t="shared" si="2"/>
        <v/>
      </c>
      <c r="AG70" s="180" t="str">
        <f t="shared" si="83"/>
        <v/>
      </c>
      <c r="AH70" s="182" t="str">
        <f t="shared" si="4"/>
        <v/>
      </c>
      <c r="AI70" s="180" t="str">
        <f t="shared" si="14"/>
        <v/>
      </c>
      <c r="AJ70" s="183" t="str">
        <f>IFERROR(IF(OR(AND(AF70="Muy Baja",AH70="Leve"),AND(AF70="Muy Baja",AH70="Menor"),AND(AF70="Baja",AH70="Leve")),"Bajo",IF(OR(AND(AF70="Muy baja",AH70="Moderado"),AND(AF70="Baja",AH70="Menor"),AND(AF70="Baja",AH70="Moderado"),AND(AF70="Media",AH70="Leve"),AND(AF70="Media",AH70="Menor"),AND(AF70="Media",AH70="Moderado"),AND(AF70="Alta",AH70="Leve"),AND(AF70="Alta",AH70="Menor")),"Moderado",IF(OR(AND(AF70="Muy Baja",AH70="Mayor"),AND(AF70="Baja",AH70="Mayor"),AND(AF70="Media",AH70="Mayor"),AND(AF70="Alta",AH70="Moderado"),AND(AF70="Alta",AH70="Mayor"),AND(AF70="Muy Alta",AH70="Leve"),AND(AF70="Muy Alta",AH70="Menor"),AND(AF70="Muy Alta",AH70="Moderado"),AND(AF70="Muy Alta",AH70="Mayor")),"Alto",IF(OR(AND(AF70="Muy Baja",AH70="Catastrófico"),AND(AF70="Baja",AH70="Catastrófico"),AND(AF70="Media",AH70="Catastrófico"),AND(AF70="Alta",AH70="Catastrófico"),AND(AF70="Muy Alta",AH70="Catastrófico")),"Extremo","")))),"")</f>
        <v/>
      </c>
      <c r="AK70" s="184"/>
      <c r="AL70" s="175"/>
      <c r="AM70" s="185"/>
      <c r="AN70" s="185"/>
      <c r="AO70" s="186"/>
      <c r="AP70" s="339"/>
      <c r="AQ70" s="339"/>
      <c r="AR70" s="339"/>
    </row>
    <row r="71" spans="1:44" x14ac:dyDescent="0.2">
      <c r="A71" s="328"/>
      <c r="B71" s="329"/>
      <c r="C71" s="329"/>
      <c r="D71" s="329"/>
      <c r="E71" s="329"/>
      <c r="F71" s="329"/>
      <c r="G71" s="343"/>
      <c r="H71" s="343"/>
      <c r="I71" s="211"/>
      <c r="J71" s="211"/>
      <c r="K71" s="211"/>
      <c r="L71" s="343"/>
      <c r="M71" s="343"/>
      <c r="N71" s="339"/>
      <c r="O71" s="340"/>
      <c r="P71" s="341"/>
      <c r="Q71" s="359"/>
      <c r="R71" s="341">
        <f>IF(NOT(ISERROR(MATCH(Q71,_xlfn.ANCHORARRAY(F82),0))),Q84&amp;"Por favor no seleccionar los criterios de impacto",Q71)</f>
        <v>0</v>
      </c>
      <c r="S71" s="340"/>
      <c r="T71" s="341"/>
      <c r="U71" s="358"/>
      <c r="V71" s="203">
        <v>5</v>
      </c>
      <c r="W71" s="176"/>
      <c r="X71" s="178" t="str">
        <f t="shared" si="87"/>
        <v/>
      </c>
      <c r="Y71" s="179"/>
      <c r="Z71" s="179"/>
      <c r="AA71" s="180" t="str">
        <f t="shared" si="82"/>
        <v/>
      </c>
      <c r="AB71" s="179"/>
      <c r="AC71" s="179"/>
      <c r="AD71" s="179"/>
      <c r="AE71" s="181" t="str">
        <f t="shared" si="88"/>
        <v/>
      </c>
      <c r="AF71" s="182" t="str">
        <f t="shared" si="2"/>
        <v/>
      </c>
      <c r="AG71" s="180" t="str">
        <f t="shared" si="83"/>
        <v/>
      </c>
      <c r="AH71" s="182" t="str">
        <f t="shared" si="4"/>
        <v/>
      </c>
      <c r="AI71" s="180" t="str">
        <f t="shared" si="14"/>
        <v/>
      </c>
      <c r="AJ71" s="183" t="str">
        <f t="shared" ref="AJ71:AJ72" si="89">IFERROR(IF(OR(AND(AF71="Muy Baja",AH71="Leve"),AND(AF71="Muy Baja",AH71="Menor"),AND(AF71="Baja",AH71="Leve")),"Bajo",IF(OR(AND(AF71="Muy baja",AH71="Moderado"),AND(AF71="Baja",AH71="Menor"),AND(AF71="Baja",AH71="Moderado"),AND(AF71="Media",AH71="Leve"),AND(AF71="Media",AH71="Menor"),AND(AF71="Media",AH71="Moderado"),AND(AF71="Alta",AH71="Leve"),AND(AF71="Alta",AH71="Menor")),"Moderado",IF(OR(AND(AF71="Muy Baja",AH71="Mayor"),AND(AF71="Baja",AH71="Mayor"),AND(AF71="Media",AH71="Mayor"),AND(AF71="Alta",AH71="Moderado"),AND(AF71="Alta",AH71="Mayor"),AND(AF71="Muy Alta",AH71="Leve"),AND(AF71="Muy Alta",AH71="Menor"),AND(AF71="Muy Alta",AH71="Moderado"),AND(AF71="Muy Alta",AH71="Mayor")),"Alto",IF(OR(AND(AF71="Muy Baja",AH71="Catastrófico"),AND(AF71="Baja",AH71="Catastrófico"),AND(AF71="Media",AH71="Catastrófico"),AND(AF71="Alta",AH71="Catastrófico"),AND(AF71="Muy Alta",AH71="Catastrófico")),"Extremo","")))),"")</f>
        <v/>
      </c>
      <c r="AK71" s="184"/>
      <c r="AL71" s="175"/>
      <c r="AM71" s="185"/>
      <c r="AN71" s="185"/>
      <c r="AO71" s="186"/>
      <c r="AP71" s="339"/>
      <c r="AQ71" s="339"/>
      <c r="AR71" s="339"/>
    </row>
    <row r="72" spans="1:44" x14ac:dyDescent="0.2">
      <c r="A72" s="328"/>
      <c r="B72" s="329"/>
      <c r="C72" s="329"/>
      <c r="D72" s="329"/>
      <c r="E72" s="329"/>
      <c r="F72" s="329"/>
      <c r="G72" s="344"/>
      <c r="H72" s="344"/>
      <c r="I72" s="212"/>
      <c r="J72" s="212"/>
      <c r="K72" s="212"/>
      <c r="L72" s="344"/>
      <c r="M72" s="344"/>
      <c r="N72" s="339"/>
      <c r="O72" s="340"/>
      <c r="P72" s="341"/>
      <c r="Q72" s="359"/>
      <c r="R72" s="341">
        <f>IF(NOT(ISERROR(MATCH(Q72,_xlfn.ANCHORARRAY(F83),0))),Q85&amp;"Por favor no seleccionar los criterios de impacto",Q72)</f>
        <v>0</v>
      </c>
      <c r="S72" s="340"/>
      <c r="T72" s="341"/>
      <c r="U72" s="358"/>
      <c r="V72" s="203">
        <v>6</v>
      </c>
      <c r="W72" s="176"/>
      <c r="X72" s="178" t="str">
        <f t="shared" si="87"/>
        <v/>
      </c>
      <c r="Y72" s="179"/>
      <c r="Z72" s="179"/>
      <c r="AA72" s="180" t="str">
        <f t="shared" si="82"/>
        <v/>
      </c>
      <c r="AB72" s="179"/>
      <c r="AC72" s="179"/>
      <c r="AD72" s="179"/>
      <c r="AE72" s="181" t="str">
        <f t="shared" si="88"/>
        <v/>
      </c>
      <c r="AF72" s="182" t="str">
        <f t="shared" si="2"/>
        <v/>
      </c>
      <c r="AG72" s="180" t="str">
        <f t="shared" si="83"/>
        <v/>
      </c>
      <c r="AH72" s="182" t="str">
        <f t="shared" si="4"/>
        <v/>
      </c>
      <c r="AI72" s="180" t="str">
        <f t="shared" si="14"/>
        <v/>
      </c>
      <c r="AJ72" s="183" t="str">
        <f t="shared" si="89"/>
        <v/>
      </c>
      <c r="AK72" s="184"/>
      <c r="AL72" s="175"/>
      <c r="AM72" s="185"/>
      <c r="AN72" s="185"/>
      <c r="AO72" s="186"/>
      <c r="AP72" s="339"/>
      <c r="AQ72" s="339"/>
      <c r="AR72" s="339"/>
    </row>
    <row r="73" spans="1:44" x14ac:dyDescent="0.2">
      <c r="A73" s="205"/>
      <c r="B73" s="365" t="s">
        <v>247</v>
      </c>
      <c r="C73" s="366"/>
      <c r="D73" s="366"/>
      <c r="E73" s="366"/>
      <c r="F73" s="366"/>
      <c r="G73" s="366"/>
      <c r="H73" s="366"/>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c r="AH73" s="366"/>
      <c r="AI73" s="366"/>
      <c r="AJ73" s="366"/>
      <c r="AK73" s="366"/>
      <c r="AL73" s="366"/>
      <c r="AM73" s="366"/>
      <c r="AN73" s="366"/>
      <c r="AO73" s="366"/>
      <c r="AP73" s="366"/>
    </row>
    <row r="75" spans="1:44" ht="15.75" x14ac:dyDescent="0.2">
      <c r="A75" s="187"/>
      <c r="B75" s="195" t="s">
        <v>248</v>
      </c>
      <c r="C75" s="187"/>
      <c r="D75" s="187"/>
      <c r="E75" s="187"/>
      <c r="N75" s="187"/>
    </row>
    <row r="76" spans="1:44" s="248" customFormat="1" x14ac:dyDescent="0.2">
      <c r="A76" s="247"/>
      <c r="B76" s="247"/>
      <c r="C76" s="247"/>
      <c r="D76" s="247"/>
      <c r="E76" s="247"/>
      <c r="N76" s="249"/>
      <c r="AL76" s="250"/>
    </row>
  </sheetData>
  <dataConsolidate/>
  <mergeCells count="299">
    <mergeCell ref="AM11:AM12"/>
    <mergeCell ref="Q31:Q36"/>
    <mergeCell ref="L10:M11"/>
    <mergeCell ref="N10:V10"/>
    <mergeCell ref="L13:L18"/>
    <mergeCell ref="M13:M18"/>
    <mergeCell ref="U31:U36"/>
    <mergeCell ref="R19:R24"/>
    <mergeCell ref="S19:S24"/>
    <mergeCell ref="T19:T24"/>
    <mergeCell ref="U19:U24"/>
    <mergeCell ref="AG11:AG12"/>
    <mergeCell ref="X11:X12"/>
    <mergeCell ref="Y11:AD11"/>
    <mergeCell ref="L25:L30"/>
    <mergeCell ref="M25:M30"/>
    <mergeCell ref="Q19:Q24"/>
    <mergeCell ref="W10:AE10"/>
    <mergeCell ref="Q25:Q30"/>
    <mergeCell ref="R25:R30"/>
    <mergeCell ref="S25:S30"/>
    <mergeCell ref="R31:R36"/>
    <mergeCell ref="N13:N18"/>
    <mergeCell ref="O13:O18"/>
    <mergeCell ref="G10:K10"/>
    <mergeCell ref="C13:C18"/>
    <mergeCell ref="D13:D18"/>
    <mergeCell ref="E13:E18"/>
    <mergeCell ref="L67:L72"/>
    <mergeCell ref="M67:M72"/>
    <mergeCell ref="AP10:AR10"/>
    <mergeCell ref="AF10:AJ10"/>
    <mergeCell ref="AK10:AO10"/>
    <mergeCell ref="M37:M42"/>
    <mergeCell ref="L43:L48"/>
    <mergeCell ref="M43:M48"/>
    <mergeCell ref="L49:L54"/>
    <mergeCell ref="M49:M54"/>
    <mergeCell ref="L55:L60"/>
    <mergeCell ref="M55:M60"/>
    <mergeCell ref="L61:L66"/>
    <mergeCell ref="M61:M66"/>
    <mergeCell ref="AP61:AP66"/>
    <mergeCell ref="AQ61:AQ66"/>
    <mergeCell ref="P11:P12"/>
    <mergeCell ref="S11:S12"/>
    <mergeCell ref="AL11:AL12"/>
    <mergeCell ref="AO11:AO12"/>
    <mergeCell ref="H25:H30"/>
    <mergeCell ref="J13:J18"/>
    <mergeCell ref="K13:K18"/>
    <mergeCell ref="I19:I24"/>
    <mergeCell ref="J19:J24"/>
    <mergeCell ref="K19:K24"/>
    <mergeCell ref="I25:I30"/>
    <mergeCell ref="F19:F24"/>
    <mergeCell ref="J25:J30"/>
    <mergeCell ref="K25:K30"/>
    <mergeCell ref="AR61:AR66"/>
    <mergeCell ref="T25:T30"/>
    <mergeCell ref="U25:U30"/>
    <mergeCell ref="AP67:AP72"/>
    <mergeCell ref="AQ67:AQ72"/>
    <mergeCell ref="AR67:AR72"/>
    <mergeCell ref="AP43:AP48"/>
    <mergeCell ref="AQ43:AQ48"/>
    <mergeCell ref="AP19:AP24"/>
    <mergeCell ref="AQ19:AQ24"/>
    <mergeCell ref="AR19:AR24"/>
    <mergeCell ref="AR43:AR48"/>
    <mergeCell ref="AP49:AP54"/>
    <mergeCell ref="AQ49:AQ54"/>
    <mergeCell ref="AR49:AR54"/>
    <mergeCell ref="AP55:AP60"/>
    <mergeCell ref="AQ55:AQ60"/>
    <mergeCell ref="AR55:AR60"/>
    <mergeCell ref="AP25:AP30"/>
    <mergeCell ref="AQ25:AQ30"/>
    <mergeCell ref="AR25:AR30"/>
    <mergeCell ref="AP31:AP36"/>
    <mergeCell ref="AQ31:AQ36"/>
    <mergeCell ref="AR31:AR36"/>
    <mergeCell ref="AQ37:AQ42"/>
    <mergeCell ref="AR37:AR42"/>
    <mergeCell ref="T13:T18"/>
    <mergeCell ref="N11:N12"/>
    <mergeCell ref="O11:O12"/>
    <mergeCell ref="U11:U12"/>
    <mergeCell ref="Q11:Q12"/>
    <mergeCell ref="R11:R12"/>
    <mergeCell ref="AP11:AP12"/>
    <mergeCell ref="AQ11:AQ12"/>
    <mergeCell ref="AR11:AR12"/>
    <mergeCell ref="AP13:AP18"/>
    <mergeCell ref="AQ13:AQ18"/>
    <mergeCell ref="AR13:AR18"/>
    <mergeCell ref="AK11:AK12"/>
    <mergeCell ref="AN11:AN12"/>
    <mergeCell ref="V11:V12"/>
    <mergeCell ref="AJ11:AJ12"/>
    <mergeCell ref="AI11:AI12"/>
    <mergeCell ref="AE11:AE12"/>
    <mergeCell ref="W11:W12"/>
    <mergeCell ref="AH11:AH12"/>
    <mergeCell ref="AF11:AF12"/>
    <mergeCell ref="S31:S36"/>
    <mergeCell ref="A13:A18"/>
    <mergeCell ref="B13:B18"/>
    <mergeCell ref="A11:A12"/>
    <mergeCell ref="E11:E12"/>
    <mergeCell ref="D11:D12"/>
    <mergeCell ref="C11:C12"/>
    <mergeCell ref="AP37:AP42"/>
    <mergeCell ref="T31:T36"/>
    <mergeCell ref="R37:R42"/>
    <mergeCell ref="S37:S42"/>
    <mergeCell ref="T37:T42"/>
    <mergeCell ref="E19:E24"/>
    <mergeCell ref="E25:E30"/>
    <mergeCell ref="B11:B12"/>
    <mergeCell ref="F13:F18"/>
    <mergeCell ref="G11:G12"/>
    <mergeCell ref="H11:H12"/>
    <mergeCell ref="I11:I12"/>
    <mergeCell ref="J11:J12"/>
    <mergeCell ref="K11:K12"/>
    <mergeCell ref="H13:H18"/>
    <mergeCell ref="H19:H24"/>
    <mergeCell ref="A31:A36"/>
    <mergeCell ref="B31:B36"/>
    <mergeCell ref="C31:C36"/>
    <mergeCell ref="D31:D36"/>
    <mergeCell ref="E31:E36"/>
    <mergeCell ref="N31:N36"/>
    <mergeCell ref="O31:O36"/>
    <mergeCell ref="P31:P36"/>
    <mergeCell ref="F31:F36"/>
    <mergeCell ref="G31:G36"/>
    <mergeCell ref="I31:I36"/>
    <mergeCell ref="J31:J36"/>
    <mergeCell ref="K31:K36"/>
    <mergeCell ref="L31:L36"/>
    <mergeCell ref="M31:M36"/>
    <mergeCell ref="H31:H36"/>
    <mergeCell ref="A37:A42"/>
    <mergeCell ref="B37:B42"/>
    <mergeCell ref="C37:C42"/>
    <mergeCell ref="A43:A48"/>
    <mergeCell ref="B43:B48"/>
    <mergeCell ref="C43:C48"/>
    <mergeCell ref="D43:D48"/>
    <mergeCell ref="E43:E48"/>
    <mergeCell ref="D37:D42"/>
    <mergeCell ref="E37:E42"/>
    <mergeCell ref="B55:B60"/>
    <mergeCell ref="C55:C60"/>
    <mergeCell ref="D55:D60"/>
    <mergeCell ref="E55:E60"/>
    <mergeCell ref="A49:A54"/>
    <mergeCell ref="B49:B54"/>
    <mergeCell ref="C49:C54"/>
    <mergeCell ref="D49:D54"/>
    <mergeCell ref="E49:E54"/>
    <mergeCell ref="A55:A60"/>
    <mergeCell ref="F67:F72"/>
    <mergeCell ref="T49:T54"/>
    <mergeCell ref="U49:U54"/>
    <mergeCell ref="N55:N60"/>
    <mergeCell ref="O55:O60"/>
    <mergeCell ref="P55:P60"/>
    <mergeCell ref="Q55:Q60"/>
    <mergeCell ref="N49:N54"/>
    <mergeCell ref="O49:O54"/>
    <mergeCell ref="P49:P54"/>
    <mergeCell ref="R55:R60"/>
    <mergeCell ref="S55:S60"/>
    <mergeCell ref="T55:T60"/>
    <mergeCell ref="U55:U60"/>
    <mergeCell ref="G61:G66"/>
    <mergeCell ref="G67:G72"/>
    <mergeCell ref="H67:H72"/>
    <mergeCell ref="H49:H54"/>
    <mergeCell ref="H55:H60"/>
    <mergeCell ref="H61:H66"/>
    <mergeCell ref="B73:AP73"/>
    <mergeCell ref="T61:T66"/>
    <mergeCell ref="U61:U66"/>
    <mergeCell ref="A67:A72"/>
    <mergeCell ref="B67:B72"/>
    <mergeCell ref="C67:C72"/>
    <mergeCell ref="D67:D72"/>
    <mergeCell ref="E67:E72"/>
    <mergeCell ref="N67:N72"/>
    <mergeCell ref="O67:O72"/>
    <mergeCell ref="P67:P72"/>
    <mergeCell ref="Q67:Q72"/>
    <mergeCell ref="R67:R72"/>
    <mergeCell ref="S67:S72"/>
    <mergeCell ref="T67:T72"/>
    <mergeCell ref="U67:U72"/>
    <mergeCell ref="Q61:Q66"/>
    <mergeCell ref="R61:R66"/>
    <mergeCell ref="S61:S66"/>
    <mergeCell ref="A61:A66"/>
    <mergeCell ref="B61:B66"/>
    <mergeCell ref="C61:C66"/>
    <mergeCell ref="D61:D66"/>
    <mergeCell ref="F61:F66"/>
    <mergeCell ref="E61:E66"/>
    <mergeCell ref="N61:N66"/>
    <mergeCell ref="O61:O66"/>
    <mergeCell ref="P61:P66"/>
    <mergeCell ref="P37:P42"/>
    <mergeCell ref="Q37:Q42"/>
    <mergeCell ref="N43:N48"/>
    <mergeCell ref="O43:O48"/>
    <mergeCell ref="P43:P48"/>
    <mergeCell ref="F49:F54"/>
    <mergeCell ref="F55:F60"/>
    <mergeCell ref="G55:G60"/>
    <mergeCell ref="I55:I60"/>
    <mergeCell ref="J55:J60"/>
    <mergeCell ref="K55:K60"/>
    <mergeCell ref="J43:J48"/>
    <mergeCell ref="K43:K48"/>
    <mergeCell ref="H37:H42"/>
    <mergeCell ref="H43:H48"/>
    <mergeCell ref="U37:U42"/>
    <mergeCell ref="T43:T48"/>
    <mergeCell ref="U43:U48"/>
    <mergeCell ref="Q49:Q54"/>
    <mergeCell ref="R49:R54"/>
    <mergeCell ref="S49:S54"/>
    <mergeCell ref="F37:F42"/>
    <mergeCell ref="F43:F48"/>
    <mergeCell ref="G37:G42"/>
    <mergeCell ref="Q43:Q48"/>
    <mergeCell ref="R43:R48"/>
    <mergeCell ref="S43:S48"/>
    <mergeCell ref="N37:N42"/>
    <mergeCell ref="O37:O42"/>
    <mergeCell ref="G49:G54"/>
    <mergeCell ref="I49:I54"/>
    <mergeCell ref="J49:J54"/>
    <mergeCell ref="K49:K54"/>
    <mergeCell ref="L37:L42"/>
    <mergeCell ref="G43:G48"/>
    <mergeCell ref="I37:I42"/>
    <mergeCell ref="J37:J42"/>
    <mergeCell ref="K37:K42"/>
    <mergeCell ref="I43:I48"/>
    <mergeCell ref="D19:D24"/>
    <mergeCell ref="Z6:AR6"/>
    <mergeCell ref="Z7:AR7"/>
    <mergeCell ref="Z8:AR8"/>
    <mergeCell ref="X1:AR2"/>
    <mergeCell ref="X3:AL3"/>
    <mergeCell ref="X4:AR4"/>
    <mergeCell ref="AM3:AR3"/>
    <mergeCell ref="A6:B6"/>
    <mergeCell ref="A7:B7"/>
    <mergeCell ref="A8:B8"/>
    <mergeCell ref="W6:Y6"/>
    <mergeCell ref="C6:T6"/>
    <mergeCell ref="C7:T7"/>
    <mergeCell ref="U13:U18"/>
    <mergeCell ref="P13:P18"/>
    <mergeCell ref="Q13:Q18"/>
    <mergeCell ref="R13:R18"/>
    <mergeCell ref="S13:S18"/>
    <mergeCell ref="G13:G18"/>
    <mergeCell ref="A10:F10"/>
    <mergeCell ref="I13:I18"/>
    <mergeCell ref="T11:T12"/>
    <mergeCell ref="F11:F12"/>
    <mergeCell ref="C8:T8"/>
    <mergeCell ref="D1:T2"/>
    <mergeCell ref="D4:T4"/>
    <mergeCell ref="J3:T3"/>
    <mergeCell ref="D3:I3"/>
    <mergeCell ref="A25:A30"/>
    <mergeCell ref="B25:B30"/>
    <mergeCell ref="C25:C30"/>
    <mergeCell ref="D25:D30"/>
    <mergeCell ref="A1:C4"/>
    <mergeCell ref="N25:N30"/>
    <mergeCell ref="O25:O30"/>
    <mergeCell ref="P25:P30"/>
    <mergeCell ref="F25:F30"/>
    <mergeCell ref="N19:N24"/>
    <mergeCell ref="O19:O24"/>
    <mergeCell ref="P19:P24"/>
    <mergeCell ref="G19:G24"/>
    <mergeCell ref="G25:G30"/>
    <mergeCell ref="L19:L24"/>
    <mergeCell ref="M19:M24"/>
    <mergeCell ref="A19:A24"/>
    <mergeCell ref="B19:B24"/>
    <mergeCell ref="C19:C24"/>
  </mergeCells>
  <conditionalFormatting sqref="O13 O19">
    <cfRule type="cellIs" dxfId="700" priority="324" operator="equal">
      <formula>"Muy Alta"</formula>
    </cfRule>
    <cfRule type="cellIs" dxfId="699" priority="325" operator="equal">
      <formula>"Alta"</formula>
    </cfRule>
    <cfRule type="cellIs" dxfId="698" priority="326" operator="equal">
      <formula>"Media"</formula>
    </cfRule>
    <cfRule type="cellIs" dxfId="697" priority="327" operator="equal">
      <formula>"Baja"</formula>
    </cfRule>
    <cfRule type="cellIs" dxfId="696" priority="328" operator="equal">
      <formula>"Muy Baja"</formula>
    </cfRule>
  </conditionalFormatting>
  <conditionalFormatting sqref="S13 S19 S25 S31 S37 S43 S49 S55 S61 S67">
    <cfRule type="cellIs" dxfId="695" priority="319" operator="equal">
      <formula>"Catastrófico"</formula>
    </cfRule>
    <cfRule type="cellIs" dxfId="694" priority="320" operator="equal">
      <formula>"Mayor"</formula>
    </cfRule>
    <cfRule type="cellIs" dxfId="693" priority="321" operator="equal">
      <formula>"Moderado"</formula>
    </cfRule>
    <cfRule type="cellIs" dxfId="692" priority="322" operator="equal">
      <formula>"Menor"</formula>
    </cfRule>
    <cfRule type="cellIs" dxfId="691" priority="323" operator="equal">
      <formula>"Leve"</formula>
    </cfRule>
  </conditionalFormatting>
  <conditionalFormatting sqref="U13">
    <cfRule type="cellIs" dxfId="690" priority="315" operator="equal">
      <formula>"Extremo"</formula>
    </cfRule>
    <cfRule type="cellIs" dxfId="689" priority="316" operator="equal">
      <formula>"Alto"</formula>
    </cfRule>
    <cfRule type="cellIs" dxfId="688" priority="317" operator="equal">
      <formula>"Moderado"</formula>
    </cfRule>
    <cfRule type="cellIs" dxfId="687" priority="318" operator="equal">
      <formula>"Bajo"</formula>
    </cfRule>
  </conditionalFormatting>
  <conditionalFormatting sqref="AF13:AF18">
    <cfRule type="cellIs" dxfId="686" priority="310" operator="equal">
      <formula>"Muy Alta"</formula>
    </cfRule>
    <cfRule type="cellIs" dxfId="685" priority="311" operator="equal">
      <formula>"Alta"</formula>
    </cfRule>
    <cfRule type="cellIs" dxfId="684" priority="312" operator="equal">
      <formula>"Media"</formula>
    </cfRule>
    <cfRule type="cellIs" dxfId="683" priority="313" operator="equal">
      <formula>"Baja"</formula>
    </cfRule>
    <cfRule type="cellIs" dxfId="682" priority="314" operator="equal">
      <formula>"Muy Baja"</formula>
    </cfRule>
  </conditionalFormatting>
  <conditionalFormatting sqref="AH13:AH18">
    <cfRule type="cellIs" dxfId="681" priority="305" operator="equal">
      <formula>"Catastrófico"</formula>
    </cfRule>
    <cfRule type="cellIs" dxfId="680" priority="306" operator="equal">
      <formula>"Mayor"</formula>
    </cfRule>
    <cfRule type="cellIs" dxfId="679" priority="307" operator="equal">
      <formula>"Moderado"</formula>
    </cfRule>
    <cfRule type="cellIs" dxfId="678" priority="308" operator="equal">
      <formula>"Menor"</formula>
    </cfRule>
    <cfRule type="cellIs" dxfId="677" priority="309" operator="equal">
      <formula>"Leve"</formula>
    </cfRule>
  </conditionalFormatting>
  <conditionalFormatting sqref="AJ13:AJ18">
    <cfRule type="cellIs" dxfId="676" priority="301" operator="equal">
      <formula>"Extremo"</formula>
    </cfRule>
    <cfRule type="cellIs" dxfId="675" priority="302" operator="equal">
      <formula>"Alto"</formula>
    </cfRule>
    <cfRule type="cellIs" dxfId="674" priority="303" operator="equal">
      <formula>"Moderado"</formula>
    </cfRule>
    <cfRule type="cellIs" dxfId="673" priority="304" operator="equal">
      <formula>"Bajo"</formula>
    </cfRule>
  </conditionalFormatting>
  <conditionalFormatting sqref="O61">
    <cfRule type="cellIs" dxfId="672" priority="58" operator="equal">
      <formula>"Muy Alta"</formula>
    </cfRule>
    <cfRule type="cellIs" dxfId="671" priority="59" operator="equal">
      <formula>"Alta"</formula>
    </cfRule>
    <cfRule type="cellIs" dxfId="670" priority="60" operator="equal">
      <formula>"Media"</formula>
    </cfRule>
    <cfRule type="cellIs" dxfId="669" priority="61" operator="equal">
      <formula>"Baja"</formula>
    </cfRule>
    <cfRule type="cellIs" dxfId="668" priority="62" operator="equal">
      <formula>"Muy Baja"</formula>
    </cfRule>
  </conditionalFormatting>
  <conditionalFormatting sqref="U19">
    <cfRule type="cellIs" dxfId="667" priority="245" operator="equal">
      <formula>"Extremo"</formula>
    </cfRule>
    <cfRule type="cellIs" dxfId="666" priority="246" operator="equal">
      <formula>"Alto"</formula>
    </cfRule>
    <cfRule type="cellIs" dxfId="665" priority="247" operator="equal">
      <formula>"Moderado"</formula>
    </cfRule>
    <cfRule type="cellIs" dxfId="664" priority="248" operator="equal">
      <formula>"Bajo"</formula>
    </cfRule>
  </conditionalFormatting>
  <conditionalFormatting sqref="AF19:AF24">
    <cfRule type="cellIs" dxfId="663" priority="240" operator="equal">
      <formula>"Muy Alta"</formula>
    </cfRule>
    <cfRule type="cellIs" dxfId="662" priority="241" operator="equal">
      <formula>"Alta"</formula>
    </cfRule>
    <cfRule type="cellIs" dxfId="661" priority="242" operator="equal">
      <formula>"Media"</formula>
    </cfRule>
    <cfRule type="cellIs" dxfId="660" priority="243" operator="equal">
      <formula>"Baja"</formula>
    </cfRule>
    <cfRule type="cellIs" dxfId="659" priority="244" operator="equal">
      <formula>"Muy Baja"</formula>
    </cfRule>
  </conditionalFormatting>
  <conditionalFormatting sqref="AH19:AH24">
    <cfRule type="cellIs" dxfId="658" priority="235" operator="equal">
      <formula>"Catastrófico"</formula>
    </cfRule>
    <cfRule type="cellIs" dxfId="657" priority="236" operator="equal">
      <formula>"Mayor"</formula>
    </cfRule>
    <cfRule type="cellIs" dxfId="656" priority="237" operator="equal">
      <formula>"Moderado"</formula>
    </cfRule>
    <cfRule type="cellIs" dxfId="655" priority="238" operator="equal">
      <formula>"Menor"</formula>
    </cfRule>
    <cfRule type="cellIs" dxfId="654" priority="239" operator="equal">
      <formula>"Leve"</formula>
    </cfRule>
  </conditionalFormatting>
  <conditionalFormatting sqref="AJ19:AJ24">
    <cfRule type="cellIs" dxfId="653" priority="231" operator="equal">
      <formula>"Extremo"</formula>
    </cfRule>
    <cfRule type="cellIs" dxfId="652" priority="232" operator="equal">
      <formula>"Alto"</formula>
    </cfRule>
    <cfRule type="cellIs" dxfId="651" priority="233" operator="equal">
      <formula>"Moderado"</formula>
    </cfRule>
    <cfRule type="cellIs" dxfId="650" priority="234" operator="equal">
      <formula>"Bajo"</formula>
    </cfRule>
  </conditionalFormatting>
  <conditionalFormatting sqref="O25">
    <cfRule type="cellIs" dxfId="649" priority="226" operator="equal">
      <formula>"Muy Alta"</formula>
    </cfRule>
    <cfRule type="cellIs" dxfId="648" priority="227" operator="equal">
      <formula>"Alta"</formula>
    </cfRule>
    <cfRule type="cellIs" dxfId="647" priority="228" operator="equal">
      <formula>"Media"</formula>
    </cfRule>
    <cfRule type="cellIs" dxfId="646" priority="229" operator="equal">
      <formula>"Baja"</formula>
    </cfRule>
    <cfRule type="cellIs" dxfId="645" priority="230" operator="equal">
      <formula>"Muy Baja"</formula>
    </cfRule>
  </conditionalFormatting>
  <conditionalFormatting sqref="U25">
    <cfRule type="cellIs" dxfId="644" priority="217" operator="equal">
      <formula>"Extremo"</formula>
    </cfRule>
    <cfRule type="cellIs" dxfId="643" priority="218" operator="equal">
      <formula>"Alto"</formula>
    </cfRule>
    <cfRule type="cellIs" dxfId="642" priority="219" operator="equal">
      <formula>"Moderado"</formula>
    </cfRule>
    <cfRule type="cellIs" dxfId="641" priority="220" operator="equal">
      <formula>"Bajo"</formula>
    </cfRule>
  </conditionalFormatting>
  <conditionalFormatting sqref="AF25:AF30">
    <cfRule type="cellIs" dxfId="640" priority="212" operator="equal">
      <formula>"Muy Alta"</formula>
    </cfRule>
    <cfRule type="cellIs" dxfId="639" priority="213" operator="equal">
      <formula>"Alta"</formula>
    </cfRule>
    <cfRule type="cellIs" dxfId="638" priority="214" operator="equal">
      <formula>"Media"</formula>
    </cfRule>
    <cfRule type="cellIs" dxfId="637" priority="215" operator="equal">
      <formula>"Baja"</formula>
    </cfRule>
    <cfRule type="cellIs" dxfId="636" priority="216" operator="equal">
      <formula>"Muy Baja"</formula>
    </cfRule>
  </conditionalFormatting>
  <conditionalFormatting sqref="AH25:AH30">
    <cfRule type="cellIs" dxfId="635" priority="207" operator="equal">
      <formula>"Catastrófico"</formula>
    </cfRule>
    <cfRule type="cellIs" dxfId="634" priority="208" operator="equal">
      <formula>"Mayor"</formula>
    </cfRule>
    <cfRule type="cellIs" dxfId="633" priority="209" operator="equal">
      <formula>"Moderado"</formula>
    </cfRule>
    <cfRule type="cellIs" dxfId="632" priority="210" operator="equal">
      <formula>"Menor"</formula>
    </cfRule>
    <cfRule type="cellIs" dxfId="631" priority="211" operator="equal">
      <formula>"Leve"</formula>
    </cfRule>
  </conditionalFormatting>
  <conditionalFormatting sqref="AJ25:AJ30">
    <cfRule type="cellIs" dxfId="630" priority="203" operator="equal">
      <formula>"Extremo"</formula>
    </cfRule>
    <cfRule type="cellIs" dxfId="629" priority="204" operator="equal">
      <formula>"Alto"</formula>
    </cfRule>
    <cfRule type="cellIs" dxfId="628" priority="205" operator="equal">
      <formula>"Moderado"</formula>
    </cfRule>
    <cfRule type="cellIs" dxfId="627" priority="206" operator="equal">
      <formula>"Bajo"</formula>
    </cfRule>
  </conditionalFormatting>
  <conditionalFormatting sqref="O31">
    <cfRule type="cellIs" dxfId="626" priority="198" operator="equal">
      <formula>"Muy Alta"</formula>
    </cfRule>
    <cfRule type="cellIs" dxfId="625" priority="199" operator="equal">
      <formula>"Alta"</formula>
    </cfRule>
    <cfRule type="cellIs" dxfId="624" priority="200" operator="equal">
      <formula>"Media"</formula>
    </cfRule>
    <cfRule type="cellIs" dxfId="623" priority="201" operator="equal">
      <formula>"Baja"</formula>
    </cfRule>
    <cfRule type="cellIs" dxfId="622" priority="202" operator="equal">
      <formula>"Muy Baja"</formula>
    </cfRule>
  </conditionalFormatting>
  <conditionalFormatting sqref="U31">
    <cfRule type="cellIs" dxfId="621" priority="189" operator="equal">
      <formula>"Extremo"</formula>
    </cfRule>
    <cfRule type="cellIs" dxfId="620" priority="190" operator="equal">
      <formula>"Alto"</formula>
    </cfRule>
    <cfRule type="cellIs" dxfId="619" priority="191" operator="equal">
      <formula>"Moderado"</formula>
    </cfRule>
    <cfRule type="cellIs" dxfId="618" priority="192" operator="equal">
      <formula>"Bajo"</formula>
    </cfRule>
  </conditionalFormatting>
  <conditionalFormatting sqref="AF31:AF36">
    <cfRule type="cellIs" dxfId="617" priority="184" operator="equal">
      <formula>"Muy Alta"</formula>
    </cfRule>
    <cfRule type="cellIs" dxfId="616" priority="185" operator="equal">
      <formula>"Alta"</formula>
    </cfRule>
    <cfRule type="cellIs" dxfId="615" priority="186" operator="equal">
      <formula>"Media"</formula>
    </cfRule>
    <cfRule type="cellIs" dxfId="614" priority="187" operator="equal">
      <formula>"Baja"</formula>
    </cfRule>
    <cfRule type="cellIs" dxfId="613" priority="188" operator="equal">
      <formula>"Muy Baja"</formula>
    </cfRule>
  </conditionalFormatting>
  <conditionalFormatting sqref="AH31:AH36">
    <cfRule type="cellIs" dxfId="612" priority="179" operator="equal">
      <formula>"Catastrófico"</formula>
    </cfRule>
    <cfRule type="cellIs" dxfId="611" priority="180" operator="equal">
      <formula>"Mayor"</formula>
    </cfRule>
    <cfRule type="cellIs" dxfId="610" priority="181" operator="equal">
      <formula>"Moderado"</formula>
    </cfRule>
    <cfRule type="cellIs" dxfId="609" priority="182" operator="equal">
      <formula>"Menor"</formula>
    </cfRule>
    <cfRule type="cellIs" dxfId="608" priority="183" operator="equal">
      <formula>"Leve"</formula>
    </cfRule>
  </conditionalFormatting>
  <conditionalFormatting sqref="AJ31:AJ36">
    <cfRule type="cellIs" dxfId="607" priority="175" operator="equal">
      <formula>"Extremo"</formula>
    </cfRule>
    <cfRule type="cellIs" dxfId="606" priority="176" operator="equal">
      <formula>"Alto"</formula>
    </cfRule>
    <cfRule type="cellIs" dxfId="605" priority="177" operator="equal">
      <formula>"Moderado"</formula>
    </cfRule>
    <cfRule type="cellIs" dxfId="604" priority="178" operator="equal">
      <formula>"Bajo"</formula>
    </cfRule>
  </conditionalFormatting>
  <conditionalFormatting sqref="O37">
    <cfRule type="cellIs" dxfId="603" priority="170" operator="equal">
      <formula>"Muy Alta"</formula>
    </cfRule>
    <cfRule type="cellIs" dxfId="602" priority="171" operator="equal">
      <formula>"Alta"</formula>
    </cfRule>
    <cfRule type="cellIs" dxfId="601" priority="172" operator="equal">
      <formula>"Media"</formula>
    </cfRule>
    <cfRule type="cellIs" dxfId="600" priority="173" operator="equal">
      <formula>"Baja"</formula>
    </cfRule>
    <cfRule type="cellIs" dxfId="599" priority="174" operator="equal">
      <formula>"Muy Baja"</formula>
    </cfRule>
  </conditionalFormatting>
  <conditionalFormatting sqref="U37">
    <cfRule type="cellIs" dxfId="598" priority="161" operator="equal">
      <formula>"Extremo"</formula>
    </cfRule>
    <cfRule type="cellIs" dxfId="597" priority="162" operator="equal">
      <formula>"Alto"</formula>
    </cfRule>
    <cfRule type="cellIs" dxfId="596" priority="163" operator="equal">
      <formula>"Moderado"</formula>
    </cfRule>
    <cfRule type="cellIs" dxfId="595" priority="164" operator="equal">
      <formula>"Bajo"</formula>
    </cfRule>
  </conditionalFormatting>
  <conditionalFormatting sqref="AF37:AF42">
    <cfRule type="cellIs" dxfId="594" priority="156" operator="equal">
      <formula>"Muy Alta"</formula>
    </cfRule>
    <cfRule type="cellIs" dxfId="593" priority="157" operator="equal">
      <formula>"Alta"</formula>
    </cfRule>
    <cfRule type="cellIs" dxfId="592" priority="158" operator="equal">
      <formula>"Media"</formula>
    </cfRule>
    <cfRule type="cellIs" dxfId="591" priority="159" operator="equal">
      <formula>"Baja"</formula>
    </cfRule>
    <cfRule type="cellIs" dxfId="590" priority="160" operator="equal">
      <formula>"Muy Baja"</formula>
    </cfRule>
  </conditionalFormatting>
  <conditionalFormatting sqref="AH37:AH42">
    <cfRule type="cellIs" dxfId="589" priority="151" operator="equal">
      <formula>"Catastrófico"</formula>
    </cfRule>
    <cfRule type="cellIs" dxfId="588" priority="152" operator="equal">
      <formula>"Mayor"</formula>
    </cfRule>
    <cfRule type="cellIs" dxfId="587" priority="153" operator="equal">
      <formula>"Moderado"</formula>
    </cfRule>
    <cfRule type="cellIs" dxfId="586" priority="154" operator="equal">
      <formula>"Menor"</formula>
    </cfRule>
    <cfRule type="cellIs" dxfId="585" priority="155" operator="equal">
      <formula>"Leve"</formula>
    </cfRule>
  </conditionalFormatting>
  <conditionalFormatting sqref="AJ37:AJ42">
    <cfRule type="cellIs" dxfId="584" priority="147" operator="equal">
      <formula>"Extremo"</formula>
    </cfRule>
    <cfRule type="cellIs" dxfId="583" priority="148" operator="equal">
      <formula>"Alto"</formula>
    </cfRule>
    <cfRule type="cellIs" dxfId="582" priority="149" operator="equal">
      <formula>"Moderado"</formula>
    </cfRule>
    <cfRule type="cellIs" dxfId="581" priority="150" operator="equal">
      <formula>"Bajo"</formula>
    </cfRule>
  </conditionalFormatting>
  <conditionalFormatting sqref="O43">
    <cfRule type="cellIs" dxfId="580" priority="142" operator="equal">
      <formula>"Muy Alta"</formula>
    </cfRule>
    <cfRule type="cellIs" dxfId="579" priority="143" operator="equal">
      <formula>"Alta"</formula>
    </cfRule>
    <cfRule type="cellIs" dxfId="578" priority="144" operator="equal">
      <formula>"Media"</formula>
    </cfRule>
    <cfRule type="cellIs" dxfId="577" priority="145" operator="equal">
      <formula>"Baja"</formula>
    </cfRule>
    <cfRule type="cellIs" dxfId="576" priority="146" operator="equal">
      <formula>"Muy Baja"</formula>
    </cfRule>
  </conditionalFormatting>
  <conditionalFormatting sqref="U43">
    <cfRule type="cellIs" dxfId="575" priority="133" operator="equal">
      <formula>"Extremo"</formula>
    </cfRule>
    <cfRule type="cellIs" dxfId="574" priority="134" operator="equal">
      <formula>"Alto"</formula>
    </cfRule>
    <cfRule type="cellIs" dxfId="573" priority="135" operator="equal">
      <formula>"Moderado"</formula>
    </cfRule>
    <cfRule type="cellIs" dxfId="572" priority="136" operator="equal">
      <formula>"Bajo"</formula>
    </cfRule>
  </conditionalFormatting>
  <conditionalFormatting sqref="AF43:AF48">
    <cfRule type="cellIs" dxfId="571" priority="128" operator="equal">
      <formula>"Muy Alta"</formula>
    </cfRule>
    <cfRule type="cellIs" dxfId="570" priority="129" operator="equal">
      <formula>"Alta"</formula>
    </cfRule>
    <cfRule type="cellIs" dxfId="569" priority="130" operator="equal">
      <formula>"Media"</formula>
    </cfRule>
    <cfRule type="cellIs" dxfId="568" priority="131" operator="equal">
      <formula>"Baja"</formula>
    </cfRule>
    <cfRule type="cellIs" dxfId="567" priority="132" operator="equal">
      <formula>"Muy Baja"</formula>
    </cfRule>
  </conditionalFormatting>
  <conditionalFormatting sqref="AH43:AH48">
    <cfRule type="cellIs" dxfId="566" priority="123" operator="equal">
      <formula>"Catastrófico"</formula>
    </cfRule>
    <cfRule type="cellIs" dxfId="565" priority="124" operator="equal">
      <formula>"Mayor"</formula>
    </cfRule>
    <cfRule type="cellIs" dxfId="564" priority="125" operator="equal">
      <formula>"Moderado"</formula>
    </cfRule>
    <cfRule type="cellIs" dxfId="563" priority="126" operator="equal">
      <formula>"Menor"</formula>
    </cfRule>
    <cfRule type="cellIs" dxfId="562" priority="127" operator="equal">
      <formula>"Leve"</formula>
    </cfRule>
  </conditionalFormatting>
  <conditionalFormatting sqref="AJ43:AJ48">
    <cfRule type="cellIs" dxfId="561" priority="119" operator="equal">
      <formula>"Extremo"</formula>
    </cfRule>
    <cfRule type="cellIs" dxfId="560" priority="120" operator="equal">
      <formula>"Alto"</formula>
    </cfRule>
    <cfRule type="cellIs" dxfId="559" priority="121" operator="equal">
      <formula>"Moderado"</formula>
    </cfRule>
    <cfRule type="cellIs" dxfId="558" priority="122" operator="equal">
      <formula>"Bajo"</formula>
    </cfRule>
  </conditionalFormatting>
  <conditionalFormatting sqref="O49">
    <cfRule type="cellIs" dxfId="557" priority="114" operator="equal">
      <formula>"Muy Alta"</formula>
    </cfRule>
    <cfRule type="cellIs" dxfId="556" priority="115" operator="equal">
      <formula>"Alta"</formula>
    </cfRule>
    <cfRule type="cellIs" dxfId="555" priority="116" operator="equal">
      <formula>"Media"</formula>
    </cfRule>
    <cfRule type="cellIs" dxfId="554" priority="117" operator="equal">
      <formula>"Baja"</formula>
    </cfRule>
    <cfRule type="cellIs" dxfId="553" priority="118" operator="equal">
      <formula>"Muy Baja"</formula>
    </cfRule>
  </conditionalFormatting>
  <conditionalFormatting sqref="U49">
    <cfRule type="cellIs" dxfId="552" priority="105" operator="equal">
      <formula>"Extremo"</formula>
    </cfRule>
    <cfRule type="cellIs" dxfId="551" priority="106" operator="equal">
      <formula>"Alto"</formula>
    </cfRule>
    <cfRule type="cellIs" dxfId="550" priority="107" operator="equal">
      <formula>"Moderado"</formula>
    </cfRule>
    <cfRule type="cellIs" dxfId="549" priority="108" operator="equal">
      <formula>"Bajo"</formula>
    </cfRule>
  </conditionalFormatting>
  <conditionalFormatting sqref="AF49:AF54">
    <cfRule type="cellIs" dxfId="548" priority="100" operator="equal">
      <formula>"Muy Alta"</formula>
    </cfRule>
    <cfRule type="cellIs" dxfId="547" priority="101" operator="equal">
      <formula>"Alta"</formula>
    </cfRule>
    <cfRule type="cellIs" dxfId="546" priority="102" operator="equal">
      <formula>"Media"</formula>
    </cfRule>
    <cfRule type="cellIs" dxfId="545" priority="103" operator="equal">
      <formula>"Baja"</formula>
    </cfRule>
    <cfRule type="cellIs" dxfId="544" priority="104" operator="equal">
      <formula>"Muy Baja"</formula>
    </cfRule>
  </conditionalFormatting>
  <conditionalFormatting sqref="AH49:AH54">
    <cfRule type="cellIs" dxfId="543" priority="95" operator="equal">
      <formula>"Catastrófico"</formula>
    </cfRule>
    <cfRule type="cellIs" dxfId="542" priority="96" operator="equal">
      <formula>"Mayor"</formula>
    </cfRule>
    <cfRule type="cellIs" dxfId="541" priority="97" operator="equal">
      <formula>"Moderado"</formula>
    </cfRule>
    <cfRule type="cellIs" dxfId="540" priority="98" operator="equal">
      <formula>"Menor"</formula>
    </cfRule>
    <cfRule type="cellIs" dxfId="539" priority="99" operator="equal">
      <formula>"Leve"</formula>
    </cfRule>
  </conditionalFormatting>
  <conditionalFormatting sqref="AJ49:AJ54">
    <cfRule type="cellIs" dxfId="538" priority="91" operator="equal">
      <formula>"Extremo"</formula>
    </cfRule>
    <cfRule type="cellIs" dxfId="537" priority="92" operator="equal">
      <formula>"Alto"</formula>
    </cfRule>
    <cfRule type="cellIs" dxfId="536" priority="93" operator="equal">
      <formula>"Moderado"</formula>
    </cfRule>
    <cfRule type="cellIs" dxfId="535" priority="94" operator="equal">
      <formula>"Bajo"</formula>
    </cfRule>
  </conditionalFormatting>
  <conditionalFormatting sqref="U55">
    <cfRule type="cellIs" dxfId="534" priority="77" operator="equal">
      <formula>"Extremo"</formula>
    </cfRule>
    <cfRule type="cellIs" dxfId="533" priority="78" operator="equal">
      <formula>"Alto"</formula>
    </cfRule>
    <cfRule type="cellIs" dxfId="532" priority="79" operator="equal">
      <formula>"Moderado"</formula>
    </cfRule>
    <cfRule type="cellIs" dxfId="531" priority="80" operator="equal">
      <formula>"Bajo"</formula>
    </cfRule>
  </conditionalFormatting>
  <conditionalFormatting sqref="AF55:AF60">
    <cfRule type="cellIs" dxfId="530" priority="72" operator="equal">
      <formula>"Muy Alta"</formula>
    </cfRule>
    <cfRule type="cellIs" dxfId="529" priority="73" operator="equal">
      <formula>"Alta"</formula>
    </cfRule>
    <cfRule type="cellIs" dxfId="528" priority="74" operator="equal">
      <formula>"Media"</formula>
    </cfRule>
    <cfRule type="cellIs" dxfId="527" priority="75" operator="equal">
      <formula>"Baja"</formula>
    </cfRule>
    <cfRule type="cellIs" dxfId="526" priority="76" operator="equal">
      <formula>"Muy Baja"</formula>
    </cfRule>
  </conditionalFormatting>
  <conditionalFormatting sqref="AH55:AH60">
    <cfRule type="cellIs" dxfId="525" priority="67" operator="equal">
      <formula>"Catastrófico"</formula>
    </cfRule>
    <cfRule type="cellIs" dxfId="524" priority="68" operator="equal">
      <formula>"Mayor"</formula>
    </cfRule>
    <cfRule type="cellIs" dxfId="523" priority="69" operator="equal">
      <formula>"Moderado"</formula>
    </cfRule>
    <cfRule type="cellIs" dxfId="522" priority="70" operator="equal">
      <formula>"Menor"</formula>
    </cfRule>
    <cfRule type="cellIs" dxfId="521" priority="71" operator="equal">
      <formula>"Leve"</formula>
    </cfRule>
  </conditionalFormatting>
  <conditionalFormatting sqref="AJ55:AJ60">
    <cfRule type="cellIs" dxfId="520" priority="63" operator="equal">
      <formula>"Extremo"</formula>
    </cfRule>
    <cfRule type="cellIs" dxfId="519" priority="64" operator="equal">
      <formula>"Alto"</formula>
    </cfRule>
    <cfRule type="cellIs" dxfId="518" priority="65" operator="equal">
      <formula>"Moderado"</formula>
    </cfRule>
    <cfRule type="cellIs" dxfId="517" priority="66" operator="equal">
      <formula>"Bajo"</formula>
    </cfRule>
  </conditionalFormatting>
  <conditionalFormatting sqref="U61">
    <cfRule type="cellIs" dxfId="516" priority="49" operator="equal">
      <formula>"Extremo"</formula>
    </cfRule>
    <cfRule type="cellIs" dxfId="515" priority="50" operator="equal">
      <formula>"Alto"</formula>
    </cfRule>
    <cfRule type="cellIs" dxfId="514" priority="51" operator="equal">
      <formula>"Moderado"</formula>
    </cfRule>
    <cfRule type="cellIs" dxfId="513" priority="52" operator="equal">
      <formula>"Bajo"</formula>
    </cfRule>
  </conditionalFormatting>
  <conditionalFormatting sqref="AF61:AF66">
    <cfRule type="cellIs" dxfId="512" priority="44" operator="equal">
      <formula>"Muy Alta"</formula>
    </cfRule>
    <cfRule type="cellIs" dxfId="511" priority="45" operator="equal">
      <formula>"Alta"</formula>
    </cfRule>
    <cfRule type="cellIs" dxfId="510" priority="46" operator="equal">
      <formula>"Media"</formula>
    </cfRule>
    <cfRule type="cellIs" dxfId="509" priority="47" operator="equal">
      <formula>"Baja"</formula>
    </cfRule>
    <cfRule type="cellIs" dxfId="508" priority="48" operator="equal">
      <formula>"Muy Baja"</formula>
    </cfRule>
  </conditionalFormatting>
  <conditionalFormatting sqref="AH61:AH66">
    <cfRule type="cellIs" dxfId="507" priority="39" operator="equal">
      <formula>"Catastrófico"</formula>
    </cfRule>
    <cfRule type="cellIs" dxfId="506" priority="40" operator="equal">
      <formula>"Mayor"</formula>
    </cfRule>
    <cfRule type="cellIs" dxfId="505" priority="41" operator="equal">
      <formula>"Moderado"</formula>
    </cfRule>
    <cfRule type="cellIs" dxfId="504" priority="42" operator="equal">
      <formula>"Menor"</formula>
    </cfRule>
    <cfRule type="cellIs" dxfId="503" priority="43" operator="equal">
      <formula>"Leve"</formula>
    </cfRule>
  </conditionalFormatting>
  <conditionalFormatting sqref="AJ61:AJ66">
    <cfRule type="cellIs" dxfId="502" priority="35" operator="equal">
      <formula>"Extremo"</formula>
    </cfRule>
    <cfRule type="cellIs" dxfId="501" priority="36" operator="equal">
      <formula>"Alto"</formula>
    </cfRule>
    <cfRule type="cellIs" dxfId="500" priority="37" operator="equal">
      <formula>"Moderado"</formula>
    </cfRule>
    <cfRule type="cellIs" dxfId="499" priority="38" operator="equal">
      <formula>"Bajo"</formula>
    </cfRule>
  </conditionalFormatting>
  <conditionalFormatting sqref="O67">
    <cfRule type="cellIs" dxfId="498" priority="30" operator="equal">
      <formula>"Muy Alta"</formula>
    </cfRule>
    <cfRule type="cellIs" dxfId="497" priority="31" operator="equal">
      <formula>"Alta"</formula>
    </cfRule>
    <cfRule type="cellIs" dxfId="496" priority="32" operator="equal">
      <formula>"Media"</formula>
    </cfRule>
    <cfRule type="cellIs" dxfId="495" priority="33" operator="equal">
      <formula>"Baja"</formula>
    </cfRule>
    <cfRule type="cellIs" dxfId="494" priority="34" operator="equal">
      <formula>"Muy Baja"</formula>
    </cfRule>
  </conditionalFormatting>
  <conditionalFormatting sqref="U67">
    <cfRule type="cellIs" dxfId="493" priority="21" operator="equal">
      <formula>"Extremo"</formula>
    </cfRule>
    <cfRule type="cellIs" dxfId="492" priority="22" operator="equal">
      <formula>"Alto"</formula>
    </cfRule>
    <cfRule type="cellIs" dxfId="491" priority="23" operator="equal">
      <formula>"Moderado"</formula>
    </cfRule>
    <cfRule type="cellIs" dxfId="490" priority="24" operator="equal">
      <formula>"Bajo"</formula>
    </cfRule>
  </conditionalFormatting>
  <conditionalFormatting sqref="AF67:AF72">
    <cfRule type="cellIs" dxfId="489" priority="16" operator="equal">
      <formula>"Muy Alta"</formula>
    </cfRule>
    <cfRule type="cellIs" dxfId="488" priority="17" operator="equal">
      <formula>"Alta"</formula>
    </cfRule>
    <cfRule type="cellIs" dxfId="487" priority="18" operator="equal">
      <formula>"Media"</formula>
    </cfRule>
    <cfRule type="cellIs" dxfId="486" priority="19" operator="equal">
      <formula>"Baja"</formula>
    </cfRule>
    <cfRule type="cellIs" dxfId="485" priority="20" operator="equal">
      <formula>"Muy Baja"</formula>
    </cfRule>
  </conditionalFormatting>
  <conditionalFormatting sqref="AH67:AH72">
    <cfRule type="cellIs" dxfId="484" priority="11" operator="equal">
      <formula>"Catastrófico"</formula>
    </cfRule>
    <cfRule type="cellIs" dxfId="483" priority="12" operator="equal">
      <formula>"Mayor"</formula>
    </cfRule>
    <cfRule type="cellIs" dxfId="482" priority="13" operator="equal">
      <formula>"Moderado"</formula>
    </cfRule>
    <cfRule type="cellIs" dxfId="481" priority="14" operator="equal">
      <formula>"Menor"</formula>
    </cfRule>
    <cfRule type="cellIs" dxfId="480" priority="15" operator="equal">
      <formula>"Leve"</formula>
    </cfRule>
  </conditionalFormatting>
  <conditionalFormatting sqref="AJ67:AJ72">
    <cfRule type="cellIs" dxfId="479" priority="7" operator="equal">
      <formula>"Extremo"</formula>
    </cfRule>
    <cfRule type="cellIs" dxfId="478" priority="8" operator="equal">
      <formula>"Alto"</formula>
    </cfRule>
    <cfRule type="cellIs" dxfId="477" priority="9" operator="equal">
      <formula>"Moderado"</formula>
    </cfRule>
    <cfRule type="cellIs" dxfId="476" priority="10" operator="equal">
      <formula>"Bajo"</formula>
    </cfRule>
  </conditionalFormatting>
  <conditionalFormatting sqref="R13:R72">
    <cfRule type="containsText" dxfId="475" priority="6" operator="containsText" text="❌">
      <formula>NOT(ISERROR(SEARCH("❌",R13)))</formula>
    </cfRule>
  </conditionalFormatting>
  <conditionalFormatting sqref="O55">
    <cfRule type="cellIs" dxfId="474" priority="1" operator="equal">
      <formula>"Muy Alta"</formula>
    </cfRule>
    <cfRule type="cellIs" dxfId="473" priority="2" operator="equal">
      <formula>"Alta"</formula>
    </cfRule>
    <cfRule type="cellIs" dxfId="472" priority="3" operator="equal">
      <formula>"Media"</formula>
    </cfRule>
    <cfRule type="cellIs" dxfId="471" priority="4" operator="equal">
      <formula>"Baja"</formula>
    </cfRule>
    <cfRule type="cellIs" dxfId="470" priority="5" operator="equal">
      <formula>"Muy Baja"</formula>
    </cfRule>
  </conditionalFormatting>
  <pageMargins left="0.70866141732283472" right="0.70866141732283472" top="0.74803149606299213" bottom="0.74803149606299213" header="0.31496062992125984" footer="0.31496062992125984"/>
  <pageSetup scale="31" orientation="landscape" r:id="rId1"/>
  <headerFooter>
    <oddFooter>&amp;LCalle 26 No. 69-76,Edificio Elemento ,   Torre Aire , Piso 3, CP-111071
PBX:(+57) 601-3779555 - Información: Línea 195
Sede Operativa: Calle 22D No. 120-40 
www.umv.gov.co&amp;CDESI-FM-018
Página &amp;P de &amp;N</oddFooter>
  </headerFooter>
  <colBreaks count="1" manualBreakCount="1">
    <brk id="20" max="75" man="1"/>
  </colBreaks>
  <ignoredErrors>
    <ignoredError sqref="AI15" formula="1"/>
  </ignoredError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300-000001000000}">
          <x14:formula1>
            <xm:f>'Tabla Valoración controles'!$D$4:$D$6</xm:f>
          </x14:formula1>
          <xm:sqref>Y13:Y72</xm:sqref>
        </x14:dataValidation>
        <x14:dataValidation type="list" allowBlank="1" showInputMessage="1" showErrorMessage="1" xr:uid="{00000000-0002-0000-0300-000002000000}">
          <x14:formula1>
            <xm:f>'Tabla Valoración controles'!$D$7:$D$8</xm:f>
          </x14:formula1>
          <xm:sqref>Z13:Z72</xm:sqref>
        </x14:dataValidation>
        <x14:dataValidation type="list" allowBlank="1" showInputMessage="1" showErrorMessage="1" xr:uid="{00000000-0002-0000-0300-000003000000}">
          <x14:formula1>
            <xm:f>'Tabla Valoración controles'!$D$9:$D$10</xm:f>
          </x14:formula1>
          <xm:sqref>AB13:AB72</xm:sqref>
        </x14:dataValidation>
        <x14:dataValidation type="list" allowBlank="1" showInputMessage="1" showErrorMessage="1" xr:uid="{00000000-0002-0000-0300-000004000000}">
          <x14:formula1>
            <xm:f>'Tabla Valoración controles'!$D$11:$D$12</xm:f>
          </x14:formula1>
          <xm:sqref>AC13:AC72</xm:sqref>
        </x14:dataValidation>
        <x14:dataValidation type="list" allowBlank="1" showInputMessage="1" showErrorMessage="1" xr:uid="{00000000-0002-0000-0300-000005000000}">
          <x14:formula1>
            <xm:f>'Tabla Valoración controles'!$D$13:$D$14</xm:f>
          </x14:formula1>
          <xm:sqref>AD13:AD72</xm:sqref>
        </x14:dataValidation>
        <x14:dataValidation type="list" allowBlank="1" showInputMessage="1" showErrorMessage="1" xr:uid="{00000000-0002-0000-0300-000006000000}">
          <x14:formula1>
            <xm:f>Listas!$E$2:$E$4</xm:f>
          </x14:formula1>
          <xm:sqref>B13:B72</xm:sqref>
        </x14:dataValidation>
        <x14:dataValidation type="list" allowBlank="1" showInputMessage="1" showErrorMessage="1" xr:uid="{00000000-0002-0000-0300-000007000000}">
          <x14:formula1>
            <xm:f>Listas!$B$2:$B$5</xm:f>
          </x14:formula1>
          <xm:sqref>AK13:AK72</xm:sqref>
        </x14:dataValidation>
        <x14:dataValidation type="list" allowBlank="1" showInputMessage="1" showErrorMessage="1" xr:uid="{00000000-0002-0000-0300-000008000000}">
          <x14:formula1>
            <xm:f>'Tabla Impacto'!$F$211:$F$222</xm:f>
          </x14:formula1>
          <xm:sqref>Q13:Q72</xm:sqref>
        </x14:dataValidation>
        <x14:dataValidation type="custom" allowBlank="1" showInputMessage="1" showErrorMessage="1" error="Recuerde que las acciones se generan bajo la medida de mitigar el riesgo" xr:uid="{00000000-0002-0000-0300-00000F000000}">
          <x14:formula1>
            <xm:f>IF(OR(#REF!=Listas!$B$2,#REF!=Listas!$B$3,#REF!=Listas!$B$4),ISBLANK(#REF!),ISTEXT(#REF!))</xm:f>
          </x14:formula1>
          <xm:sqref>AP19:AR19 AP67:AR67 AP61:AR61 AP55:AR55 AP49:AR49 AP43:AR43 AP37:AR37 AP31:AR31 AP25:AR25</xm:sqref>
        </x14:dataValidation>
        <x14:dataValidation type="list" allowBlank="1" showInputMessage="1" showErrorMessage="1" xr:uid="{00000000-0002-0000-0300-00000C000000}">
          <x14:formula1>
            <xm:f>Listas!$B$12:$B$16</xm:f>
          </x14:formula1>
          <xm:sqref>F13:F72</xm:sqref>
        </x14:dataValidation>
        <x14:dataValidation type="list" allowBlank="1" showInputMessage="1" showErrorMessage="1" xr:uid="{56974EBC-92AA-46D7-A563-12DC1F3E81D0}">
          <x14:formula1>
            <xm:f>Listas!$F$8:$F$9</xm:f>
          </x14:formula1>
          <xm:sqref>G13:G72</xm:sqref>
        </x14:dataValidation>
        <x14:dataValidation type="list" allowBlank="1" showInputMessage="1" showErrorMessage="1" xr:uid="{00000000-0002-0000-0300-000010000000}">
          <x14:formula1>
            <xm:f>Intructivo!$C$300:$C$316</xm:f>
          </x14:formula1>
          <xm:sqref>C6 U6:V6</xm:sqref>
        </x14:dataValidation>
        <x14:dataValidation type="list" allowBlank="1" showInputMessage="1" showErrorMessage="1" xr:uid="{03058C6C-7F42-42BB-9770-ED87FDA682A3}">
          <x14:formula1>
            <xm:f>Listas!$H$8:$H$12</xm:f>
          </x14:formula1>
          <xm:sqref>L13:L72</xm:sqref>
        </x14:dataValidation>
        <x14:dataValidation type="list" allowBlank="1" showInputMessage="1" showErrorMessage="1" xr:uid="{ED0225A5-353B-484A-9502-C16753E9C895}">
          <x14:formula1>
            <xm:f>Listas!$H$14:$H$18</xm:f>
          </x14:formula1>
          <xm:sqref>M13:M72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topLeftCell="A2" zoomScale="40" zoomScaleNormal="40" workbookViewId="0">
      <selection activeCell="AG56" sqref="AG56"/>
    </sheetView>
  </sheetViews>
  <sheetFormatPr baseColWidth="10" defaultColWidth="11.42578125" defaultRowHeight="15" x14ac:dyDescent="0.25"/>
  <cols>
    <col min="2" max="39" width="5.7109375" customWidth="1"/>
    <col min="41" max="46" width="5.7109375" customWidth="1"/>
  </cols>
  <sheetData>
    <row r="1" spans="1:99" x14ac:dyDescent="0.25">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row>
    <row r="2" spans="1:99" ht="18" customHeight="1" x14ac:dyDescent="0.25">
      <c r="A2" s="66"/>
      <c r="B2" s="474" t="s">
        <v>249</v>
      </c>
      <c r="C2" s="474"/>
      <c r="D2" s="474"/>
      <c r="E2" s="474"/>
      <c r="F2" s="474"/>
      <c r="G2" s="474"/>
      <c r="H2" s="474"/>
      <c r="I2" s="474"/>
      <c r="J2" s="442" t="s">
        <v>15</v>
      </c>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row>
    <row r="3" spans="1:99" ht="18.75" customHeight="1" x14ac:dyDescent="0.25">
      <c r="A3" s="66"/>
      <c r="B3" s="474"/>
      <c r="C3" s="474"/>
      <c r="D3" s="474"/>
      <c r="E3" s="474"/>
      <c r="F3" s="474"/>
      <c r="G3" s="474"/>
      <c r="H3" s="474"/>
      <c r="I3" s="474"/>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row>
    <row r="4" spans="1:99" ht="15" customHeight="1" x14ac:dyDescent="0.25">
      <c r="A4" s="66"/>
      <c r="B4" s="474"/>
      <c r="C4" s="474"/>
      <c r="D4" s="474"/>
      <c r="E4" s="474"/>
      <c r="F4" s="474"/>
      <c r="G4" s="474"/>
      <c r="H4" s="474"/>
      <c r="I4" s="474"/>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row>
    <row r="5" spans="1:99" ht="15.75" thickBot="1" x14ac:dyDescent="0.3">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row>
    <row r="6" spans="1:99" ht="15" customHeight="1" x14ac:dyDescent="0.25">
      <c r="A6" s="66"/>
      <c r="B6" s="389" t="s">
        <v>250</v>
      </c>
      <c r="C6" s="389"/>
      <c r="D6" s="390"/>
      <c r="E6" s="427" t="s">
        <v>251</v>
      </c>
      <c r="F6" s="428"/>
      <c r="G6" s="428"/>
      <c r="H6" s="428"/>
      <c r="I6" s="429"/>
      <c r="J6" s="438" t="str">
        <f>IF(AND('Riesgos de Gestión'!$O$13="Muy Alta",'Riesgos de Gestión'!$S$13="Leve"),CONCATENATE("R",'Riesgos de Gestión'!$A$13),"")</f>
        <v/>
      </c>
      <c r="K6" s="439"/>
      <c r="L6" s="439" t="str">
        <f>IF(AND('Riesgos de Gestión'!$O$19="Muy Alta",'Riesgos de Gestión'!$S$19="Leve"),CONCATENATE("R",'Riesgos de Gestión'!$A$19),"")</f>
        <v/>
      </c>
      <c r="M6" s="439"/>
      <c r="N6" s="439" t="str">
        <f>IF(AND('Riesgos de Gestión'!$O$25="Muy Alta",'Riesgos de Gestión'!$S$25="Leve"),CONCATENATE("R",'Riesgos de Gestión'!$A$25),"")</f>
        <v/>
      </c>
      <c r="O6" s="441"/>
      <c r="P6" s="438" t="str">
        <f>IF(AND('Riesgos de Gestión'!$O$13="Muy Alta",'Riesgos de Gestión'!$S$13="Menor"),CONCATENATE("R",'Riesgos de Gestión'!$A$13),"")</f>
        <v/>
      </c>
      <c r="Q6" s="439"/>
      <c r="R6" s="439" t="str">
        <f>IF(AND('Riesgos de Gestión'!$O$19="Muy Alta",'Riesgos de Gestión'!$S$19="Menor"),CONCATENATE("R",'Riesgos de Gestión'!$A$19),"")</f>
        <v/>
      </c>
      <c r="S6" s="439"/>
      <c r="T6" s="439" t="str">
        <f>IF(AND('Riesgos de Gestión'!$O$25="Muy Alta",'Riesgos de Gestión'!$S$25="Menor"),CONCATENATE("R",'Riesgos de Gestión'!$A$25),"")</f>
        <v/>
      </c>
      <c r="U6" s="441"/>
      <c r="V6" s="438" t="str">
        <f>IF(AND('Riesgos de Gestión'!$O$13="Muy Alta",'Riesgos de Gestión'!$S$13="Moderado"),CONCATENATE("R",'Riesgos de Gestión'!$A$13),"")</f>
        <v/>
      </c>
      <c r="W6" s="439"/>
      <c r="X6" s="439" t="str">
        <f>IF(AND('Riesgos de Gestión'!$O$19="Muy Alta",'Riesgos de Gestión'!$S$19="Moderado"),CONCATENATE("R",'Riesgos de Gestión'!$A$19),"")</f>
        <v/>
      </c>
      <c r="Y6" s="439"/>
      <c r="Z6" s="439" t="str">
        <f>IF(AND('Riesgos de Gestión'!$O$25="Muy Alta",'Riesgos de Gestión'!$S$25="Moderado"),CONCATENATE("R",'Riesgos de Gestión'!$A$25),"")</f>
        <v/>
      </c>
      <c r="AA6" s="441"/>
      <c r="AB6" s="438" t="str">
        <f>IF(AND('Riesgos de Gestión'!$O$13="Muy Alta",'Riesgos de Gestión'!$S$13="Mayor"),CONCATENATE("R",'Riesgos de Gestión'!$A$13),"")</f>
        <v/>
      </c>
      <c r="AC6" s="439"/>
      <c r="AD6" s="439" t="str">
        <f>IF(AND('Riesgos de Gestión'!$O$19="Muy Alta",'Riesgos de Gestión'!$S$19="Mayor"),CONCATENATE("R",'Riesgos de Gestión'!$A$19),"")</f>
        <v/>
      </c>
      <c r="AE6" s="439"/>
      <c r="AF6" s="439" t="str">
        <f>IF(AND('Riesgos de Gestión'!$O$25="Muy Alta",'Riesgos de Gestión'!$S$25="Mayor"),CONCATENATE("R",'Riesgos de Gestión'!$A$25),"")</f>
        <v/>
      </c>
      <c r="AG6" s="441"/>
      <c r="AH6" s="453" t="str">
        <f>IF(AND('Riesgos de Gestión'!$O$13="Muy Alta",'Riesgos de Gestión'!$S$13="Catastrófico"),CONCATENATE("R",'Riesgos de Gestión'!$A$13),"")</f>
        <v/>
      </c>
      <c r="AI6" s="454"/>
      <c r="AJ6" s="454" t="str">
        <f>IF(AND('Riesgos de Gestión'!$O$19="Muy Alta",'Riesgos de Gestión'!$S$19="Catastrófico"),CONCATENATE("R",'Riesgos de Gestión'!$A$19),"")</f>
        <v/>
      </c>
      <c r="AK6" s="454"/>
      <c r="AL6" s="454" t="str">
        <f>IF(AND('Riesgos de Gestión'!$O$25="Muy Alta",'Riesgos de Gestión'!$S$25="Catastrófico"),CONCATENATE("R",'Riesgos de Gestión'!$A$25),"")</f>
        <v/>
      </c>
      <c r="AM6" s="455"/>
      <c r="AO6" s="391" t="s">
        <v>252</v>
      </c>
      <c r="AP6" s="392"/>
      <c r="AQ6" s="392"/>
      <c r="AR6" s="392"/>
      <c r="AS6" s="392"/>
      <c r="AT6" s="393"/>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row>
    <row r="7" spans="1:99" ht="15" customHeight="1" x14ac:dyDescent="0.25">
      <c r="A7" s="66"/>
      <c r="B7" s="389"/>
      <c r="C7" s="389"/>
      <c r="D7" s="390"/>
      <c r="E7" s="430"/>
      <c r="F7" s="431"/>
      <c r="G7" s="431"/>
      <c r="H7" s="431"/>
      <c r="I7" s="432"/>
      <c r="J7" s="440"/>
      <c r="K7" s="436"/>
      <c r="L7" s="436"/>
      <c r="M7" s="436"/>
      <c r="N7" s="436"/>
      <c r="O7" s="437"/>
      <c r="P7" s="440"/>
      <c r="Q7" s="436"/>
      <c r="R7" s="436"/>
      <c r="S7" s="436"/>
      <c r="T7" s="436"/>
      <c r="U7" s="437"/>
      <c r="V7" s="440"/>
      <c r="W7" s="436"/>
      <c r="X7" s="436"/>
      <c r="Y7" s="436"/>
      <c r="Z7" s="436"/>
      <c r="AA7" s="437"/>
      <c r="AB7" s="440"/>
      <c r="AC7" s="436"/>
      <c r="AD7" s="436"/>
      <c r="AE7" s="436"/>
      <c r="AF7" s="436"/>
      <c r="AG7" s="437"/>
      <c r="AH7" s="447"/>
      <c r="AI7" s="448"/>
      <c r="AJ7" s="448"/>
      <c r="AK7" s="448"/>
      <c r="AL7" s="448"/>
      <c r="AM7" s="449"/>
      <c r="AN7" s="66"/>
      <c r="AO7" s="394"/>
      <c r="AP7" s="395"/>
      <c r="AQ7" s="395"/>
      <c r="AR7" s="395"/>
      <c r="AS7" s="395"/>
      <c r="AT7" s="39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row>
    <row r="8" spans="1:99" ht="15" customHeight="1" x14ac:dyDescent="0.25">
      <c r="A8" s="66"/>
      <c r="B8" s="389"/>
      <c r="C8" s="389"/>
      <c r="D8" s="390"/>
      <c r="E8" s="430"/>
      <c r="F8" s="431"/>
      <c r="G8" s="431"/>
      <c r="H8" s="431"/>
      <c r="I8" s="432"/>
      <c r="J8" s="440" t="str">
        <f>IF(AND('Riesgos de Gestión'!$O$31="Muy Alta",'Riesgos de Gestión'!$S$31="Leve"),CONCATENATE("R",'Riesgos de Gestión'!$A$31),"")</f>
        <v/>
      </c>
      <c r="K8" s="436"/>
      <c r="L8" s="436" t="str">
        <f>IF(AND('Riesgos de Gestión'!$O$37="Muy Alta",'Riesgos de Gestión'!$S$37="Leve"),CONCATENATE("R",'Riesgos de Gestión'!$A$37),"")</f>
        <v/>
      </c>
      <c r="M8" s="436"/>
      <c r="N8" s="436" t="str">
        <f>IF(AND('Riesgos de Gestión'!$O$43="Muy Alta",'Riesgos de Gestión'!$S$43="Leve"),CONCATENATE("R",'Riesgos de Gestión'!$A$43),"")</f>
        <v/>
      </c>
      <c r="O8" s="437"/>
      <c r="P8" s="440" t="str">
        <f>IF(AND('Riesgos de Gestión'!$O$31="Muy Alta",'Riesgos de Gestión'!$S$31="Menor"),CONCATENATE("R",'Riesgos de Gestión'!$A$31),"")</f>
        <v/>
      </c>
      <c r="Q8" s="436"/>
      <c r="R8" s="436" t="str">
        <f>IF(AND('Riesgos de Gestión'!$O$37="Muy Alta",'Riesgos de Gestión'!$S$37="Menor"),CONCATENATE("R",'Riesgos de Gestión'!$A$37),"")</f>
        <v/>
      </c>
      <c r="S8" s="436"/>
      <c r="T8" s="436" t="str">
        <f>IF(AND('Riesgos de Gestión'!$O$43="Muy Alta",'Riesgos de Gestión'!$S$43="Menor"),CONCATENATE("R",'Riesgos de Gestión'!$A$43),"")</f>
        <v/>
      </c>
      <c r="U8" s="437"/>
      <c r="V8" s="440" t="str">
        <f>IF(AND('Riesgos de Gestión'!$O$31="Muy Alta",'Riesgos de Gestión'!$S$31="Moderado"),CONCATENATE("R",'Riesgos de Gestión'!$A$31),"")</f>
        <v/>
      </c>
      <c r="W8" s="436"/>
      <c r="X8" s="436" t="str">
        <f>IF(AND('Riesgos de Gestión'!$O$37="Muy Alta",'Riesgos de Gestión'!$S$37="Moderado"),CONCATENATE("R",'Riesgos de Gestión'!$A$37),"")</f>
        <v/>
      </c>
      <c r="Y8" s="436"/>
      <c r="Z8" s="436" t="str">
        <f>IF(AND('Riesgos de Gestión'!$O$43="Muy Alta",'Riesgos de Gestión'!$S$43="Moderado"),CONCATENATE("R",'Riesgos de Gestión'!$A$43),"")</f>
        <v/>
      </c>
      <c r="AA8" s="437"/>
      <c r="AB8" s="440" t="str">
        <f>IF(AND('Riesgos de Gestión'!$O$31="Muy Alta",'Riesgos de Gestión'!$S$31="Mayor"),CONCATENATE("R",'Riesgos de Gestión'!$A$31),"")</f>
        <v/>
      </c>
      <c r="AC8" s="436"/>
      <c r="AD8" s="436" t="str">
        <f>IF(AND('Riesgos de Gestión'!$O$37="Muy Alta",'Riesgos de Gestión'!$S$37="Mayor"),CONCATENATE("R",'Riesgos de Gestión'!$A$37),"")</f>
        <v/>
      </c>
      <c r="AE8" s="436"/>
      <c r="AF8" s="436" t="str">
        <f>IF(AND('Riesgos de Gestión'!$O$43="Muy Alta",'Riesgos de Gestión'!$S$43="Mayor"),CONCATENATE("R",'Riesgos de Gestión'!$A$43),"")</f>
        <v/>
      </c>
      <c r="AG8" s="437"/>
      <c r="AH8" s="447" t="str">
        <f>IF(AND('Riesgos de Gestión'!$O$31="Muy Alta",'Riesgos de Gestión'!$S$31="Catastrófico"),CONCATENATE("R",'Riesgos de Gestión'!$A$31),"")</f>
        <v/>
      </c>
      <c r="AI8" s="448"/>
      <c r="AJ8" s="448" t="str">
        <f>IF(AND('Riesgos de Gestión'!$O$37="Muy Alta",'Riesgos de Gestión'!$S$37="Catastrófico"),CONCATENATE("R",'Riesgos de Gestión'!$A$37),"")</f>
        <v/>
      </c>
      <c r="AK8" s="448"/>
      <c r="AL8" s="448" t="str">
        <f>IF(AND('Riesgos de Gestión'!$O$43="Muy Alta",'Riesgos de Gestión'!$S$43="Catastrófico"),CONCATENATE("R",'Riesgos de Gestión'!$A$43),"")</f>
        <v/>
      </c>
      <c r="AM8" s="449"/>
      <c r="AN8" s="66"/>
      <c r="AO8" s="394"/>
      <c r="AP8" s="395"/>
      <c r="AQ8" s="395"/>
      <c r="AR8" s="395"/>
      <c r="AS8" s="395"/>
      <c r="AT8" s="39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row>
    <row r="9" spans="1:99" ht="15" customHeight="1" x14ac:dyDescent="0.25">
      <c r="A9" s="66"/>
      <c r="B9" s="389"/>
      <c r="C9" s="389"/>
      <c r="D9" s="390"/>
      <c r="E9" s="430"/>
      <c r="F9" s="431"/>
      <c r="G9" s="431"/>
      <c r="H9" s="431"/>
      <c r="I9" s="432"/>
      <c r="J9" s="440"/>
      <c r="K9" s="436"/>
      <c r="L9" s="436"/>
      <c r="M9" s="436"/>
      <c r="N9" s="436"/>
      <c r="O9" s="437"/>
      <c r="P9" s="440"/>
      <c r="Q9" s="436"/>
      <c r="R9" s="436"/>
      <c r="S9" s="436"/>
      <c r="T9" s="436"/>
      <c r="U9" s="437"/>
      <c r="V9" s="440"/>
      <c r="W9" s="436"/>
      <c r="X9" s="436"/>
      <c r="Y9" s="436"/>
      <c r="Z9" s="436"/>
      <c r="AA9" s="437"/>
      <c r="AB9" s="440"/>
      <c r="AC9" s="436"/>
      <c r="AD9" s="436"/>
      <c r="AE9" s="436"/>
      <c r="AF9" s="436"/>
      <c r="AG9" s="437"/>
      <c r="AH9" s="447"/>
      <c r="AI9" s="448"/>
      <c r="AJ9" s="448"/>
      <c r="AK9" s="448"/>
      <c r="AL9" s="448"/>
      <c r="AM9" s="449"/>
      <c r="AN9" s="66"/>
      <c r="AO9" s="394"/>
      <c r="AP9" s="395"/>
      <c r="AQ9" s="395"/>
      <c r="AR9" s="395"/>
      <c r="AS9" s="395"/>
      <c r="AT9" s="39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row>
    <row r="10" spans="1:99" ht="15" customHeight="1" x14ac:dyDescent="0.25">
      <c r="A10" s="66"/>
      <c r="B10" s="389"/>
      <c r="C10" s="389"/>
      <c r="D10" s="390"/>
      <c r="E10" s="430"/>
      <c r="F10" s="431"/>
      <c r="G10" s="431"/>
      <c r="H10" s="431"/>
      <c r="I10" s="432"/>
      <c r="J10" s="440" t="str">
        <f>IF(AND('Riesgos de Gestión'!$O$49="Muy Alta",'Riesgos de Gestión'!$S$49="Leve"),CONCATENATE("R",'Riesgos de Gestión'!$A$49),"")</f>
        <v/>
      </c>
      <c r="K10" s="436"/>
      <c r="L10" s="436" t="str">
        <f>IF(AND('Riesgos de Gestión'!$O$55="Muy Alta",'Riesgos de Gestión'!$S$55="Leve"),CONCATENATE("R",'Riesgos de Gestión'!$A$55),"")</f>
        <v/>
      </c>
      <c r="M10" s="436"/>
      <c r="N10" s="436" t="str">
        <f>IF(AND('Riesgos de Gestión'!$O$61="Muy Alta",'Riesgos de Gestión'!$S$61="Leve"),CONCATENATE("R",'Riesgos de Gestión'!$A$61),"")</f>
        <v/>
      </c>
      <c r="O10" s="437"/>
      <c r="P10" s="440" t="str">
        <f>IF(AND('Riesgos de Gestión'!$O$49="Muy Alta",'Riesgos de Gestión'!$S$49="Menor"),CONCATENATE("R",'Riesgos de Gestión'!$A$49),"")</f>
        <v/>
      </c>
      <c r="Q10" s="436"/>
      <c r="R10" s="436" t="str">
        <f>IF(AND('Riesgos de Gestión'!$O$55="Muy Alta",'Riesgos de Gestión'!$S$55="Menor"),CONCATENATE("R",'Riesgos de Gestión'!$A$55),"")</f>
        <v/>
      </c>
      <c r="S10" s="436"/>
      <c r="T10" s="436" t="str">
        <f>IF(AND('Riesgos de Gestión'!$O$61="Muy Alta",'Riesgos de Gestión'!$S$61="Menor"),CONCATENATE("R",'Riesgos de Gestión'!$A$61),"")</f>
        <v/>
      </c>
      <c r="U10" s="437"/>
      <c r="V10" s="440" t="str">
        <f>IF(AND('Riesgos de Gestión'!$O$49="Muy Alta",'Riesgos de Gestión'!$S$49="Moderado"),CONCATENATE("R",'Riesgos de Gestión'!$A$49),"")</f>
        <v/>
      </c>
      <c r="W10" s="436"/>
      <c r="X10" s="436" t="str">
        <f>IF(AND('Riesgos de Gestión'!$O$55="Muy Alta",'Riesgos de Gestión'!$S$55="Moderado"),CONCATENATE("R",'Riesgos de Gestión'!$A$55),"")</f>
        <v/>
      </c>
      <c r="Y10" s="436"/>
      <c r="Z10" s="436" t="str">
        <f>IF(AND('Riesgos de Gestión'!$O$61="Muy Alta",'Riesgos de Gestión'!$S$61="Moderado"),CONCATENATE("R",'Riesgos de Gestión'!$A$61),"")</f>
        <v/>
      </c>
      <c r="AA10" s="437"/>
      <c r="AB10" s="440" t="str">
        <f>IF(AND('Riesgos de Gestión'!$O$49="Muy Alta",'Riesgos de Gestión'!$S$49="Mayor"),CONCATENATE("R",'Riesgos de Gestión'!$A$49),"")</f>
        <v/>
      </c>
      <c r="AC10" s="436"/>
      <c r="AD10" s="436" t="str">
        <f>IF(AND('Riesgos de Gestión'!$O$55="Muy Alta",'Riesgos de Gestión'!$S$55="Mayor"),CONCATENATE("R",'Riesgos de Gestión'!$A$55),"")</f>
        <v/>
      </c>
      <c r="AE10" s="436"/>
      <c r="AF10" s="436" t="str">
        <f>IF(AND('Riesgos de Gestión'!$O$61="Muy Alta",'Riesgos de Gestión'!$S$61="Mayor"),CONCATENATE("R",'Riesgos de Gestión'!$A$61),"")</f>
        <v/>
      </c>
      <c r="AG10" s="437"/>
      <c r="AH10" s="447" t="str">
        <f>IF(AND('Riesgos de Gestión'!$O$49="Muy Alta",'Riesgos de Gestión'!$S$49="Catastrófico"),CONCATENATE("R",'Riesgos de Gestión'!$A$49),"")</f>
        <v/>
      </c>
      <c r="AI10" s="448"/>
      <c r="AJ10" s="448" t="str">
        <f>IF(AND('Riesgos de Gestión'!$O$55="Muy Alta",'Riesgos de Gestión'!$S$55="Catastrófico"),CONCATENATE("R",'Riesgos de Gestión'!$A$55),"")</f>
        <v/>
      </c>
      <c r="AK10" s="448"/>
      <c r="AL10" s="448" t="str">
        <f>IF(AND('Riesgos de Gestión'!$O$61="Muy Alta",'Riesgos de Gestión'!$S$61="Catastrófico"),CONCATENATE("R",'Riesgos de Gestión'!$A$61),"")</f>
        <v/>
      </c>
      <c r="AM10" s="449"/>
      <c r="AN10" s="66"/>
      <c r="AO10" s="394"/>
      <c r="AP10" s="395"/>
      <c r="AQ10" s="395"/>
      <c r="AR10" s="395"/>
      <c r="AS10" s="395"/>
      <c r="AT10" s="39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row>
    <row r="11" spans="1:99" ht="15" customHeight="1" x14ac:dyDescent="0.25">
      <c r="A11" s="66"/>
      <c r="B11" s="389"/>
      <c r="C11" s="389"/>
      <c r="D11" s="390"/>
      <c r="E11" s="430"/>
      <c r="F11" s="431"/>
      <c r="G11" s="431"/>
      <c r="H11" s="431"/>
      <c r="I11" s="432"/>
      <c r="J11" s="440"/>
      <c r="K11" s="436"/>
      <c r="L11" s="436"/>
      <c r="M11" s="436"/>
      <c r="N11" s="436"/>
      <c r="O11" s="437"/>
      <c r="P11" s="440"/>
      <c r="Q11" s="436"/>
      <c r="R11" s="436"/>
      <c r="S11" s="436"/>
      <c r="T11" s="436"/>
      <c r="U11" s="437"/>
      <c r="V11" s="440"/>
      <c r="W11" s="436"/>
      <c r="X11" s="436"/>
      <c r="Y11" s="436"/>
      <c r="Z11" s="436"/>
      <c r="AA11" s="437"/>
      <c r="AB11" s="440"/>
      <c r="AC11" s="436"/>
      <c r="AD11" s="436"/>
      <c r="AE11" s="436"/>
      <c r="AF11" s="436"/>
      <c r="AG11" s="437"/>
      <c r="AH11" s="447"/>
      <c r="AI11" s="448"/>
      <c r="AJ11" s="448"/>
      <c r="AK11" s="448"/>
      <c r="AL11" s="448"/>
      <c r="AM11" s="449"/>
      <c r="AN11" s="66"/>
      <c r="AO11" s="394"/>
      <c r="AP11" s="395"/>
      <c r="AQ11" s="395"/>
      <c r="AR11" s="395"/>
      <c r="AS11" s="395"/>
      <c r="AT11" s="39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row>
    <row r="12" spans="1:99" ht="15" customHeight="1" x14ac:dyDescent="0.25">
      <c r="A12" s="66"/>
      <c r="B12" s="389"/>
      <c r="C12" s="389"/>
      <c r="D12" s="390"/>
      <c r="E12" s="430"/>
      <c r="F12" s="431"/>
      <c r="G12" s="431"/>
      <c r="H12" s="431"/>
      <c r="I12" s="432"/>
      <c r="J12" s="440" t="str">
        <f>IF(AND('Riesgos de Gestión'!$O$67="Muy Alta",'Riesgos de Gestión'!$S$67="Leve"),CONCATENATE("R",'Riesgos de Gestión'!$A$67),"")</f>
        <v/>
      </c>
      <c r="K12" s="436"/>
      <c r="L12" s="436" t="str">
        <f>IF(AND('Riesgos de Gestión'!$P$73="Muy Alta",'Riesgos de Gestión'!$T$73="Leve"),CONCATENATE("R",'Riesgos de Gestión'!$A$73),"")</f>
        <v/>
      </c>
      <c r="M12" s="436"/>
      <c r="N12" s="436" t="str">
        <f>IF(AND('Riesgos de Gestión'!$P$79="Muy Alta",'Riesgos de Gestión'!$T$79="Leve"),CONCATENATE("R",'Riesgos de Gestión'!$A$79),"")</f>
        <v/>
      </c>
      <c r="O12" s="437"/>
      <c r="P12" s="440" t="str">
        <f>IF(AND('Riesgos de Gestión'!$O$67="Muy Alta",'Riesgos de Gestión'!$S$67="Menor"),CONCATENATE("R",'Riesgos de Gestión'!$A$67),"")</f>
        <v/>
      </c>
      <c r="Q12" s="436"/>
      <c r="R12" s="436" t="str">
        <f>IF(AND('Riesgos de Gestión'!$P$73="Muy Alta",'Riesgos de Gestión'!$T$73="Menor"),CONCATENATE("R",'Riesgos de Gestión'!$A$73),"")</f>
        <v/>
      </c>
      <c r="S12" s="436"/>
      <c r="T12" s="436" t="str">
        <f>IF(AND('Riesgos de Gestión'!$P$79="Muy Alta",'Riesgos de Gestión'!$T$79="Menor"),CONCATENATE("R",'Riesgos de Gestión'!$A$79),"")</f>
        <v/>
      </c>
      <c r="U12" s="437"/>
      <c r="V12" s="440" t="str">
        <f>IF(AND('Riesgos de Gestión'!$O$67="Muy Alta",'Riesgos de Gestión'!$S$67="Moderado"),CONCATENATE("R",'Riesgos de Gestión'!$A$67),"")</f>
        <v/>
      </c>
      <c r="W12" s="436"/>
      <c r="X12" s="436" t="str">
        <f>IF(AND('Riesgos de Gestión'!$P$73="Muy Alta",'Riesgos de Gestión'!$T$73="Moderado"),CONCATENATE("R",'Riesgos de Gestión'!$A$73),"")</f>
        <v/>
      </c>
      <c r="Y12" s="436"/>
      <c r="Z12" s="436" t="str">
        <f>IF(AND('Riesgos de Gestión'!$P$79="Muy Alta",'Riesgos de Gestión'!$T$79="Moderado"),CONCATENATE("R",'Riesgos de Gestión'!$A$79),"")</f>
        <v/>
      </c>
      <c r="AA12" s="437"/>
      <c r="AB12" s="440" t="str">
        <f>IF(AND('Riesgos de Gestión'!$O$67="Muy Alta",'Riesgos de Gestión'!$S$67="Mayor"),CONCATENATE("R",'Riesgos de Gestión'!$A$67),"")</f>
        <v/>
      </c>
      <c r="AC12" s="436"/>
      <c r="AD12" s="436" t="str">
        <f>IF(AND('Riesgos de Gestión'!$P$73="Muy Alta",'Riesgos de Gestión'!$T$73="Mayor"),CONCATENATE("R",'Riesgos de Gestión'!$A$73),"")</f>
        <v/>
      </c>
      <c r="AE12" s="436"/>
      <c r="AF12" s="436" t="str">
        <f>IF(AND('Riesgos de Gestión'!$P$79="Muy Alta",'Riesgos de Gestión'!$T$79="Mayor"),CONCATENATE("R",'Riesgos de Gestión'!$A$79),"")</f>
        <v/>
      </c>
      <c r="AG12" s="437"/>
      <c r="AH12" s="447" t="str">
        <f>IF(AND('Riesgos de Gestión'!$O$67="Muy Alta",'Riesgos de Gestión'!$S$67="Catastrófico"),CONCATENATE("R",'Riesgos de Gestión'!$A$67),"")</f>
        <v/>
      </c>
      <c r="AI12" s="448"/>
      <c r="AJ12" s="448" t="str">
        <f>IF(AND('Riesgos de Gestión'!$P$73="Muy Alta",'Riesgos de Gestión'!$T$73="Catastrófico"),CONCATENATE("R",'Riesgos de Gestión'!$A$73),"")</f>
        <v/>
      </c>
      <c r="AK12" s="448"/>
      <c r="AL12" s="448" t="str">
        <f>IF(AND('Riesgos de Gestión'!$P$79="Muy Alta",'Riesgos de Gestión'!$T$79="Catastrófico"),CONCATENATE("R",'Riesgos de Gestión'!$A$79),"")</f>
        <v/>
      </c>
      <c r="AM12" s="449"/>
      <c r="AN12" s="66"/>
      <c r="AO12" s="394"/>
      <c r="AP12" s="395"/>
      <c r="AQ12" s="395"/>
      <c r="AR12" s="395"/>
      <c r="AS12" s="395"/>
      <c r="AT12" s="39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row>
    <row r="13" spans="1:99" ht="15.75" customHeight="1" thickBot="1" x14ac:dyDescent="0.3">
      <c r="A13" s="66"/>
      <c r="B13" s="389"/>
      <c r="C13" s="389"/>
      <c r="D13" s="390"/>
      <c r="E13" s="433"/>
      <c r="F13" s="434"/>
      <c r="G13" s="434"/>
      <c r="H13" s="434"/>
      <c r="I13" s="435"/>
      <c r="J13" s="440"/>
      <c r="K13" s="436"/>
      <c r="L13" s="436"/>
      <c r="M13" s="436"/>
      <c r="N13" s="436"/>
      <c r="O13" s="437"/>
      <c r="P13" s="440"/>
      <c r="Q13" s="436"/>
      <c r="R13" s="436"/>
      <c r="S13" s="436"/>
      <c r="T13" s="436"/>
      <c r="U13" s="437"/>
      <c r="V13" s="440"/>
      <c r="W13" s="436"/>
      <c r="X13" s="436"/>
      <c r="Y13" s="436"/>
      <c r="Z13" s="436"/>
      <c r="AA13" s="437"/>
      <c r="AB13" s="440"/>
      <c r="AC13" s="436"/>
      <c r="AD13" s="436"/>
      <c r="AE13" s="436"/>
      <c r="AF13" s="436"/>
      <c r="AG13" s="437"/>
      <c r="AH13" s="450"/>
      <c r="AI13" s="451"/>
      <c r="AJ13" s="451"/>
      <c r="AK13" s="451"/>
      <c r="AL13" s="451"/>
      <c r="AM13" s="452"/>
      <c r="AN13" s="66"/>
      <c r="AO13" s="397"/>
      <c r="AP13" s="398"/>
      <c r="AQ13" s="398"/>
      <c r="AR13" s="398"/>
      <c r="AS13" s="398"/>
      <c r="AT13" s="399"/>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row>
    <row r="14" spans="1:99" ht="15" customHeight="1" x14ac:dyDescent="0.25">
      <c r="A14" s="66"/>
      <c r="B14" s="389"/>
      <c r="C14" s="389"/>
      <c r="D14" s="390"/>
      <c r="E14" s="427" t="s">
        <v>253</v>
      </c>
      <c r="F14" s="428"/>
      <c r="G14" s="428"/>
      <c r="H14" s="428"/>
      <c r="I14" s="428"/>
      <c r="J14" s="462" t="str">
        <f>IF(AND('Riesgos de Gestión'!$O$13="Alta",'Riesgos de Gestión'!$S$13="Leve"),CONCATENATE("R",'Riesgos de Gestión'!$A$13),"")</f>
        <v/>
      </c>
      <c r="K14" s="463"/>
      <c r="L14" s="463" t="str">
        <f>IF(AND('Riesgos de Gestión'!$O$19="Alta",'Riesgos de Gestión'!$S$19="Leve"),CONCATENATE("R",'Riesgos de Gestión'!$A$19),"")</f>
        <v/>
      </c>
      <c r="M14" s="463"/>
      <c r="N14" s="463" t="str">
        <f>IF(AND('Riesgos de Gestión'!$O$25="Alta",'Riesgos de Gestión'!$S$25="Leve"),CONCATENATE("R",'Riesgos de Gestión'!$A$25),"")</f>
        <v/>
      </c>
      <c r="O14" s="464"/>
      <c r="P14" s="462" t="str">
        <f>IF(AND('Riesgos de Gestión'!$O$13="Alta",'Riesgos de Gestión'!$S$13="Menor"),CONCATENATE("R",'Riesgos de Gestión'!$A$13),"")</f>
        <v/>
      </c>
      <c r="Q14" s="463"/>
      <c r="R14" s="463" t="str">
        <f>IF(AND('Riesgos de Gestión'!$O$19="Alta",'Riesgos de Gestión'!$S$19="Menor"),CONCATENATE("R",'Riesgos de Gestión'!$A$19),"")</f>
        <v/>
      </c>
      <c r="S14" s="463"/>
      <c r="T14" s="463" t="str">
        <f>IF(AND('Riesgos de Gestión'!$O$25="Alta",'Riesgos de Gestión'!$S$25="Menor"),CONCATENATE("R",'Riesgos de Gestión'!$A$25),"")</f>
        <v/>
      </c>
      <c r="U14" s="464"/>
      <c r="V14" s="438" t="str">
        <f>IF(AND('Riesgos de Gestión'!$O$13="Alta",'Riesgos de Gestión'!$S$13="Moderado"),CONCATENATE("R",'Riesgos de Gestión'!$A$13),"")</f>
        <v/>
      </c>
      <c r="W14" s="439"/>
      <c r="X14" s="439" t="str">
        <f>IF(AND('Riesgos de Gestión'!$O$19="Alta",'Riesgos de Gestión'!$S$19="Moderado"),CONCATENATE("R",'Riesgos de Gestión'!$A$19),"")</f>
        <v/>
      </c>
      <c r="Y14" s="439"/>
      <c r="Z14" s="439" t="str">
        <f>IF(AND('Riesgos de Gestión'!$O$25="Alta",'Riesgos de Gestión'!$S$25="Moderado"),CONCATENATE("R",'Riesgos de Gestión'!$A$25),"")</f>
        <v/>
      </c>
      <c r="AA14" s="441"/>
      <c r="AB14" s="438" t="str">
        <f>IF(AND('Riesgos de Gestión'!$O$13="Alta",'Riesgos de Gestión'!$S$13="Mayor"),CONCATENATE("R",'Riesgos de Gestión'!$A$13),"")</f>
        <v/>
      </c>
      <c r="AC14" s="439"/>
      <c r="AD14" s="439" t="str">
        <f>IF(AND('Riesgos de Gestión'!$O$19="Alta",'Riesgos de Gestión'!$S$19="Mayor"),CONCATENATE("R",'Riesgos de Gestión'!$A$19),"")</f>
        <v/>
      </c>
      <c r="AE14" s="439"/>
      <c r="AF14" s="439" t="str">
        <f>IF(AND('Riesgos de Gestión'!$O$25="Alta",'Riesgos de Gestión'!$S$25="Mayor"),CONCATENATE("R",'Riesgos de Gestión'!$A$25),"")</f>
        <v/>
      </c>
      <c r="AG14" s="441"/>
      <c r="AH14" s="453" t="str">
        <f>IF(AND('Riesgos de Gestión'!$O$13="Alta",'Riesgos de Gestión'!$S$13="Catastrófico"),CONCATENATE("R",'Riesgos de Gestión'!$A$13),"")</f>
        <v/>
      </c>
      <c r="AI14" s="454"/>
      <c r="AJ14" s="454" t="str">
        <f>IF(AND('Riesgos de Gestión'!$O$19="Alta",'Riesgos de Gestión'!$S$19="Catastrófico"),CONCATENATE("R",'Riesgos de Gestión'!$A$19),"")</f>
        <v/>
      </c>
      <c r="AK14" s="454"/>
      <c r="AL14" s="454" t="str">
        <f>IF(AND('Riesgos de Gestión'!$O$25="Alta",'Riesgos de Gestión'!$S$25="Catastrófico"),CONCATENATE("R",'Riesgos de Gestión'!$A$25),"")</f>
        <v/>
      </c>
      <c r="AM14" s="455"/>
      <c r="AN14" s="66"/>
      <c r="AO14" s="400" t="s">
        <v>254</v>
      </c>
      <c r="AP14" s="401"/>
      <c r="AQ14" s="401"/>
      <c r="AR14" s="401"/>
      <c r="AS14" s="401"/>
      <c r="AT14" s="402"/>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row>
    <row r="15" spans="1:99" ht="15" customHeight="1" x14ac:dyDescent="0.25">
      <c r="A15" s="66"/>
      <c r="B15" s="389"/>
      <c r="C15" s="389"/>
      <c r="D15" s="390"/>
      <c r="E15" s="430"/>
      <c r="F15" s="431"/>
      <c r="G15" s="431"/>
      <c r="H15" s="431"/>
      <c r="I15" s="431"/>
      <c r="J15" s="456"/>
      <c r="K15" s="457"/>
      <c r="L15" s="457"/>
      <c r="M15" s="457"/>
      <c r="N15" s="457"/>
      <c r="O15" s="458"/>
      <c r="P15" s="456"/>
      <c r="Q15" s="457"/>
      <c r="R15" s="457"/>
      <c r="S15" s="457"/>
      <c r="T15" s="457"/>
      <c r="U15" s="458"/>
      <c r="V15" s="440"/>
      <c r="W15" s="436"/>
      <c r="X15" s="436"/>
      <c r="Y15" s="436"/>
      <c r="Z15" s="436"/>
      <c r="AA15" s="437"/>
      <c r="AB15" s="440"/>
      <c r="AC15" s="436"/>
      <c r="AD15" s="436"/>
      <c r="AE15" s="436"/>
      <c r="AF15" s="436"/>
      <c r="AG15" s="437"/>
      <c r="AH15" s="447"/>
      <c r="AI15" s="448"/>
      <c r="AJ15" s="448"/>
      <c r="AK15" s="448"/>
      <c r="AL15" s="448"/>
      <c r="AM15" s="449"/>
      <c r="AN15" s="66"/>
      <c r="AO15" s="403"/>
      <c r="AP15" s="404"/>
      <c r="AQ15" s="404"/>
      <c r="AR15" s="404"/>
      <c r="AS15" s="404"/>
      <c r="AT15" s="405"/>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row>
    <row r="16" spans="1:99" ht="15" customHeight="1" x14ac:dyDescent="0.25">
      <c r="A16" s="66"/>
      <c r="B16" s="389"/>
      <c r="C16" s="389"/>
      <c r="D16" s="390"/>
      <c r="E16" s="430"/>
      <c r="F16" s="431"/>
      <c r="G16" s="431"/>
      <c r="H16" s="431"/>
      <c r="I16" s="431"/>
      <c r="J16" s="456" t="str">
        <f>IF(AND('Riesgos de Gestión'!$O$31="Alta",'Riesgos de Gestión'!$S$31="Leve"),CONCATENATE("R",'Riesgos de Gestión'!$A$31),"")</f>
        <v/>
      </c>
      <c r="K16" s="457"/>
      <c r="L16" s="457" t="str">
        <f>IF(AND('Riesgos de Gestión'!$O$37="Alta",'Riesgos de Gestión'!$S$37="Leve"),CONCATENATE("R",'Riesgos de Gestión'!$A$37),"")</f>
        <v/>
      </c>
      <c r="M16" s="457"/>
      <c r="N16" s="457" t="str">
        <f>IF(AND('Riesgos de Gestión'!$O$43="Alta",'Riesgos de Gestión'!$S$43="Leve"),CONCATENATE("R",'Riesgos de Gestión'!$A$43),"")</f>
        <v/>
      </c>
      <c r="O16" s="458"/>
      <c r="P16" s="456" t="str">
        <f>IF(AND('Riesgos de Gestión'!$O$31="Alta",'Riesgos de Gestión'!$S$31="Menor"),CONCATENATE("R",'Riesgos de Gestión'!$A$31),"")</f>
        <v/>
      </c>
      <c r="Q16" s="457"/>
      <c r="R16" s="457" t="str">
        <f>IF(AND('Riesgos de Gestión'!$O$37="Alta",'Riesgos de Gestión'!$S$37="Menor"),CONCATENATE("R",'Riesgos de Gestión'!$A$37),"")</f>
        <v/>
      </c>
      <c r="S16" s="457"/>
      <c r="T16" s="457" t="str">
        <f>IF(AND('Riesgos de Gestión'!$O$43="Alta",'Riesgos de Gestión'!$S$43="Menor"),CONCATENATE("R",'Riesgos de Gestión'!$A$43),"")</f>
        <v/>
      </c>
      <c r="U16" s="458"/>
      <c r="V16" s="440" t="str">
        <f>IF(AND('Riesgos de Gestión'!$O$31="Alta",'Riesgos de Gestión'!$S$31="Moderado"),CONCATENATE("R",'Riesgos de Gestión'!$A$31),"")</f>
        <v/>
      </c>
      <c r="W16" s="436"/>
      <c r="X16" s="436" t="str">
        <f>IF(AND('Riesgos de Gestión'!$O$37="Alta",'Riesgos de Gestión'!$S$37="Moderado"),CONCATENATE("R",'Riesgos de Gestión'!$A$37),"")</f>
        <v/>
      </c>
      <c r="Y16" s="436"/>
      <c r="Z16" s="436" t="str">
        <f>IF(AND('Riesgos de Gestión'!$O$43="Alta",'Riesgos de Gestión'!$S$43="Moderado"),CONCATENATE("R",'Riesgos de Gestión'!$A$43),"")</f>
        <v/>
      </c>
      <c r="AA16" s="437"/>
      <c r="AB16" s="440" t="str">
        <f>IF(AND('Riesgos de Gestión'!$O$31="Alta",'Riesgos de Gestión'!$S$31="Mayor"),CONCATENATE("R",'Riesgos de Gestión'!$A$31),"")</f>
        <v/>
      </c>
      <c r="AC16" s="436"/>
      <c r="AD16" s="436" t="str">
        <f>IF(AND('Riesgos de Gestión'!$O$37="Alta",'Riesgos de Gestión'!$S$37="Mayor"),CONCATENATE("R",'Riesgos de Gestión'!$A$37),"")</f>
        <v/>
      </c>
      <c r="AE16" s="436"/>
      <c r="AF16" s="436" t="str">
        <f>IF(AND('Riesgos de Gestión'!$O$43="Alta",'Riesgos de Gestión'!$S$43="Mayor"),CONCATENATE("R",'Riesgos de Gestión'!$A$43),"")</f>
        <v/>
      </c>
      <c r="AG16" s="437"/>
      <c r="AH16" s="447" t="str">
        <f>IF(AND('Riesgos de Gestión'!$O$31="Alta",'Riesgos de Gestión'!$S$31="Catastrófico"),CONCATENATE("R",'Riesgos de Gestión'!$A$31),"")</f>
        <v/>
      </c>
      <c r="AI16" s="448"/>
      <c r="AJ16" s="448" t="str">
        <f>IF(AND('Riesgos de Gestión'!$O$37="Alta",'Riesgos de Gestión'!$S$37="Catastrófico"),CONCATENATE("R",'Riesgos de Gestión'!$A$37),"")</f>
        <v/>
      </c>
      <c r="AK16" s="448"/>
      <c r="AL16" s="448" t="str">
        <f>IF(AND('Riesgos de Gestión'!$O$43="Alta",'Riesgos de Gestión'!$S$43="Catastrófico"),CONCATENATE("R",'Riesgos de Gestión'!$A$43),"")</f>
        <v/>
      </c>
      <c r="AM16" s="449"/>
      <c r="AN16" s="66"/>
      <c r="AO16" s="403"/>
      <c r="AP16" s="404"/>
      <c r="AQ16" s="404"/>
      <c r="AR16" s="404"/>
      <c r="AS16" s="404"/>
      <c r="AT16" s="405"/>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row>
    <row r="17" spans="1:80" ht="15" customHeight="1" x14ac:dyDescent="0.25">
      <c r="A17" s="66"/>
      <c r="B17" s="389"/>
      <c r="C17" s="389"/>
      <c r="D17" s="390"/>
      <c r="E17" s="430"/>
      <c r="F17" s="431"/>
      <c r="G17" s="431"/>
      <c r="H17" s="431"/>
      <c r="I17" s="431"/>
      <c r="J17" s="456"/>
      <c r="K17" s="457"/>
      <c r="L17" s="457"/>
      <c r="M17" s="457"/>
      <c r="N17" s="457"/>
      <c r="O17" s="458"/>
      <c r="P17" s="456"/>
      <c r="Q17" s="457"/>
      <c r="R17" s="457"/>
      <c r="S17" s="457"/>
      <c r="T17" s="457"/>
      <c r="U17" s="458"/>
      <c r="V17" s="440"/>
      <c r="W17" s="436"/>
      <c r="X17" s="436"/>
      <c r="Y17" s="436"/>
      <c r="Z17" s="436"/>
      <c r="AA17" s="437"/>
      <c r="AB17" s="440"/>
      <c r="AC17" s="436"/>
      <c r="AD17" s="436"/>
      <c r="AE17" s="436"/>
      <c r="AF17" s="436"/>
      <c r="AG17" s="437"/>
      <c r="AH17" s="447"/>
      <c r="AI17" s="448"/>
      <c r="AJ17" s="448"/>
      <c r="AK17" s="448"/>
      <c r="AL17" s="448"/>
      <c r="AM17" s="449"/>
      <c r="AN17" s="66"/>
      <c r="AO17" s="403"/>
      <c r="AP17" s="404"/>
      <c r="AQ17" s="404"/>
      <c r="AR17" s="404"/>
      <c r="AS17" s="404"/>
      <c r="AT17" s="405"/>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row>
    <row r="18" spans="1:80" ht="15" customHeight="1" x14ac:dyDescent="0.25">
      <c r="A18" s="66"/>
      <c r="B18" s="389"/>
      <c r="C18" s="389"/>
      <c r="D18" s="390"/>
      <c r="E18" s="430"/>
      <c r="F18" s="431"/>
      <c r="G18" s="431"/>
      <c r="H18" s="431"/>
      <c r="I18" s="431"/>
      <c r="J18" s="456" t="str">
        <f>IF(AND('Riesgos de Gestión'!$O$49="Alta",'Riesgos de Gestión'!$S$49="Leve"),CONCATENATE("R",'Riesgos de Gestión'!$A$49),"")</f>
        <v/>
      </c>
      <c r="K18" s="457"/>
      <c r="L18" s="457" t="str">
        <f>IF(AND('Riesgos de Gestión'!$O$55="Alta",'Riesgos de Gestión'!$S$55="Leve"),CONCATENATE("R",'Riesgos de Gestión'!$A$55),"")</f>
        <v/>
      </c>
      <c r="M18" s="457"/>
      <c r="N18" s="457" t="str">
        <f>IF(AND('Riesgos de Gestión'!$O$61="Alta",'Riesgos de Gestión'!$S$61="Leve"),CONCATENATE("R",'Riesgos de Gestión'!$A$61),"")</f>
        <v/>
      </c>
      <c r="O18" s="458"/>
      <c r="P18" s="456" t="str">
        <f>IF(AND('Riesgos de Gestión'!$O$49="Alta",'Riesgos de Gestión'!$S$49="Menor"),CONCATENATE("R",'Riesgos de Gestión'!$A$49),"")</f>
        <v/>
      </c>
      <c r="Q18" s="457"/>
      <c r="R18" s="457" t="str">
        <f>IF(AND('Riesgos de Gestión'!$O$55="Alta",'Riesgos de Gestión'!$S$55="Menor"),CONCATENATE("R",'Riesgos de Gestión'!$A$55),"")</f>
        <v/>
      </c>
      <c r="S18" s="457"/>
      <c r="T18" s="457" t="str">
        <f>IF(AND('Riesgos de Gestión'!$O$61="Alta",'Riesgos de Gestión'!$S$61="Menor"),CONCATENATE("R",'Riesgos de Gestión'!$A$61),"")</f>
        <v/>
      </c>
      <c r="U18" s="458"/>
      <c r="V18" s="440" t="str">
        <f>IF(AND('Riesgos de Gestión'!$O$49="Alta",'Riesgos de Gestión'!$S$49="Moderado"),CONCATENATE("R",'Riesgos de Gestión'!$A$49),"")</f>
        <v/>
      </c>
      <c r="W18" s="436"/>
      <c r="X18" s="436" t="str">
        <f>IF(AND('Riesgos de Gestión'!$O$55="Alta",'Riesgos de Gestión'!$S$55="Moderado"),CONCATENATE("R",'Riesgos de Gestión'!$A$55),"")</f>
        <v/>
      </c>
      <c r="Y18" s="436"/>
      <c r="Z18" s="436" t="str">
        <f>IF(AND('Riesgos de Gestión'!$O$61="Alta",'Riesgos de Gestión'!$S$61="Moderado"),CONCATENATE("R",'Riesgos de Gestión'!$A$61),"")</f>
        <v/>
      </c>
      <c r="AA18" s="437"/>
      <c r="AB18" s="440" t="str">
        <f>IF(AND('Riesgos de Gestión'!$O$49="Alta",'Riesgos de Gestión'!$S$49="Mayor"),CONCATENATE("R",'Riesgos de Gestión'!$A$49),"")</f>
        <v/>
      </c>
      <c r="AC18" s="436"/>
      <c r="AD18" s="436" t="str">
        <f>IF(AND('Riesgos de Gestión'!$O$55="Alta",'Riesgos de Gestión'!$S$55="Mayor"),CONCATENATE("R",'Riesgos de Gestión'!$A$55),"")</f>
        <v/>
      </c>
      <c r="AE18" s="436"/>
      <c r="AF18" s="436" t="str">
        <f>IF(AND('Riesgos de Gestión'!$O$61="Alta",'Riesgos de Gestión'!$S$61="Mayor"),CONCATENATE("R",'Riesgos de Gestión'!$A$61),"")</f>
        <v/>
      </c>
      <c r="AG18" s="437"/>
      <c r="AH18" s="447" t="str">
        <f>IF(AND('Riesgos de Gestión'!$O$49="Alta",'Riesgos de Gestión'!$S$49="Catastrófico"),CONCATENATE("R",'Riesgos de Gestión'!$A$49),"")</f>
        <v/>
      </c>
      <c r="AI18" s="448"/>
      <c r="AJ18" s="448" t="str">
        <f>IF(AND('Riesgos de Gestión'!$O$55="Alta",'Riesgos de Gestión'!$S$55="Catastrófico"),CONCATENATE("R",'Riesgos de Gestión'!$A$55),"")</f>
        <v/>
      </c>
      <c r="AK18" s="448"/>
      <c r="AL18" s="448" t="str">
        <f>IF(AND('Riesgos de Gestión'!$O$61="Alta",'Riesgos de Gestión'!$S$61="Catastrófico"),CONCATENATE("R",'Riesgos de Gestión'!$A$61),"")</f>
        <v/>
      </c>
      <c r="AM18" s="449"/>
      <c r="AN18" s="66"/>
      <c r="AO18" s="403"/>
      <c r="AP18" s="404"/>
      <c r="AQ18" s="404"/>
      <c r="AR18" s="404"/>
      <c r="AS18" s="404"/>
      <c r="AT18" s="405"/>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row>
    <row r="19" spans="1:80" ht="15" customHeight="1" x14ac:dyDescent="0.25">
      <c r="A19" s="66"/>
      <c r="B19" s="389"/>
      <c r="C19" s="389"/>
      <c r="D19" s="390"/>
      <c r="E19" s="430"/>
      <c r="F19" s="431"/>
      <c r="G19" s="431"/>
      <c r="H19" s="431"/>
      <c r="I19" s="431"/>
      <c r="J19" s="456"/>
      <c r="K19" s="457"/>
      <c r="L19" s="457"/>
      <c r="M19" s="457"/>
      <c r="N19" s="457"/>
      <c r="O19" s="458"/>
      <c r="P19" s="456"/>
      <c r="Q19" s="457"/>
      <c r="R19" s="457"/>
      <c r="S19" s="457"/>
      <c r="T19" s="457"/>
      <c r="U19" s="458"/>
      <c r="V19" s="440"/>
      <c r="W19" s="436"/>
      <c r="X19" s="436"/>
      <c r="Y19" s="436"/>
      <c r="Z19" s="436"/>
      <c r="AA19" s="437"/>
      <c r="AB19" s="440"/>
      <c r="AC19" s="436"/>
      <c r="AD19" s="436"/>
      <c r="AE19" s="436"/>
      <c r="AF19" s="436"/>
      <c r="AG19" s="437"/>
      <c r="AH19" s="447"/>
      <c r="AI19" s="448"/>
      <c r="AJ19" s="448"/>
      <c r="AK19" s="448"/>
      <c r="AL19" s="448"/>
      <c r="AM19" s="449"/>
      <c r="AN19" s="66"/>
      <c r="AO19" s="403"/>
      <c r="AP19" s="404"/>
      <c r="AQ19" s="404"/>
      <c r="AR19" s="404"/>
      <c r="AS19" s="404"/>
      <c r="AT19" s="405"/>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row>
    <row r="20" spans="1:80" ht="15" customHeight="1" x14ac:dyDescent="0.25">
      <c r="A20" s="66"/>
      <c r="B20" s="389"/>
      <c r="C20" s="389"/>
      <c r="D20" s="390"/>
      <c r="E20" s="430"/>
      <c r="F20" s="431"/>
      <c r="G20" s="431"/>
      <c r="H20" s="431"/>
      <c r="I20" s="431"/>
      <c r="J20" s="456" t="str">
        <f>IF(AND('Riesgos de Gestión'!$O$67="Alta",'Riesgos de Gestión'!$S$67="Leve"),CONCATENATE("R",'Riesgos de Gestión'!$A$67),"")</f>
        <v/>
      </c>
      <c r="K20" s="457"/>
      <c r="L20" s="457" t="str">
        <f>IF(AND('Riesgos de Gestión'!$P$73="Alta",'Riesgos de Gestión'!$T$73="Leve"),CONCATENATE("R",'Riesgos de Gestión'!$A$73),"")</f>
        <v/>
      </c>
      <c r="M20" s="457"/>
      <c r="N20" s="457" t="str">
        <f>IF(AND('Riesgos de Gestión'!$P$79="Alta",'Riesgos de Gestión'!$T$79="Leve"),CONCATENATE("R",'Riesgos de Gestión'!$A$79),"")</f>
        <v/>
      </c>
      <c r="O20" s="458"/>
      <c r="P20" s="456" t="str">
        <f>IF(AND('Riesgos de Gestión'!$O$67="Alta",'Riesgos de Gestión'!$S$67="Menor"),CONCATENATE("R",'Riesgos de Gestión'!$A$67),"")</f>
        <v/>
      </c>
      <c r="Q20" s="457"/>
      <c r="R20" s="457" t="str">
        <f>IF(AND('Riesgos de Gestión'!$P$73="Alta",'Riesgos de Gestión'!$T$73="Menor"),CONCATENATE("R",'Riesgos de Gestión'!$A$73),"")</f>
        <v/>
      </c>
      <c r="S20" s="457"/>
      <c r="T20" s="457" t="str">
        <f>IF(AND('Riesgos de Gestión'!$P$79="Alta",'Riesgos de Gestión'!$T$79="Menor"),CONCATENATE("R",'Riesgos de Gestión'!$A$79),"")</f>
        <v/>
      </c>
      <c r="U20" s="458"/>
      <c r="V20" s="440" t="str">
        <f>IF(AND('Riesgos de Gestión'!$O$67="Alta",'Riesgos de Gestión'!$S$67="Moderado"),CONCATENATE("R",'Riesgos de Gestión'!$A$67),"")</f>
        <v/>
      </c>
      <c r="W20" s="436"/>
      <c r="X20" s="436" t="str">
        <f>IF(AND('Riesgos de Gestión'!$P$73="Alta",'Riesgos de Gestión'!$T$73="Moderado"),CONCATENATE("R",'Riesgos de Gestión'!$A$73),"")</f>
        <v/>
      </c>
      <c r="Y20" s="436"/>
      <c r="Z20" s="436" t="str">
        <f>IF(AND('Riesgos de Gestión'!$P$79="Alta",'Riesgos de Gestión'!$T$79="Moderado"),CONCATENATE("R",'Riesgos de Gestión'!$A$79),"")</f>
        <v/>
      </c>
      <c r="AA20" s="437"/>
      <c r="AB20" s="440" t="str">
        <f>IF(AND('Riesgos de Gestión'!$O$67="Alta",'Riesgos de Gestión'!$S$67="Mayor"),CONCATENATE("R",'Riesgos de Gestión'!$A$67),"")</f>
        <v/>
      </c>
      <c r="AC20" s="436"/>
      <c r="AD20" s="436" t="str">
        <f>IF(AND('Riesgos de Gestión'!$P$73="Alta",'Riesgos de Gestión'!$T$73="Mayor"),CONCATENATE("R",'Riesgos de Gestión'!$A$73),"")</f>
        <v/>
      </c>
      <c r="AE20" s="436"/>
      <c r="AF20" s="436" t="str">
        <f>IF(AND('Riesgos de Gestión'!$P$79="Alta",'Riesgos de Gestión'!$T$79="Mayor"),CONCATENATE("R",'Riesgos de Gestión'!$A$79),"")</f>
        <v/>
      </c>
      <c r="AG20" s="437"/>
      <c r="AH20" s="447" t="str">
        <f>IF(AND('Riesgos de Gestión'!$O$67="Alta",'Riesgos de Gestión'!$S$67="Catastrófico"),CONCATENATE("R",'Riesgos de Gestión'!$A$67),"")</f>
        <v/>
      </c>
      <c r="AI20" s="448"/>
      <c r="AJ20" s="448" t="str">
        <f>IF(AND('Riesgos de Gestión'!$P$73="Alta",'Riesgos de Gestión'!$T$73="Catastrófico"),CONCATENATE("R",'Riesgos de Gestión'!$A$73),"")</f>
        <v/>
      </c>
      <c r="AK20" s="448"/>
      <c r="AL20" s="448" t="str">
        <f>IF(AND('Riesgos de Gestión'!$P$79="Alta",'Riesgos de Gestión'!$T$79="Catastrófico"),CONCATENATE("R",'Riesgos de Gestión'!$A$79),"")</f>
        <v/>
      </c>
      <c r="AM20" s="449"/>
      <c r="AN20" s="66"/>
      <c r="AO20" s="403"/>
      <c r="AP20" s="404"/>
      <c r="AQ20" s="404"/>
      <c r="AR20" s="404"/>
      <c r="AS20" s="404"/>
      <c r="AT20" s="405"/>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row>
    <row r="21" spans="1:80" ht="15.75" customHeight="1" thickBot="1" x14ac:dyDescent="0.3">
      <c r="A21" s="66"/>
      <c r="B21" s="389"/>
      <c r="C21" s="389"/>
      <c r="D21" s="390"/>
      <c r="E21" s="433"/>
      <c r="F21" s="434"/>
      <c r="G21" s="434"/>
      <c r="H21" s="434"/>
      <c r="I21" s="434"/>
      <c r="J21" s="459"/>
      <c r="K21" s="460"/>
      <c r="L21" s="460"/>
      <c r="M21" s="460"/>
      <c r="N21" s="460"/>
      <c r="O21" s="461"/>
      <c r="P21" s="459"/>
      <c r="Q21" s="460"/>
      <c r="R21" s="460"/>
      <c r="S21" s="460"/>
      <c r="T21" s="460"/>
      <c r="U21" s="461"/>
      <c r="V21" s="444"/>
      <c r="W21" s="445"/>
      <c r="X21" s="445"/>
      <c r="Y21" s="445"/>
      <c r="Z21" s="445"/>
      <c r="AA21" s="446"/>
      <c r="AB21" s="444"/>
      <c r="AC21" s="445"/>
      <c r="AD21" s="445"/>
      <c r="AE21" s="445"/>
      <c r="AF21" s="445"/>
      <c r="AG21" s="446"/>
      <c r="AH21" s="450"/>
      <c r="AI21" s="451"/>
      <c r="AJ21" s="451"/>
      <c r="AK21" s="451"/>
      <c r="AL21" s="451"/>
      <c r="AM21" s="452"/>
      <c r="AN21" s="66"/>
      <c r="AO21" s="406"/>
      <c r="AP21" s="407"/>
      <c r="AQ21" s="407"/>
      <c r="AR21" s="407"/>
      <c r="AS21" s="407"/>
      <c r="AT21" s="408"/>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row>
    <row r="22" spans="1:80" x14ac:dyDescent="0.25">
      <c r="A22" s="66"/>
      <c r="B22" s="389"/>
      <c r="C22" s="389"/>
      <c r="D22" s="390"/>
      <c r="E22" s="427" t="s">
        <v>255</v>
      </c>
      <c r="F22" s="428"/>
      <c r="G22" s="428"/>
      <c r="H22" s="428"/>
      <c r="I22" s="429"/>
      <c r="J22" s="462" t="str">
        <f>IF(AND('Riesgos de Gestión'!$O$13="Media",'Riesgos de Gestión'!$S$13="Leve"),CONCATENATE("R",'Riesgos de Gestión'!$A$13),"")</f>
        <v/>
      </c>
      <c r="K22" s="463"/>
      <c r="L22" s="463" t="str">
        <f>IF(AND('Riesgos de Gestión'!$O$19="Media",'Riesgos de Gestión'!$S$19="Leve"),CONCATENATE("R",'Riesgos de Gestión'!$A$19),"")</f>
        <v/>
      </c>
      <c r="M22" s="463"/>
      <c r="N22" s="463" t="str">
        <f>IF(AND('Riesgos de Gestión'!$O$25="Media",'Riesgos de Gestión'!$S$25="Leve"),CONCATENATE("R",'Riesgos de Gestión'!$A$25),"")</f>
        <v/>
      </c>
      <c r="O22" s="464"/>
      <c r="P22" s="462" t="str">
        <f>IF(AND('Riesgos de Gestión'!$O$13="Media",'Riesgos de Gestión'!$S$13="Menor"),CONCATENATE("R",'Riesgos de Gestión'!$A$13),"")</f>
        <v/>
      </c>
      <c r="Q22" s="463"/>
      <c r="R22" s="463" t="str">
        <f>IF(AND('Riesgos de Gestión'!$O$19="Media",'Riesgos de Gestión'!$S$19="Menor"),CONCATENATE("R",'Riesgos de Gestión'!$A$19),"")</f>
        <v/>
      </c>
      <c r="S22" s="463"/>
      <c r="T22" s="463" t="str">
        <f>IF(AND('Riesgos de Gestión'!$O$25="Media",'Riesgos de Gestión'!$S$25="Menor"),CONCATENATE("R",'Riesgos de Gestión'!$A$25),"")</f>
        <v/>
      </c>
      <c r="U22" s="464"/>
      <c r="V22" s="462" t="str">
        <f>IF(AND('Riesgos de Gestión'!$O$13="Media",'Riesgos de Gestión'!$S$13="Moderado"),CONCATENATE("R",'Riesgos de Gestión'!$A$13),"")</f>
        <v/>
      </c>
      <c r="W22" s="463"/>
      <c r="X22" s="463" t="str">
        <f>IF(AND('Riesgos de Gestión'!$O$19="Media",'Riesgos de Gestión'!$S$19="Moderado"),CONCATENATE("R",'Riesgos de Gestión'!$A$19),"")</f>
        <v/>
      </c>
      <c r="Y22" s="463"/>
      <c r="Z22" s="463" t="str">
        <f>IF(AND('Riesgos de Gestión'!$O$25="Media",'Riesgos de Gestión'!$S$25="Moderado"),CONCATENATE("R",'Riesgos de Gestión'!$A$25),"")</f>
        <v/>
      </c>
      <c r="AA22" s="464"/>
      <c r="AB22" s="438" t="str">
        <f>IF(AND('Riesgos de Gestión'!$O$13="Media",'Riesgos de Gestión'!$S$13="Mayor"),CONCATENATE("R",'Riesgos de Gestión'!$A$13),"")</f>
        <v/>
      </c>
      <c r="AC22" s="439"/>
      <c r="AD22" s="439" t="str">
        <f>IF(AND('Riesgos de Gestión'!$O$19="Media",'Riesgos de Gestión'!$S$19="Mayor"),CONCATENATE("R",'Riesgos de Gestión'!$A$19),"")</f>
        <v/>
      </c>
      <c r="AE22" s="439"/>
      <c r="AF22" s="439" t="str">
        <f>IF(AND('Riesgos de Gestión'!$O$25="Media",'Riesgos de Gestión'!$S$25="Mayor"),CONCATENATE("R",'Riesgos de Gestión'!$A$25),"")</f>
        <v/>
      </c>
      <c r="AG22" s="441"/>
      <c r="AH22" s="453" t="str">
        <f>IF(AND('Riesgos de Gestión'!$O$13="Media",'Riesgos de Gestión'!$S$13="Catastrófico"),CONCATENATE("R",'Riesgos de Gestión'!$A$13),"")</f>
        <v/>
      </c>
      <c r="AI22" s="454"/>
      <c r="AJ22" s="454" t="str">
        <f>IF(AND('Riesgos de Gestión'!$O$19="Media",'Riesgos de Gestión'!$S$19="Catastrófico"),CONCATENATE("R",'Riesgos de Gestión'!$A$19),"")</f>
        <v/>
      </c>
      <c r="AK22" s="454"/>
      <c r="AL22" s="454" t="str">
        <f>IF(AND('Riesgos de Gestión'!$O$25="Media",'Riesgos de Gestión'!$S$25="Catastrófico"),CONCATENATE("R",'Riesgos de Gestión'!$A$25),"")</f>
        <v/>
      </c>
      <c r="AM22" s="455"/>
      <c r="AN22" s="66"/>
      <c r="AO22" s="409" t="s">
        <v>256</v>
      </c>
      <c r="AP22" s="410"/>
      <c r="AQ22" s="410"/>
      <c r="AR22" s="410"/>
      <c r="AS22" s="410"/>
      <c r="AT22" s="411"/>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row>
    <row r="23" spans="1:80" x14ac:dyDescent="0.25">
      <c r="A23" s="66"/>
      <c r="B23" s="389"/>
      <c r="C23" s="389"/>
      <c r="D23" s="390"/>
      <c r="E23" s="430"/>
      <c r="F23" s="431"/>
      <c r="G23" s="431"/>
      <c r="H23" s="431"/>
      <c r="I23" s="432"/>
      <c r="J23" s="456"/>
      <c r="K23" s="457"/>
      <c r="L23" s="457"/>
      <c r="M23" s="457"/>
      <c r="N23" s="457"/>
      <c r="O23" s="458"/>
      <c r="P23" s="456"/>
      <c r="Q23" s="457"/>
      <c r="R23" s="457"/>
      <c r="S23" s="457"/>
      <c r="T23" s="457"/>
      <c r="U23" s="458"/>
      <c r="V23" s="456"/>
      <c r="W23" s="457"/>
      <c r="X23" s="457"/>
      <c r="Y23" s="457"/>
      <c r="Z23" s="457"/>
      <c r="AA23" s="458"/>
      <c r="AB23" s="440"/>
      <c r="AC23" s="436"/>
      <c r="AD23" s="436"/>
      <c r="AE23" s="436"/>
      <c r="AF23" s="436"/>
      <c r="AG23" s="437"/>
      <c r="AH23" s="447"/>
      <c r="AI23" s="448"/>
      <c r="AJ23" s="448"/>
      <c r="AK23" s="448"/>
      <c r="AL23" s="448"/>
      <c r="AM23" s="449"/>
      <c r="AN23" s="66"/>
      <c r="AO23" s="412"/>
      <c r="AP23" s="413"/>
      <c r="AQ23" s="413"/>
      <c r="AR23" s="413"/>
      <c r="AS23" s="413"/>
      <c r="AT23" s="414"/>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row>
    <row r="24" spans="1:80" x14ac:dyDescent="0.25">
      <c r="A24" s="66"/>
      <c r="B24" s="389"/>
      <c r="C24" s="389"/>
      <c r="D24" s="390"/>
      <c r="E24" s="430"/>
      <c r="F24" s="431"/>
      <c r="G24" s="431"/>
      <c r="H24" s="431"/>
      <c r="I24" s="432"/>
      <c r="J24" s="456" t="str">
        <f>IF(AND('Riesgos de Gestión'!$O$31="Media",'Riesgos de Gestión'!$S$31="Leve"),CONCATENATE("R",'Riesgos de Gestión'!$A$31),"")</f>
        <v/>
      </c>
      <c r="K24" s="457"/>
      <c r="L24" s="457" t="str">
        <f>IF(AND('Riesgos de Gestión'!$O$37="Media",'Riesgos de Gestión'!$S$37="Leve"),CONCATENATE("R",'Riesgos de Gestión'!$A$37),"")</f>
        <v/>
      </c>
      <c r="M24" s="457"/>
      <c r="N24" s="457" t="str">
        <f>IF(AND('Riesgos de Gestión'!$O$43="Media",'Riesgos de Gestión'!$S$43="Leve"),CONCATENATE("R",'Riesgos de Gestión'!$A$43),"")</f>
        <v/>
      </c>
      <c r="O24" s="458"/>
      <c r="P24" s="456" t="str">
        <f>IF(AND('Riesgos de Gestión'!$O$31="Media",'Riesgos de Gestión'!$S$31="Menor"),CONCATENATE("R",'Riesgos de Gestión'!$A$31),"")</f>
        <v/>
      </c>
      <c r="Q24" s="457"/>
      <c r="R24" s="457" t="str">
        <f>IF(AND('Riesgos de Gestión'!$O$37="Media",'Riesgos de Gestión'!$S$37="Menor"),CONCATENATE("R",'Riesgos de Gestión'!$A$37),"")</f>
        <v/>
      </c>
      <c r="S24" s="457"/>
      <c r="T24" s="457" t="str">
        <f>IF(AND('Riesgos de Gestión'!$O$43="Media",'Riesgos de Gestión'!$S$43="Menor"),CONCATENATE("R",'Riesgos de Gestión'!$A$43),"")</f>
        <v/>
      </c>
      <c r="U24" s="458"/>
      <c r="V24" s="456" t="str">
        <f>IF(AND('Riesgos de Gestión'!$O$31="Media",'Riesgos de Gestión'!$S$31="Moderado"),CONCATENATE("R",'Riesgos de Gestión'!$A$31),"")</f>
        <v/>
      </c>
      <c r="W24" s="457"/>
      <c r="X24" s="457" t="str">
        <f>IF(AND('Riesgos de Gestión'!$O$37="Media",'Riesgos de Gestión'!$S$37="Moderado"),CONCATENATE("R",'Riesgos de Gestión'!$A$37),"")</f>
        <v/>
      </c>
      <c r="Y24" s="457"/>
      <c r="Z24" s="457" t="str">
        <f>IF(AND('Riesgos de Gestión'!$O$43="Media",'Riesgos de Gestión'!$S$43="Moderado"),CONCATENATE("R",'Riesgos de Gestión'!$A$43),"")</f>
        <v/>
      </c>
      <c r="AA24" s="458"/>
      <c r="AB24" s="440" t="str">
        <f>IF(AND('Riesgos de Gestión'!$O$31="Media",'Riesgos de Gestión'!$S$31="Mayor"),CONCATENATE("R",'Riesgos de Gestión'!$A$31),"")</f>
        <v/>
      </c>
      <c r="AC24" s="436"/>
      <c r="AD24" s="436" t="str">
        <f>IF(AND('Riesgos de Gestión'!$O$37="Media",'Riesgos de Gestión'!$S$37="Mayor"),CONCATENATE("R",'Riesgos de Gestión'!$A$37),"")</f>
        <v/>
      </c>
      <c r="AE24" s="436"/>
      <c r="AF24" s="436" t="str">
        <f>IF(AND('Riesgos de Gestión'!$O$43="Media",'Riesgos de Gestión'!$S$43="Mayor"),CONCATENATE("R",'Riesgos de Gestión'!$A$43),"")</f>
        <v/>
      </c>
      <c r="AG24" s="437"/>
      <c r="AH24" s="447" t="str">
        <f>IF(AND('Riesgos de Gestión'!$O$31="Media",'Riesgos de Gestión'!$S$31="Catastrófico"),CONCATENATE("R",'Riesgos de Gestión'!$A$31),"")</f>
        <v/>
      </c>
      <c r="AI24" s="448"/>
      <c r="AJ24" s="448" t="str">
        <f>IF(AND('Riesgos de Gestión'!$O$37="Media",'Riesgos de Gestión'!$S$37="Catastrófico"),CONCATENATE("R",'Riesgos de Gestión'!$A$37),"")</f>
        <v/>
      </c>
      <c r="AK24" s="448"/>
      <c r="AL24" s="448" t="str">
        <f>IF(AND('Riesgos de Gestión'!$O$43="Media",'Riesgos de Gestión'!$S$43="Catastrófico"),CONCATENATE("R",'Riesgos de Gestión'!$A$43),"")</f>
        <v/>
      </c>
      <c r="AM24" s="449"/>
      <c r="AN24" s="66"/>
      <c r="AO24" s="412"/>
      <c r="AP24" s="413"/>
      <c r="AQ24" s="413"/>
      <c r="AR24" s="413"/>
      <c r="AS24" s="413"/>
      <c r="AT24" s="414"/>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row>
    <row r="25" spans="1:80" x14ac:dyDescent="0.25">
      <c r="A25" s="66"/>
      <c r="B25" s="389"/>
      <c r="C25" s="389"/>
      <c r="D25" s="390"/>
      <c r="E25" s="430"/>
      <c r="F25" s="431"/>
      <c r="G25" s="431"/>
      <c r="H25" s="431"/>
      <c r="I25" s="432"/>
      <c r="J25" s="456"/>
      <c r="K25" s="457"/>
      <c r="L25" s="457"/>
      <c r="M25" s="457"/>
      <c r="N25" s="457"/>
      <c r="O25" s="458"/>
      <c r="P25" s="456"/>
      <c r="Q25" s="457"/>
      <c r="R25" s="457"/>
      <c r="S25" s="457"/>
      <c r="T25" s="457"/>
      <c r="U25" s="458"/>
      <c r="V25" s="456"/>
      <c r="W25" s="457"/>
      <c r="X25" s="457"/>
      <c r="Y25" s="457"/>
      <c r="Z25" s="457"/>
      <c r="AA25" s="458"/>
      <c r="AB25" s="440"/>
      <c r="AC25" s="436"/>
      <c r="AD25" s="436"/>
      <c r="AE25" s="436"/>
      <c r="AF25" s="436"/>
      <c r="AG25" s="437"/>
      <c r="AH25" s="447"/>
      <c r="AI25" s="448"/>
      <c r="AJ25" s="448"/>
      <c r="AK25" s="448"/>
      <c r="AL25" s="448"/>
      <c r="AM25" s="449"/>
      <c r="AN25" s="66"/>
      <c r="AO25" s="412"/>
      <c r="AP25" s="413"/>
      <c r="AQ25" s="413"/>
      <c r="AR25" s="413"/>
      <c r="AS25" s="413"/>
      <c r="AT25" s="414"/>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row>
    <row r="26" spans="1:80" x14ac:dyDescent="0.25">
      <c r="A26" s="66"/>
      <c r="B26" s="389"/>
      <c r="C26" s="389"/>
      <c r="D26" s="390"/>
      <c r="E26" s="430"/>
      <c r="F26" s="431"/>
      <c r="G26" s="431"/>
      <c r="H26" s="431"/>
      <c r="I26" s="432"/>
      <c r="J26" s="456" t="str">
        <f>IF(AND('Riesgos de Gestión'!$O$49="Media",'Riesgos de Gestión'!$S$49="Leve"),CONCATENATE("R",'Riesgos de Gestión'!$A$49),"")</f>
        <v/>
      </c>
      <c r="K26" s="457"/>
      <c r="L26" s="457" t="str">
        <f>IF(AND('Riesgos de Gestión'!$O$55="Media",'Riesgos de Gestión'!$S$55="Leve"),CONCATENATE("R",'Riesgos de Gestión'!$A$55),"")</f>
        <v/>
      </c>
      <c r="M26" s="457"/>
      <c r="N26" s="457" t="str">
        <f>IF(AND('Riesgos de Gestión'!$O$61="Media",'Riesgos de Gestión'!$S$61="Leve"),CONCATENATE("R",'Riesgos de Gestión'!$A$61),"")</f>
        <v/>
      </c>
      <c r="O26" s="458"/>
      <c r="P26" s="456" t="str">
        <f>IF(AND('Riesgos de Gestión'!$O$49="Media",'Riesgos de Gestión'!$S$49="Menor"),CONCATENATE("R",'Riesgos de Gestión'!$A$49),"")</f>
        <v/>
      </c>
      <c r="Q26" s="457"/>
      <c r="R26" s="457" t="str">
        <f>IF(AND('Riesgos de Gestión'!$O$55="Media",'Riesgos de Gestión'!$S$55="Menor"),CONCATENATE("R",'Riesgos de Gestión'!$A$55),"")</f>
        <v/>
      </c>
      <c r="S26" s="457"/>
      <c r="T26" s="457" t="str">
        <f>IF(AND('Riesgos de Gestión'!$O$61="Media",'Riesgos de Gestión'!$S$61="Menor"),CONCATENATE("R",'Riesgos de Gestión'!$A$61),"")</f>
        <v/>
      </c>
      <c r="U26" s="458"/>
      <c r="V26" s="456" t="str">
        <f>IF(AND('Riesgos de Gestión'!$O$49="Media",'Riesgos de Gestión'!$S$49="Moderado"),CONCATENATE("R",'Riesgos de Gestión'!$A$49),"")</f>
        <v/>
      </c>
      <c r="W26" s="457"/>
      <c r="X26" s="457" t="str">
        <f>IF(AND('Riesgos de Gestión'!$O$55="Media",'Riesgos de Gestión'!$S$55="Moderado"),CONCATENATE("R",'Riesgos de Gestión'!$A$55),"")</f>
        <v/>
      </c>
      <c r="Y26" s="457"/>
      <c r="Z26" s="457" t="str">
        <f>IF(AND('Riesgos de Gestión'!$O$61="Media",'Riesgos de Gestión'!$S$61="Moderado"),CONCATENATE("R",'Riesgos de Gestión'!$A$61),"")</f>
        <v/>
      </c>
      <c r="AA26" s="458"/>
      <c r="AB26" s="440" t="str">
        <f>IF(AND('Riesgos de Gestión'!$O$49="Media",'Riesgos de Gestión'!$S$49="Mayor"),CONCATENATE("R",'Riesgos de Gestión'!$A$49),"")</f>
        <v/>
      </c>
      <c r="AC26" s="436"/>
      <c r="AD26" s="436" t="str">
        <f>IF(AND('Riesgos de Gestión'!$O$55="Media",'Riesgos de Gestión'!$S$55="Mayor"),CONCATENATE("R",'Riesgos de Gestión'!$A$55),"")</f>
        <v/>
      </c>
      <c r="AE26" s="436"/>
      <c r="AF26" s="436" t="str">
        <f>IF(AND('Riesgos de Gestión'!$O$61="Media",'Riesgos de Gestión'!$S$61="Mayor"),CONCATENATE("R",'Riesgos de Gestión'!$A$61),"")</f>
        <v/>
      </c>
      <c r="AG26" s="437"/>
      <c r="AH26" s="447" t="str">
        <f>IF(AND('Riesgos de Gestión'!$O$49="Media",'Riesgos de Gestión'!$S$49="Catastrófico"),CONCATENATE("R",'Riesgos de Gestión'!$A$49),"")</f>
        <v/>
      </c>
      <c r="AI26" s="448"/>
      <c r="AJ26" s="448" t="str">
        <f>IF(AND('Riesgos de Gestión'!$O$55="Media",'Riesgos de Gestión'!$S$55="Catastrófico"),CONCATENATE("R",'Riesgos de Gestión'!$A$55),"")</f>
        <v/>
      </c>
      <c r="AK26" s="448"/>
      <c r="AL26" s="448" t="str">
        <f>IF(AND('Riesgos de Gestión'!$O$61="Media",'Riesgos de Gestión'!$S$61="Catastrófico"),CONCATENATE("R",'Riesgos de Gestión'!$A$61),"")</f>
        <v/>
      </c>
      <c r="AM26" s="449"/>
      <c r="AN26" s="66"/>
      <c r="AO26" s="412"/>
      <c r="AP26" s="413"/>
      <c r="AQ26" s="413"/>
      <c r="AR26" s="413"/>
      <c r="AS26" s="413"/>
      <c r="AT26" s="414"/>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row>
    <row r="27" spans="1:80" x14ac:dyDescent="0.25">
      <c r="A27" s="66"/>
      <c r="B27" s="389"/>
      <c r="C27" s="389"/>
      <c r="D27" s="390"/>
      <c r="E27" s="430"/>
      <c r="F27" s="431"/>
      <c r="G27" s="431"/>
      <c r="H27" s="431"/>
      <c r="I27" s="432"/>
      <c r="J27" s="456"/>
      <c r="K27" s="457"/>
      <c r="L27" s="457"/>
      <c r="M27" s="457"/>
      <c r="N27" s="457"/>
      <c r="O27" s="458"/>
      <c r="P27" s="456"/>
      <c r="Q27" s="457"/>
      <c r="R27" s="457"/>
      <c r="S27" s="457"/>
      <c r="T27" s="457"/>
      <c r="U27" s="458"/>
      <c r="V27" s="456"/>
      <c r="W27" s="457"/>
      <c r="X27" s="457"/>
      <c r="Y27" s="457"/>
      <c r="Z27" s="457"/>
      <c r="AA27" s="458"/>
      <c r="AB27" s="440"/>
      <c r="AC27" s="436"/>
      <c r="AD27" s="436"/>
      <c r="AE27" s="436"/>
      <c r="AF27" s="436"/>
      <c r="AG27" s="437"/>
      <c r="AH27" s="447"/>
      <c r="AI27" s="448"/>
      <c r="AJ27" s="448"/>
      <c r="AK27" s="448"/>
      <c r="AL27" s="448"/>
      <c r="AM27" s="449"/>
      <c r="AN27" s="66"/>
      <c r="AO27" s="412"/>
      <c r="AP27" s="413"/>
      <c r="AQ27" s="413"/>
      <c r="AR27" s="413"/>
      <c r="AS27" s="413"/>
      <c r="AT27" s="414"/>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row>
    <row r="28" spans="1:80" x14ac:dyDescent="0.25">
      <c r="A28" s="66"/>
      <c r="B28" s="389"/>
      <c r="C28" s="389"/>
      <c r="D28" s="390"/>
      <c r="E28" s="430"/>
      <c r="F28" s="431"/>
      <c r="G28" s="431"/>
      <c r="H28" s="431"/>
      <c r="I28" s="432"/>
      <c r="J28" s="456" t="str">
        <f>IF(AND('Riesgos de Gestión'!$O$67="Media",'Riesgos de Gestión'!$S$67="Leve"),CONCATENATE("R",'Riesgos de Gestión'!$A$67),"")</f>
        <v/>
      </c>
      <c r="K28" s="457"/>
      <c r="L28" s="457" t="str">
        <f>IF(AND('Riesgos de Gestión'!$P$73="Media",'Riesgos de Gestión'!$T$73="Leve"),CONCATENATE("R",'Riesgos de Gestión'!$A$73),"")</f>
        <v/>
      </c>
      <c r="M28" s="457"/>
      <c r="N28" s="457" t="str">
        <f>IF(AND('Riesgos de Gestión'!$P$79="Media",'Riesgos de Gestión'!$T$79="Leve"),CONCATENATE("R",'Riesgos de Gestión'!$A$79),"")</f>
        <v/>
      </c>
      <c r="O28" s="458"/>
      <c r="P28" s="456" t="str">
        <f>IF(AND('Riesgos de Gestión'!$O$67="Media",'Riesgos de Gestión'!$S$67="Menor"),CONCATENATE("R",'Riesgos de Gestión'!$A$67),"")</f>
        <v/>
      </c>
      <c r="Q28" s="457"/>
      <c r="R28" s="457" t="str">
        <f>IF(AND('Riesgos de Gestión'!$P$73="Media",'Riesgos de Gestión'!$T$73="Menor"),CONCATENATE("R",'Riesgos de Gestión'!$A$73),"")</f>
        <v/>
      </c>
      <c r="S28" s="457"/>
      <c r="T28" s="457" t="str">
        <f>IF(AND('Riesgos de Gestión'!$P$79="Media",'Riesgos de Gestión'!$T$79="Menor"),CONCATENATE("R",'Riesgos de Gestión'!$A$79),"")</f>
        <v/>
      </c>
      <c r="U28" s="458"/>
      <c r="V28" s="456" t="str">
        <f>IF(AND('Riesgos de Gestión'!$O$67="Media",'Riesgos de Gestión'!$S$67="Moderado"),CONCATENATE("R",'Riesgos de Gestión'!$A$67),"")</f>
        <v/>
      </c>
      <c r="W28" s="457"/>
      <c r="X28" s="457" t="str">
        <f>IF(AND('Riesgos de Gestión'!$P$73="Media",'Riesgos de Gestión'!$T$73="Moderado"),CONCATENATE("R",'Riesgos de Gestión'!$A$73),"")</f>
        <v/>
      </c>
      <c r="Y28" s="457"/>
      <c r="Z28" s="457" t="str">
        <f>IF(AND('Riesgos de Gestión'!$P$79="Media",'Riesgos de Gestión'!$T$79="Moderado"),CONCATENATE("R",'Riesgos de Gestión'!$A$79),"")</f>
        <v/>
      </c>
      <c r="AA28" s="458"/>
      <c r="AB28" s="440" t="str">
        <f>IF(AND('Riesgos de Gestión'!$O$67="Media",'Riesgos de Gestión'!$S$67="Mayor"),CONCATENATE("R",'Riesgos de Gestión'!$A$67),"")</f>
        <v/>
      </c>
      <c r="AC28" s="436"/>
      <c r="AD28" s="436" t="str">
        <f>IF(AND('Riesgos de Gestión'!$P$73="Media",'Riesgos de Gestión'!$T$73="Mayor"),CONCATENATE("R",'Riesgos de Gestión'!$A$73),"")</f>
        <v/>
      </c>
      <c r="AE28" s="436"/>
      <c r="AF28" s="436" t="str">
        <f>IF(AND('Riesgos de Gestión'!$P$79="Media",'Riesgos de Gestión'!$T$79="Mayor"),CONCATENATE("R",'Riesgos de Gestión'!$A$79),"")</f>
        <v/>
      </c>
      <c r="AG28" s="437"/>
      <c r="AH28" s="447" t="str">
        <f>IF(AND('Riesgos de Gestión'!$O$67="Media",'Riesgos de Gestión'!$S$67="Catastrófico"),CONCATENATE("R",'Riesgos de Gestión'!$A$67),"")</f>
        <v/>
      </c>
      <c r="AI28" s="448"/>
      <c r="AJ28" s="448" t="str">
        <f>IF(AND('Riesgos de Gestión'!$P$73="Media",'Riesgos de Gestión'!$T$73="Catastrófico"),CONCATENATE("R",'Riesgos de Gestión'!$A$73),"")</f>
        <v/>
      </c>
      <c r="AK28" s="448"/>
      <c r="AL28" s="448" t="str">
        <f>IF(AND('Riesgos de Gestión'!$P$79="Media",'Riesgos de Gestión'!$T$79="Catastrófico"),CONCATENATE("R",'Riesgos de Gestión'!$A$79),"")</f>
        <v/>
      </c>
      <c r="AM28" s="449"/>
      <c r="AN28" s="66"/>
      <c r="AO28" s="412"/>
      <c r="AP28" s="413"/>
      <c r="AQ28" s="413"/>
      <c r="AR28" s="413"/>
      <c r="AS28" s="413"/>
      <c r="AT28" s="414"/>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row>
    <row r="29" spans="1:80" ht="15.75" thickBot="1" x14ac:dyDescent="0.3">
      <c r="A29" s="66"/>
      <c r="B29" s="389"/>
      <c r="C29" s="389"/>
      <c r="D29" s="390"/>
      <c r="E29" s="433"/>
      <c r="F29" s="434"/>
      <c r="G29" s="434"/>
      <c r="H29" s="434"/>
      <c r="I29" s="435"/>
      <c r="J29" s="456"/>
      <c r="K29" s="457"/>
      <c r="L29" s="457"/>
      <c r="M29" s="457"/>
      <c r="N29" s="457"/>
      <c r="O29" s="458"/>
      <c r="P29" s="459"/>
      <c r="Q29" s="460"/>
      <c r="R29" s="460"/>
      <c r="S29" s="460"/>
      <c r="T29" s="460"/>
      <c r="U29" s="461"/>
      <c r="V29" s="459"/>
      <c r="W29" s="460"/>
      <c r="X29" s="460"/>
      <c r="Y29" s="460"/>
      <c r="Z29" s="460"/>
      <c r="AA29" s="461"/>
      <c r="AB29" s="444"/>
      <c r="AC29" s="445"/>
      <c r="AD29" s="445"/>
      <c r="AE29" s="445"/>
      <c r="AF29" s="445"/>
      <c r="AG29" s="446"/>
      <c r="AH29" s="450"/>
      <c r="AI29" s="451"/>
      <c r="AJ29" s="451"/>
      <c r="AK29" s="451"/>
      <c r="AL29" s="451"/>
      <c r="AM29" s="452"/>
      <c r="AN29" s="66"/>
      <c r="AO29" s="415"/>
      <c r="AP29" s="416"/>
      <c r="AQ29" s="416"/>
      <c r="AR29" s="416"/>
      <c r="AS29" s="416"/>
      <c r="AT29" s="417"/>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row>
    <row r="30" spans="1:80" x14ac:dyDescent="0.25">
      <c r="A30" s="66"/>
      <c r="B30" s="389"/>
      <c r="C30" s="389"/>
      <c r="D30" s="390"/>
      <c r="E30" s="427" t="s">
        <v>257</v>
      </c>
      <c r="F30" s="428"/>
      <c r="G30" s="428"/>
      <c r="H30" s="428"/>
      <c r="I30" s="428"/>
      <c r="J30" s="471" t="str">
        <f>IF(AND('Riesgos de Gestión'!$O$13="Baja",'Riesgos de Gestión'!$S$13="Leve"),CONCATENATE("R",'Riesgos de Gestión'!$A$13),"")</f>
        <v/>
      </c>
      <c r="K30" s="472"/>
      <c r="L30" s="472" t="str">
        <f>IF(AND('Riesgos de Gestión'!$O$19="Baja",'Riesgos de Gestión'!$S$19="Leve"),CONCATENATE("R",'Riesgos de Gestión'!$A$19),"")</f>
        <v/>
      </c>
      <c r="M30" s="472"/>
      <c r="N30" s="472" t="str">
        <f>IF(AND('Riesgos de Gestión'!$O$25="Baja",'Riesgos de Gestión'!$S$25="Leve"),CONCATENATE("R",'Riesgos de Gestión'!$A$25),"")</f>
        <v/>
      </c>
      <c r="O30" s="473"/>
      <c r="P30" s="463" t="str">
        <f>IF(AND('Riesgos de Gestión'!$O$13="Baja",'Riesgos de Gestión'!$S$13="Menor"),CONCATENATE("R",'Riesgos de Gestión'!$A$13),"")</f>
        <v/>
      </c>
      <c r="Q30" s="463"/>
      <c r="R30" s="463" t="str">
        <f>IF(AND('Riesgos de Gestión'!$O$19="Baja",'Riesgos de Gestión'!$S$19="Menor"),CONCATENATE("R",'Riesgos de Gestión'!$A$19),"")</f>
        <v/>
      </c>
      <c r="S30" s="463"/>
      <c r="T30" s="463" t="str">
        <f>IF(AND('Riesgos de Gestión'!$O$25="Baja",'Riesgos de Gestión'!$S$25="Menor"),CONCATENATE("R",'Riesgos de Gestión'!$A$25),"")</f>
        <v/>
      </c>
      <c r="U30" s="464"/>
      <c r="V30" s="462" t="str">
        <f>IF(AND('Riesgos de Gestión'!$O$13="Baja",'Riesgos de Gestión'!$S$13="Moderado"),CONCATENATE("R",'Riesgos de Gestión'!$A$13),"")</f>
        <v/>
      </c>
      <c r="W30" s="463"/>
      <c r="X30" s="463" t="str">
        <f>IF(AND('Riesgos de Gestión'!$O$19="Baja",'Riesgos de Gestión'!$S$19="Moderado"),CONCATENATE("R",'Riesgos de Gestión'!$A$19),"")</f>
        <v/>
      </c>
      <c r="Y30" s="463"/>
      <c r="Z30" s="463" t="str">
        <f>IF(AND('Riesgos de Gestión'!$O$25="Baja",'Riesgos de Gestión'!$S$25="Moderado"),CONCATENATE("R",'Riesgos de Gestión'!$A$25),"")</f>
        <v/>
      </c>
      <c r="AA30" s="464"/>
      <c r="AB30" s="438" t="str">
        <f>IF(AND('Riesgos de Gestión'!$O$13="Baja",'Riesgos de Gestión'!$S$13="Mayor"),CONCATENATE("R",'Riesgos de Gestión'!$A$13),"")</f>
        <v/>
      </c>
      <c r="AC30" s="439"/>
      <c r="AD30" s="439" t="str">
        <f>IF(AND('Riesgos de Gestión'!$O$19="Baja",'Riesgos de Gestión'!$S$19="Mayor"),CONCATENATE("R",'Riesgos de Gestión'!$A$19),"")</f>
        <v/>
      </c>
      <c r="AE30" s="439"/>
      <c r="AF30" s="439" t="str">
        <f>IF(AND('Riesgos de Gestión'!$O$25="Baja",'Riesgos de Gestión'!$S$25="Mayor"),CONCATENATE("R",'Riesgos de Gestión'!$A$25),"")</f>
        <v/>
      </c>
      <c r="AG30" s="441"/>
      <c r="AH30" s="453" t="str">
        <f>IF(AND('Riesgos de Gestión'!$O$13="Baja",'Riesgos de Gestión'!$S$13="Catastrófico"),CONCATENATE("R",'Riesgos de Gestión'!$A$13),"")</f>
        <v/>
      </c>
      <c r="AI30" s="454"/>
      <c r="AJ30" s="454" t="str">
        <f>IF(AND('Riesgos de Gestión'!$O$19="Baja",'Riesgos de Gestión'!$S$19="Catastrófico"),CONCATENATE("R",'Riesgos de Gestión'!$A$19),"")</f>
        <v/>
      </c>
      <c r="AK30" s="454"/>
      <c r="AL30" s="454" t="str">
        <f>IF(AND('Riesgos de Gestión'!$O$25="Baja",'Riesgos de Gestión'!$S$25="Catastrófico"),CONCATENATE("R",'Riesgos de Gestión'!$A$25),"")</f>
        <v/>
      </c>
      <c r="AM30" s="455"/>
      <c r="AN30" s="66"/>
      <c r="AO30" s="418" t="s">
        <v>258</v>
      </c>
      <c r="AP30" s="419"/>
      <c r="AQ30" s="419"/>
      <c r="AR30" s="419"/>
      <c r="AS30" s="419"/>
      <c r="AT30" s="420"/>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row>
    <row r="31" spans="1:80" x14ac:dyDescent="0.25">
      <c r="A31" s="66"/>
      <c r="B31" s="389"/>
      <c r="C31" s="389"/>
      <c r="D31" s="390"/>
      <c r="E31" s="430"/>
      <c r="F31" s="431"/>
      <c r="G31" s="431"/>
      <c r="H31" s="431"/>
      <c r="I31" s="431"/>
      <c r="J31" s="467"/>
      <c r="K31" s="465"/>
      <c r="L31" s="465"/>
      <c r="M31" s="465"/>
      <c r="N31" s="465"/>
      <c r="O31" s="466"/>
      <c r="P31" s="457"/>
      <c r="Q31" s="457"/>
      <c r="R31" s="457"/>
      <c r="S31" s="457"/>
      <c r="T31" s="457"/>
      <c r="U31" s="458"/>
      <c r="V31" s="456"/>
      <c r="W31" s="457"/>
      <c r="X31" s="457"/>
      <c r="Y31" s="457"/>
      <c r="Z31" s="457"/>
      <c r="AA31" s="458"/>
      <c r="AB31" s="440"/>
      <c r="AC31" s="436"/>
      <c r="AD31" s="436"/>
      <c r="AE31" s="436"/>
      <c r="AF31" s="436"/>
      <c r="AG31" s="437"/>
      <c r="AH31" s="447"/>
      <c r="AI31" s="448"/>
      <c r="AJ31" s="448"/>
      <c r="AK31" s="448"/>
      <c r="AL31" s="448"/>
      <c r="AM31" s="449"/>
      <c r="AN31" s="66"/>
      <c r="AO31" s="421"/>
      <c r="AP31" s="422"/>
      <c r="AQ31" s="422"/>
      <c r="AR31" s="422"/>
      <c r="AS31" s="422"/>
      <c r="AT31" s="423"/>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row>
    <row r="32" spans="1:80" x14ac:dyDescent="0.25">
      <c r="A32" s="66"/>
      <c r="B32" s="389"/>
      <c r="C32" s="389"/>
      <c r="D32" s="390"/>
      <c r="E32" s="430"/>
      <c r="F32" s="431"/>
      <c r="G32" s="431"/>
      <c r="H32" s="431"/>
      <c r="I32" s="431"/>
      <c r="J32" s="467" t="str">
        <f>IF(AND('Riesgos de Gestión'!$O$31="Baja",'Riesgos de Gestión'!$S$31="Leve"),CONCATENATE("R",'Riesgos de Gestión'!$A$31),"")</f>
        <v/>
      </c>
      <c r="K32" s="465"/>
      <c r="L32" s="465" t="str">
        <f>IF(AND('Riesgos de Gestión'!$O$37="Baja",'Riesgos de Gestión'!$S$37="Leve"),CONCATENATE("R",'Riesgos de Gestión'!$A$37),"")</f>
        <v/>
      </c>
      <c r="M32" s="465"/>
      <c r="N32" s="465" t="str">
        <f>IF(AND('Riesgos de Gestión'!$O$43="Baja",'Riesgos de Gestión'!$S$43="Leve"),CONCATENATE("R",'Riesgos de Gestión'!$A$43),"")</f>
        <v/>
      </c>
      <c r="O32" s="466"/>
      <c r="P32" s="457" t="str">
        <f>IF(AND('Riesgos de Gestión'!$O$31="Baja",'Riesgos de Gestión'!$S$31="Menor"),CONCATENATE("R",'Riesgos de Gestión'!$A$31),"")</f>
        <v/>
      </c>
      <c r="Q32" s="457"/>
      <c r="R32" s="457" t="str">
        <f>IF(AND('Riesgos de Gestión'!$O$37="Baja",'Riesgos de Gestión'!$S$37="Menor"),CONCATENATE("R",'Riesgos de Gestión'!$A$37),"")</f>
        <v/>
      </c>
      <c r="S32" s="457"/>
      <c r="T32" s="457" t="str">
        <f>IF(AND('Riesgos de Gestión'!$O$43="Baja",'Riesgos de Gestión'!$S$43="Menor"),CONCATENATE("R",'Riesgos de Gestión'!$A$43),"")</f>
        <v/>
      </c>
      <c r="U32" s="458"/>
      <c r="V32" s="456" t="str">
        <f>IF(AND('Riesgos de Gestión'!$O$31="Baja",'Riesgos de Gestión'!$S$31="Moderado"),CONCATENATE("R",'Riesgos de Gestión'!$A$31),"")</f>
        <v/>
      </c>
      <c r="W32" s="457"/>
      <c r="X32" s="457" t="str">
        <f>IF(AND('Riesgos de Gestión'!$O$37="Baja",'Riesgos de Gestión'!$S$37="Moderado"),CONCATENATE("R",'Riesgos de Gestión'!$A$37),"")</f>
        <v/>
      </c>
      <c r="Y32" s="457"/>
      <c r="Z32" s="457" t="str">
        <f>IF(AND('Riesgos de Gestión'!$O$43="Baja",'Riesgos de Gestión'!$S$43="Moderado"),CONCATENATE("R",'Riesgos de Gestión'!$A$43),"")</f>
        <v/>
      </c>
      <c r="AA32" s="458"/>
      <c r="AB32" s="440" t="str">
        <f>IF(AND('Riesgos de Gestión'!$O$31="Baja",'Riesgos de Gestión'!$S$31="Mayor"),CONCATENATE("R",'Riesgos de Gestión'!$A$31),"")</f>
        <v/>
      </c>
      <c r="AC32" s="436"/>
      <c r="AD32" s="436" t="str">
        <f>IF(AND('Riesgos de Gestión'!$O$37="Baja",'Riesgos de Gestión'!$S$37="Mayor"),CONCATENATE("R",'Riesgos de Gestión'!$A$37),"")</f>
        <v/>
      </c>
      <c r="AE32" s="436"/>
      <c r="AF32" s="436" t="str">
        <f>IF(AND('Riesgos de Gestión'!$O$43="Baja",'Riesgos de Gestión'!$S$43="Mayor"),CONCATENATE("R",'Riesgos de Gestión'!$A$43),"")</f>
        <v/>
      </c>
      <c r="AG32" s="437"/>
      <c r="AH32" s="447" t="str">
        <f>IF(AND('Riesgos de Gestión'!$O$31="Baja",'Riesgos de Gestión'!$S$31="Catastrófico"),CONCATENATE("R",'Riesgos de Gestión'!$A$31),"")</f>
        <v/>
      </c>
      <c r="AI32" s="448"/>
      <c r="AJ32" s="448" t="str">
        <f>IF(AND('Riesgos de Gestión'!$O$37="Baja",'Riesgos de Gestión'!$S$37="Catastrófico"),CONCATENATE("R",'Riesgos de Gestión'!$A$37),"")</f>
        <v/>
      </c>
      <c r="AK32" s="448"/>
      <c r="AL32" s="448" t="str">
        <f>IF(AND('Riesgos de Gestión'!$O$43="Baja",'Riesgos de Gestión'!$S$43="Catastrófico"),CONCATENATE("R",'Riesgos de Gestión'!$A$43),"")</f>
        <v/>
      </c>
      <c r="AM32" s="449"/>
      <c r="AN32" s="66"/>
      <c r="AO32" s="421"/>
      <c r="AP32" s="422"/>
      <c r="AQ32" s="422"/>
      <c r="AR32" s="422"/>
      <c r="AS32" s="422"/>
      <c r="AT32" s="423"/>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row>
    <row r="33" spans="1:80" x14ac:dyDescent="0.25">
      <c r="A33" s="66"/>
      <c r="B33" s="389"/>
      <c r="C33" s="389"/>
      <c r="D33" s="390"/>
      <c r="E33" s="430"/>
      <c r="F33" s="431"/>
      <c r="G33" s="431"/>
      <c r="H33" s="431"/>
      <c r="I33" s="431"/>
      <c r="J33" s="467"/>
      <c r="K33" s="465"/>
      <c r="L33" s="465"/>
      <c r="M33" s="465"/>
      <c r="N33" s="465"/>
      <c r="O33" s="466"/>
      <c r="P33" s="457"/>
      <c r="Q33" s="457"/>
      <c r="R33" s="457"/>
      <c r="S33" s="457"/>
      <c r="T33" s="457"/>
      <c r="U33" s="458"/>
      <c r="V33" s="456"/>
      <c r="W33" s="457"/>
      <c r="X33" s="457"/>
      <c r="Y33" s="457"/>
      <c r="Z33" s="457"/>
      <c r="AA33" s="458"/>
      <c r="AB33" s="440"/>
      <c r="AC33" s="436"/>
      <c r="AD33" s="436"/>
      <c r="AE33" s="436"/>
      <c r="AF33" s="436"/>
      <c r="AG33" s="437"/>
      <c r="AH33" s="447"/>
      <c r="AI33" s="448"/>
      <c r="AJ33" s="448"/>
      <c r="AK33" s="448"/>
      <c r="AL33" s="448"/>
      <c r="AM33" s="449"/>
      <c r="AN33" s="66"/>
      <c r="AO33" s="421"/>
      <c r="AP33" s="422"/>
      <c r="AQ33" s="422"/>
      <c r="AR33" s="422"/>
      <c r="AS33" s="422"/>
      <c r="AT33" s="423"/>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row>
    <row r="34" spans="1:80" x14ac:dyDescent="0.25">
      <c r="A34" s="66"/>
      <c r="B34" s="389"/>
      <c r="C34" s="389"/>
      <c r="D34" s="390"/>
      <c r="E34" s="430"/>
      <c r="F34" s="431"/>
      <c r="G34" s="431"/>
      <c r="H34" s="431"/>
      <c r="I34" s="431"/>
      <c r="J34" s="467" t="str">
        <f>IF(AND('Riesgos de Gestión'!$O$49="Baja",'Riesgos de Gestión'!$S$49="Leve"),CONCATENATE("R",'Riesgos de Gestión'!$A$49),"")</f>
        <v/>
      </c>
      <c r="K34" s="465"/>
      <c r="L34" s="465" t="str">
        <f>IF(AND('Riesgos de Gestión'!$O$55="Baja",'Riesgos de Gestión'!$S$55="Leve"),CONCATENATE("R",'Riesgos de Gestión'!$A$55),"")</f>
        <v/>
      </c>
      <c r="M34" s="465"/>
      <c r="N34" s="465" t="str">
        <f>IF(AND('Riesgos de Gestión'!$O$61="Baja",'Riesgos de Gestión'!$S$61="Leve"),CONCATENATE("R",'Riesgos de Gestión'!$A$61),"")</f>
        <v/>
      </c>
      <c r="O34" s="466"/>
      <c r="P34" s="457" t="str">
        <f>IF(AND('Riesgos de Gestión'!$O$49="Baja",'Riesgos de Gestión'!$S$49="Menor"),CONCATENATE("R",'Riesgos de Gestión'!$A$49),"")</f>
        <v/>
      </c>
      <c r="Q34" s="457"/>
      <c r="R34" s="457" t="str">
        <f>IF(AND('Riesgos de Gestión'!$O$55="Baja",'Riesgos de Gestión'!$S$55="Menor"),CONCATENATE("R",'Riesgos de Gestión'!$A$55),"")</f>
        <v/>
      </c>
      <c r="S34" s="457"/>
      <c r="T34" s="457" t="str">
        <f>IF(AND('Riesgos de Gestión'!$O$61="Baja",'Riesgos de Gestión'!$S$61="Menor"),CONCATENATE("R",'Riesgos de Gestión'!$A$61),"")</f>
        <v/>
      </c>
      <c r="U34" s="458"/>
      <c r="V34" s="456" t="str">
        <f>IF(AND('Riesgos de Gestión'!$O$49="Baja",'Riesgos de Gestión'!$S$49="Moderado"),CONCATENATE("R",'Riesgos de Gestión'!$A$49),"")</f>
        <v/>
      </c>
      <c r="W34" s="457"/>
      <c r="X34" s="457" t="str">
        <f>IF(AND('Riesgos de Gestión'!$O$55="Baja",'Riesgos de Gestión'!$S$55="Moderado"),CONCATENATE("R",'Riesgos de Gestión'!$A$55),"")</f>
        <v/>
      </c>
      <c r="Y34" s="457"/>
      <c r="Z34" s="457" t="str">
        <f>IF(AND('Riesgos de Gestión'!$O$61="Baja",'Riesgos de Gestión'!$S$61="Moderado"),CONCATENATE("R",'Riesgos de Gestión'!$A$61),"")</f>
        <v/>
      </c>
      <c r="AA34" s="458"/>
      <c r="AB34" s="440" t="str">
        <f>IF(AND('Riesgos de Gestión'!$O$49="Baja",'Riesgos de Gestión'!$S$49="Mayor"),CONCATENATE("R",'Riesgos de Gestión'!$A$49),"")</f>
        <v/>
      </c>
      <c r="AC34" s="436"/>
      <c r="AD34" s="436" t="str">
        <f>IF(AND('Riesgos de Gestión'!$O$55="Baja",'Riesgos de Gestión'!$S$55="Mayor"),CONCATENATE("R",'Riesgos de Gestión'!$A$55),"")</f>
        <v/>
      </c>
      <c r="AE34" s="436"/>
      <c r="AF34" s="436" t="str">
        <f>IF(AND('Riesgos de Gestión'!$O$61="Baja",'Riesgos de Gestión'!$S$61="Mayor"),CONCATENATE("R",'Riesgos de Gestión'!$A$61),"")</f>
        <v/>
      </c>
      <c r="AG34" s="437"/>
      <c r="AH34" s="447" t="str">
        <f>IF(AND('Riesgos de Gestión'!$O$49="Baja",'Riesgos de Gestión'!$S$49="Catastrófico"),CONCATENATE("R",'Riesgos de Gestión'!$A$49),"")</f>
        <v/>
      </c>
      <c r="AI34" s="448"/>
      <c r="AJ34" s="448" t="str">
        <f>IF(AND('Riesgos de Gestión'!$O$55="Baja",'Riesgos de Gestión'!$S$55="Catastrófico"),CONCATENATE("R",'Riesgos de Gestión'!$A$55),"")</f>
        <v/>
      </c>
      <c r="AK34" s="448"/>
      <c r="AL34" s="448" t="str">
        <f>IF(AND('Riesgos de Gestión'!$O$61="Baja",'Riesgos de Gestión'!$S$61="Catastrófico"),CONCATENATE("R",'Riesgos de Gestión'!$A$61),"")</f>
        <v/>
      </c>
      <c r="AM34" s="449"/>
      <c r="AN34" s="66"/>
      <c r="AO34" s="421"/>
      <c r="AP34" s="422"/>
      <c r="AQ34" s="422"/>
      <c r="AR34" s="422"/>
      <c r="AS34" s="422"/>
      <c r="AT34" s="423"/>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row>
    <row r="35" spans="1:80" x14ac:dyDescent="0.25">
      <c r="A35" s="66"/>
      <c r="B35" s="389"/>
      <c r="C35" s="389"/>
      <c r="D35" s="390"/>
      <c r="E35" s="430"/>
      <c r="F35" s="431"/>
      <c r="G35" s="431"/>
      <c r="H35" s="431"/>
      <c r="I35" s="431"/>
      <c r="J35" s="467"/>
      <c r="K35" s="465"/>
      <c r="L35" s="465"/>
      <c r="M35" s="465"/>
      <c r="N35" s="465"/>
      <c r="O35" s="466"/>
      <c r="P35" s="457"/>
      <c r="Q35" s="457"/>
      <c r="R35" s="457"/>
      <c r="S35" s="457"/>
      <c r="T35" s="457"/>
      <c r="U35" s="458"/>
      <c r="V35" s="456"/>
      <c r="W35" s="457"/>
      <c r="X35" s="457"/>
      <c r="Y35" s="457"/>
      <c r="Z35" s="457"/>
      <c r="AA35" s="458"/>
      <c r="AB35" s="440"/>
      <c r="AC35" s="436"/>
      <c r="AD35" s="436"/>
      <c r="AE35" s="436"/>
      <c r="AF35" s="436"/>
      <c r="AG35" s="437"/>
      <c r="AH35" s="447"/>
      <c r="AI35" s="448"/>
      <c r="AJ35" s="448"/>
      <c r="AK35" s="448"/>
      <c r="AL35" s="448"/>
      <c r="AM35" s="449"/>
      <c r="AN35" s="66"/>
      <c r="AO35" s="421"/>
      <c r="AP35" s="422"/>
      <c r="AQ35" s="422"/>
      <c r="AR35" s="422"/>
      <c r="AS35" s="422"/>
      <c r="AT35" s="423"/>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row>
    <row r="36" spans="1:80" x14ac:dyDescent="0.25">
      <c r="A36" s="66"/>
      <c r="B36" s="389"/>
      <c r="C36" s="389"/>
      <c r="D36" s="390"/>
      <c r="E36" s="430"/>
      <c r="F36" s="431"/>
      <c r="G36" s="431"/>
      <c r="H36" s="431"/>
      <c r="I36" s="431"/>
      <c r="J36" s="467" t="str">
        <f>IF(AND('Riesgos de Gestión'!$O$67="Baja",'Riesgos de Gestión'!$S$67="Leve"),CONCATENATE("R",'Riesgos de Gestión'!$A$67),"")</f>
        <v/>
      </c>
      <c r="K36" s="465"/>
      <c r="L36" s="465" t="str">
        <f>IF(AND('Riesgos de Gestión'!$P$73="Baja",'Riesgos de Gestión'!$T$73="Leve"),CONCATENATE("R",'Riesgos de Gestión'!$A$73),"")</f>
        <v/>
      </c>
      <c r="M36" s="465"/>
      <c r="N36" s="465" t="str">
        <f>IF(AND('Riesgos de Gestión'!$P$79="Baja",'Riesgos de Gestión'!$T$79="Leve"),CONCATENATE("R",'Riesgos de Gestión'!$A$79),"")</f>
        <v/>
      </c>
      <c r="O36" s="466"/>
      <c r="P36" s="457" t="str">
        <f>IF(AND('Riesgos de Gestión'!$O$67="Baja",'Riesgos de Gestión'!$S$67="Menor"),CONCATENATE("R",'Riesgos de Gestión'!$A$67),"")</f>
        <v/>
      </c>
      <c r="Q36" s="457"/>
      <c r="R36" s="457" t="str">
        <f>IF(AND('Riesgos de Gestión'!$P$73="Baja",'Riesgos de Gestión'!$T$73="Menor"),CONCATENATE("R",'Riesgos de Gestión'!$A$73),"")</f>
        <v/>
      </c>
      <c r="S36" s="457"/>
      <c r="T36" s="457" t="str">
        <f>IF(AND('Riesgos de Gestión'!$P$79="Baja",'Riesgos de Gestión'!$T$79="Menor"),CONCATENATE("R",'Riesgos de Gestión'!$A$79),"")</f>
        <v/>
      </c>
      <c r="U36" s="458"/>
      <c r="V36" s="456" t="str">
        <f>IF(AND('Riesgos de Gestión'!$O$67="Baja",'Riesgos de Gestión'!$S$67="Moderado"),CONCATENATE("R",'Riesgos de Gestión'!$A$67),"")</f>
        <v/>
      </c>
      <c r="W36" s="457"/>
      <c r="X36" s="457" t="str">
        <f>IF(AND('Riesgos de Gestión'!$P$73="Baja",'Riesgos de Gestión'!$T$73="Moderado"),CONCATENATE("R",'Riesgos de Gestión'!$A$73),"")</f>
        <v/>
      </c>
      <c r="Y36" s="457"/>
      <c r="Z36" s="457" t="str">
        <f>IF(AND('Riesgos de Gestión'!$P$79="Baja",'Riesgos de Gestión'!$T$79="Moderado"),CONCATENATE("R",'Riesgos de Gestión'!$A$79),"")</f>
        <v/>
      </c>
      <c r="AA36" s="458"/>
      <c r="AB36" s="440" t="str">
        <f>IF(AND('Riesgos de Gestión'!$O$67="Baja",'Riesgos de Gestión'!$S$67="Mayor"),CONCATENATE("R",'Riesgos de Gestión'!$A$67),"")</f>
        <v/>
      </c>
      <c r="AC36" s="436"/>
      <c r="AD36" s="436" t="str">
        <f>IF(AND('Riesgos de Gestión'!$P$73="Baja",'Riesgos de Gestión'!$T$73="Mayor"),CONCATENATE("R",'Riesgos de Gestión'!$A$73),"")</f>
        <v/>
      </c>
      <c r="AE36" s="436"/>
      <c r="AF36" s="436" t="str">
        <f>IF(AND('Riesgos de Gestión'!$P$79="Baja",'Riesgos de Gestión'!$T$79="Mayor"),CONCATENATE("R",'Riesgos de Gestión'!$A$79),"")</f>
        <v/>
      </c>
      <c r="AG36" s="437"/>
      <c r="AH36" s="447" t="str">
        <f>IF(AND('Riesgos de Gestión'!$O$67="Baja",'Riesgos de Gestión'!$S$67="Catastrófico"),CONCATENATE("R",'Riesgos de Gestión'!$A$67),"")</f>
        <v/>
      </c>
      <c r="AI36" s="448"/>
      <c r="AJ36" s="448" t="str">
        <f>IF(AND('Riesgos de Gestión'!$P$73="Baja",'Riesgos de Gestión'!$T$73="Catastrófico"),CONCATENATE("R",'Riesgos de Gestión'!$A$73),"")</f>
        <v/>
      </c>
      <c r="AK36" s="448"/>
      <c r="AL36" s="448" t="str">
        <f>IF(AND('Riesgos de Gestión'!$P$79="Baja",'Riesgos de Gestión'!$T$79="Catastrófico"),CONCATENATE("R",'Riesgos de Gestión'!$A$79),"")</f>
        <v/>
      </c>
      <c r="AM36" s="449"/>
      <c r="AN36" s="66"/>
      <c r="AO36" s="421"/>
      <c r="AP36" s="422"/>
      <c r="AQ36" s="422"/>
      <c r="AR36" s="422"/>
      <c r="AS36" s="422"/>
      <c r="AT36" s="423"/>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row>
    <row r="37" spans="1:80" ht="15.75" thickBot="1" x14ac:dyDescent="0.3">
      <c r="A37" s="66"/>
      <c r="B37" s="389"/>
      <c r="C37" s="389"/>
      <c r="D37" s="390"/>
      <c r="E37" s="433"/>
      <c r="F37" s="434"/>
      <c r="G37" s="434"/>
      <c r="H37" s="434"/>
      <c r="I37" s="434"/>
      <c r="J37" s="468"/>
      <c r="K37" s="469"/>
      <c r="L37" s="469"/>
      <c r="M37" s="469"/>
      <c r="N37" s="469"/>
      <c r="O37" s="470"/>
      <c r="P37" s="460"/>
      <c r="Q37" s="460"/>
      <c r="R37" s="460"/>
      <c r="S37" s="460"/>
      <c r="T37" s="460"/>
      <c r="U37" s="461"/>
      <c r="V37" s="459"/>
      <c r="W37" s="460"/>
      <c r="X37" s="460"/>
      <c r="Y37" s="460"/>
      <c r="Z37" s="460"/>
      <c r="AA37" s="461"/>
      <c r="AB37" s="444"/>
      <c r="AC37" s="445"/>
      <c r="AD37" s="445"/>
      <c r="AE37" s="445"/>
      <c r="AF37" s="445"/>
      <c r="AG37" s="446"/>
      <c r="AH37" s="450"/>
      <c r="AI37" s="451"/>
      <c r="AJ37" s="451"/>
      <c r="AK37" s="451"/>
      <c r="AL37" s="451"/>
      <c r="AM37" s="452"/>
      <c r="AN37" s="66"/>
      <c r="AO37" s="424"/>
      <c r="AP37" s="425"/>
      <c r="AQ37" s="425"/>
      <c r="AR37" s="425"/>
      <c r="AS37" s="425"/>
      <c r="AT37" s="42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row>
    <row r="38" spans="1:80" x14ac:dyDescent="0.25">
      <c r="A38" s="66"/>
      <c r="B38" s="389"/>
      <c r="C38" s="389"/>
      <c r="D38" s="390"/>
      <c r="E38" s="427" t="s">
        <v>259</v>
      </c>
      <c r="F38" s="428"/>
      <c r="G38" s="428"/>
      <c r="H38" s="428"/>
      <c r="I38" s="429"/>
      <c r="J38" s="471" t="str">
        <f>IF(AND('Riesgos de Gestión'!$O$13="Muy Baja",'Riesgos de Gestión'!$S$13="Leve"),CONCATENATE("R",'Riesgos de Gestión'!$A$13),"")</f>
        <v/>
      </c>
      <c r="K38" s="472"/>
      <c r="L38" s="472" t="str">
        <f>IF(AND('Riesgos de Gestión'!$O$19="Muy Baja",'Riesgos de Gestión'!$S$19="Leve"),CONCATENATE("R",'Riesgos de Gestión'!$A$19),"")</f>
        <v/>
      </c>
      <c r="M38" s="472"/>
      <c r="N38" s="472" t="str">
        <f>IF(AND('Riesgos de Gestión'!$O$25="Muy Baja",'Riesgos de Gestión'!$S$25="Leve"),CONCATENATE("R",'Riesgos de Gestión'!$A$25),"")</f>
        <v/>
      </c>
      <c r="O38" s="473"/>
      <c r="P38" s="471" t="str">
        <f>IF(AND('Riesgos de Gestión'!$O$13="Muy Baja",'Riesgos de Gestión'!$S$13="Menor"),CONCATENATE("R",'Riesgos de Gestión'!$A$13),"")</f>
        <v/>
      </c>
      <c r="Q38" s="472"/>
      <c r="R38" s="472" t="str">
        <f>IF(AND('Riesgos de Gestión'!$O$19="Muy Baja",'Riesgos de Gestión'!$S$19="Menor"),CONCATENATE("R",'Riesgos de Gestión'!$A$19),"")</f>
        <v/>
      </c>
      <c r="S38" s="472"/>
      <c r="T38" s="472" t="str">
        <f>IF(AND('Riesgos de Gestión'!$O$25="Muy Baja",'Riesgos de Gestión'!$S$25="Menor"),CONCATENATE("R",'Riesgos de Gestión'!$A$25),"")</f>
        <v/>
      </c>
      <c r="U38" s="473"/>
      <c r="V38" s="462" t="str">
        <f>IF(AND('Riesgos de Gestión'!$O$13="Muy Baja",'Riesgos de Gestión'!$S$13="Moderado"),CONCATENATE("R",'Riesgos de Gestión'!$A$13),"")</f>
        <v/>
      </c>
      <c r="W38" s="463"/>
      <c r="X38" s="463" t="str">
        <f>IF(AND('Riesgos de Gestión'!$O$19="Muy Baja",'Riesgos de Gestión'!$S$19="Moderado"),CONCATENATE("R",'Riesgos de Gestión'!$A$19),"")</f>
        <v/>
      </c>
      <c r="Y38" s="463"/>
      <c r="Z38" s="463" t="str">
        <f>IF(AND('Riesgos de Gestión'!$O$25="Muy Baja",'Riesgos de Gestión'!$S$25="Moderado"),CONCATENATE("R",'Riesgos de Gestión'!$A$25),"")</f>
        <v/>
      </c>
      <c r="AA38" s="464"/>
      <c r="AB38" s="438" t="str">
        <f>IF(AND('Riesgos de Gestión'!$O$13="Muy Baja",'Riesgos de Gestión'!$S$13="Mayor"),CONCATENATE("R",'Riesgos de Gestión'!$A$13),"")</f>
        <v/>
      </c>
      <c r="AC38" s="439"/>
      <c r="AD38" s="439" t="str">
        <f>IF(AND('Riesgos de Gestión'!$O$19="Muy Baja",'Riesgos de Gestión'!$S$19="Mayor"),CONCATENATE("R",'Riesgos de Gestión'!$A$19),"")</f>
        <v/>
      </c>
      <c r="AE38" s="439"/>
      <c r="AF38" s="439" t="str">
        <f>IF(AND('Riesgos de Gestión'!$O$25="Muy Baja",'Riesgos de Gestión'!$S$25="Mayor"),CONCATENATE("R",'Riesgos de Gestión'!$A$25),"")</f>
        <v/>
      </c>
      <c r="AG38" s="441"/>
      <c r="AH38" s="453" t="str">
        <f>IF(AND('Riesgos de Gestión'!$O$13="Muy Baja",'Riesgos de Gestión'!$S$13="Catastrófico"),CONCATENATE("R",'Riesgos de Gestión'!$A$13),"")</f>
        <v/>
      </c>
      <c r="AI38" s="454"/>
      <c r="AJ38" s="454" t="str">
        <f>IF(AND('Riesgos de Gestión'!$O$19="Muy Baja",'Riesgos de Gestión'!$S$19="Catastrófico"),CONCATENATE("R",'Riesgos de Gestión'!$A$19),"")</f>
        <v/>
      </c>
      <c r="AK38" s="454"/>
      <c r="AL38" s="454" t="str">
        <f>IF(AND('Riesgos de Gestión'!$O$25="Muy Baja",'Riesgos de Gestión'!$S$25="Catastrófico"),CONCATENATE("R",'Riesgos de Gestión'!$A$25),"")</f>
        <v/>
      </c>
      <c r="AM38" s="455"/>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row>
    <row r="39" spans="1:80" x14ac:dyDescent="0.25">
      <c r="A39" s="66"/>
      <c r="B39" s="389"/>
      <c r="C39" s="389"/>
      <c r="D39" s="390"/>
      <c r="E39" s="430"/>
      <c r="F39" s="431"/>
      <c r="G39" s="431"/>
      <c r="H39" s="431"/>
      <c r="I39" s="432"/>
      <c r="J39" s="467"/>
      <c r="K39" s="465"/>
      <c r="L39" s="465"/>
      <c r="M39" s="465"/>
      <c r="N39" s="465"/>
      <c r="O39" s="466"/>
      <c r="P39" s="467"/>
      <c r="Q39" s="465"/>
      <c r="R39" s="465"/>
      <c r="S39" s="465"/>
      <c r="T39" s="465"/>
      <c r="U39" s="466"/>
      <c r="V39" s="456"/>
      <c r="W39" s="457"/>
      <c r="X39" s="457"/>
      <c r="Y39" s="457"/>
      <c r="Z39" s="457"/>
      <c r="AA39" s="458"/>
      <c r="AB39" s="440"/>
      <c r="AC39" s="436"/>
      <c r="AD39" s="436"/>
      <c r="AE39" s="436"/>
      <c r="AF39" s="436"/>
      <c r="AG39" s="437"/>
      <c r="AH39" s="447"/>
      <c r="AI39" s="448"/>
      <c r="AJ39" s="448"/>
      <c r="AK39" s="448"/>
      <c r="AL39" s="448"/>
      <c r="AM39" s="449"/>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row>
    <row r="40" spans="1:80" x14ac:dyDescent="0.25">
      <c r="A40" s="66"/>
      <c r="B40" s="389"/>
      <c r="C40" s="389"/>
      <c r="D40" s="390"/>
      <c r="E40" s="430"/>
      <c r="F40" s="431"/>
      <c r="G40" s="431"/>
      <c r="H40" s="431"/>
      <c r="I40" s="432"/>
      <c r="J40" s="467" t="str">
        <f>IF(AND('Riesgos de Gestión'!$O$31="Muy Baja",'Riesgos de Gestión'!$S$31="Leve"),CONCATENATE("R",'Riesgos de Gestión'!$A$31),"")</f>
        <v/>
      </c>
      <c r="K40" s="465"/>
      <c r="L40" s="465" t="str">
        <f>IF(AND('Riesgos de Gestión'!$O$37="Muy Baja",'Riesgos de Gestión'!$S$37="Leve"),CONCATENATE("R",'Riesgos de Gestión'!$A$37),"")</f>
        <v/>
      </c>
      <c r="M40" s="465"/>
      <c r="N40" s="465" t="str">
        <f>IF(AND('Riesgos de Gestión'!$O$43="Muy Baja",'Riesgos de Gestión'!$S$43="Leve"),CONCATENATE("R",'Riesgos de Gestión'!$A$43),"")</f>
        <v/>
      </c>
      <c r="O40" s="466"/>
      <c r="P40" s="467" t="str">
        <f>IF(AND('Riesgos de Gestión'!$O$31="Muy Baja",'Riesgos de Gestión'!$S$31="Menor"),CONCATENATE("R",'Riesgos de Gestión'!$A$31),"")</f>
        <v/>
      </c>
      <c r="Q40" s="465"/>
      <c r="R40" s="465" t="str">
        <f>IF(AND('Riesgos de Gestión'!$O$37="Muy Baja",'Riesgos de Gestión'!$S$37="Menor"),CONCATENATE("R",'Riesgos de Gestión'!$A$37),"")</f>
        <v/>
      </c>
      <c r="S40" s="465"/>
      <c r="T40" s="465" t="str">
        <f>IF(AND('Riesgos de Gestión'!$O$43="Muy Baja",'Riesgos de Gestión'!$S$43="Menor"),CONCATENATE("R",'Riesgos de Gestión'!$A$43),"")</f>
        <v/>
      </c>
      <c r="U40" s="466"/>
      <c r="V40" s="456" t="str">
        <f>IF(AND('Riesgos de Gestión'!$O$31="Muy Baja",'Riesgos de Gestión'!$S$31="Moderado"),CONCATENATE("R",'Riesgos de Gestión'!$A$31),"")</f>
        <v/>
      </c>
      <c r="W40" s="457"/>
      <c r="X40" s="457" t="str">
        <f>IF(AND('Riesgos de Gestión'!$O$37="Muy Baja",'Riesgos de Gestión'!$S$37="Moderado"),CONCATENATE("R",'Riesgos de Gestión'!$A$37),"")</f>
        <v/>
      </c>
      <c r="Y40" s="457"/>
      <c r="Z40" s="457" t="str">
        <f>IF(AND('Riesgos de Gestión'!$O$43="Muy Baja",'Riesgos de Gestión'!$S$43="Moderado"),CONCATENATE("R",'Riesgos de Gestión'!$A$43),"")</f>
        <v/>
      </c>
      <c r="AA40" s="458"/>
      <c r="AB40" s="440" t="str">
        <f>IF(AND('Riesgos de Gestión'!$O$31="Muy Baja",'Riesgos de Gestión'!$S$31="Mayor"),CONCATENATE("R",'Riesgos de Gestión'!$A$31),"")</f>
        <v/>
      </c>
      <c r="AC40" s="436"/>
      <c r="AD40" s="436" t="str">
        <f>IF(AND('Riesgos de Gestión'!$O$37="Muy Baja",'Riesgos de Gestión'!$S$37="Mayor"),CONCATENATE("R",'Riesgos de Gestión'!$A$37),"")</f>
        <v/>
      </c>
      <c r="AE40" s="436"/>
      <c r="AF40" s="436" t="str">
        <f>IF(AND('Riesgos de Gestión'!$O$43="Muy Baja",'Riesgos de Gestión'!$S$43="Mayor"),CONCATENATE("R",'Riesgos de Gestión'!$A$43),"")</f>
        <v/>
      </c>
      <c r="AG40" s="437"/>
      <c r="AH40" s="447" t="str">
        <f>IF(AND('Riesgos de Gestión'!$O$31="Muy Baja",'Riesgos de Gestión'!$S$31="Catastrófico"),CONCATENATE("R",'Riesgos de Gestión'!$A$31),"")</f>
        <v/>
      </c>
      <c r="AI40" s="448"/>
      <c r="AJ40" s="448" t="str">
        <f>IF(AND('Riesgos de Gestión'!$O$37="Muy Baja",'Riesgos de Gestión'!$S$37="Catastrófico"),CONCATENATE("R",'Riesgos de Gestión'!$A$37),"")</f>
        <v/>
      </c>
      <c r="AK40" s="448"/>
      <c r="AL40" s="448" t="str">
        <f>IF(AND('Riesgos de Gestión'!$O$43="Muy Baja",'Riesgos de Gestión'!$S$43="Catastrófico"),CONCATENATE("R",'Riesgos de Gestión'!$A$43),"")</f>
        <v/>
      </c>
      <c r="AM40" s="449"/>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row>
    <row r="41" spans="1:80" x14ac:dyDescent="0.25">
      <c r="A41" s="66"/>
      <c r="B41" s="389"/>
      <c r="C41" s="389"/>
      <c r="D41" s="390"/>
      <c r="E41" s="430"/>
      <c r="F41" s="431"/>
      <c r="G41" s="431"/>
      <c r="H41" s="431"/>
      <c r="I41" s="432"/>
      <c r="J41" s="467"/>
      <c r="K41" s="465"/>
      <c r="L41" s="465"/>
      <c r="M41" s="465"/>
      <c r="N41" s="465"/>
      <c r="O41" s="466"/>
      <c r="P41" s="467"/>
      <c r="Q41" s="465"/>
      <c r="R41" s="465"/>
      <c r="S41" s="465"/>
      <c r="T41" s="465"/>
      <c r="U41" s="466"/>
      <c r="V41" s="456"/>
      <c r="W41" s="457"/>
      <c r="X41" s="457"/>
      <c r="Y41" s="457"/>
      <c r="Z41" s="457"/>
      <c r="AA41" s="458"/>
      <c r="AB41" s="440"/>
      <c r="AC41" s="436"/>
      <c r="AD41" s="436"/>
      <c r="AE41" s="436"/>
      <c r="AF41" s="436"/>
      <c r="AG41" s="437"/>
      <c r="AH41" s="447"/>
      <c r="AI41" s="448"/>
      <c r="AJ41" s="448"/>
      <c r="AK41" s="448"/>
      <c r="AL41" s="448"/>
      <c r="AM41" s="449"/>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row>
    <row r="42" spans="1:80" x14ac:dyDescent="0.25">
      <c r="A42" s="66"/>
      <c r="B42" s="389"/>
      <c r="C42" s="389"/>
      <c r="D42" s="390"/>
      <c r="E42" s="430"/>
      <c r="F42" s="431"/>
      <c r="G42" s="431"/>
      <c r="H42" s="431"/>
      <c r="I42" s="432"/>
      <c r="J42" s="467" t="str">
        <f>IF(AND('Riesgos de Gestión'!$O$49="Muy Baja",'Riesgos de Gestión'!$S$49="Leve"),CONCATENATE("R",'Riesgos de Gestión'!$A$49),"")</f>
        <v/>
      </c>
      <c r="K42" s="465"/>
      <c r="L42" s="465" t="str">
        <f>IF(AND('Riesgos de Gestión'!$O$55="Muy Baja",'Riesgos de Gestión'!$S$55="Leve"),CONCATENATE("R",'Riesgos de Gestión'!$A$55),"")</f>
        <v/>
      </c>
      <c r="M42" s="465"/>
      <c r="N42" s="465" t="str">
        <f>IF(AND('Riesgos de Gestión'!$O$61="Muy Baja",'Riesgos de Gestión'!$S$61="Leve"),CONCATENATE("R",'Riesgos de Gestión'!$A$61),"")</f>
        <v/>
      </c>
      <c r="O42" s="466"/>
      <c r="P42" s="467" t="str">
        <f>IF(AND('Riesgos de Gestión'!$O$49="Muy Baja",'Riesgos de Gestión'!$S$49="Menor"),CONCATENATE("R",'Riesgos de Gestión'!$A$49),"")</f>
        <v/>
      </c>
      <c r="Q42" s="465"/>
      <c r="R42" s="465" t="str">
        <f>IF(AND('Riesgos de Gestión'!$O$55="Muy Baja",'Riesgos de Gestión'!$S$55="Menor"),CONCATENATE("R",'Riesgos de Gestión'!$A$55),"")</f>
        <v/>
      </c>
      <c r="S42" s="465"/>
      <c r="T42" s="465" t="str">
        <f>IF(AND('Riesgos de Gestión'!$O$61="Muy Baja",'Riesgos de Gestión'!$S$61="Menor"),CONCATENATE("R",'Riesgos de Gestión'!$A$61),"")</f>
        <v/>
      </c>
      <c r="U42" s="466"/>
      <c r="V42" s="456" t="str">
        <f>IF(AND('Riesgos de Gestión'!$O$49="Muy Baja",'Riesgos de Gestión'!$S$49="Moderado"),CONCATENATE("R",'Riesgos de Gestión'!$A$49),"")</f>
        <v/>
      </c>
      <c r="W42" s="457"/>
      <c r="X42" s="457" t="str">
        <f>IF(AND('Riesgos de Gestión'!$O$55="Muy Baja",'Riesgos de Gestión'!$S$55="Moderado"),CONCATENATE("R",'Riesgos de Gestión'!$A$55),"")</f>
        <v/>
      </c>
      <c r="Y42" s="457"/>
      <c r="Z42" s="457" t="str">
        <f>IF(AND('Riesgos de Gestión'!$O$61="Muy Baja",'Riesgos de Gestión'!$S$61="Moderado"),CONCATENATE("R",'Riesgos de Gestión'!$A$61),"")</f>
        <v/>
      </c>
      <c r="AA42" s="458"/>
      <c r="AB42" s="440" t="str">
        <f>IF(AND('Riesgos de Gestión'!$O$49="Muy Baja",'Riesgos de Gestión'!$S$49="Mayor"),CONCATENATE("R",'Riesgos de Gestión'!$A$49),"")</f>
        <v/>
      </c>
      <c r="AC42" s="436"/>
      <c r="AD42" s="436" t="str">
        <f>IF(AND('Riesgos de Gestión'!$O$55="Muy Baja",'Riesgos de Gestión'!$S$55="Mayor"),CONCATENATE("R",'Riesgos de Gestión'!$A$55),"")</f>
        <v/>
      </c>
      <c r="AE42" s="436"/>
      <c r="AF42" s="436" t="str">
        <f>IF(AND('Riesgos de Gestión'!$O$61="Muy Baja",'Riesgos de Gestión'!$S$61="Mayor"),CONCATENATE("R",'Riesgos de Gestión'!$A$61),"")</f>
        <v/>
      </c>
      <c r="AG42" s="437"/>
      <c r="AH42" s="447" t="str">
        <f>IF(AND('Riesgos de Gestión'!$O$49="Muy Baja",'Riesgos de Gestión'!$S$49="Catastrófico"),CONCATENATE("R",'Riesgos de Gestión'!$A$49),"")</f>
        <v/>
      </c>
      <c r="AI42" s="448"/>
      <c r="AJ42" s="448" t="str">
        <f>IF(AND('Riesgos de Gestión'!$O$55="Muy Baja",'Riesgos de Gestión'!$S$55="Catastrófico"),CONCATENATE("R",'Riesgos de Gestión'!$A$55),"")</f>
        <v/>
      </c>
      <c r="AK42" s="448"/>
      <c r="AL42" s="448" t="str">
        <f>IF(AND('Riesgos de Gestión'!$O$61="Muy Baja",'Riesgos de Gestión'!$S$61="Catastrófico"),CONCATENATE("R",'Riesgos de Gestión'!$A$61),"")</f>
        <v/>
      </c>
      <c r="AM42" s="449"/>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row>
    <row r="43" spans="1:80" x14ac:dyDescent="0.25">
      <c r="A43" s="66"/>
      <c r="B43" s="389"/>
      <c r="C43" s="389"/>
      <c r="D43" s="390"/>
      <c r="E43" s="430"/>
      <c r="F43" s="431"/>
      <c r="G43" s="431"/>
      <c r="H43" s="431"/>
      <c r="I43" s="432"/>
      <c r="J43" s="467"/>
      <c r="K43" s="465"/>
      <c r="L43" s="465"/>
      <c r="M43" s="465"/>
      <c r="N43" s="465"/>
      <c r="O43" s="466"/>
      <c r="P43" s="467"/>
      <c r="Q43" s="465"/>
      <c r="R43" s="465"/>
      <c r="S43" s="465"/>
      <c r="T43" s="465"/>
      <c r="U43" s="466"/>
      <c r="V43" s="456"/>
      <c r="W43" s="457"/>
      <c r="X43" s="457"/>
      <c r="Y43" s="457"/>
      <c r="Z43" s="457"/>
      <c r="AA43" s="458"/>
      <c r="AB43" s="440"/>
      <c r="AC43" s="436"/>
      <c r="AD43" s="436"/>
      <c r="AE43" s="436"/>
      <c r="AF43" s="436"/>
      <c r="AG43" s="437"/>
      <c r="AH43" s="447"/>
      <c r="AI43" s="448"/>
      <c r="AJ43" s="448"/>
      <c r="AK43" s="448"/>
      <c r="AL43" s="448"/>
      <c r="AM43" s="449"/>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row>
    <row r="44" spans="1:80" x14ac:dyDescent="0.25">
      <c r="A44" s="66"/>
      <c r="B44" s="389"/>
      <c r="C44" s="389"/>
      <c r="D44" s="390"/>
      <c r="E44" s="430"/>
      <c r="F44" s="431"/>
      <c r="G44" s="431"/>
      <c r="H44" s="431"/>
      <c r="I44" s="432"/>
      <c r="J44" s="467" t="str">
        <f>IF(AND('Riesgos de Gestión'!$O$67="Muy Baja",'Riesgos de Gestión'!$S$67="Leve"),CONCATENATE("R",'Riesgos de Gestión'!$A$67),"")</f>
        <v/>
      </c>
      <c r="K44" s="465"/>
      <c r="L44" s="465" t="str">
        <f>IF(AND('Riesgos de Gestión'!$P$73="Muy Baja",'Riesgos de Gestión'!$T$73="Leve"),CONCATENATE("R",'Riesgos de Gestión'!$A$73),"")</f>
        <v/>
      </c>
      <c r="M44" s="465"/>
      <c r="N44" s="465" t="str">
        <f>IF(AND('Riesgos de Gestión'!$P$79="Muy Baja",'Riesgos de Gestión'!$T$79="Leve"),CONCATENATE("R",'Riesgos de Gestión'!$A$79),"")</f>
        <v/>
      </c>
      <c r="O44" s="466"/>
      <c r="P44" s="467" t="str">
        <f>IF(AND('Riesgos de Gestión'!$O$67="Muy Baja",'Riesgos de Gestión'!$S$67="Menor"),CONCATENATE("R",'Riesgos de Gestión'!$A$67),"")</f>
        <v/>
      </c>
      <c r="Q44" s="465"/>
      <c r="R44" s="465" t="str">
        <f>IF(AND('Riesgos de Gestión'!$P$73="Muy Baja",'Riesgos de Gestión'!$T$73="Menor"),CONCATENATE("R",'Riesgos de Gestión'!$A$73),"")</f>
        <v/>
      </c>
      <c r="S44" s="465"/>
      <c r="T44" s="465" t="str">
        <f>IF(AND('Riesgos de Gestión'!$P$79="Muy Baja",'Riesgos de Gestión'!$T$79="Menor"),CONCATENATE("R",'Riesgos de Gestión'!$A$79),"")</f>
        <v/>
      </c>
      <c r="U44" s="466"/>
      <c r="V44" s="456" t="str">
        <f>IF(AND('Riesgos de Gestión'!$O$67="Muy Baja",'Riesgos de Gestión'!$S$67="Moderado"),CONCATENATE("R",'Riesgos de Gestión'!$A$67),"")</f>
        <v/>
      </c>
      <c r="W44" s="457"/>
      <c r="X44" s="457" t="str">
        <f>IF(AND('Riesgos de Gestión'!$P$73="Muy Baja",'Riesgos de Gestión'!$T$73="Moderado"),CONCATENATE("R",'Riesgos de Gestión'!$A$73),"")</f>
        <v/>
      </c>
      <c r="Y44" s="457"/>
      <c r="Z44" s="457" t="str">
        <f>IF(AND('Riesgos de Gestión'!$P$79="Muy Baja",'Riesgos de Gestión'!$T$79="Moderado"),CONCATENATE("R",'Riesgos de Gestión'!$A$79),"")</f>
        <v/>
      </c>
      <c r="AA44" s="458"/>
      <c r="AB44" s="440" t="str">
        <f>IF(AND('Riesgos de Gestión'!$O$67="Muy Baja",'Riesgos de Gestión'!$S$67="Mayor"),CONCATENATE("R",'Riesgos de Gestión'!$A$67),"")</f>
        <v/>
      </c>
      <c r="AC44" s="436"/>
      <c r="AD44" s="436" t="str">
        <f>IF(AND('Riesgos de Gestión'!$P$73="Muy Baja",'Riesgos de Gestión'!$T$73="Mayor"),CONCATENATE("R",'Riesgos de Gestión'!$A$73),"")</f>
        <v/>
      </c>
      <c r="AE44" s="436"/>
      <c r="AF44" s="436" t="str">
        <f>IF(AND('Riesgos de Gestión'!$P$79="Muy Baja",'Riesgos de Gestión'!$T$79="Mayor"),CONCATENATE("R",'Riesgos de Gestión'!$A$79),"")</f>
        <v/>
      </c>
      <c r="AG44" s="437"/>
      <c r="AH44" s="447" t="str">
        <f>IF(AND('Riesgos de Gestión'!$O$67="Muy Baja",'Riesgos de Gestión'!$S$67="Catastrófico"),CONCATENATE("R",'Riesgos de Gestión'!$A$67),"")</f>
        <v/>
      </c>
      <c r="AI44" s="448"/>
      <c r="AJ44" s="448" t="str">
        <f>IF(AND('Riesgos de Gestión'!$P$73="Muy Baja",'Riesgos de Gestión'!$T$73="Catastrófico"),CONCATENATE("R",'Riesgos de Gestión'!$A$73),"")</f>
        <v/>
      </c>
      <c r="AK44" s="448"/>
      <c r="AL44" s="448" t="str">
        <f>IF(AND('Riesgos de Gestión'!$P$79="Muy Baja",'Riesgos de Gestión'!$T$79="Catastrófico"),CONCATENATE("R",'Riesgos de Gestión'!$A$79),"")</f>
        <v/>
      </c>
      <c r="AM44" s="449"/>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row>
    <row r="45" spans="1:80" ht="15.75" thickBot="1" x14ac:dyDescent="0.3">
      <c r="A45" s="66"/>
      <c r="B45" s="389"/>
      <c r="C45" s="389"/>
      <c r="D45" s="390"/>
      <c r="E45" s="433"/>
      <c r="F45" s="434"/>
      <c r="G45" s="434"/>
      <c r="H45" s="434"/>
      <c r="I45" s="435"/>
      <c r="J45" s="468"/>
      <c r="K45" s="469"/>
      <c r="L45" s="469"/>
      <c r="M45" s="469"/>
      <c r="N45" s="469"/>
      <c r="O45" s="470"/>
      <c r="P45" s="468"/>
      <c r="Q45" s="469"/>
      <c r="R45" s="469"/>
      <c r="S45" s="469"/>
      <c r="T45" s="469"/>
      <c r="U45" s="470"/>
      <c r="V45" s="459"/>
      <c r="W45" s="460"/>
      <c r="X45" s="460"/>
      <c r="Y45" s="460"/>
      <c r="Z45" s="460"/>
      <c r="AA45" s="461"/>
      <c r="AB45" s="444"/>
      <c r="AC45" s="445"/>
      <c r="AD45" s="445"/>
      <c r="AE45" s="445"/>
      <c r="AF45" s="445"/>
      <c r="AG45" s="446"/>
      <c r="AH45" s="450"/>
      <c r="AI45" s="451"/>
      <c r="AJ45" s="451"/>
      <c r="AK45" s="451"/>
      <c r="AL45" s="451"/>
      <c r="AM45" s="452"/>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row>
    <row r="46" spans="1:80" x14ac:dyDescent="0.25">
      <c r="A46" s="66"/>
      <c r="B46" s="66"/>
      <c r="C46" s="66"/>
      <c r="D46" s="66"/>
      <c r="E46" s="66"/>
      <c r="F46" s="66"/>
      <c r="G46" s="66"/>
      <c r="H46" s="66"/>
      <c r="I46" s="66"/>
      <c r="J46" s="427" t="s">
        <v>260</v>
      </c>
      <c r="K46" s="428"/>
      <c r="L46" s="428"/>
      <c r="M46" s="428"/>
      <c r="N46" s="428"/>
      <c r="O46" s="429"/>
      <c r="P46" s="427" t="s">
        <v>261</v>
      </c>
      <c r="Q46" s="428"/>
      <c r="R46" s="428"/>
      <c r="S46" s="428"/>
      <c r="T46" s="428"/>
      <c r="U46" s="429"/>
      <c r="V46" s="427" t="s">
        <v>262</v>
      </c>
      <c r="W46" s="428"/>
      <c r="X46" s="428"/>
      <c r="Y46" s="428"/>
      <c r="Z46" s="428"/>
      <c r="AA46" s="429"/>
      <c r="AB46" s="427" t="s">
        <v>263</v>
      </c>
      <c r="AC46" s="443"/>
      <c r="AD46" s="428"/>
      <c r="AE46" s="428"/>
      <c r="AF46" s="428"/>
      <c r="AG46" s="429"/>
      <c r="AH46" s="427" t="s">
        <v>264</v>
      </c>
      <c r="AI46" s="428"/>
      <c r="AJ46" s="428"/>
      <c r="AK46" s="428"/>
      <c r="AL46" s="428"/>
      <c r="AM46" s="429"/>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row>
    <row r="47" spans="1:80" x14ac:dyDescent="0.25">
      <c r="A47" s="66"/>
      <c r="B47" s="66"/>
      <c r="C47" s="66"/>
      <c r="D47" s="66"/>
      <c r="E47" s="66"/>
      <c r="F47" s="66"/>
      <c r="G47" s="66"/>
      <c r="H47" s="66"/>
      <c r="I47" s="66"/>
      <c r="J47" s="430"/>
      <c r="K47" s="431"/>
      <c r="L47" s="431"/>
      <c r="M47" s="431"/>
      <c r="N47" s="431"/>
      <c r="O47" s="432"/>
      <c r="P47" s="430"/>
      <c r="Q47" s="431"/>
      <c r="R47" s="431"/>
      <c r="S47" s="431"/>
      <c r="T47" s="431"/>
      <c r="U47" s="432"/>
      <c r="V47" s="430"/>
      <c r="W47" s="431"/>
      <c r="X47" s="431"/>
      <c r="Y47" s="431"/>
      <c r="Z47" s="431"/>
      <c r="AA47" s="432"/>
      <c r="AB47" s="430"/>
      <c r="AC47" s="431"/>
      <c r="AD47" s="431"/>
      <c r="AE47" s="431"/>
      <c r="AF47" s="431"/>
      <c r="AG47" s="432"/>
      <c r="AH47" s="430"/>
      <c r="AI47" s="431"/>
      <c r="AJ47" s="431"/>
      <c r="AK47" s="431"/>
      <c r="AL47" s="431"/>
      <c r="AM47" s="432"/>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row>
    <row r="48" spans="1:80" x14ac:dyDescent="0.25">
      <c r="A48" s="66"/>
      <c r="B48" s="66"/>
      <c r="C48" s="66"/>
      <c r="D48" s="66"/>
      <c r="E48" s="66"/>
      <c r="F48" s="66"/>
      <c r="G48" s="66"/>
      <c r="H48" s="66"/>
      <c r="I48" s="66"/>
      <c r="J48" s="430"/>
      <c r="K48" s="431"/>
      <c r="L48" s="431"/>
      <c r="M48" s="431"/>
      <c r="N48" s="431"/>
      <c r="O48" s="432"/>
      <c r="P48" s="430"/>
      <c r="Q48" s="431"/>
      <c r="R48" s="431"/>
      <c r="S48" s="431"/>
      <c r="T48" s="431"/>
      <c r="U48" s="432"/>
      <c r="V48" s="430"/>
      <c r="W48" s="431"/>
      <c r="X48" s="431"/>
      <c r="Y48" s="431"/>
      <c r="Z48" s="431"/>
      <c r="AA48" s="432"/>
      <c r="AB48" s="430"/>
      <c r="AC48" s="431"/>
      <c r="AD48" s="431"/>
      <c r="AE48" s="431"/>
      <c r="AF48" s="431"/>
      <c r="AG48" s="432"/>
      <c r="AH48" s="430"/>
      <c r="AI48" s="431"/>
      <c r="AJ48" s="431"/>
      <c r="AK48" s="431"/>
      <c r="AL48" s="431"/>
      <c r="AM48" s="432"/>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row>
    <row r="49" spans="1:80" x14ac:dyDescent="0.25">
      <c r="A49" s="66"/>
      <c r="B49" s="66"/>
      <c r="C49" s="66"/>
      <c r="D49" s="66"/>
      <c r="E49" s="66"/>
      <c r="F49" s="66"/>
      <c r="G49" s="66"/>
      <c r="H49" s="66"/>
      <c r="I49" s="66"/>
      <c r="J49" s="430"/>
      <c r="K49" s="431"/>
      <c r="L49" s="431"/>
      <c r="M49" s="431"/>
      <c r="N49" s="431"/>
      <c r="O49" s="432"/>
      <c r="P49" s="430"/>
      <c r="Q49" s="431"/>
      <c r="R49" s="431"/>
      <c r="S49" s="431"/>
      <c r="T49" s="431"/>
      <c r="U49" s="432"/>
      <c r="V49" s="430"/>
      <c r="W49" s="431"/>
      <c r="X49" s="431"/>
      <c r="Y49" s="431"/>
      <c r="Z49" s="431"/>
      <c r="AA49" s="432"/>
      <c r="AB49" s="430"/>
      <c r="AC49" s="431"/>
      <c r="AD49" s="431"/>
      <c r="AE49" s="431"/>
      <c r="AF49" s="431"/>
      <c r="AG49" s="432"/>
      <c r="AH49" s="430"/>
      <c r="AI49" s="431"/>
      <c r="AJ49" s="431"/>
      <c r="AK49" s="431"/>
      <c r="AL49" s="431"/>
      <c r="AM49" s="432"/>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row>
    <row r="50" spans="1:80" x14ac:dyDescent="0.25">
      <c r="A50" s="66"/>
      <c r="B50" s="66"/>
      <c r="C50" s="66"/>
      <c r="D50" s="66"/>
      <c r="E50" s="66"/>
      <c r="F50" s="66"/>
      <c r="G50" s="66"/>
      <c r="H50" s="66"/>
      <c r="I50" s="66"/>
      <c r="J50" s="430"/>
      <c r="K50" s="431"/>
      <c r="L50" s="431"/>
      <c r="M50" s="431"/>
      <c r="N50" s="431"/>
      <c r="O50" s="432"/>
      <c r="P50" s="430"/>
      <c r="Q50" s="431"/>
      <c r="R50" s="431"/>
      <c r="S50" s="431"/>
      <c r="T50" s="431"/>
      <c r="U50" s="432"/>
      <c r="V50" s="430"/>
      <c r="W50" s="431"/>
      <c r="X50" s="431"/>
      <c r="Y50" s="431"/>
      <c r="Z50" s="431"/>
      <c r="AA50" s="432"/>
      <c r="AB50" s="430"/>
      <c r="AC50" s="431"/>
      <c r="AD50" s="431"/>
      <c r="AE50" s="431"/>
      <c r="AF50" s="431"/>
      <c r="AG50" s="432"/>
      <c r="AH50" s="430"/>
      <c r="AI50" s="431"/>
      <c r="AJ50" s="431"/>
      <c r="AK50" s="431"/>
      <c r="AL50" s="431"/>
      <c r="AM50" s="432"/>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row>
    <row r="51" spans="1:80" ht="15.75" thickBot="1" x14ac:dyDescent="0.3">
      <c r="A51" s="66"/>
      <c r="B51" s="66"/>
      <c r="C51" s="66"/>
      <c r="D51" s="66"/>
      <c r="E51" s="66"/>
      <c r="F51" s="66"/>
      <c r="G51" s="66"/>
      <c r="H51" s="66"/>
      <c r="I51" s="66"/>
      <c r="J51" s="433"/>
      <c r="K51" s="434"/>
      <c r="L51" s="434"/>
      <c r="M51" s="434"/>
      <c r="N51" s="434"/>
      <c r="O51" s="435"/>
      <c r="P51" s="433"/>
      <c r="Q51" s="434"/>
      <c r="R51" s="434"/>
      <c r="S51" s="434"/>
      <c r="T51" s="434"/>
      <c r="U51" s="435"/>
      <c r="V51" s="433"/>
      <c r="W51" s="434"/>
      <c r="X51" s="434"/>
      <c r="Y51" s="434"/>
      <c r="Z51" s="434"/>
      <c r="AA51" s="435"/>
      <c r="AB51" s="433"/>
      <c r="AC51" s="434"/>
      <c r="AD51" s="434"/>
      <c r="AE51" s="434"/>
      <c r="AF51" s="434"/>
      <c r="AG51" s="435"/>
      <c r="AH51" s="433"/>
      <c r="AI51" s="434"/>
      <c r="AJ51" s="434"/>
      <c r="AK51" s="434"/>
      <c r="AL51" s="434"/>
      <c r="AM51" s="435"/>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row>
    <row r="52" spans="1:80" x14ac:dyDescent="0.2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row>
    <row r="53" spans="1:80" ht="15" customHeight="1" x14ac:dyDescent="0.25">
      <c r="A53" s="66"/>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row>
    <row r="54" spans="1:80" ht="15" customHeight="1" x14ac:dyDescent="0.25">
      <c r="A54" s="66"/>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row>
    <row r="55" spans="1:80" x14ac:dyDescent="0.25">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row>
    <row r="56" spans="1:80" x14ac:dyDescent="0.2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row>
    <row r="57" spans="1:80" x14ac:dyDescent="0.2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row>
    <row r="58" spans="1:80" x14ac:dyDescent="0.2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row>
    <row r="59" spans="1:80" x14ac:dyDescent="0.2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row>
    <row r="60" spans="1:80" x14ac:dyDescent="0.25">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row>
    <row r="61" spans="1:80" x14ac:dyDescent="0.25">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row>
    <row r="62" spans="1:80" x14ac:dyDescent="0.2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row>
    <row r="63" spans="1:80" x14ac:dyDescent="0.25">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row>
    <row r="64" spans="1:80" x14ac:dyDescent="0.25">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row>
    <row r="65" spans="1:80" x14ac:dyDescent="0.2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row>
    <row r="66" spans="1:80" x14ac:dyDescent="0.2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row>
    <row r="67" spans="1:80" x14ac:dyDescent="0.2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row>
    <row r="68" spans="1:80" x14ac:dyDescent="0.2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row>
    <row r="69" spans="1:80" x14ac:dyDescent="0.2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row>
    <row r="70" spans="1:80" x14ac:dyDescent="0.2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row>
    <row r="71" spans="1:80" x14ac:dyDescent="0.2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row>
    <row r="72" spans="1:80" x14ac:dyDescent="0.2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row>
    <row r="73" spans="1:80"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row>
    <row r="74" spans="1:80" x14ac:dyDescent="0.2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row>
    <row r="75" spans="1:80"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row>
    <row r="76" spans="1:80" x14ac:dyDescent="0.2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row>
    <row r="77" spans="1:80" x14ac:dyDescent="0.2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row>
    <row r="78" spans="1:80" x14ac:dyDescent="0.2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row>
    <row r="79" spans="1:80" x14ac:dyDescent="0.2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row>
    <row r="80" spans="1:80" x14ac:dyDescent="0.2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row>
    <row r="81" spans="1:63" x14ac:dyDescent="0.2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row>
    <row r="82" spans="1:63" x14ac:dyDescent="0.2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row>
    <row r="83" spans="1:63" x14ac:dyDescent="0.2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row>
    <row r="84" spans="1:63" x14ac:dyDescent="0.2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row>
    <row r="85" spans="1:63" x14ac:dyDescent="0.2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row>
    <row r="86" spans="1:63"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row>
    <row r="87" spans="1:63" x14ac:dyDescent="0.2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row>
    <row r="88" spans="1:63" x14ac:dyDescent="0.2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row>
    <row r="89" spans="1:63" x14ac:dyDescent="0.2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row>
    <row r="90" spans="1:63" x14ac:dyDescent="0.2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row>
    <row r="91" spans="1:63" x14ac:dyDescent="0.2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row>
    <row r="92" spans="1:63" x14ac:dyDescent="0.2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row>
    <row r="93" spans="1:63" x14ac:dyDescent="0.2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row>
    <row r="94" spans="1:63" x14ac:dyDescent="0.25">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row>
    <row r="95" spans="1:63"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row>
    <row r="96" spans="1:63"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row>
    <row r="97" spans="1:63"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row>
    <row r="98" spans="1:63"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row>
    <row r="99" spans="1:63"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row>
    <row r="100" spans="1:63" x14ac:dyDescent="0.25">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row>
    <row r="101" spans="1:63" x14ac:dyDescent="0.25">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row>
    <row r="102" spans="1:63" x14ac:dyDescent="0.25">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row>
    <row r="103" spans="1:63" x14ac:dyDescent="0.25">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row>
    <row r="104" spans="1:63" x14ac:dyDescent="0.2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row>
    <row r="105" spans="1:63" x14ac:dyDescent="0.2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row>
    <row r="106" spans="1:63" x14ac:dyDescent="0.2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row>
    <row r="107" spans="1:63" x14ac:dyDescent="0.25">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row>
    <row r="108" spans="1:63" x14ac:dyDescent="0.25">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row>
    <row r="109" spans="1:63" x14ac:dyDescent="0.2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row>
    <row r="110" spans="1:63" x14ac:dyDescent="0.2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row>
    <row r="111" spans="1:63" x14ac:dyDescent="0.2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row>
    <row r="112" spans="1:63" x14ac:dyDescent="0.2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row>
    <row r="113" spans="1:63" x14ac:dyDescent="0.2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row>
    <row r="114" spans="1:63" x14ac:dyDescent="0.2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row>
    <row r="115" spans="1:63"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row>
    <row r="116" spans="1:63" x14ac:dyDescent="0.25">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row>
    <row r="117" spans="1:63" x14ac:dyDescent="0.2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row>
    <row r="118" spans="1:63" x14ac:dyDescent="0.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row>
    <row r="119" spans="1:63" x14ac:dyDescent="0.2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row>
    <row r="120" spans="1:63" x14ac:dyDescent="0.2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row>
    <row r="121" spans="1:63" x14ac:dyDescent="0.2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row>
    <row r="122" spans="1:63" x14ac:dyDescent="0.25">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row>
    <row r="123" spans="1:63" x14ac:dyDescent="0.25">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row>
    <row r="124" spans="1:63" x14ac:dyDescent="0.25">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row>
    <row r="125" spans="1:63" x14ac:dyDescent="0.25">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row>
    <row r="126" spans="1:63" x14ac:dyDescent="0.25">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row>
    <row r="127" spans="1:63" x14ac:dyDescent="0.25">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row>
    <row r="128" spans="1:63" x14ac:dyDescent="0.25">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row>
    <row r="129" spans="2:63" x14ac:dyDescent="0.25">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row>
    <row r="130" spans="2:63" x14ac:dyDescent="0.25">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row>
    <row r="131" spans="2:63" x14ac:dyDescent="0.25">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row>
    <row r="132" spans="2:63" x14ac:dyDescent="0.25">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row>
    <row r="133" spans="2:63" x14ac:dyDescent="0.25">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row>
    <row r="134" spans="2:63" x14ac:dyDescent="0.25">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row>
    <row r="135" spans="2:63" x14ac:dyDescent="0.25">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row>
    <row r="136" spans="2:63" x14ac:dyDescent="0.25">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row>
    <row r="137" spans="2:63" x14ac:dyDescent="0.25">
      <c r="B137" s="66"/>
      <c r="C137" s="66"/>
      <c r="D137" s="66"/>
      <c r="E137" s="66"/>
      <c r="F137" s="66"/>
      <c r="G137" s="66"/>
      <c r="H137" s="66"/>
      <c r="I137" s="66"/>
    </row>
    <row r="138" spans="2:63" x14ac:dyDescent="0.25">
      <c r="B138" s="66"/>
      <c r="C138" s="66"/>
      <c r="D138" s="66"/>
      <c r="E138" s="66"/>
      <c r="F138" s="66"/>
      <c r="G138" s="66"/>
      <c r="H138" s="66"/>
      <c r="I138" s="66"/>
    </row>
    <row r="139" spans="2:63" x14ac:dyDescent="0.25">
      <c r="B139" s="66"/>
      <c r="C139" s="66"/>
      <c r="D139" s="66"/>
      <c r="E139" s="66"/>
      <c r="F139" s="66"/>
      <c r="G139" s="66"/>
      <c r="H139" s="66"/>
      <c r="I139" s="66"/>
    </row>
    <row r="140" spans="2:63" x14ac:dyDescent="0.25">
      <c r="B140" s="66"/>
      <c r="C140" s="66"/>
      <c r="D140" s="66"/>
      <c r="E140" s="66"/>
      <c r="F140" s="66"/>
      <c r="G140" s="66"/>
      <c r="H140" s="66"/>
      <c r="I140" s="66"/>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topLeftCell="A29" zoomScale="40" zoomScaleNormal="40" workbookViewId="0">
      <selection activeCell="V27" sqref="V27:AA35"/>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row>
    <row r="2" spans="1:91" ht="18" customHeight="1" x14ac:dyDescent="0.25">
      <c r="A2" s="66"/>
      <c r="B2" s="500" t="s">
        <v>265</v>
      </c>
      <c r="C2" s="501"/>
      <c r="D2" s="501"/>
      <c r="E2" s="501"/>
      <c r="F2" s="501"/>
      <c r="G2" s="501"/>
      <c r="H2" s="501"/>
      <c r="I2" s="501"/>
      <c r="J2" s="442" t="s">
        <v>15</v>
      </c>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row>
    <row r="3" spans="1:91" ht="18.75" customHeight="1" x14ac:dyDescent="0.25">
      <c r="A3" s="66"/>
      <c r="B3" s="501"/>
      <c r="C3" s="501"/>
      <c r="D3" s="501"/>
      <c r="E3" s="501"/>
      <c r="F3" s="501"/>
      <c r="G3" s="501"/>
      <c r="H3" s="501"/>
      <c r="I3" s="501"/>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row>
    <row r="4" spans="1:91" ht="15" customHeight="1" x14ac:dyDescent="0.25">
      <c r="A4" s="66"/>
      <c r="B4" s="501"/>
      <c r="C4" s="501"/>
      <c r="D4" s="501"/>
      <c r="E4" s="501"/>
      <c r="F4" s="501"/>
      <c r="G4" s="501"/>
      <c r="H4" s="501"/>
      <c r="I4" s="501"/>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row>
    <row r="5" spans="1:91" ht="15.75" thickBot="1" x14ac:dyDescent="0.3">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row>
    <row r="6" spans="1:91" ht="15" customHeight="1" x14ac:dyDescent="0.25">
      <c r="A6" s="66"/>
      <c r="B6" s="389" t="s">
        <v>250</v>
      </c>
      <c r="C6" s="389"/>
      <c r="D6" s="390"/>
      <c r="E6" s="484" t="s">
        <v>251</v>
      </c>
      <c r="F6" s="485"/>
      <c r="G6" s="485"/>
      <c r="H6" s="485"/>
      <c r="I6" s="502"/>
      <c r="J6" s="29" t="str">
        <f>IF(AND('Riesgos de Gestión'!$AF$13="Muy Alta",'Riesgos de Gestión'!$AH$13="Leve"),CONCATENATE("R1C",'Riesgos de Gestión'!$V$13),"")</f>
        <v/>
      </c>
      <c r="K6" s="30" t="str">
        <f>IF(AND('Riesgos de Gestión'!$AF$14="Muy Alta",'Riesgos de Gestión'!$AH$14="Leve"),CONCATENATE("R1C",'Riesgos de Gestión'!$V$14),"")</f>
        <v/>
      </c>
      <c r="L6" s="30" t="str">
        <f>IF(AND('Riesgos de Gestión'!$AF$15="Muy Alta",'Riesgos de Gestión'!$AH$15="Leve"),CONCATENATE("R1C",'Riesgos de Gestión'!$V$15),"")</f>
        <v/>
      </c>
      <c r="M6" s="30" t="str">
        <f>IF(AND('Riesgos de Gestión'!$AF$16="Muy Alta",'Riesgos de Gestión'!$AH$16="Leve"),CONCATENATE("R1C",'Riesgos de Gestión'!$V$16),"")</f>
        <v/>
      </c>
      <c r="N6" s="30" t="str">
        <f>IF(AND('Riesgos de Gestión'!$AF$17="Muy Alta",'Riesgos de Gestión'!$AH$17="Leve"),CONCATENATE("R1C",'Riesgos de Gestión'!$V$17),"")</f>
        <v/>
      </c>
      <c r="O6" s="31" t="str">
        <f>IF(AND('Riesgos de Gestión'!$AF$18="Muy Alta",'Riesgos de Gestión'!$AH$18="Leve"),CONCATENATE("R1C",'Riesgos de Gestión'!$V$18),"")</f>
        <v/>
      </c>
      <c r="P6" s="29" t="str">
        <f>IF(AND('Riesgos de Gestión'!$AF$13="Muy Alta",'Riesgos de Gestión'!$AH$13="Menor"),CONCATENATE("R1C",'Riesgos de Gestión'!$V$13),"")</f>
        <v/>
      </c>
      <c r="Q6" s="30" t="str">
        <f>IF(AND('Riesgos de Gestión'!$AF$14="Muy Alta",'Riesgos de Gestión'!$AH$14="Menor"),CONCATENATE("R1C",'Riesgos de Gestión'!$V$14),"")</f>
        <v/>
      </c>
      <c r="R6" s="30" t="str">
        <f>IF(AND('Riesgos de Gestión'!$AF$15="Muy Alta",'Riesgos de Gestión'!$AH$15="Menor"),CONCATENATE("R1C",'Riesgos de Gestión'!$V$15),"")</f>
        <v/>
      </c>
      <c r="S6" s="30" t="str">
        <f>IF(AND('Riesgos de Gestión'!$AF$16="Muy Alta",'Riesgos de Gestión'!$AH$16="Menor"),CONCATENATE("R1C",'Riesgos de Gestión'!$V$16),"")</f>
        <v/>
      </c>
      <c r="T6" s="30" t="str">
        <f>IF(AND('Riesgos de Gestión'!$AF$17="Muy Alta",'Riesgos de Gestión'!$AH$17="Menor"),CONCATENATE("R1C",'Riesgos de Gestión'!$V$17),"")</f>
        <v/>
      </c>
      <c r="U6" s="31" t="str">
        <f>IF(AND('Riesgos de Gestión'!$AF$18="Muy Alta",'Riesgos de Gestión'!$AH$18="Menor"),CONCATENATE("R1C",'Riesgos de Gestión'!$V$18),"")</f>
        <v/>
      </c>
      <c r="V6" s="29" t="str">
        <f>IF(AND('Riesgos de Gestión'!$AF$13="Muy Alta",'Riesgos de Gestión'!$AH$13="Moderado"),CONCATENATE("R1C",'Riesgos de Gestión'!$V$13),"")</f>
        <v/>
      </c>
      <c r="W6" s="30" t="str">
        <f>IF(AND('Riesgos de Gestión'!$AF$14="Muy Alta",'Riesgos de Gestión'!$AH$14="Moderado"),CONCATENATE("R1C",'Riesgos de Gestión'!$V$14),"")</f>
        <v/>
      </c>
      <c r="X6" s="30" t="str">
        <f>IF(AND('Riesgos de Gestión'!$AF$15="Muy Alta",'Riesgos de Gestión'!$AH$15="Moderado"),CONCATENATE("R1C",'Riesgos de Gestión'!$V$15),"")</f>
        <v/>
      </c>
      <c r="Y6" s="30" t="str">
        <f>IF(AND('Riesgos de Gestión'!$AF$16="Muy Alta",'Riesgos de Gestión'!$AH$16="Moderado"),CONCATENATE("R1C",'Riesgos de Gestión'!$V$16),"")</f>
        <v/>
      </c>
      <c r="Z6" s="30" t="str">
        <f>IF(AND('Riesgos de Gestión'!$AF$17="Muy Alta",'Riesgos de Gestión'!$AH$17="Moderado"),CONCATENATE("R1C",'Riesgos de Gestión'!$V$17),"")</f>
        <v/>
      </c>
      <c r="AA6" s="31" t="str">
        <f>IF(AND('Riesgos de Gestión'!$AF$18="Muy Alta",'Riesgos de Gestión'!$AH$18="Moderado"),CONCATENATE("R1C",'Riesgos de Gestión'!$V$18),"")</f>
        <v/>
      </c>
      <c r="AB6" s="29" t="str">
        <f>IF(AND('Riesgos de Gestión'!$AF$13="Muy Alta",'Riesgos de Gestión'!$AH$13="Mayor"),CONCATENATE("R1C",'Riesgos de Gestión'!$V$13),"")</f>
        <v/>
      </c>
      <c r="AC6" s="30" t="str">
        <f>IF(AND('Riesgos de Gestión'!$AF$14="Muy Alta",'Riesgos de Gestión'!$AH$14="Mayor"),CONCATENATE("R1C",'Riesgos de Gestión'!$V$14),"")</f>
        <v/>
      </c>
      <c r="AD6" s="30" t="str">
        <f>IF(AND('Riesgos de Gestión'!$AF$15="Muy Alta",'Riesgos de Gestión'!$AH$15="Mayor"),CONCATENATE("R1C",'Riesgos de Gestión'!$V$15),"")</f>
        <v/>
      </c>
      <c r="AE6" s="30" t="str">
        <f>IF(AND('Riesgos de Gestión'!$AF$16="Muy Alta",'Riesgos de Gestión'!$AH$16="Mayor"),CONCATENATE("R1C",'Riesgos de Gestión'!$V$16),"")</f>
        <v/>
      </c>
      <c r="AF6" s="30" t="str">
        <f>IF(AND('Riesgos de Gestión'!$AF$17="Muy Alta",'Riesgos de Gestión'!$AH$17="Mayor"),CONCATENATE("R1C",'Riesgos de Gestión'!$V$17),"")</f>
        <v/>
      </c>
      <c r="AG6" s="31" t="str">
        <f>IF(AND('Riesgos de Gestión'!$AF$18="Muy Alta",'Riesgos de Gestión'!$AH$18="Mayor"),CONCATENATE("R1C",'Riesgos de Gestión'!$V$18),"")</f>
        <v/>
      </c>
      <c r="AH6" s="32" t="str">
        <f>IF(AND('Riesgos de Gestión'!$AF$13="Muy Alta",'Riesgos de Gestión'!$AH$13="Catastrófico"),CONCATENATE("R1C",'Riesgos de Gestión'!$V$13),"")</f>
        <v/>
      </c>
      <c r="AI6" s="33" t="str">
        <f>IF(AND('Riesgos de Gestión'!$AF$14="Muy Alta",'Riesgos de Gestión'!$AH$14="Catastrófico"),CONCATENATE("R1C",'Riesgos de Gestión'!$V$14),"")</f>
        <v/>
      </c>
      <c r="AJ6" s="33" t="str">
        <f>IF(AND('Riesgos de Gestión'!$AF$15="Muy Alta",'Riesgos de Gestión'!$AH$15="Catastrófico"),CONCATENATE("R1C",'Riesgos de Gestión'!$V$15),"")</f>
        <v/>
      </c>
      <c r="AK6" s="33" t="str">
        <f>IF(AND('Riesgos de Gestión'!$AF$16="Muy Alta",'Riesgos de Gestión'!$AH$16="Catastrófico"),CONCATENATE("R1C",'Riesgos de Gestión'!$V$16),"")</f>
        <v/>
      </c>
      <c r="AL6" s="33" t="str">
        <f>IF(AND('Riesgos de Gestión'!$AF$17="Muy Alta",'Riesgos de Gestión'!$AH$17="Catastrófico"),CONCATENATE("R1C",'Riesgos de Gestión'!$V$17),"")</f>
        <v/>
      </c>
      <c r="AM6" s="34" t="str">
        <f>IF(AND('Riesgos de Gestión'!$AF$18="Muy Alta",'Riesgos de Gestión'!$AH$18="Catastrófico"),CONCATENATE("R1C",'Riesgos de Gestión'!$V$18),"")</f>
        <v/>
      </c>
      <c r="AN6" s="66"/>
      <c r="AO6" s="491" t="s">
        <v>252</v>
      </c>
      <c r="AP6" s="492"/>
      <c r="AQ6" s="492"/>
      <c r="AR6" s="492"/>
      <c r="AS6" s="492"/>
      <c r="AT6" s="493"/>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row>
    <row r="7" spans="1:91" ht="15" customHeight="1" x14ac:dyDescent="0.25">
      <c r="A7" s="66"/>
      <c r="B7" s="389"/>
      <c r="C7" s="389"/>
      <c r="D7" s="390"/>
      <c r="E7" s="488"/>
      <c r="F7" s="487"/>
      <c r="G7" s="487"/>
      <c r="H7" s="487"/>
      <c r="I7" s="503"/>
      <c r="J7" s="35" t="str">
        <f>IF(AND('Riesgos de Gestión'!$AF$19="Muy Alta",'Riesgos de Gestión'!$AH$19="Leve"),CONCATENATE("R2C",'Riesgos de Gestión'!$V$19),"")</f>
        <v/>
      </c>
      <c r="K7" s="36" t="str">
        <f>IF(AND('Riesgos de Gestión'!$AF$20="Muy Alta",'Riesgos de Gestión'!$AH$20="Leve"),CONCATENATE("R2C",'Riesgos de Gestión'!$V$20),"")</f>
        <v/>
      </c>
      <c r="L7" s="36" t="str">
        <f>IF(AND('Riesgos de Gestión'!$AF$21="Muy Alta",'Riesgos de Gestión'!$AH$21="Leve"),CONCATENATE("R2C",'Riesgos de Gestión'!$V$21),"")</f>
        <v/>
      </c>
      <c r="M7" s="36" t="str">
        <f>IF(AND('Riesgos de Gestión'!$AF$22="Muy Alta",'Riesgos de Gestión'!$AH$22="Leve"),CONCATENATE("R2C",'Riesgos de Gestión'!$V$22),"")</f>
        <v/>
      </c>
      <c r="N7" s="36" t="str">
        <f>IF(AND('Riesgos de Gestión'!$AF$23="Muy Alta",'Riesgos de Gestión'!$AH$23="Leve"),CONCATENATE("R2C",'Riesgos de Gestión'!$V$23),"")</f>
        <v/>
      </c>
      <c r="O7" s="37" t="str">
        <f>IF(AND('Riesgos de Gestión'!$AF$24="Muy Alta",'Riesgos de Gestión'!$AH$24="Leve"),CONCATENATE("R2C",'Riesgos de Gestión'!$V$24),"")</f>
        <v/>
      </c>
      <c r="P7" s="35" t="str">
        <f>IF(AND('Riesgos de Gestión'!$AF$19="Muy Alta",'Riesgos de Gestión'!$AH$19="Menor"),CONCATENATE("R2C",'Riesgos de Gestión'!$V$19),"")</f>
        <v/>
      </c>
      <c r="Q7" s="36" t="str">
        <f>IF(AND('Riesgos de Gestión'!$AF$20="Muy Alta",'Riesgos de Gestión'!$AH$20="Menor"),CONCATENATE("R2C",'Riesgos de Gestión'!$V$20),"")</f>
        <v/>
      </c>
      <c r="R7" s="36" t="str">
        <f>IF(AND('Riesgos de Gestión'!$AF$21="Muy Alta",'Riesgos de Gestión'!$AH$21="Menor"),CONCATENATE("R2C",'Riesgos de Gestión'!$V$21),"")</f>
        <v/>
      </c>
      <c r="S7" s="36" t="str">
        <f>IF(AND('Riesgos de Gestión'!$AF$22="Muy Alta",'Riesgos de Gestión'!$AH$22="Menor"),CONCATENATE("R2C",'Riesgos de Gestión'!$V$22),"")</f>
        <v/>
      </c>
      <c r="T7" s="36" t="str">
        <f>IF(AND('Riesgos de Gestión'!$AF$23="Muy Alta",'Riesgos de Gestión'!$AH$23="Menor"),CONCATENATE("R2C",'Riesgos de Gestión'!$V$23),"")</f>
        <v/>
      </c>
      <c r="U7" s="37" t="str">
        <f>IF(AND('Riesgos de Gestión'!$AF$24="Muy Alta",'Riesgos de Gestión'!$AH$24="Menor"),CONCATENATE("R2C",'Riesgos de Gestión'!$V$24),"")</f>
        <v/>
      </c>
      <c r="V7" s="35" t="str">
        <f>IF(AND('Riesgos de Gestión'!$AF$19="Muy Alta",'Riesgos de Gestión'!$AH$19="Moderado"),CONCATENATE("R2C",'Riesgos de Gestión'!$V$19),"")</f>
        <v/>
      </c>
      <c r="W7" s="36" t="str">
        <f>IF(AND('Riesgos de Gestión'!$AF$20="Muy Alta",'Riesgos de Gestión'!$AH$20="Moderado"),CONCATENATE("R2C",'Riesgos de Gestión'!$V$20),"")</f>
        <v/>
      </c>
      <c r="X7" s="36" t="str">
        <f>IF(AND('Riesgos de Gestión'!$AF$21="Muy Alta",'Riesgos de Gestión'!$AH$21="Moderado"),CONCATENATE("R2C",'Riesgos de Gestión'!$V$21),"")</f>
        <v/>
      </c>
      <c r="Y7" s="36" t="str">
        <f>IF(AND('Riesgos de Gestión'!$AF$22="Muy Alta",'Riesgos de Gestión'!$AH$22="Moderado"),CONCATENATE("R2C",'Riesgos de Gestión'!$V$22),"")</f>
        <v/>
      </c>
      <c r="Z7" s="36" t="str">
        <f>IF(AND('Riesgos de Gestión'!$AF$23="Muy Alta",'Riesgos de Gestión'!$AH$23="Moderado"),CONCATENATE("R2C",'Riesgos de Gestión'!$V$23),"")</f>
        <v/>
      </c>
      <c r="AA7" s="37" t="str">
        <f>IF(AND('Riesgos de Gestión'!$AF$24="Muy Alta",'Riesgos de Gestión'!$AH$24="Moderado"),CONCATENATE("R2C",'Riesgos de Gestión'!$V$24),"")</f>
        <v/>
      </c>
      <c r="AB7" s="35" t="str">
        <f>IF(AND('Riesgos de Gestión'!$AF$19="Muy Alta",'Riesgos de Gestión'!$AH$19="Mayor"),CONCATENATE("R2C",'Riesgos de Gestión'!$V$19),"")</f>
        <v/>
      </c>
      <c r="AC7" s="36" t="str">
        <f>IF(AND('Riesgos de Gestión'!$AF$20="Muy Alta",'Riesgos de Gestión'!$AH$20="Mayor"),CONCATENATE("R2C",'Riesgos de Gestión'!$V$20),"")</f>
        <v/>
      </c>
      <c r="AD7" s="36" t="str">
        <f>IF(AND('Riesgos de Gestión'!$AF$21="Muy Alta",'Riesgos de Gestión'!$AH$21="Mayor"),CONCATENATE("R2C",'Riesgos de Gestión'!$V$21),"")</f>
        <v/>
      </c>
      <c r="AE7" s="36" t="str">
        <f>IF(AND('Riesgos de Gestión'!$AF$22="Muy Alta",'Riesgos de Gestión'!$AH$22="Mayor"),CONCATENATE("R2C",'Riesgos de Gestión'!$V$22),"")</f>
        <v/>
      </c>
      <c r="AF7" s="36" t="str">
        <f>IF(AND('Riesgos de Gestión'!$AF$23="Muy Alta",'Riesgos de Gestión'!$AH$23="Mayor"),CONCATENATE("R2C",'Riesgos de Gestión'!$V$23),"")</f>
        <v/>
      </c>
      <c r="AG7" s="37" t="str">
        <f>IF(AND('Riesgos de Gestión'!$AF$24="Muy Alta",'Riesgos de Gestión'!$AH$24="Mayor"),CONCATENATE("R2C",'Riesgos de Gestión'!$V$24),"")</f>
        <v/>
      </c>
      <c r="AH7" s="38" t="str">
        <f>IF(AND('Riesgos de Gestión'!$AF$19="Muy Alta",'Riesgos de Gestión'!$AH$19="Catastrófico"),CONCATENATE("R2C",'Riesgos de Gestión'!$V$19),"")</f>
        <v/>
      </c>
      <c r="AI7" s="39" t="str">
        <f>IF(AND('Riesgos de Gestión'!$AF$20="Muy Alta",'Riesgos de Gestión'!$AH$20="Catastrófico"),CONCATENATE("R2C",'Riesgos de Gestión'!$V$20),"")</f>
        <v/>
      </c>
      <c r="AJ7" s="39" t="str">
        <f>IF(AND('Riesgos de Gestión'!$AF$21="Muy Alta",'Riesgos de Gestión'!$AH$21="Catastrófico"),CONCATENATE("R2C",'Riesgos de Gestión'!$V$21),"")</f>
        <v/>
      </c>
      <c r="AK7" s="39" t="str">
        <f>IF(AND('Riesgos de Gestión'!$AF$22="Muy Alta",'Riesgos de Gestión'!$AH$22="Catastrófico"),CONCATENATE("R2C",'Riesgos de Gestión'!$V$22),"")</f>
        <v/>
      </c>
      <c r="AL7" s="39" t="str">
        <f>IF(AND('Riesgos de Gestión'!$AF$23="Muy Alta",'Riesgos de Gestión'!$AH$23="Catastrófico"),CONCATENATE("R2C",'Riesgos de Gestión'!$V$23),"")</f>
        <v/>
      </c>
      <c r="AM7" s="40" t="str">
        <f>IF(AND('Riesgos de Gestión'!$AF$24="Muy Alta",'Riesgos de Gestión'!$AH$24="Catastrófico"),CONCATENATE("R2C",'Riesgos de Gestión'!$V$24),"")</f>
        <v/>
      </c>
      <c r="AN7" s="66"/>
      <c r="AO7" s="494"/>
      <c r="AP7" s="495"/>
      <c r="AQ7" s="495"/>
      <c r="AR7" s="495"/>
      <c r="AS7" s="495"/>
      <c r="AT7" s="49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row>
    <row r="8" spans="1:91" ht="15" customHeight="1" x14ac:dyDescent="0.25">
      <c r="A8" s="66"/>
      <c r="B8" s="389"/>
      <c r="C8" s="389"/>
      <c r="D8" s="390"/>
      <c r="E8" s="488"/>
      <c r="F8" s="487"/>
      <c r="G8" s="487"/>
      <c r="H8" s="487"/>
      <c r="I8" s="503"/>
      <c r="J8" s="35" t="str">
        <f>IF(AND('Riesgos de Gestión'!$AF$25="Muy Alta",'Riesgos de Gestión'!$AH$25="Leve"),CONCATENATE("R3C",'Riesgos de Gestión'!$V$25),"")</f>
        <v/>
      </c>
      <c r="K8" s="36" t="str">
        <f>IF(AND('Riesgos de Gestión'!$AF$26="Muy Alta",'Riesgos de Gestión'!$AH$26="Leve"),CONCATENATE("R3C",'Riesgos de Gestión'!$V$26),"")</f>
        <v/>
      </c>
      <c r="L8" s="36" t="str">
        <f>IF(AND('Riesgos de Gestión'!$AF$27="Muy Alta",'Riesgos de Gestión'!$AH$27="Leve"),CONCATENATE("R3C",'Riesgos de Gestión'!$V$27),"")</f>
        <v/>
      </c>
      <c r="M8" s="36" t="str">
        <f>IF(AND('Riesgos de Gestión'!$AF$28="Muy Alta",'Riesgos de Gestión'!$AH$28="Leve"),CONCATENATE("R3C",'Riesgos de Gestión'!$V$28),"")</f>
        <v/>
      </c>
      <c r="N8" s="36" t="str">
        <f>IF(AND('Riesgos de Gestión'!$AF$29="Muy Alta",'Riesgos de Gestión'!$AH$29="Leve"),CONCATENATE("R3C",'Riesgos de Gestión'!$V$29),"")</f>
        <v/>
      </c>
      <c r="O8" s="37" t="str">
        <f>IF(AND('Riesgos de Gestión'!$AF$30="Muy Alta",'Riesgos de Gestión'!$AH$30="Leve"),CONCATENATE("R3C",'Riesgos de Gestión'!$V$30),"")</f>
        <v/>
      </c>
      <c r="P8" s="35" t="str">
        <f>IF(AND('Riesgos de Gestión'!$AF$25="Muy Alta",'Riesgos de Gestión'!$AH$25="Menor"),CONCATENATE("R3C",'Riesgos de Gestión'!$V$25),"")</f>
        <v/>
      </c>
      <c r="Q8" s="36" t="str">
        <f>IF(AND('Riesgos de Gestión'!$AF$26="Muy Alta",'Riesgos de Gestión'!$AH$26="Menor"),CONCATENATE("R3C",'Riesgos de Gestión'!$V$26),"")</f>
        <v/>
      </c>
      <c r="R8" s="36" t="str">
        <f>IF(AND('Riesgos de Gestión'!$AF$27="Muy Alta",'Riesgos de Gestión'!$AH$27="Menor"),CONCATENATE("R3C",'Riesgos de Gestión'!$V$27),"")</f>
        <v/>
      </c>
      <c r="S8" s="36" t="str">
        <f>IF(AND('Riesgos de Gestión'!$AF$28="Muy Alta",'Riesgos de Gestión'!$AH$28="Menor"),CONCATENATE("R3C",'Riesgos de Gestión'!$V$28),"")</f>
        <v/>
      </c>
      <c r="T8" s="36" t="str">
        <f>IF(AND('Riesgos de Gestión'!$AF$29="Muy Alta",'Riesgos de Gestión'!$AH$29="Menor"),CONCATENATE("R3C",'Riesgos de Gestión'!$V$29),"")</f>
        <v/>
      </c>
      <c r="U8" s="37" t="str">
        <f>IF(AND('Riesgos de Gestión'!$AF$30="Muy Alta",'Riesgos de Gestión'!$AH$30="Menor"),CONCATENATE("R3C",'Riesgos de Gestión'!$V$30),"")</f>
        <v/>
      </c>
      <c r="V8" s="35" t="str">
        <f>IF(AND('Riesgos de Gestión'!$AF$25="Muy Alta",'Riesgos de Gestión'!$AH$25="Moderado"),CONCATENATE("R3C",'Riesgos de Gestión'!$V$25),"")</f>
        <v/>
      </c>
      <c r="W8" s="36" t="str">
        <f>IF(AND('Riesgos de Gestión'!$AF$26="Muy Alta",'Riesgos de Gestión'!$AH$26="Moderado"),CONCATENATE("R3C",'Riesgos de Gestión'!$V$26),"")</f>
        <v/>
      </c>
      <c r="X8" s="36" t="str">
        <f>IF(AND('Riesgos de Gestión'!$AF$27="Muy Alta",'Riesgos de Gestión'!$AH$27="Moderado"),CONCATENATE("R3C",'Riesgos de Gestión'!$V$27),"")</f>
        <v/>
      </c>
      <c r="Y8" s="36" t="str">
        <f>IF(AND('Riesgos de Gestión'!$AF$28="Muy Alta",'Riesgos de Gestión'!$AH$28="Moderado"),CONCATENATE("R3C",'Riesgos de Gestión'!$V$28),"")</f>
        <v/>
      </c>
      <c r="Z8" s="36" t="str">
        <f>IF(AND('Riesgos de Gestión'!$AF$29="Muy Alta",'Riesgos de Gestión'!$AH$29="Moderado"),CONCATENATE("R3C",'Riesgos de Gestión'!$V$29),"")</f>
        <v/>
      </c>
      <c r="AA8" s="37" t="str">
        <f>IF(AND('Riesgos de Gestión'!$AF$30="Muy Alta",'Riesgos de Gestión'!$AH$30="Moderado"),CONCATENATE("R3C",'Riesgos de Gestión'!$V$30),"")</f>
        <v/>
      </c>
      <c r="AB8" s="35" t="str">
        <f>IF(AND('Riesgos de Gestión'!$AF$25="Muy Alta",'Riesgos de Gestión'!$AH$25="Mayor"),CONCATENATE("R3C",'Riesgos de Gestión'!$V$25),"")</f>
        <v/>
      </c>
      <c r="AC8" s="36" t="str">
        <f>IF(AND('Riesgos de Gestión'!$AF$26="Muy Alta",'Riesgos de Gestión'!$AH$26="Mayor"),CONCATENATE("R3C",'Riesgos de Gestión'!$V$26),"")</f>
        <v/>
      </c>
      <c r="AD8" s="36" t="str">
        <f>IF(AND('Riesgos de Gestión'!$AF$27="Muy Alta",'Riesgos de Gestión'!$AH$27="Mayor"),CONCATENATE("R3C",'Riesgos de Gestión'!$V$27),"")</f>
        <v/>
      </c>
      <c r="AE8" s="36" t="str">
        <f>IF(AND('Riesgos de Gestión'!$AF$28="Muy Alta",'Riesgos de Gestión'!$AH$28="Mayor"),CONCATENATE("R3C",'Riesgos de Gestión'!$V$28),"")</f>
        <v/>
      </c>
      <c r="AF8" s="36" t="str">
        <f>IF(AND('Riesgos de Gestión'!$AF$29="Muy Alta",'Riesgos de Gestión'!$AH$29="Mayor"),CONCATENATE("R3C",'Riesgos de Gestión'!$V$29),"")</f>
        <v/>
      </c>
      <c r="AG8" s="37" t="str">
        <f>IF(AND('Riesgos de Gestión'!$AF$30="Muy Alta",'Riesgos de Gestión'!$AH$30="Mayor"),CONCATENATE("R3C",'Riesgos de Gestión'!$V$30),"")</f>
        <v/>
      </c>
      <c r="AH8" s="38" t="str">
        <f>IF(AND('Riesgos de Gestión'!$AF$25="Muy Alta",'Riesgos de Gestión'!$AH$25="Catastrófico"),CONCATENATE("R3C",'Riesgos de Gestión'!$V$25),"")</f>
        <v/>
      </c>
      <c r="AI8" s="39" t="str">
        <f>IF(AND('Riesgos de Gestión'!$AF$26="Muy Alta",'Riesgos de Gestión'!$AH$26="Catastrófico"),CONCATENATE("R3C",'Riesgos de Gestión'!$V$26),"")</f>
        <v/>
      </c>
      <c r="AJ8" s="39" t="str">
        <f>IF(AND('Riesgos de Gestión'!$AF$27="Muy Alta",'Riesgos de Gestión'!$AH$27="Catastrófico"),CONCATENATE("R3C",'Riesgos de Gestión'!$V$27),"")</f>
        <v/>
      </c>
      <c r="AK8" s="39" t="str">
        <f>IF(AND('Riesgos de Gestión'!$AF$28="Muy Alta",'Riesgos de Gestión'!$AH$28="Catastrófico"),CONCATENATE("R3C",'Riesgos de Gestión'!$V$28),"")</f>
        <v/>
      </c>
      <c r="AL8" s="39" t="str">
        <f>IF(AND('Riesgos de Gestión'!$AF$29="Muy Alta",'Riesgos de Gestión'!$AH$29="Catastrófico"),CONCATENATE("R3C",'Riesgos de Gestión'!$V$29),"")</f>
        <v/>
      </c>
      <c r="AM8" s="40" t="str">
        <f>IF(AND('Riesgos de Gestión'!$AF$30="Muy Alta",'Riesgos de Gestión'!$AH$30="Catastrófico"),CONCATENATE("R3C",'Riesgos de Gestión'!$V$30),"")</f>
        <v/>
      </c>
      <c r="AN8" s="66"/>
      <c r="AO8" s="494"/>
      <c r="AP8" s="495"/>
      <c r="AQ8" s="495"/>
      <c r="AR8" s="495"/>
      <c r="AS8" s="495"/>
      <c r="AT8" s="49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row>
    <row r="9" spans="1:91" ht="15" customHeight="1" x14ac:dyDescent="0.25">
      <c r="A9" s="66"/>
      <c r="B9" s="389"/>
      <c r="C9" s="389"/>
      <c r="D9" s="390"/>
      <c r="E9" s="488"/>
      <c r="F9" s="487"/>
      <c r="G9" s="487"/>
      <c r="H9" s="487"/>
      <c r="I9" s="503"/>
      <c r="J9" s="35" t="str">
        <f>IF(AND('Riesgos de Gestión'!$AF$31="Muy Alta",'Riesgos de Gestión'!$AH$31="Leve"),CONCATENATE("R4C",'Riesgos de Gestión'!$V$31),"")</f>
        <v/>
      </c>
      <c r="K9" s="36" t="str">
        <f>IF(AND('Riesgos de Gestión'!$AF$32="Muy Alta",'Riesgos de Gestión'!$AH$32="Leve"),CONCATENATE("R4C",'Riesgos de Gestión'!$V$32),"")</f>
        <v/>
      </c>
      <c r="L9" s="36" t="str">
        <f>IF(AND('Riesgos de Gestión'!$AF$33="Muy Alta",'Riesgos de Gestión'!$AH$33="Leve"),CONCATENATE("R4C",'Riesgos de Gestión'!$V$33),"")</f>
        <v/>
      </c>
      <c r="M9" s="36" t="str">
        <f>IF(AND('Riesgos de Gestión'!$AF$34="Muy Alta",'Riesgos de Gestión'!$AH$34="Leve"),CONCATENATE("R4C",'Riesgos de Gestión'!$V$34),"")</f>
        <v/>
      </c>
      <c r="N9" s="36" t="str">
        <f>IF(AND('Riesgos de Gestión'!$AF$35="Muy Alta",'Riesgos de Gestión'!$AH$35="Leve"),CONCATENATE("R4C",'Riesgos de Gestión'!$V$35),"")</f>
        <v/>
      </c>
      <c r="O9" s="37" t="str">
        <f>IF(AND('Riesgos de Gestión'!$AF$36="Muy Alta",'Riesgos de Gestión'!$AH$36="Leve"),CONCATENATE("R4C",'Riesgos de Gestión'!$V$36),"")</f>
        <v/>
      </c>
      <c r="P9" s="35" t="str">
        <f>IF(AND('Riesgos de Gestión'!$AF$31="Muy Alta",'Riesgos de Gestión'!$AH$31="Menor"),CONCATENATE("R4C",'Riesgos de Gestión'!$V$31),"")</f>
        <v/>
      </c>
      <c r="Q9" s="36" t="str">
        <f>IF(AND('Riesgos de Gestión'!$AF$32="Muy Alta",'Riesgos de Gestión'!$AH$32="Menor"),CONCATENATE("R4C",'Riesgos de Gestión'!$V$32),"")</f>
        <v/>
      </c>
      <c r="R9" s="36" t="str">
        <f>IF(AND('Riesgos de Gestión'!$AF$33="Muy Alta",'Riesgos de Gestión'!$AH$33="Menor"),CONCATENATE("R4C",'Riesgos de Gestión'!$V$33),"")</f>
        <v/>
      </c>
      <c r="S9" s="36" t="str">
        <f>IF(AND('Riesgos de Gestión'!$AF$34="Muy Alta",'Riesgos de Gestión'!$AH$34="Menor"),CONCATENATE("R4C",'Riesgos de Gestión'!$V$34),"")</f>
        <v/>
      </c>
      <c r="T9" s="36" t="str">
        <f>IF(AND('Riesgos de Gestión'!$AF$35="Muy Alta",'Riesgos de Gestión'!$AH$35="Menor"),CONCATENATE("R4C",'Riesgos de Gestión'!$V$35),"")</f>
        <v/>
      </c>
      <c r="U9" s="37" t="str">
        <f>IF(AND('Riesgos de Gestión'!$AF$36="Muy Alta",'Riesgos de Gestión'!$AH$36="Menor"),CONCATENATE("R4C",'Riesgos de Gestión'!$V$36),"")</f>
        <v/>
      </c>
      <c r="V9" s="35" t="str">
        <f>IF(AND('Riesgos de Gestión'!$AF$31="Muy Alta",'Riesgos de Gestión'!$AH$31="Moderado"),CONCATENATE("R4C",'Riesgos de Gestión'!$V$31),"")</f>
        <v/>
      </c>
      <c r="W9" s="36" t="str">
        <f>IF(AND('Riesgos de Gestión'!$AF$32="Muy Alta",'Riesgos de Gestión'!$AH$32="Moderado"),CONCATENATE("R4C",'Riesgos de Gestión'!$V$32),"")</f>
        <v/>
      </c>
      <c r="X9" s="36" t="str">
        <f>IF(AND('Riesgos de Gestión'!$AF$33="Muy Alta",'Riesgos de Gestión'!$AH$33="Moderado"),CONCATENATE("R4C",'Riesgos de Gestión'!$V$33),"")</f>
        <v/>
      </c>
      <c r="Y9" s="36" t="str">
        <f>IF(AND('Riesgos de Gestión'!$AF$34="Muy Alta",'Riesgos de Gestión'!$AH$34="Moderado"),CONCATENATE("R4C",'Riesgos de Gestión'!$V$34),"")</f>
        <v/>
      </c>
      <c r="Z9" s="36" t="str">
        <f>IF(AND('Riesgos de Gestión'!$AF$35="Muy Alta",'Riesgos de Gestión'!$AH$35="Moderado"),CONCATENATE("R4C",'Riesgos de Gestión'!$V$35),"")</f>
        <v/>
      </c>
      <c r="AA9" s="37" t="str">
        <f>IF(AND('Riesgos de Gestión'!$AF$36="Muy Alta",'Riesgos de Gestión'!$AH$36="Moderado"),CONCATENATE("R4C",'Riesgos de Gestión'!$V$36),"")</f>
        <v/>
      </c>
      <c r="AB9" s="35" t="str">
        <f>IF(AND('Riesgos de Gestión'!$AF$31="Muy Alta",'Riesgos de Gestión'!$AH$31="Mayor"),CONCATENATE("R4C",'Riesgos de Gestión'!$V$31),"")</f>
        <v/>
      </c>
      <c r="AC9" s="36" t="str">
        <f>IF(AND('Riesgos de Gestión'!$AF$32="Muy Alta",'Riesgos de Gestión'!$AH$32="Mayor"),CONCATENATE("R4C",'Riesgos de Gestión'!$V$32),"")</f>
        <v/>
      </c>
      <c r="AD9" s="36" t="str">
        <f>IF(AND('Riesgos de Gestión'!$AF$33="Muy Alta",'Riesgos de Gestión'!$AH$33="Mayor"),CONCATENATE("R4C",'Riesgos de Gestión'!$V$33),"")</f>
        <v/>
      </c>
      <c r="AE9" s="36" t="str">
        <f>IF(AND('Riesgos de Gestión'!$AF$34="Muy Alta",'Riesgos de Gestión'!$AH$34="Mayor"),CONCATENATE("R4C",'Riesgos de Gestión'!$V$34),"")</f>
        <v/>
      </c>
      <c r="AF9" s="36" t="str">
        <f>IF(AND('Riesgos de Gestión'!$AF$35="Muy Alta",'Riesgos de Gestión'!$AH$35="Mayor"),CONCATENATE("R4C",'Riesgos de Gestión'!$V$35),"")</f>
        <v/>
      </c>
      <c r="AG9" s="37" t="str">
        <f>IF(AND('Riesgos de Gestión'!$AF$36="Muy Alta",'Riesgos de Gestión'!$AH$36="Mayor"),CONCATENATE("R4C",'Riesgos de Gestión'!$V$36),"")</f>
        <v/>
      </c>
      <c r="AH9" s="38" t="str">
        <f>IF(AND('Riesgos de Gestión'!$AF$31="Muy Alta",'Riesgos de Gestión'!$AH$31="Catastrófico"),CONCATENATE("R4C",'Riesgos de Gestión'!$V$31),"")</f>
        <v/>
      </c>
      <c r="AI9" s="39" t="str">
        <f>IF(AND('Riesgos de Gestión'!$AF$32="Muy Alta",'Riesgos de Gestión'!$AH$32="Catastrófico"),CONCATENATE("R4C",'Riesgos de Gestión'!$V$32),"")</f>
        <v/>
      </c>
      <c r="AJ9" s="39" t="str">
        <f>IF(AND('Riesgos de Gestión'!$AF$33="Muy Alta",'Riesgos de Gestión'!$AH$33="Catastrófico"),CONCATENATE("R4C",'Riesgos de Gestión'!$V$33),"")</f>
        <v/>
      </c>
      <c r="AK9" s="39" t="str">
        <f>IF(AND('Riesgos de Gestión'!$AF$34="Muy Alta",'Riesgos de Gestión'!$AH$34="Catastrófico"),CONCATENATE("R4C",'Riesgos de Gestión'!$V$34),"")</f>
        <v/>
      </c>
      <c r="AL9" s="39" t="str">
        <f>IF(AND('Riesgos de Gestión'!$AF$35="Muy Alta",'Riesgos de Gestión'!$AH$35="Catastrófico"),CONCATENATE("R4C",'Riesgos de Gestión'!$V$35),"")</f>
        <v/>
      </c>
      <c r="AM9" s="40" t="str">
        <f>IF(AND('Riesgos de Gestión'!$AF$36="Muy Alta",'Riesgos de Gestión'!$AH$36="Catastrófico"),CONCATENATE("R4C",'Riesgos de Gestión'!$V$36),"")</f>
        <v/>
      </c>
      <c r="AN9" s="66"/>
      <c r="AO9" s="494"/>
      <c r="AP9" s="495"/>
      <c r="AQ9" s="495"/>
      <c r="AR9" s="495"/>
      <c r="AS9" s="495"/>
      <c r="AT9" s="49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row>
    <row r="10" spans="1:91" ht="15" customHeight="1" x14ac:dyDescent="0.25">
      <c r="A10" s="66"/>
      <c r="B10" s="389"/>
      <c r="C10" s="389"/>
      <c r="D10" s="390"/>
      <c r="E10" s="488"/>
      <c r="F10" s="487"/>
      <c r="G10" s="487"/>
      <c r="H10" s="487"/>
      <c r="I10" s="503"/>
      <c r="J10" s="35" t="str">
        <f>IF(AND('Riesgos de Gestión'!$AF$37="Muy Alta",'Riesgos de Gestión'!$AH$37="Leve"),CONCATENATE("R5C",'Riesgos de Gestión'!$V$37),"")</f>
        <v/>
      </c>
      <c r="K10" s="36" t="str">
        <f>IF(AND('Riesgos de Gestión'!$AF$38="Muy Alta",'Riesgos de Gestión'!$AH$38="Leve"),CONCATENATE("R5C",'Riesgos de Gestión'!$V$38),"")</f>
        <v/>
      </c>
      <c r="L10" s="36" t="str">
        <f>IF(AND('Riesgos de Gestión'!$AF$39="Muy Alta",'Riesgos de Gestión'!$AH$39="Leve"),CONCATENATE("R5C",'Riesgos de Gestión'!$V$39),"")</f>
        <v/>
      </c>
      <c r="M10" s="36" t="str">
        <f>IF(AND('Riesgos de Gestión'!$AF$40="Muy Alta",'Riesgos de Gestión'!$AH$40="Leve"),CONCATENATE("R5C",'Riesgos de Gestión'!$V$40),"")</f>
        <v/>
      </c>
      <c r="N10" s="36" t="str">
        <f>IF(AND('Riesgos de Gestión'!$AF$41="Muy Alta",'Riesgos de Gestión'!$AH$41="Leve"),CONCATENATE("R5C",'Riesgos de Gestión'!$V$41),"")</f>
        <v/>
      </c>
      <c r="O10" s="37" t="str">
        <f>IF(AND('Riesgos de Gestión'!$AF$42="Muy Alta",'Riesgos de Gestión'!$AH$42="Leve"),CONCATENATE("R5C",'Riesgos de Gestión'!$V$42),"")</f>
        <v/>
      </c>
      <c r="P10" s="35" t="str">
        <f>IF(AND('Riesgos de Gestión'!$AF$37="Muy Alta",'Riesgos de Gestión'!$AH$37="Menor"),CONCATENATE("R5C",'Riesgos de Gestión'!$V$37),"")</f>
        <v/>
      </c>
      <c r="Q10" s="36" t="str">
        <f>IF(AND('Riesgos de Gestión'!$AF$38="Muy Alta",'Riesgos de Gestión'!$AH$38="Menor"),CONCATENATE("R5C",'Riesgos de Gestión'!$V$38),"")</f>
        <v/>
      </c>
      <c r="R10" s="36" t="str">
        <f>IF(AND('Riesgos de Gestión'!$AF$39="Muy Alta",'Riesgos de Gestión'!$AH$39="Menor"),CONCATENATE("R5C",'Riesgos de Gestión'!$V$39),"")</f>
        <v/>
      </c>
      <c r="S10" s="36" t="str">
        <f>IF(AND('Riesgos de Gestión'!$AF$40="Muy Alta",'Riesgos de Gestión'!$AH$40="Menor"),CONCATENATE("R5C",'Riesgos de Gestión'!$V$40),"")</f>
        <v/>
      </c>
      <c r="T10" s="36" t="str">
        <f>IF(AND('Riesgos de Gestión'!$AF$41="Muy Alta",'Riesgos de Gestión'!$AH$41="Menor"),CONCATENATE("R5C",'Riesgos de Gestión'!$V$41),"")</f>
        <v/>
      </c>
      <c r="U10" s="37" t="str">
        <f>IF(AND('Riesgos de Gestión'!$AF$42="Muy Alta",'Riesgos de Gestión'!$AH$42="Menor"),CONCATENATE("R5C",'Riesgos de Gestión'!$V$42),"")</f>
        <v/>
      </c>
      <c r="V10" s="35" t="str">
        <f>IF(AND('Riesgos de Gestión'!$AF$37="Muy Alta",'Riesgos de Gestión'!$AH$37="Moderado"),CONCATENATE("R5C",'Riesgos de Gestión'!$V$37),"")</f>
        <v/>
      </c>
      <c r="W10" s="36" t="str">
        <f>IF(AND('Riesgos de Gestión'!$AF$38="Muy Alta",'Riesgos de Gestión'!$AH$38="Moderado"),CONCATENATE("R5C",'Riesgos de Gestión'!$V$38),"")</f>
        <v/>
      </c>
      <c r="X10" s="36" t="str">
        <f>IF(AND('Riesgos de Gestión'!$AF$39="Muy Alta",'Riesgos de Gestión'!$AH$39="Moderado"),CONCATENATE("R5C",'Riesgos de Gestión'!$V$39),"")</f>
        <v/>
      </c>
      <c r="Y10" s="36" t="str">
        <f>IF(AND('Riesgos de Gestión'!$AF$40="Muy Alta",'Riesgos de Gestión'!$AH$40="Moderado"),CONCATENATE("R5C",'Riesgos de Gestión'!$V$40),"")</f>
        <v/>
      </c>
      <c r="Z10" s="36" t="str">
        <f>IF(AND('Riesgos de Gestión'!$AF$41="Muy Alta",'Riesgos de Gestión'!$AH$41="Moderado"),CONCATENATE("R5C",'Riesgos de Gestión'!$V$41),"")</f>
        <v/>
      </c>
      <c r="AA10" s="37" t="str">
        <f>IF(AND('Riesgos de Gestión'!$AF$42="Muy Alta",'Riesgos de Gestión'!$AH$42="Moderado"),CONCATENATE("R5C",'Riesgos de Gestión'!$V$42),"")</f>
        <v/>
      </c>
      <c r="AB10" s="35" t="str">
        <f>IF(AND('Riesgos de Gestión'!$AF$37="Muy Alta",'Riesgos de Gestión'!$AH$37="Mayor"),CONCATENATE("R5C",'Riesgos de Gestión'!$V$37),"")</f>
        <v/>
      </c>
      <c r="AC10" s="36" t="str">
        <f>IF(AND('Riesgos de Gestión'!$AF$38="Muy Alta",'Riesgos de Gestión'!$AH$38="Mayor"),CONCATENATE("R5C",'Riesgos de Gestión'!$V$38),"")</f>
        <v/>
      </c>
      <c r="AD10" s="36" t="str">
        <f>IF(AND('Riesgos de Gestión'!$AF$39="Muy Alta",'Riesgos de Gestión'!$AH$39="Mayor"),CONCATENATE("R5C",'Riesgos de Gestión'!$V$39),"")</f>
        <v/>
      </c>
      <c r="AE10" s="36" t="str">
        <f>IF(AND('Riesgos de Gestión'!$AF$40="Muy Alta",'Riesgos de Gestión'!$AH$40="Mayor"),CONCATENATE("R5C",'Riesgos de Gestión'!$V$40),"")</f>
        <v/>
      </c>
      <c r="AF10" s="36" t="str">
        <f>IF(AND('Riesgos de Gestión'!$AF$41="Muy Alta",'Riesgos de Gestión'!$AH$41="Mayor"),CONCATENATE("R5C",'Riesgos de Gestión'!$V$41),"")</f>
        <v/>
      </c>
      <c r="AG10" s="37" t="str">
        <f>IF(AND('Riesgos de Gestión'!$AF$42="Muy Alta",'Riesgos de Gestión'!$AH$42="Mayor"),CONCATENATE("R5C",'Riesgos de Gestión'!$V$42),"")</f>
        <v/>
      </c>
      <c r="AH10" s="38" t="str">
        <f>IF(AND('Riesgos de Gestión'!$AF$37="Muy Alta",'Riesgos de Gestión'!$AH$37="Catastrófico"),CONCATENATE("R5C",'Riesgos de Gestión'!$V$37),"")</f>
        <v/>
      </c>
      <c r="AI10" s="39" t="str">
        <f>IF(AND('Riesgos de Gestión'!$AF$38="Muy Alta",'Riesgos de Gestión'!$AH$38="Catastrófico"),CONCATENATE("R5C",'Riesgos de Gestión'!$V$38),"")</f>
        <v/>
      </c>
      <c r="AJ10" s="39" t="str">
        <f>IF(AND('Riesgos de Gestión'!$AF$39="Muy Alta",'Riesgos de Gestión'!$AH$39="Catastrófico"),CONCATENATE("R5C",'Riesgos de Gestión'!$V$39),"")</f>
        <v/>
      </c>
      <c r="AK10" s="39" t="str">
        <f>IF(AND('Riesgos de Gestión'!$AF$40="Muy Alta",'Riesgos de Gestión'!$AH$40="Catastrófico"),CONCATENATE("R5C",'Riesgos de Gestión'!$V$40),"")</f>
        <v/>
      </c>
      <c r="AL10" s="39" t="str">
        <f>IF(AND('Riesgos de Gestión'!$AF$41="Muy Alta",'Riesgos de Gestión'!$AH$41="Catastrófico"),CONCATENATE("R5C",'Riesgos de Gestión'!$V$41),"")</f>
        <v/>
      </c>
      <c r="AM10" s="40" t="str">
        <f>IF(AND('Riesgos de Gestión'!$AF$42="Muy Alta",'Riesgos de Gestión'!$AH$42="Catastrófico"),CONCATENATE("R5C",'Riesgos de Gestión'!$V$42),"")</f>
        <v/>
      </c>
      <c r="AN10" s="66"/>
      <c r="AO10" s="494"/>
      <c r="AP10" s="495"/>
      <c r="AQ10" s="495"/>
      <c r="AR10" s="495"/>
      <c r="AS10" s="495"/>
      <c r="AT10" s="49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row>
    <row r="11" spans="1:91" ht="15" customHeight="1" x14ac:dyDescent="0.25">
      <c r="A11" s="66"/>
      <c r="B11" s="389"/>
      <c r="C11" s="389"/>
      <c r="D11" s="390"/>
      <c r="E11" s="488"/>
      <c r="F11" s="487"/>
      <c r="G11" s="487"/>
      <c r="H11" s="487"/>
      <c r="I11" s="503"/>
      <c r="J11" s="35" t="str">
        <f>IF(AND('Riesgos de Gestión'!$AF$43="Muy Alta",'Riesgos de Gestión'!$AH$43="Leve"),CONCATENATE("R6C",'Riesgos de Gestión'!$V$43),"")</f>
        <v/>
      </c>
      <c r="K11" s="36" t="str">
        <f>IF(AND('Riesgos de Gestión'!$AF$44="Muy Alta",'Riesgos de Gestión'!$AH$44="Leve"),CONCATENATE("R6C",'Riesgos de Gestión'!$V$44),"")</f>
        <v/>
      </c>
      <c r="L11" s="36" t="str">
        <f>IF(AND('Riesgos de Gestión'!$AF$45="Muy Alta",'Riesgos de Gestión'!$AH$45="Leve"),CONCATENATE("R6C",'Riesgos de Gestión'!$V$45),"")</f>
        <v/>
      </c>
      <c r="M11" s="36" t="str">
        <f>IF(AND('Riesgos de Gestión'!$AF$46="Muy Alta",'Riesgos de Gestión'!$AH$46="Leve"),CONCATENATE("R6C",'Riesgos de Gestión'!$V$46),"")</f>
        <v/>
      </c>
      <c r="N11" s="36" t="str">
        <f>IF(AND('Riesgos de Gestión'!$AF$47="Muy Alta",'Riesgos de Gestión'!$AH$47="Leve"),CONCATENATE("R6C",'Riesgos de Gestión'!$V$47),"")</f>
        <v/>
      </c>
      <c r="O11" s="37" t="str">
        <f>IF(AND('Riesgos de Gestión'!$AF$48="Muy Alta",'Riesgos de Gestión'!$AH$48="Leve"),CONCATENATE("R6C",'Riesgos de Gestión'!$V$48),"")</f>
        <v/>
      </c>
      <c r="P11" s="35" t="str">
        <f>IF(AND('Riesgos de Gestión'!$AF$43="Muy Alta",'Riesgos de Gestión'!$AH$43="Menor"),CONCATENATE("R6C",'Riesgos de Gestión'!$V$43),"")</f>
        <v/>
      </c>
      <c r="Q11" s="36" t="str">
        <f>IF(AND('Riesgos de Gestión'!$AF$44="Muy Alta",'Riesgos de Gestión'!$AH$44="Menor"),CONCATENATE("R6C",'Riesgos de Gestión'!$V$44),"")</f>
        <v/>
      </c>
      <c r="R11" s="36" t="str">
        <f>IF(AND('Riesgos de Gestión'!$AF$45="Muy Alta",'Riesgos de Gestión'!$AH$45="Menor"),CONCATENATE("R6C",'Riesgos de Gestión'!$V$45),"")</f>
        <v/>
      </c>
      <c r="S11" s="36" t="str">
        <f>IF(AND('Riesgos de Gestión'!$AF$46="Muy Alta",'Riesgos de Gestión'!$AH$46="Menor"),CONCATENATE("R6C",'Riesgos de Gestión'!$V$46),"")</f>
        <v/>
      </c>
      <c r="T11" s="36" t="str">
        <f>IF(AND('Riesgos de Gestión'!$AF$47="Muy Alta",'Riesgos de Gestión'!$AH$47="Menor"),CONCATENATE("R6C",'Riesgos de Gestión'!$V$47),"")</f>
        <v/>
      </c>
      <c r="U11" s="37" t="str">
        <f>IF(AND('Riesgos de Gestión'!$AF$48="Muy Alta",'Riesgos de Gestión'!$AH$48="Menor"),CONCATENATE("R6C",'Riesgos de Gestión'!$V$48),"")</f>
        <v/>
      </c>
      <c r="V11" s="35" t="str">
        <f>IF(AND('Riesgos de Gestión'!$AF$43="Muy Alta",'Riesgos de Gestión'!$AH$43="Moderado"),CONCATENATE("R6C",'Riesgos de Gestión'!$V$43),"")</f>
        <v/>
      </c>
      <c r="W11" s="36" t="str">
        <f>IF(AND('Riesgos de Gestión'!$AF$44="Muy Alta",'Riesgos de Gestión'!$AH$44="Moderado"),CONCATENATE("R6C",'Riesgos de Gestión'!$V$44),"")</f>
        <v/>
      </c>
      <c r="X11" s="36" t="str">
        <f>IF(AND('Riesgos de Gestión'!$AF$45="Muy Alta",'Riesgos de Gestión'!$AH$45="Moderado"),CONCATENATE("R6C",'Riesgos de Gestión'!$V$45),"")</f>
        <v/>
      </c>
      <c r="Y11" s="36" t="str">
        <f>IF(AND('Riesgos de Gestión'!$AF$46="Muy Alta",'Riesgos de Gestión'!$AH$46="Moderado"),CONCATENATE("R6C",'Riesgos de Gestión'!$V$46),"")</f>
        <v/>
      </c>
      <c r="Z11" s="36" t="str">
        <f>IF(AND('Riesgos de Gestión'!$AF$47="Muy Alta",'Riesgos de Gestión'!$AH$47="Moderado"),CONCATENATE("R6C",'Riesgos de Gestión'!$V$47),"")</f>
        <v/>
      </c>
      <c r="AA11" s="37" t="str">
        <f>IF(AND('Riesgos de Gestión'!$AF$48="Muy Alta",'Riesgos de Gestión'!$AH$48="Moderado"),CONCATENATE("R6C",'Riesgos de Gestión'!$V$48),"")</f>
        <v/>
      </c>
      <c r="AB11" s="35" t="str">
        <f>IF(AND('Riesgos de Gestión'!$AF$43="Muy Alta",'Riesgos de Gestión'!$AH$43="Mayor"),CONCATENATE("R6C",'Riesgos de Gestión'!$V$43),"")</f>
        <v/>
      </c>
      <c r="AC11" s="36" t="str">
        <f>IF(AND('Riesgos de Gestión'!$AF$44="Muy Alta",'Riesgos de Gestión'!$AH$44="Mayor"),CONCATENATE("R6C",'Riesgos de Gestión'!$V$44),"")</f>
        <v/>
      </c>
      <c r="AD11" s="36" t="str">
        <f>IF(AND('Riesgos de Gestión'!$AF$45="Muy Alta",'Riesgos de Gestión'!$AH$45="Mayor"),CONCATENATE("R6C",'Riesgos de Gestión'!$V$45),"")</f>
        <v/>
      </c>
      <c r="AE11" s="36" t="str">
        <f>IF(AND('Riesgos de Gestión'!$AF$46="Muy Alta",'Riesgos de Gestión'!$AH$46="Mayor"),CONCATENATE("R6C",'Riesgos de Gestión'!$V$46),"")</f>
        <v/>
      </c>
      <c r="AF11" s="36" t="str">
        <f>IF(AND('Riesgos de Gestión'!$AF$47="Muy Alta",'Riesgos de Gestión'!$AH$47="Mayor"),CONCATENATE("R6C",'Riesgos de Gestión'!$V$47),"")</f>
        <v/>
      </c>
      <c r="AG11" s="37" t="str">
        <f>IF(AND('Riesgos de Gestión'!$AF$48="Muy Alta",'Riesgos de Gestión'!$AH$48="Mayor"),CONCATENATE("R6C",'Riesgos de Gestión'!$V$48),"")</f>
        <v/>
      </c>
      <c r="AH11" s="38" t="str">
        <f>IF(AND('Riesgos de Gestión'!$AF$43="Muy Alta",'Riesgos de Gestión'!$AH$43="Catastrófico"),CONCATENATE("R6C",'Riesgos de Gestión'!$V$43),"")</f>
        <v/>
      </c>
      <c r="AI11" s="39" t="str">
        <f>IF(AND('Riesgos de Gestión'!$AF$44="Muy Alta",'Riesgos de Gestión'!$AH$44="Catastrófico"),CONCATENATE("R6C",'Riesgos de Gestión'!$V$44),"")</f>
        <v/>
      </c>
      <c r="AJ11" s="39" t="str">
        <f>IF(AND('Riesgos de Gestión'!$AF$45="Muy Alta",'Riesgos de Gestión'!$AH$45="Catastrófico"),CONCATENATE("R6C",'Riesgos de Gestión'!$V$45),"")</f>
        <v/>
      </c>
      <c r="AK11" s="39" t="str">
        <f>IF(AND('Riesgos de Gestión'!$AF$46="Muy Alta",'Riesgos de Gestión'!$AH$46="Catastrófico"),CONCATENATE("R6C",'Riesgos de Gestión'!$V$46),"")</f>
        <v/>
      </c>
      <c r="AL11" s="39" t="str">
        <f>IF(AND('Riesgos de Gestión'!$AF$47="Muy Alta",'Riesgos de Gestión'!$AH$47="Catastrófico"),CONCATENATE("R6C",'Riesgos de Gestión'!$V$47),"")</f>
        <v/>
      </c>
      <c r="AM11" s="40" t="str">
        <f>IF(AND('Riesgos de Gestión'!$AF$48="Muy Alta",'Riesgos de Gestión'!$AH$48="Catastrófico"),CONCATENATE("R6C",'Riesgos de Gestión'!$V$48),"")</f>
        <v/>
      </c>
      <c r="AN11" s="66"/>
      <c r="AO11" s="494"/>
      <c r="AP11" s="495"/>
      <c r="AQ11" s="495"/>
      <c r="AR11" s="495"/>
      <c r="AS11" s="495"/>
      <c r="AT11" s="49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row>
    <row r="12" spans="1:91" ht="15" customHeight="1" x14ac:dyDescent="0.25">
      <c r="A12" s="66"/>
      <c r="B12" s="389"/>
      <c r="C12" s="389"/>
      <c r="D12" s="390"/>
      <c r="E12" s="488"/>
      <c r="F12" s="487"/>
      <c r="G12" s="487"/>
      <c r="H12" s="487"/>
      <c r="I12" s="503"/>
      <c r="J12" s="35" t="str">
        <f>IF(AND('Riesgos de Gestión'!$AF$49="Muy Alta",'Riesgos de Gestión'!$AH$49="Leve"),CONCATENATE("R7C",'Riesgos de Gestión'!$V$49),"")</f>
        <v/>
      </c>
      <c r="K12" s="36" t="str">
        <f>IF(AND('Riesgos de Gestión'!$AF$50="Muy Alta",'Riesgos de Gestión'!$AH$50="Leve"),CONCATENATE("R7C",'Riesgos de Gestión'!$V$50),"")</f>
        <v/>
      </c>
      <c r="L12" s="36" t="str">
        <f>IF(AND('Riesgos de Gestión'!$AF$51="Muy Alta",'Riesgos de Gestión'!$AH$51="Leve"),CONCATENATE("R7C",'Riesgos de Gestión'!$V$51),"")</f>
        <v/>
      </c>
      <c r="M12" s="36" t="str">
        <f>IF(AND('Riesgos de Gestión'!$AF$52="Muy Alta",'Riesgos de Gestión'!$AH$52="Leve"),CONCATENATE("R7C",'Riesgos de Gestión'!$V$52),"")</f>
        <v/>
      </c>
      <c r="N12" s="36" t="str">
        <f>IF(AND('Riesgos de Gestión'!$AF$53="Muy Alta",'Riesgos de Gestión'!$AH$53="Leve"),CONCATENATE("R7C",'Riesgos de Gestión'!$V$53),"")</f>
        <v/>
      </c>
      <c r="O12" s="37" t="str">
        <f>IF(AND('Riesgos de Gestión'!$AF$54="Muy Alta",'Riesgos de Gestión'!$AH$54="Leve"),CONCATENATE("R7C",'Riesgos de Gestión'!$V$54),"")</f>
        <v/>
      </c>
      <c r="P12" s="35" t="str">
        <f>IF(AND('Riesgos de Gestión'!$AF$49="Muy Alta",'Riesgos de Gestión'!$AH$49="Menor"),CONCATENATE("R7C",'Riesgos de Gestión'!$V$49),"")</f>
        <v/>
      </c>
      <c r="Q12" s="36" t="str">
        <f>IF(AND('Riesgos de Gestión'!$AF$50="Muy Alta",'Riesgos de Gestión'!$AH$50="Menor"),CONCATENATE("R7C",'Riesgos de Gestión'!$V$50),"")</f>
        <v/>
      </c>
      <c r="R12" s="36" t="str">
        <f>IF(AND('Riesgos de Gestión'!$AF$51="Muy Alta",'Riesgos de Gestión'!$AH$51="Menor"),CONCATENATE("R7C",'Riesgos de Gestión'!$V$51),"")</f>
        <v/>
      </c>
      <c r="S12" s="36" t="str">
        <f>IF(AND('Riesgos de Gestión'!$AF$52="Muy Alta",'Riesgos de Gestión'!$AH$52="Menor"),CONCATENATE("R7C",'Riesgos de Gestión'!$V$52),"")</f>
        <v/>
      </c>
      <c r="T12" s="36" t="str">
        <f>IF(AND('Riesgos de Gestión'!$AF$53="Muy Alta",'Riesgos de Gestión'!$AH$53="Menor"),CONCATENATE("R7C",'Riesgos de Gestión'!$V$53),"")</f>
        <v/>
      </c>
      <c r="U12" s="37" t="str">
        <f>IF(AND('Riesgos de Gestión'!$AF$54="Muy Alta",'Riesgos de Gestión'!$AH$54="Menor"),CONCATENATE("R7C",'Riesgos de Gestión'!$V$54),"")</f>
        <v/>
      </c>
      <c r="V12" s="35" t="str">
        <f>IF(AND('Riesgos de Gestión'!$AF$49="Muy Alta",'Riesgos de Gestión'!$AH$49="Moderado"),CONCATENATE("R7C",'Riesgos de Gestión'!$V$49),"")</f>
        <v/>
      </c>
      <c r="W12" s="36" t="str">
        <f>IF(AND('Riesgos de Gestión'!$AF$50="Muy Alta",'Riesgos de Gestión'!$AH$50="Moderado"),CONCATENATE("R7C",'Riesgos de Gestión'!$V$50),"")</f>
        <v/>
      </c>
      <c r="X12" s="36" t="str">
        <f>IF(AND('Riesgos de Gestión'!$AF$51="Muy Alta",'Riesgos de Gestión'!$AH$51="Moderado"),CONCATENATE("R7C",'Riesgos de Gestión'!$V$51),"")</f>
        <v/>
      </c>
      <c r="Y12" s="36" t="str">
        <f>IF(AND('Riesgos de Gestión'!$AF$52="Muy Alta",'Riesgos de Gestión'!$AH$52="Moderado"),CONCATENATE("R7C",'Riesgos de Gestión'!$V$52),"")</f>
        <v/>
      </c>
      <c r="Z12" s="36" t="str">
        <f>IF(AND('Riesgos de Gestión'!$AF$53="Muy Alta",'Riesgos de Gestión'!$AH$53="Moderado"),CONCATENATE("R7C",'Riesgos de Gestión'!$V$53),"")</f>
        <v/>
      </c>
      <c r="AA12" s="37" t="str">
        <f>IF(AND('Riesgos de Gestión'!$AF$54="Muy Alta",'Riesgos de Gestión'!$AH$54="Moderado"),CONCATENATE("R7C",'Riesgos de Gestión'!$V$54),"")</f>
        <v/>
      </c>
      <c r="AB12" s="35" t="str">
        <f>IF(AND('Riesgos de Gestión'!$AF$49="Muy Alta",'Riesgos de Gestión'!$AH$49="Mayor"),CONCATENATE("R7C",'Riesgos de Gestión'!$V$49),"")</f>
        <v/>
      </c>
      <c r="AC12" s="36" t="str">
        <f>IF(AND('Riesgos de Gestión'!$AF$50="Muy Alta",'Riesgos de Gestión'!$AH$50="Mayor"),CONCATENATE("R7C",'Riesgos de Gestión'!$V$50),"")</f>
        <v/>
      </c>
      <c r="AD12" s="36" t="str">
        <f>IF(AND('Riesgos de Gestión'!$AF$51="Muy Alta",'Riesgos de Gestión'!$AH$51="Mayor"),CONCATENATE("R7C",'Riesgos de Gestión'!$V$51),"")</f>
        <v/>
      </c>
      <c r="AE12" s="36" t="str">
        <f>IF(AND('Riesgos de Gestión'!$AF$52="Muy Alta",'Riesgos de Gestión'!$AH$52="Mayor"),CONCATENATE("R7C",'Riesgos de Gestión'!$V$52),"")</f>
        <v/>
      </c>
      <c r="AF12" s="36" t="str">
        <f>IF(AND('Riesgos de Gestión'!$AF$53="Muy Alta",'Riesgos de Gestión'!$AH$53="Mayor"),CONCATENATE("R7C",'Riesgos de Gestión'!$V$53),"")</f>
        <v/>
      </c>
      <c r="AG12" s="37" t="str">
        <f>IF(AND('Riesgos de Gestión'!$AF$54="Muy Alta",'Riesgos de Gestión'!$AH$54="Mayor"),CONCATENATE("R7C",'Riesgos de Gestión'!$V$54),"")</f>
        <v/>
      </c>
      <c r="AH12" s="38" t="str">
        <f>IF(AND('Riesgos de Gestión'!$AF$49="Muy Alta",'Riesgos de Gestión'!$AH$49="Catastrófico"),CONCATENATE("R7C",'Riesgos de Gestión'!$V$49),"")</f>
        <v/>
      </c>
      <c r="AI12" s="39" t="str">
        <f>IF(AND('Riesgos de Gestión'!$AF$50="Muy Alta",'Riesgos de Gestión'!$AH$50="Catastrófico"),CONCATENATE("R7C",'Riesgos de Gestión'!$V$50),"")</f>
        <v/>
      </c>
      <c r="AJ12" s="39" t="str">
        <f>IF(AND('Riesgos de Gestión'!$AF$51="Muy Alta",'Riesgos de Gestión'!$AH$51="Catastrófico"),CONCATENATE("R7C",'Riesgos de Gestión'!$V$51),"")</f>
        <v/>
      </c>
      <c r="AK12" s="39" t="str">
        <f>IF(AND('Riesgos de Gestión'!$AF$52="Muy Alta",'Riesgos de Gestión'!$AH$52="Catastrófico"),CONCATENATE("R7C",'Riesgos de Gestión'!$V$52),"")</f>
        <v/>
      </c>
      <c r="AL12" s="39" t="str">
        <f>IF(AND('Riesgos de Gestión'!$AF$53="Muy Alta",'Riesgos de Gestión'!$AH$53="Catastrófico"),CONCATENATE("R7C",'Riesgos de Gestión'!$V$53),"")</f>
        <v/>
      </c>
      <c r="AM12" s="40" t="str">
        <f>IF(AND('Riesgos de Gestión'!$AF$54="Muy Alta",'Riesgos de Gestión'!$AH$54="Catastrófico"),CONCATENATE("R7C",'Riesgos de Gestión'!$V$54),"")</f>
        <v/>
      </c>
      <c r="AN12" s="66"/>
      <c r="AO12" s="494"/>
      <c r="AP12" s="495"/>
      <c r="AQ12" s="495"/>
      <c r="AR12" s="495"/>
      <c r="AS12" s="495"/>
      <c r="AT12" s="49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row>
    <row r="13" spans="1:91" ht="15" customHeight="1" x14ac:dyDescent="0.25">
      <c r="A13" s="66"/>
      <c r="B13" s="389"/>
      <c r="C13" s="389"/>
      <c r="D13" s="390"/>
      <c r="E13" s="488"/>
      <c r="F13" s="487"/>
      <c r="G13" s="487"/>
      <c r="H13" s="487"/>
      <c r="I13" s="503"/>
      <c r="J13" s="35" t="str">
        <f>IF(AND('Riesgos de Gestión'!$AF$55="Muy Alta",'Riesgos de Gestión'!$AH$55="Leve"),CONCATENATE("R8C",'Riesgos de Gestión'!$V$55),"")</f>
        <v/>
      </c>
      <c r="K13" s="36" t="str">
        <f>IF(AND('Riesgos de Gestión'!$AF$56="Muy Alta",'Riesgos de Gestión'!$AH$56="Leve"),CONCATENATE("R8C",'Riesgos de Gestión'!$V$56),"")</f>
        <v/>
      </c>
      <c r="L13" s="36" t="str">
        <f>IF(AND('Riesgos de Gestión'!$AF$57="Muy Alta",'Riesgos de Gestión'!$AH$57="Leve"),CONCATENATE("R8C",'Riesgos de Gestión'!$V$57),"")</f>
        <v/>
      </c>
      <c r="M13" s="36" t="str">
        <f>IF(AND('Riesgos de Gestión'!$AF$58="Muy Alta",'Riesgos de Gestión'!$AH$58="Leve"),CONCATENATE("R8C",'Riesgos de Gestión'!$V$58),"")</f>
        <v/>
      </c>
      <c r="N13" s="36" t="str">
        <f>IF(AND('Riesgos de Gestión'!$AF$59="Muy Alta",'Riesgos de Gestión'!$AH$59="Leve"),CONCATENATE("R8C",'Riesgos de Gestión'!$V$59),"")</f>
        <v/>
      </c>
      <c r="O13" s="37" t="str">
        <f>IF(AND('Riesgos de Gestión'!$AF$60="Muy Alta",'Riesgos de Gestión'!$AH$60="Leve"),CONCATENATE("R8C",'Riesgos de Gestión'!$V$60),"")</f>
        <v/>
      </c>
      <c r="P13" s="35" t="str">
        <f>IF(AND('Riesgos de Gestión'!$AF$55="Muy Alta",'Riesgos de Gestión'!$AH$55="Menor"),CONCATENATE("R8C",'Riesgos de Gestión'!$V$55),"")</f>
        <v/>
      </c>
      <c r="Q13" s="36" t="str">
        <f>IF(AND('Riesgos de Gestión'!$AF$56="Muy Alta",'Riesgos de Gestión'!$AH$56="Menor"),CONCATENATE("R8C",'Riesgos de Gestión'!$V$56),"")</f>
        <v/>
      </c>
      <c r="R13" s="36" t="str">
        <f>IF(AND('Riesgos de Gestión'!$AF$57="Muy Alta",'Riesgos de Gestión'!$AH$57="Menor"),CONCATENATE("R8C",'Riesgos de Gestión'!$V$57),"")</f>
        <v/>
      </c>
      <c r="S13" s="36" t="str">
        <f>IF(AND('Riesgos de Gestión'!$AF$58="Muy Alta",'Riesgos de Gestión'!$AH$58="Menor"),CONCATENATE("R8C",'Riesgos de Gestión'!$V$58),"")</f>
        <v/>
      </c>
      <c r="T13" s="36" t="str">
        <f>IF(AND('Riesgos de Gestión'!$AF$59="Muy Alta",'Riesgos de Gestión'!$AH$59="Menor"),CONCATENATE("R8C",'Riesgos de Gestión'!$V$59),"")</f>
        <v/>
      </c>
      <c r="U13" s="37" t="str">
        <f>IF(AND('Riesgos de Gestión'!$AF$60="Muy Alta",'Riesgos de Gestión'!$AH$60="Menor"),CONCATENATE("R8C",'Riesgos de Gestión'!$V$60),"")</f>
        <v/>
      </c>
      <c r="V13" s="35" t="str">
        <f>IF(AND('Riesgos de Gestión'!$AF$55="Muy Alta",'Riesgos de Gestión'!$AH$55="Moderado"),CONCATENATE("R8C",'Riesgos de Gestión'!$V$55),"")</f>
        <v/>
      </c>
      <c r="W13" s="36" t="str">
        <f>IF(AND('Riesgos de Gestión'!$AF$56="Muy Alta",'Riesgos de Gestión'!$AH$56="Moderado"),CONCATENATE("R8C",'Riesgos de Gestión'!$V$56),"")</f>
        <v/>
      </c>
      <c r="X13" s="36" t="str">
        <f>IF(AND('Riesgos de Gestión'!$AF$57="Muy Alta",'Riesgos de Gestión'!$AH$57="Moderado"),CONCATENATE("R8C",'Riesgos de Gestión'!$V$57),"")</f>
        <v/>
      </c>
      <c r="Y13" s="36" t="str">
        <f>IF(AND('Riesgos de Gestión'!$AF$58="Muy Alta",'Riesgos de Gestión'!$AH$58="Moderado"),CONCATENATE("R8C",'Riesgos de Gestión'!$V$58),"")</f>
        <v/>
      </c>
      <c r="Z13" s="36" t="str">
        <f>IF(AND('Riesgos de Gestión'!$AF$59="Muy Alta",'Riesgos de Gestión'!$AH$59="Moderado"),CONCATENATE("R8C",'Riesgos de Gestión'!$V$59),"")</f>
        <v/>
      </c>
      <c r="AA13" s="37" t="str">
        <f>IF(AND('Riesgos de Gestión'!$AF$60="Muy Alta",'Riesgos de Gestión'!$AH$60="Moderado"),CONCATENATE("R8C",'Riesgos de Gestión'!$V$60),"")</f>
        <v/>
      </c>
      <c r="AB13" s="35" t="str">
        <f>IF(AND('Riesgos de Gestión'!$AF$55="Muy Alta",'Riesgos de Gestión'!$AH$55="Mayor"),CONCATENATE("R8C",'Riesgos de Gestión'!$V$55),"")</f>
        <v/>
      </c>
      <c r="AC13" s="36" t="str">
        <f>IF(AND('Riesgos de Gestión'!$AF$56="Muy Alta",'Riesgos de Gestión'!$AH$56="Mayor"),CONCATENATE("R8C",'Riesgos de Gestión'!$V$56),"")</f>
        <v/>
      </c>
      <c r="AD13" s="36" t="str">
        <f>IF(AND('Riesgos de Gestión'!$AF$57="Muy Alta",'Riesgos de Gestión'!$AH$57="Mayor"),CONCATENATE("R8C",'Riesgos de Gestión'!$V$57),"")</f>
        <v/>
      </c>
      <c r="AE13" s="36" t="str">
        <f>IF(AND('Riesgos de Gestión'!$AF$58="Muy Alta",'Riesgos de Gestión'!$AH$58="Mayor"),CONCATENATE("R8C",'Riesgos de Gestión'!$V$58),"")</f>
        <v/>
      </c>
      <c r="AF13" s="36" t="str">
        <f>IF(AND('Riesgos de Gestión'!$AF$59="Muy Alta",'Riesgos de Gestión'!$AH$59="Mayor"),CONCATENATE("R8C",'Riesgos de Gestión'!$V$59),"")</f>
        <v/>
      </c>
      <c r="AG13" s="37" t="str">
        <f>IF(AND('Riesgos de Gestión'!$AF$60="Muy Alta",'Riesgos de Gestión'!$AH$60="Mayor"),CONCATENATE("R8C",'Riesgos de Gestión'!$V$60),"")</f>
        <v/>
      </c>
      <c r="AH13" s="38" t="str">
        <f>IF(AND('Riesgos de Gestión'!$AF$55="Muy Alta",'Riesgos de Gestión'!$AH$55="Catastrófico"),CONCATENATE("R8C",'Riesgos de Gestión'!$V$55),"")</f>
        <v/>
      </c>
      <c r="AI13" s="39" t="str">
        <f>IF(AND('Riesgos de Gestión'!$AF$56="Muy Alta",'Riesgos de Gestión'!$AH$56="Catastrófico"),CONCATENATE("R8C",'Riesgos de Gestión'!$V$56),"")</f>
        <v/>
      </c>
      <c r="AJ13" s="39" t="str">
        <f>IF(AND('Riesgos de Gestión'!$AF$57="Muy Alta",'Riesgos de Gestión'!$AH$57="Catastrófico"),CONCATENATE("R8C",'Riesgos de Gestión'!$V$57),"")</f>
        <v/>
      </c>
      <c r="AK13" s="39" t="str">
        <f>IF(AND('Riesgos de Gestión'!$AF$58="Muy Alta",'Riesgos de Gestión'!$AH$58="Catastrófico"),CONCATENATE("R8C",'Riesgos de Gestión'!$V$58),"")</f>
        <v/>
      </c>
      <c r="AL13" s="39" t="str">
        <f>IF(AND('Riesgos de Gestión'!$AF$59="Muy Alta",'Riesgos de Gestión'!$AH$59="Catastrófico"),CONCATENATE("R8C",'Riesgos de Gestión'!$V$59),"")</f>
        <v/>
      </c>
      <c r="AM13" s="40" t="str">
        <f>IF(AND('Riesgos de Gestión'!$AF$60="Muy Alta",'Riesgos de Gestión'!$AH$60="Catastrófico"),CONCATENATE("R8C",'Riesgos de Gestión'!$V$60),"")</f>
        <v/>
      </c>
      <c r="AN13" s="66"/>
      <c r="AO13" s="494"/>
      <c r="AP13" s="495"/>
      <c r="AQ13" s="495"/>
      <c r="AR13" s="495"/>
      <c r="AS13" s="495"/>
      <c r="AT13" s="49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row>
    <row r="14" spans="1:91" ht="15" customHeight="1" x14ac:dyDescent="0.25">
      <c r="A14" s="66"/>
      <c r="B14" s="389"/>
      <c r="C14" s="389"/>
      <c r="D14" s="390"/>
      <c r="E14" s="488"/>
      <c r="F14" s="487"/>
      <c r="G14" s="487"/>
      <c r="H14" s="487"/>
      <c r="I14" s="503"/>
      <c r="J14" s="35" t="str">
        <f>IF(AND('Riesgos de Gestión'!$AF$61="Muy Alta",'Riesgos de Gestión'!$AH$61="Leve"),CONCATENATE("R9C",'Riesgos de Gestión'!$V$61),"")</f>
        <v/>
      </c>
      <c r="K14" s="36" t="str">
        <f>IF(AND('Riesgos de Gestión'!$AF$62="Muy Alta",'Riesgos de Gestión'!$AH$62="Leve"),CONCATENATE("R9C",'Riesgos de Gestión'!$V$62),"")</f>
        <v/>
      </c>
      <c r="L14" s="36" t="str">
        <f>IF(AND('Riesgos de Gestión'!$AF$63="Muy Alta",'Riesgos de Gestión'!$AH$63="Leve"),CONCATENATE("R9C",'Riesgos de Gestión'!$V$63),"")</f>
        <v/>
      </c>
      <c r="M14" s="36" t="str">
        <f>IF(AND('Riesgos de Gestión'!$AF$64="Muy Alta",'Riesgos de Gestión'!$AH$64="Leve"),CONCATENATE("R9C",'Riesgos de Gestión'!$V$64),"")</f>
        <v/>
      </c>
      <c r="N14" s="36" t="str">
        <f>IF(AND('Riesgos de Gestión'!$AF$65="Muy Alta",'Riesgos de Gestión'!$AH$65="Leve"),CONCATENATE("R9C",'Riesgos de Gestión'!$V$65),"")</f>
        <v/>
      </c>
      <c r="O14" s="37" t="str">
        <f>IF(AND('Riesgos de Gestión'!$AF$66="Muy Alta",'Riesgos de Gestión'!$AH$66="Leve"),CONCATENATE("R9C",'Riesgos de Gestión'!$V$66),"")</f>
        <v/>
      </c>
      <c r="P14" s="35" t="str">
        <f>IF(AND('Riesgos de Gestión'!$AF$61="Muy Alta",'Riesgos de Gestión'!$AH$61="Menor"),CONCATENATE("R9C",'Riesgos de Gestión'!$V$61),"")</f>
        <v/>
      </c>
      <c r="Q14" s="36" t="str">
        <f>IF(AND('Riesgos de Gestión'!$AF$62="Muy Alta",'Riesgos de Gestión'!$AH$62="Menor"),CONCATENATE("R9C",'Riesgos de Gestión'!$V$62),"")</f>
        <v/>
      </c>
      <c r="R14" s="36" t="str">
        <f>IF(AND('Riesgos de Gestión'!$AF$63="Muy Alta",'Riesgos de Gestión'!$AH$63="Menor"),CONCATENATE("R9C",'Riesgos de Gestión'!$V$63),"")</f>
        <v/>
      </c>
      <c r="S14" s="36" t="str">
        <f>IF(AND('Riesgos de Gestión'!$AF$64="Muy Alta",'Riesgos de Gestión'!$AH$64="Menor"),CONCATENATE("R9C",'Riesgos de Gestión'!$V$64),"")</f>
        <v/>
      </c>
      <c r="T14" s="36" t="str">
        <f>IF(AND('Riesgos de Gestión'!$AF$65="Muy Alta",'Riesgos de Gestión'!$AH$65="Menor"),CONCATENATE("R9C",'Riesgos de Gestión'!$V$65),"")</f>
        <v/>
      </c>
      <c r="U14" s="37" t="str">
        <f>IF(AND('Riesgos de Gestión'!$AF$66="Muy Alta",'Riesgos de Gestión'!$AH$66="Menor"),CONCATENATE("R9C",'Riesgos de Gestión'!$V$66),"")</f>
        <v/>
      </c>
      <c r="V14" s="35" t="str">
        <f>IF(AND('Riesgos de Gestión'!$AF$61="Muy Alta",'Riesgos de Gestión'!$AH$61="Moderado"),CONCATENATE("R9C",'Riesgos de Gestión'!$V$61),"")</f>
        <v/>
      </c>
      <c r="W14" s="36" t="str">
        <f>IF(AND('Riesgos de Gestión'!$AF$62="Muy Alta",'Riesgos de Gestión'!$AH$62="Moderado"),CONCATENATE("R9C",'Riesgos de Gestión'!$V$62),"")</f>
        <v/>
      </c>
      <c r="X14" s="36" t="str">
        <f>IF(AND('Riesgos de Gestión'!$AF$63="Muy Alta",'Riesgos de Gestión'!$AH$63="Moderado"),CONCATENATE("R9C",'Riesgos de Gestión'!$V$63),"")</f>
        <v/>
      </c>
      <c r="Y14" s="36" t="str">
        <f>IF(AND('Riesgos de Gestión'!$AF$64="Muy Alta",'Riesgos de Gestión'!$AH$64="Moderado"),CONCATENATE("R9C",'Riesgos de Gestión'!$V$64),"")</f>
        <v/>
      </c>
      <c r="Z14" s="36" t="str">
        <f>IF(AND('Riesgos de Gestión'!$AF$65="Muy Alta",'Riesgos de Gestión'!$AH$65="Moderado"),CONCATENATE("R9C",'Riesgos de Gestión'!$V$65),"")</f>
        <v/>
      </c>
      <c r="AA14" s="37" t="str">
        <f>IF(AND('Riesgos de Gestión'!$AF$66="Muy Alta",'Riesgos de Gestión'!$AH$66="Moderado"),CONCATENATE("R9C",'Riesgos de Gestión'!$V$66),"")</f>
        <v/>
      </c>
      <c r="AB14" s="35" t="str">
        <f>IF(AND('Riesgos de Gestión'!$AF$61="Muy Alta",'Riesgos de Gestión'!$AH$61="Mayor"),CONCATENATE("R9C",'Riesgos de Gestión'!$V$61),"")</f>
        <v/>
      </c>
      <c r="AC14" s="36" t="str">
        <f>IF(AND('Riesgos de Gestión'!$AF$62="Muy Alta",'Riesgos de Gestión'!$AH$62="Mayor"),CONCATENATE("R9C",'Riesgos de Gestión'!$V$62),"")</f>
        <v/>
      </c>
      <c r="AD14" s="36" t="str">
        <f>IF(AND('Riesgos de Gestión'!$AF$63="Muy Alta",'Riesgos de Gestión'!$AH$63="Mayor"),CONCATENATE("R9C",'Riesgos de Gestión'!$V$63),"")</f>
        <v/>
      </c>
      <c r="AE14" s="36" t="str">
        <f>IF(AND('Riesgos de Gestión'!$AF$64="Muy Alta",'Riesgos de Gestión'!$AH$64="Mayor"),CONCATENATE("R9C",'Riesgos de Gestión'!$V$64),"")</f>
        <v/>
      </c>
      <c r="AF14" s="36" t="str">
        <f>IF(AND('Riesgos de Gestión'!$AF$65="Muy Alta",'Riesgos de Gestión'!$AH$65="Mayor"),CONCATENATE("R9C",'Riesgos de Gestión'!$V$65),"")</f>
        <v/>
      </c>
      <c r="AG14" s="37" t="str">
        <f>IF(AND('Riesgos de Gestión'!$AF$66="Muy Alta",'Riesgos de Gestión'!$AH$66="Mayor"),CONCATENATE("R9C",'Riesgos de Gestión'!$V$66),"")</f>
        <v/>
      </c>
      <c r="AH14" s="38" t="str">
        <f>IF(AND('Riesgos de Gestión'!$AF$61="Muy Alta",'Riesgos de Gestión'!$AH$61="Catastrófico"),CONCATENATE("R9C",'Riesgos de Gestión'!$V$61),"")</f>
        <v/>
      </c>
      <c r="AI14" s="39" t="str">
        <f>IF(AND('Riesgos de Gestión'!$AF$62="Muy Alta",'Riesgos de Gestión'!$AH$62="Catastrófico"),CONCATENATE("R9C",'Riesgos de Gestión'!$V$62),"")</f>
        <v/>
      </c>
      <c r="AJ14" s="39" t="str">
        <f>IF(AND('Riesgos de Gestión'!$AF$63="Muy Alta",'Riesgos de Gestión'!$AH$63="Catastrófico"),CONCATENATE("R9C",'Riesgos de Gestión'!$V$63),"")</f>
        <v/>
      </c>
      <c r="AK14" s="39" t="str">
        <f>IF(AND('Riesgos de Gestión'!$AF$64="Muy Alta",'Riesgos de Gestión'!$AH$64="Catastrófico"),CONCATENATE("R9C",'Riesgos de Gestión'!$V$64),"")</f>
        <v/>
      </c>
      <c r="AL14" s="39" t="str">
        <f>IF(AND('Riesgos de Gestión'!$AF$65="Muy Alta",'Riesgos de Gestión'!$AH$65="Catastrófico"),CONCATENATE("R9C",'Riesgos de Gestión'!$V$65),"")</f>
        <v/>
      </c>
      <c r="AM14" s="40" t="str">
        <f>IF(AND('Riesgos de Gestión'!$AF$66="Muy Alta",'Riesgos de Gestión'!$AH$66="Catastrófico"),CONCATENATE("R9C",'Riesgos de Gestión'!$V$66),"")</f>
        <v/>
      </c>
      <c r="AN14" s="66"/>
      <c r="AO14" s="494"/>
      <c r="AP14" s="495"/>
      <c r="AQ14" s="495"/>
      <c r="AR14" s="495"/>
      <c r="AS14" s="495"/>
      <c r="AT14" s="49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row>
    <row r="15" spans="1:91" ht="15.75" customHeight="1" thickBot="1" x14ac:dyDescent="0.3">
      <c r="A15" s="66"/>
      <c r="B15" s="389"/>
      <c r="C15" s="389"/>
      <c r="D15" s="390"/>
      <c r="E15" s="489"/>
      <c r="F15" s="490"/>
      <c r="G15" s="490"/>
      <c r="H15" s="490"/>
      <c r="I15" s="504"/>
      <c r="J15" s="41" t="str">
        <f>IF(AND('Riesgos de Gestión'!$AF$67="Muy Alta",'Riesgos de Gestión'!$AH$67="Leve"),CONCATENATE("R10C",'Riesgos de Gestión'!$V$67),"")</f>
        <v/>
      </c>
      <c r="K15" s="42" t="str">
        <f>IF(AND('Riesgos de Gestión'!$AF$68="Muy Alta",'Riesgos de Gestión'!$AH$68="Leve"),CONCATENATE("R10C",'Riesgos de Gestión'!$V$68),"")</f>
        <v/>
      </c>
      <c r="L15" s="42" t="str">
        <f>IF(AND('Riesgos de Gestión'!$AF$69="Muy Alta",'Riesgos de Gestión'!$AH$69="Leve"),CONCATENATE("R10C",'Riesgos de Gestión'!$V$69),"")</f>
        <v/>
      </c>
      <c r="M15" s="42" t="str">
        <f>IF(AND('Riesgos de Gestión'!$AF$70="Muy Alta",'Riesgos de Gestión'!$AH$70="Leve"),CONCATENATE("R10C",'Riesgos de Gestión'!$V$70),"")</f>
        <v/>
      </c>
      <c r="N15" s="42" t="str">
        <f>IF(AND('Riesgos de Gestión'!$AF$71="Muy Alta",'Riesgos de Gestión'!$AH$71="Leve"),CONCATENATE("R10C",'Riesgos de Gestión'!$V$71),"")</f>
        <v/>
      </c>
      <c r="O15" s="43" t="str">
        <f>IF(AND('Riesgos de Gestión'!$AF$72="Muy Alta",'Riesgos de Gestión'!$AH$72="Leve"),CONCATENATE("R10C",'Riesgos de Gestión'!$V$72),"")</f>
        <v/>
      </c>
      <c r="P15" s="35" t="str">
        <f>IF(AND('Riesgos de Gestión'!$AF$67="Muy Alta",'Riesgos de Gestión'!$AH$67="Menor"),CONCATENATE("R10C",'Riesgos de Gestión'!$V$67),"")</f>
        <v/>
      </c>
      <c r="Q15" s="36" t="str">
        <f>IF(AND('Riesgos de Gestión'!$AF$68="Muy Alta",'Riesgos de Gestión'!$AH$68="Menor"),CONCATENATE("R10C",'Riesgos de Gestión'!$V$68),"")</f>
        <v/>
      </c>
      <c r="R15" s="36" t="str">
        <f>IF(AND('Riesgos de Gestión'!$AF$69="Muy Alta",'Riesgos de Gestión'!$AH$69="Menor"),CONCATENATE("R10C",'Riesgos de Gestión'!$V$69),"")</f>
        <v/>
      </c>
      <c r="S15" s="36" t="str">
        <f>IF(AND('Riesgos de Gestión'!$AF$70="Muy Alta",'Riesgos de Gestión'!$AH$70="Menor"),CONCATENATE("R10C",'Riesgos de Gestión'!$V$70),"")</f>
        <v/>
      </c>
      <c r="T15" s="36" t="str">
        <f>IF(AND('Riesgos de Gestión'!$AF$71="Muy Alta",'Riesgos de Gestión'!$AH$71="Menor"),CONCATENATE("R10C",'Riesgos de Gestión'!$V$71),"")</f>
        <v/>
      </c>
      <c r="U15" s="37" t="str">
        <f>IF(AND('Riesgos de Gestión'!$AF$72="Muy Alta",'Riesgos de Gestión'!$AH$72="Menor"),CONCATENATE("R10C",'Riesgos de Gestión'!$V$72),"")</f>
        <v/>
      </c>
      <c r="V15" s="41" t="str">
        <f>IF(AND('Riesgos de Gestión'!$AF$67="Muy Alta",'Riesgos de Gestión'!$AH$67="Moderado"),CONCATENATE("R10C",'Riesgos de Gestión'!$V$67),"")</f>
        <v/>
      </c>
      <c r="W15" s="42" t="str">
        <f>IF(AND('Riesgos de Gestión'!$AF$68="Muy Alta",'Riesgos de Gestión'!$AH$68="Moderado"),CONCATENATE("R10C",'Riesgos de Gestión'!$V$68),"")</f>
        <v/>
      </c>
      <c r="X15" s="42" t="str">
        <f>IF(AND('Riesgos de Gestión'!$AF$69="Muy Alta",'Riesgos de Gestión'!$AH$69="Moderado"),CONCATENATE("R10C",'Riesgos de Gestión'!$V$69),"")</f>
        <v/>
      </c>
      <c r="Y15" s="42" t="str">
        <f>IF(AND('Riesgos de Gestión'!$AF$70="Muy Alta",'Riesgos de Gestión'!$AH$70="Moderado"),CONCATENATE("R10C",'Riesgos de Gestión'!$V$70),"")</f>
        <v/>
      </c>
      <c r="Z15" s="42" t="str">
        <f>IF(AND('Riesgos de Gestión'!$AF$71="Muy Alta",'Riesgos de Gestión'!$AH$71="Moderado"),CONCATENATE("R10C",'Riesgos de Gestión'!$V$71),"")</f>
        <v/>
      </c>
      <c r="AA15" s="43" t="str">
        <f>IF(AND('Riesgos de Gestión'!$AF$72="Muy Alta",'Riesgos de Gestión'!$AH$72="Moderado"),CONCATENATE("R10C",'Riesgos de Gestión'!$V$72),"")</f>
        <v/>
      </c>
      <c r="AB15" s="35" t="str">
        <f>IF(AND('Riesgos de Gestión'!$AF$67="Muy Alta",'Riesgos de Gestión'!$AH$67="Mayor"),CONCATENATE("R10C",'Riesgos de Gestión'!$V$67),"")</f>
        <v/>
      </c>
      <c r="AC15" s="36" t="str">
        <f>IF(AND('Riesgos de Gestión'!$AF$68="Muy Alta",'Riesgos de Gestión'!$AH$68="Mayor"),CONCATENATE("R10C",'Riesgos de Gestión'!$V$68),"")</f>
        <v/>
      </c>
      <c r="AD15" s="36" t="str">
        <f>IF(AND('Riesgos de Gestión'!$AF$69="Muy Alta",'Riesgos de Gestión'!$AH$69="Mayor"),CONCATENATE("R10C",'Riesgos de Gestión'!$V$69),"")</f>
        <v/>
      </c>
      <c r="AE15" s="36" t="str">
        <f>IF(AND('Riesgos de Gestión'!$AF$70="Muy Alta",'Riesgos de Gestión'!$AH$70="Mayor"),CONCATENATE("R10C",'Riesgos de Gestión'!$V$70),"")</f>
        <v/>
      </c>
      <c r="AF15" s="36" t="str">
        <f>IF(AND('Riesgos de Gestión'!$AF$71="Muy Alta",'Riesgos de Gestión'!$AH$71="Mayor"),CONCATENATE("R10C",'Riesgos de Gestión'!$V$71),"")</f>
        <v/>
      </c>
      <c r="AG15" s="37" t="str">
        <f>IF(AND('Riesgos de Gestión'!$AF$72="Muy Alta",'Riesgos de Gestión'!$AH$72="Mayor"),CONCATENATE("R10C",'Riesgos de Gestión'!$V$72),"")</f>
        <v/>
      </c>
      <c r="AH15" s="44" t="str">
        <f>IF(AND('Riesgos de Gestión'!$AF$67="Muy Alta",'Riesgos de Gestión'!$AH$67="Catastrófico"),CONCATENATE("R10C",'Riesgos de Gestión'!$V$67),"")</f>
        <v/>
      </c>
      <c r="AI15" s="45" t="str">
        <f>IF(AND('Riesgos de Gestión'!$AF$68="Muy Alta",'Riesgos de Gestión'!$AH$68="Catastrófico"),CONCATENATE("R10C",'Riesgos de Gestión'!$V$68),"")</f>
        <v/>
      </c>
      <c r="AJ15" s="45" t="str">
        <f>IF(AND('Riesgos de Gestión'!$AF$69="Muy Alta",'Riesgos de Gestión'!$AH$69="Catastrófico"),CONCATENATE("R10C",'Riesgos de Gestión'!$V$69),"")</f>
        <v/>
      </c>
      <c r="AK15" s="45" t="str">
        <f>IF(AND('Riesgos de Gestión'!$AF$70="Muy Alta",'Riesgos de Gestión'!$AH$70="Catastrófico"),CONCATENATE("R10C",'Riesgos de Gestión'!$V$70),"")</f>
        <v/>
      </c>
      <c r="AL15" s="45" t="str">
        <f>IF(AND('Riesgos de Gestión'!$AF$71="Muy Alta",'Riesgos de Gestión'!$AH$71="Catastrófico"),CONCATENATE("R10C",'Riesgos de Gestión'!$V$71),"")</f>
        <v/>
      </c>
      <c r="AM15" s="46" t="str">
        <f>IF(AND('Riesgos de Gestión'!$AF$72="Muy Alta",'Riesgos de Gestión'!$AH$72="Catastrófico"),CONCATENATE("R10C",'Riesgos de Gestión'!$V$72),"")</f>
        <v/>
      </c>
      <c r="AN15" s="66"/>
      <c r="AO15" s="497"/>
      <c r="AP15" s="498"/>
      <c r="AQ15" s="498"/>
      <c r="AR15" s="498"/>
      <c r="AS15" s="498"/>
      <c r="AT15" s="499"/>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row>
    <row r="16" spans="1:91" ht="15" customHeight="1" x14ac:dyDescent="0.25">
      <c r="A16" s="66"/>
      <c r="B16" s="389"/>
      <c r="C16" s="389"/>
      <c r="D16" s="390"/>
      <c r="E16" s="484" t="s">
        <v>253</v>
      </c>
      <c r="F16" s="485"/>
      <c r="G16" s="485"/>
      <c r="H16" s="485"/>
      <c r="I16" s="485"/>
      <c r="J16" s="47" t="str">
        <f>IF(AND('Riesgos de Gestión'!$AF$13="Alta",'Riesgos de Gestión'!$AH$13="Leve"),CONCATENATE("R1C",'Riesgos de Gestión'!$V$13),"")</f>
        <v/>
      </c>
      <c r="K16" s="48" t="str">
        <f>IF(AND('Riesgos de Gestión'!$AF$14="Alta",'Riesgos de Gestión'!$AH$14="Leve"),CONCATENATE("R1C",'Riesgos de Gestión'!$V$14),"")</f>
        <v/>
      </c>
      <c r="L16" s="48" t="str">
        <f>IF(AND('Riesgos de Gestión'!$AF$15="Alta",'Riesgos de Gestión'!$AH$15="Leve"),CONCATENATE("R1C",'Riesgos de Gestión'!$V$15),"")</f>
        <v/>
      </c>
      <c r="M16" s="48" t="str">
        <f>IF(AND('Riesgos de Gestión'!$AF$16="Alta",'Riesgos de Gestión'!$AH$16="Leve"),CONCATENATE("R1C",'Riesgos de Gestión'!$V$16),"")</f>
        <v/>
      </c>
      <c r="N16" s="48" t="str">
        <f>IF(AND('Riesgos de Gestión'!$AF$17="Alta",'Riesgos de Gestión'!$AH$17="Leve"),CONCATENATE("R1C",'Riesgos de Gestión'!$V$17),"")</f>
        <v/>
      </c>
      <c r="O16" s="49" t="str">
        <f>IF(AND('Riesgos de Gestión'!$AF$18="Alta",'Riesgos de Gestión'!$AH$18="Leve"),CONCATENATE("R1C",'Riesgos de Gestión'!$V$18),"")</f>
        <v/>
      </c>
      <c r="P16" s="47" t="str">
        <f>IF(AND('Riesgos de Gestión'!$AF$13="Alta",'Riesgos de Gestión'!$AH$13="Menor"),CONCATENATE("R1C",'Riesgos de Gestión'!$V$13),"")</f>
        <v/>
      </c>
      <c r="Q16" s="48" t="str">
        <f>IF(AND('Riesgos de Gestión'!$AF$14="Alta",'Riesgos de Gestión'!$AH$14="Menor"),CONCATENATE("R1C",'Riesgos de Gestión'!$V$14),"")</f>
        <v/>
      </c>
      <c r="R16" s="48" t="str">
        <f>IF(AND('Riesgos de Gestión'!$AF$15="Alta",'Riesgos de Gestión'!$AH$15="Menor"),CONCATENATE("R1C",'Riesgos de Gestión'!$V$15),"")</f>
        <v/>
      </c>
      <c r="S16" s="48" t="str">
        <f>IF(AND('Riesgos de Gestión'!$AF$16="Alta",'Riesgos de Gestión'!$AH$16="Menor"),CONCATENATE("R1C",'Riesgos de Gestión'!$V$16),"")</f>
        <v/>
      </c>
      <c r="T16" s="48" t="str">
        <f>IF(AND('Riesgos de Gestión'!$AF$17="Alta",'Riesgos de Gestión'!$AH$17="Menor"),CONCATENATE("R1C",'Riesgos de Gestión'!$V$17),"")</f>
        <v/>
      </c>
      <c r="U16" s="49" t="str">
        <f>IF(AND('Riesgos de Gestión'!$AF$18="Alta",'Riesgos de Gestión'!$AH$18="Menor"),CONCATENATE("R1C",'Riesgos de Gestión'!$V$18),"")</f>
        <v/>
      </c>
      <c r="V16" s="29" t="str">
        <f>IF(AND('Riesgos de Gestión'!$AF$13="Alta",'Riesgos de Gestión'!$AH$13="Moderado"),CONCATENATE("R1C",'Riesgos de Gestión'!$V$13),"")</f>
        <v/>
      </c>
      <c r="W16" s="30" t="str">
        <f>IF(AND('Riesgos de Gestión'!$AF$14="Alta",'Riesgos de Gestión'!$AH$14="Moderado"),CONCATENATE("R1C",'Riesgos de Gestión'!$V$14),"")</f>
        <v/>
      </c>
      <c r="X16" s="30" t="str">
        <f>IF(AND('Riesgos de Gestión'!$AF$15="Alta",'Riesgos de Gestión'!$AH$15="Moderado"),CONCATENATE("R1C",'Riesgos de Gestión'!$V$15),"")</f>
        <v/>
      </c>
      <c r="Y16" s="30" t="str">
        <f>IF(AND('Riesgos de Gestión'!$AF$16="Alta",'Riesgos de Gestión'!$AH$16="Moderado"),CONCATENATE("R1C",'Riesgos de Gestión'!$V$16),"")</f>
        <v/>
      </c>
      <c r="Z16" s="30" t="str">
        <f>IF(AND('Riesgos de Gestión'!$AF$17="Alta",'Riesgos de Gestión'!$AH$17="Moderado"),CONCATENATE("R1C",'Riesgos de Gestión'!$V$17),"")</f>
        <v/>
      </c>
      <c r="AA16" s="31" t="str">
        <f>IF(AND('Riesgos de Gestión'!$AF$18="Alta",'Riesgos de Gestión'!$AH$18="Moderado"),CONCATENATE("R1C",'Riesgos de Gestión'!$V$18),"")</f>
        <v/>
      </c>
      <c r="AB16" s="29" t="str">
        <f>IF(AND('Riesgos de Gestión'!$AF$13="Alta",'Riesgos de Gestión'!$AH$13="Mayor"),CONCATENATE("R1C",'Riesgos de Gestión'!$V$13),"")</f>
        <v/>
      </c>
      <c r="AC16" s="30" t="str">
        <f>IF(AND('Riesgos de Gestión'!$AF$14="Alta",'Riesgos de Gestión'!$AH$14="Mayor"),CONCATENATE("R1C",'Riesgos de Gestión'!$V$14),"")</f>
        <v/>
      </c>
      <c r="AD16" s="30" t="str">
        <f>IF(AND('Riesgos de Gestión'!$AF$15="Alta",'Riesgos de Gestión'!$AH$15="Mayor"),CONCATENATE("R1C",'Riesgos de Gestión'!$V$15),"")</f>
        <v/>
      </c>
      <c r="AE16" s="30" t="str">
        <f>IF(AND('Riesgos de Gestión'!$AF$16="Alta",'Riesgos de Gestión'!$AH$16="Mayor"),CONCATENATE("R1C",'Riesgos de Gestión'!$V$16),"")</f>
        <v/>
      </c>
      <c r="AF16" s="30" t="str">
        <f>IF(AND('Riesgos de Gestión'!$AF$17="Alta",'Riesgos de Gestión'!$AH$17="Mayor"),CONCATENATE("R1C",'Riesgos de Gestión'!$V$17),"")</f>
        <v/>
      </c>
      <c r="AG16" s="31" t="str">
        <f>IF(AND('Riesgos de Gestión'!$AF$18="Alta",'Riesgos de Gestión'!$AH$18="Mayor"),CONCATENATE("R1C",'Riesgos de Gestión'!$V$18),"")</f>
        <v/>
      </c>
      <c r="AH16" s="32" t="str">
        <f>IF(AND('Riesgos de Gestión'!$AF$13="Alta",'Riesgos de Gestión'!$AH$13="Catastrófico"),CONCATENATE("R1C",'Riesgos de Gestión'!$V$13),"")</f>
        <v/>
      </c>
      <c r="AI16" s="33" t="str">
        <f>IF(AND('Riesgos de Gestión'!$AF$14="Alta",'Riesgos de Gestión'!$AH$14="Catastrófico"),CONCATENATE("R1C",'Riesgos de Gestión'!$V$14),"")</f>
        <v/>
      </c>
      <c r="AJ16" s="33" t="str">
        <f>IF(AND('Riesgos de Gestión'!$AF$15="Alta",'Riesgos de Gestión'!$AH$15="Catastrófico"),CONCATENATE("R1C",'Riesgos de Gestión'!$V$15),"")</f>
        <v/>
      </c>
      <c r="AK16" s="33" t="str">
        <f>IF(AND('Riesgos de Gestión'!$AF$16="Alta",'Riesgos de Gestión'!$AH$16="Catastrófico"),CONCATENATE("R1C",'Riesgos de Gestión'!$V$16),"")</f>
        <v/>
      </c>
      <c r="AL16" s="33" t="str">
        <f>IF(AND('Riesgos de Gestión'!$AF$17="Alta",'Riesgos de Gestión'!$AH$17="Catastrófico"),CONCATENATE("R1C",'Riesgos de Gestión'!$V$17),"")</f>
        <v/>
      </c>
      <c r="AM16" s="34" t="str">
        <f>IF(AND('Riesgos de Gestión'!$AF$18="Alta",'Riesgos de Gestión'!$AH$18="Catastrófico"),CONCATENATE("R1C",'Riesgos de Gestión'!$V$18),"")</f>
        <v/>
      </c>
      <c r="AN16" s="66"/>
      <c r="AO16" s="475" t="s">
        <v>254</v>
      </c>
      <c r="AP16" s="476"/>
      <c r="AQ16" s="476"/>
      <c r="AR16" s="476"/>
      <c r="AS16" s="476"/>
      <c r="AT16" s="477"/>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row>
    <row r="17" spans="1:76" ht="15" customHeight="1" x14ac:dyDescent="0.25">
      <c r="A17" s="66"/>
      <c r="B17" s="389"/>
      <c r="C17" s="389"/>
      <c r="D17" s="390"/>
      <c r="E17" s="486"/>
      <c r="F17" s="487"/>
      <c r="G17" s="487"/>
      <c r="H17" s="487"/>
      <c r="I17" s="487"/>
      <c r="J17" s="50" t="str">
        <f>IF(AND('Riesgos de Gestión'!$AF$19="Alta",'Riesgos de Gestión'!$AH$19="Leve"),CONCATENATE("R2C",'Riesgos de Gestión'!$V$19),"")</f>
        <v/>
      </c>
      <c r="K17" s="51" t="str">
        <f>IF(AND('Riesgos de Gestión'!$AF$20="Alta",'Riesgos de Gestión'!$AH$20="Leve"),CONCATENATE("R2C",'Riesgos de Gestión'!$V$20),"")</f>
        <v/>
      </c>
      <c r="L17" s="51" t="str">
        <f>IF(AND('Riesgos de Gestión'!$AF$21="Alta",'Riesgos de Gestión'!$AH$21="Leve"),CONCATENATE("R2C",'Riesgos de Gestión'!$V$21),"")</f>
        <v/>
      </c>
      <c r="M17" s="51" t="str">
        <f>IF(AND('Riesgos de Gestión'!$AF$22="Alta",'Riesgos de Gestión'!$AH$22="Leve"),CONCATENATE("R2C",'Riesgos de Gestión'!$V$22),"")</f>
        <v/>
      </c>
      <c r="N17" s="51" t="str">
        <f>IF(AND('Riesgos de Gestión'!$AF$23="Alta",'Riesgos de Gestión'!$AH$23="Leve"),CONCATENATE("R2C",'Riesgos de Gestión'!$V$23),"")</f>
        <v/>
      </c>
      <c r="O17" s="52" t="str">
        <f>IF(AND('Riesgos de Gestión'!$AF$24="Alta",'Riesgos de Gestión'!$AH$24="Leve"),CONCATENATE("R2C",'Riesgos de Gestión'!$V$24),"")</f>
        <v/>
      </c>
      <c r="P17" s="50" t="str">
        <f>IF(AND('Riesgos de Gestión'!$AF$19="Alta",'Riesgos de Gestión'!$AH$19="Menor"),CONCATENATE("R2C",'Riesgos de Gestión'!$V$19),"")</f>
        <v/>
      </c>
      <c r="Q17" s="51" t="str">
        <f>IF(AND('Riesgos de Gestión'!$AF$20="Alta",'Riesgos de Gestión'!$AH$20="Menor"),CONCATENATE("R2C",'Riesgos de Gestión'!$V$20),"")</f>
        <v/>
      </c>
      <c r="R17" s="51" t="str">
        <f>IF(AND('Riesgos de Gestión'!$AF$21="Alta",'Riesgos de Gestión'!$AH$21="Menor"),CONCATENATE("R2C",'Riesgos de Gestión'!$V$21),"")</f>
        <v/>
      </c>
      <c r="S17" s="51" t="str">
        <f>IF(AND('Riesgos de Gestión'!$AF$22="Alta",'Riesgos de Gestión'!$AH$22="Menor"),CONCATENATE("R2C",'Riesgos de Gestión'!$V$22),"")</f>
        <v/>
      </c>
      <c r="T17" s="51" t="str">
        <f>IF(AND('Riesgos de Gestión'!$AF$23="Alta",'Riesgos de Gestión'!$AH$23="Menor"),CONCATENATE("R2C",'Riesgos de Gestión'!$V$23),"")</f>
        <v/>
      </c>
      <c r="U17" s="52" t="str">
        <f>IF(AND('Riesgos de Gestión'!$AF$24="Alta",'Riesgos de Gestión'!$AH$24="Menor"),CONCATENATE("R2C",'Riesgos de Gestión'!$V$24),"")</f>
        <v/>
      </c>
      <c r="V17" s="35" t="str">
        <f>IF(AND('Riesgos de Gestión'!$AF$19="Alta",'Riesgos de Gestión'!$AH$19="Moderado"),CONCATENATE("R2C",'Riesgos de Gestión'!$V$19),"")</f>
        <v/>
      </c>
      <c r="W17" s="36" t="str">
        <f>IF(AND('Riesgos de Gestión'!$AF$20="Alta",'Riesgos de Gestión'!$AH$20="Moderado"),CONCATENATE("R2C",'Riesgos de Gestión'!$V$20),"")</f>
        <v/>
      </c>
      <c r="X17" s="36" t="str">
        <f>IF(AND('Riesgos de Gestión'!$AF$21="Alta",'Riesgos de Gestión'!$AH$21="Moderado"),CONCATENATE("R2C",'Riesgos de Gestión'!$V$21),"")</f>
        <v/>
      </c>
      <c r="Y17" s="36" t="str">
        <f>IF(AND('Riesgos de Gestión'!$AF$22="Alta",'Riesgos de Gestión'!$AH$22="Moderado"),CONCATENATE("R2C",'Riesgos de Gestión'!$V$22),"")</f>
        <v/>
      </c>
      <c r="Z17" s="36" t="str">
        <f>IF(AND('Riesgos de Gestión'!$AF$23="Alta",'Riesgos de Gestión'!$AH$23="Moderado"),CONCATENATE("R2C",'Riesgos de Gestión'!$V$23),"")</f>
        <v/>
      </c>
      <c r="AA17" s="37" t="str">
        <f>IF(AND('Riesgos de Gestión'!$AF$24="Alta",'Riesgos de Gestión'!$AH$24="Moderado"),CONCATENATE("R2C",'Riesgos de Gestión'!$V$24),"")</f>
        <v/>
      </c>
      <c r="AB17" s="35" t="str">
        <f>IF(AND('Riesgos de Gestión'!$AF$19="Alta",'Riesgos de Gestión'!$AH$19="Mayor"),CONCATENATE("R2C",'Riesgos de Gestión'!$V$19),"")</f>
        <v/>
      </c>
      <c r="AC17" s="36" t="str">
        <f>IF(AND('Riesgos de Gestión'!$AF$20="Alta",'Riesgos de Gestión'!$AH$20="Mayor"),CONCATENATE("R2C",'Riesgos de Gestión'!$V$20),"")</f>
        <v/>
      </c>
      <c r="AD17" s="36" t="str">
        <f>IF(AND('Riesgos de Gestión'!$AF$21="Alta",'Riesgos de Gestión'!$AH$21="Mayor"),CONCATENATE("R2C",'Riesgos de Gestión'!$V$21),"")</f>
        <v/>
      </c>
      <c r="AE17" s="36" t="str">
        <f>IF(AND('Riesgos de Gestión'!$AF$22="Alta",'Riesgos de Gestión'!$AH$22="Mayor"),CONCATENATE("R2C",'Riesgos de Gestión'!$V$22),"")</f>
        <v/>
      </c>
      <c r="AF17" s="36" t="str">
        <f>IF(AND('Riesgos de Gestión'!$AF$23="Alta",'Riesgos de Gestión'!$AH$23="Mayor"),CONCATENATE("R2C",'Riesgos de Gestión'!$V$23),"")</f>
        <v/>
      </c>
      <c r="AG17" s="37" t="str">
        <f>IF(AND('Riesgos de Gestión'!$AF$24="Alta",'Riesgos de Gestión'!$AH$24="Mayor"),CONCATENATE("R2C",'Riesgos de Gestión'!$V$24),"")</f>
        <v/>
      </c>
      <c r="AH17" s="38" t="str">
        <f>IF(AND('Riesgos de Gestión'!$AF$19="Alta",'Riesgos de Gestión'!$AH$19="Catastrófico"),CONCATENATE("R2C",'Riesgos de Gestión'!$V$19),"")</f>
        <v/>
      </c>
      <c r="AI17" s="39" t="str">
        <f>IF(AND('Riesgos de Gestión'!$AF$20="Alta",'Riesgos de Gestión'!$AH$20="Catastrófico"),CONCATENATE("R2C",'Riesgos de Gestión'!$V$20),"")</f>
        <v/>
      </c>
      <c r="AJ17" s="39" t="str">
        <f>IF(AND('Riesgos de Gestión'!$AF$21="Alta",'Riesgos de Gestión'!$AH$21="Catastrófico"),CONCATENATE("R2C",'Riesgos de Gestión'!$V$21),"")</f>
        <v/>
      </c>
      <c r="AK17" s="39" t="str">
        <f>IF(AND('Riesgos de Gestión'!$AF$22="Alta",'Riesgos de Gestión'!$AH$22="Catastrófico"),CONCATENATE("R2C",'Riesgos de Gestión'!$V$22),"")</f>
        <v/>
      </c>
      <c r="AL17" s="39" t="str">
        <f>IF(AND('Riesgos de Gestión'!$AF$23="Alta",'Riesgos de Gestión'!$AH$23="Catastrófico"),CONCATENATE("R2C",'Riesgos de Gestión'!$V$23),"")</f>
        <v/>
      </c>
      <c r="AM17" s="40" t="str">
        <f>IF(AND('Riesgos de Gestión'!$AF$24="Alta",'Riesgos de Gestión'!$AH$24="Catastrófico"),CONCATENATE("R2C",'Riesgos de Gestión'!$V$24),"")</f>
        <v/>
      </c>
      <c r="AN17" s="66"/>
      <c r="AO17" s="478"/>
      <c r="AP17" s="479"/>
      <c r="AQ17" s="479"/>
      <c r="AR17" s="479"/>
      <c r="AS17" s="479"/>
      <c r="AT17" s="480"/>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row>
    <row r="18" spans="1:76" ht="15" customHeight="1" x14ac:dyDescent="0.25">
      <c r="A18" s="66"/>
      <c r="B18" s="389"/>
      <c r="C18" s="389"/>
      <c r="D18" s="390"/>
      <c r="E18" s="488"/>
      <c r="F18" s="487"/>
      <c r="G18" s="487"/>
      <c r="H18" s="487"/>
      <c r="I18" s="487"/>
      <c r="J18" s="50" t="str">
        <f>IF(AND('Riesgos de Gestión'!$AF$25="Alta",'Riesgos de Gestión'!$AH$25="Leve"),CONCATENATE("R3C",'Riesgos de Gestión'!$V$25),"")</f>
        <v/>
      </c>
      <c r="K18" s="51" t="str">
        <f>IF(AND('Riesgos de Gestión'!$AF$26="Alta",'Riesgos de Gestión'!$AH$26="Leve"),CONCATENATE("R3C",'Riesgos de Gestión'!$V$26),"")</f>
        <v/>
      </c>
      <c r="L18" s="51" t="str">
        <f>IF(AND('Riesgos de Gestión'!$AF$27="Alta",'Riesgos de Gestión'!$AH$27="Leve"),CONCATENATE("R3C",'Riesgos de Gestión'!$V$27),"")</f>
        <v/>
      </c>
      <c r="M18" s="51" t="str">
        <f>IF(AND('Riesgos de Gestión'!$AF$28="Alta",'Riesgos de Gestión'!$AH$28="Leve"),CONCATENATE("R3C",'Riesgos de Gestión'!$V$28),"")</f>
        <v/>
      </c>
      <c r="N18" s="51" t="str">
        <f>IF(AND('Riesgos de Gestión'!$AF$29="Alta",'Riesgos de Gestión'!$AH$29="Leve"),CONCATENATE("R3C",'Riesgos de Gestión'!$V$29),"")</f>
        <v/>
      </c>
      <c r="O18" s="52" t="str">
        <f>IF(AND('Riesgos de Gestión'!$AF$30="Alta",'Riesgos de Gestión'!$AH$30="Leve"),CONCATENATE("R3C",'Riesgos de Gestión'!$V$30),"")</f>
        <v/>
      </c>
      <c r="P18" s="50" t="str">
        <f>IF(AND('Riesgos de Gestión'!$AF$25="Alta",'Riesgos de Gestión'!$AH$25="Menor"),CONCATENATE("R3C",'Riesgos de Gestión'!$V$25),"")</f>
        <v/>
      </c>
      <c r="Q18" s="51" t="str">
        <f>IF(AND('Riesgos de Gestión'!$AF$26="Alta",'Riesgos de Gestión'!$AH$26="Menor"),CONCATENATE("R3C",'Riesgos de Gestión'!$V$26),"")</f>
        <v/>
      </c>
      <c r="R18" s="51" t="str">
        <f>IF(AND('Riesgos de Gestión'!$AF$27="Alta",'Riesgos de Gestión'!$AH$27="Menor"),CONCATENATE("R3C",'Riesgos de Gestión'!$V$27),"")</f>
        <v/>
      </c>
      <c r="S18" s="51" t="str">
        <f>IF(AND('Riesgos de Gestión'!$AF$28="Alta",'Riesgos de Gestión'!$AH$28="Menor"),CONCATENATE("R3C",'Riesgos de Gestión'!$V$28),"")</f>
        <v/>
      </c>
      <c r="T18" s="51" t="str">
        <f>IF(AND('Riesgos de Gestión'!$AF$29="Alta",'Riesgos de Gestión'!$AH$29="Menor"),CONCATENATE("R3C",'Riesgos de Gestión'!$V$29),"")</f>
        <v/>
      </c>
      <c r="U18" s="52" t="str">
        <f>IF(AND('Riesgos de Gestión'!$AF$30="Alta",'Riesgos de Gestión'!$AH$30="Menor"),CONCATENATE("R3C",'Riesgos de Gestión'!$V$30),"")</f>
        <v/>
      </c>
      <c r="V18" s="35" t="str">
        <f>IF(AND('Riesgos de Gestión'!$AF$25="Alta",'Riesgos de Gestión'!$AH$25="Moderado"),CONCATENATE("R3C",'Riesgos de Gestión'!$V$25),"")</f>
        <v/>
      </c>
      <c r="W18" s="36" t="str">
        <f>IF(AND('Riesgos de Gestión'!$AF$26="Alta",'Riesgos de Gestión'!$AH$26="Moderado"),CONCATENATE("R3C",'Riesgos de Gestión'!$V$26),"")</f>
        <v/>
      </c>
      <c r="X18" s="36" t="str">
        <f>IF(AND('Riesgos de Gestión'!$AF$27="Alta",'Riesgos de Gestión'!$AH$27="Moderado"),CONCATENATE("R3C",'Riesgos de Gestión'!$V$27),"")</f>
        <v/>
      </c>
      <c r="Y18" s="36" t="str">
        <f>IF(AND('Riesgos de Gestión'!$AF$28="Alta",'Riesgos de Gestión'!$AH$28="Moderado"),CONCATENATE("R3C",'Riesgos de Gestión'!$V$28),"")</f>
        <v/>
      </c>
      <c r="Z18" s="36" t="str">
        <f>IF(AND('Riesgos de Gestión'!$AF$29="Alta",'Riesgos de Gestión'!$AH$29="Moderado"),CONCATENATE("R3C",'Riesgos de Gestión'!$V$29),"")</f>
        <v/>
      </c>
      <c r="AA18" s="37" t="str">
        <f>IF(AND('Riesgos de Gestión'!$AF$30="Alta",'Riesgos de Gestión'!$AH$30="Moderado"),CONCATENATE("R3C",'Riesgos de Gestión'!$V$30),"")</f>
        <v/>
      </c>
      <c r="AB18" s="35" t="str">
        <f>IF(AND('Riesgos de Gestión'!$AF$25="Alta",'Riesgos de Gestión'!$AH$25="Mayor"),CONCATENATE("R3C",'Riesgos de Gestión'!$V$25),"")</f>
        <v/>
      </c>
      <c r="AC18" s="36" t="str">
        <f>IF(AND('Riesgos de Gestión'!$AF$26="Alta",'Riesgos de Gestión'!$AH$26="Mayor"),CONCATENATE("R3C",'Riesgos de Gestión'!$V$26),"")</f>
        <v/>
      </c>
      <c r="AD18" s="36" t="str">
        <f>IF(AND('Riesgos de Gestión'!$AF$27="Alta",'Riesgos de Gestión'!$AH$27="Mayor"),CONCATENATE("R3C",'Riesgos de Gestión'!$V$27),"")</f>
        <v/>
      </c>
      <c r="AE18" s="36" t="str">
        <f>IF(AND('Riesgos de Gestión'!$AF$28="Alta",'Riesgos de Gestión'!$AH$28="Mayor"),CONCATENATE("R3C",'Riesgos de Gestión'!$V$28),"")</f>
        <v/>
      </c>
      <c r="AF18" s="36" t="str">
        <f>IF(AND('Riesgos de Gestión'!$AF$29="Alta",'Riesgos de Gestión'!$AH$29="Mayor"),CONCATENATE("R3C",'Riesgos de Gestión'!$V$29),"")</f>
        <v/>
      </c>
      <c r="AG18" s="37" t="str">
        <f>IF(AND('Riesgos de Gestión'!$AF$30="Alta",'Riesgos de Gestión'!$AH$30="Mayor"),CONCATENATE("R3C",'Riesgos de Gestión'!$V$30),"")</f>
        <v/>
      </c>
      <c r="AH18" s="38" t="str">
        <f>IF(AND('Riesgos de Gestión'!$AF$25="Alta",'Riesgos de Gestión'!$AH$25="Catastrófico"),CONCATENATE("R3C",'Riesgos de Gestión'!$V$25),"")</f>
        <v/>
      </c>
      <c r="AI18" s="39" t="str">
        <f>IF(AND('Riesgos de Gestión'!$AF$26="Alta",'Riesgos de Gestión'!$AH$26="Catastrófico"),CONCATENATE("R3C",'Riesgos de Gestión'!$V$26),"")</f>
        <v/>
      </c>
      <c r="AJ18" s="39" t="str">
        <f>IF(AND('Riesgos de Gestión'!$AF$27="Alta",'Riesgos de Gestión'!$AH$27="Catastrófico"),CONCATENATE("R3C",'Riesgos de Gestión'!$V$27),"")</f>
        <v/>
      </c>
      <c r="AK18" s="39" t="str">
        <f>IF(AND('Riesgos de Gestión'!$AF$28="Alta",'Riesgos de Gestión'!$AH$28="Catastrófico"),CONCATENATE("R3C",'Riesgos de Gestión'!$V$28),"")</f>
        <v/>
      </c>
      <c r="AL18" s="39" t="str">
        <f>IF(AND('Riesgos de Gestión'!$AF$29="Alta",'Riesgos de Gestión'!$AH$29="Catastrófico"),CONCATENATE("R3C",'Riesgos de Gestión'!$V$29),"")</f>
        <v/>
      </c>
      <c r="AM18" s="40" t="str">
        <f>IF(AND('Riesgos de Gestión'!$AF$30="Alta",'Riesgos de Gestión'!$AH$30="Catastrófico"),CONCATENATE("R3C",'Riesgos de Gestión'!$V$30),"")</f>
        <v/>
      </c>
      <c r="AN18" s="66"/>
      <c r="AO18" s="478"/>
      <c r="AP18" s="479"/>
      <c r="AQ18" s="479"/>
      <c r="AR18" s="479"/>
      <c r="AS18" s="479"/>
      <c r="AT18" s="480"/>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row>
    <row r="19" spans="1:76" ht="15" customHeight="1" x14ac:dyDescent="0.25">
      <c r="A19" s="66"/>
      <c r="B19" s="389"/>
      <c r="C19" s="389"/>
      <c r="D19" s="390"/>
      <c r="E19" s="488"/>
      <c r="F19" s="487"/>
      <c r="G19" s="487"/>
      <c r="H19" s="487"/>
      <c r="I19" s="487"/>
      <c r="J19" s="50" t="str">
        <f>IF(AND('Riesgos de Gestión'!$AF$31="Alta",'Riesgos de Gestión'!$AH$31="Leve"),CONCATENATE("R4C",'Riesgos de Gestión'!$V$31),"")</f>
        <v/>
      </c>
      <c r="K19" s="51" t="str">
        <f>IF(AND('Riesgos de Gestión'!$AF$32="Alta",'Riesgos de Gestión'!$AH$32="Leve"),CONCATENATE("R4C",'Riesgos de Gestión'!$V$32),"")</f>
        <v/>
      </c>
      <c r="L19" s="51" t="str">
        <f>IF(AND('Riesgos de Gestión'!$AF$33="Alta",'Riesgos de Gestión'!$AH$33="Leve"),CONCATENATE("R4C",'Riesgos de Gestión'!$V$33),"")</f>
        <v/>
      </c>
      <c r="M19" s="51" t="str">
        <f>IF(AND('Riesgos de Gestión'!$AF$34="Alta",'Riesgos de Gestión'!$AH$34="Leve"),CONCATENATE("R4C",'Riesgos de Gestión'!$V$34),"")</f>
        <v/>
      </c>
      <c r="N19" s="51" t="str">
        <f>IF(AND('Riesgos de Gestión'!$AF$35="Alta",'Riesgos de Gestión'!$AH$35="Leve"),CONCATENATE("R4C",'Riesgos de Gestión'!$V$35),"")</f>
        <v/>
      </c>
      <c r="O19" s="52" t="str">
        <f>IF(AND('Riesgos de Gestión'!$AF$36="Alta",'Riesgos de Gestión'!$AH$36="Leve"),CONCATENATE("R4C",'Riesgos de Gestión'!$V$36),"")</f>
        <v/>
      </c>
      <c r="P19" s="50" t="str">
        <f>IF(AND('Riesgos de Gestión'!$AF$31="Alta",'Riesgos de Gestión'!$AH$31="Menor"),CONCATENATE("R4C",'Riesgos de Gestión'!$V$31),"")</f>
        <v/>
      </c>
      <c r="Q19" s="51" t="str">
        <f>IF(AND('Riesgos de Gestión'!$AF$32="Alta",'Riesgos de Gestión'!$AH$32="Menor"),CONCATENATE("R4C",'Riesgos de Gestión'!$V$32),"")</f>
        <v/>
      </c>
      <c r="R19" s="51" t="str">
        <f>IF(AND('Riesgos de Gestión'!$AF$33="Alta",'Riesgos de Gestión'!$AH$33="Menor"),CONCATENATE("R4C",'Riesgos de Gestión'!$V$33),"")</f>
        <v/>
      </c>
      <c r="S19" s="51" t="str">
        <f>IF(AND('Riesgos de Gestión'!$AF$34="Alta",'Riesgos de Gestión'!$AH$34="Menor"),CONCATENATE("R4C",'Riesgos de Gestión'!$V$34),"")</f>
        <v/>
      </c>
      <c r="T19" s="51" t="str">
        <f>IF(AND('Riesgos de Gestión'!$AF$35="Alta",'Riesgos de Gestión'!$AH$35="Menor"),CONCATENATE("R4C",'Riesgos de Gestión'!$V$35),"")</f>
        <v/>
      </c>
      <c r="U19" s="52" t="str">
        <f>IF(AND('Riesgos de Gestión'!$AF$36="Alta",'Riesgos de Gestión'!$AH$36="Menor"),CONCATENATE("R4C",'Riesgos de Gestión'!$V$36),"")</f>
        <v/>
      </c>
      <c r="V19" s="35" t="str">
        <f>IF(AND('Riesgos de Gestión'!$AF$31="Alta",'Riesgos de Gestión'!$AH$31="Moderado"),CONCATENATE("R4C",'Riesgos de Gestión'!$V$31),"")</f>
        <v/>
      </c>
      <c r="W19" s="36" t="str">
        <f>IF(AND('Riesgos de Gestión'!$AF$32="Alta",'Riesgos de Gestión'!$AH$32="Moderado"),CONCATENATE("R4C",'Riesgos de Gestión'!$V$32),"")</f>
        <v/>
      </c>
      <c r="X19" s="36" t="str">
        <f>IF(AND('Riesgos de Gestión'!$AF$33="Alta",'Riesgos de Gestión'!$AH$33="Moderado"),CONCATENATE("R4C",'Riesgos de Gestión'!$V$33),"")</f>
        <v/>
      </c>
      <c r="Y19" s="36" t="str">
        <f>IF(AND('Riesgos de Gestión'!$AF$34="Alta",'Riesgos de Gestión'!$AH$34="Moderado"),CONCATENATE("R4C",'Riesgos de Gestión'!$V$34),"")</f>
        <v/>
      </c>
      <c r="Z19" s="36" t="str">
        <f>IF(AND('Riesgos de Gestión'!$AF$35="Alta",'Riesgos de Gestión'!$AH$35="Moderado"),CONCATENATE("R4C",'Riesgos de Gestión'!$V$35),"")</f>
        <v/>
      </c>
      <c r="AA19" s="37" t="str">
        <f>IF(AND('Riesgos de Gestión'!$AF$36="Alta",'Riesgos de Gestión'!$AH$36="Moderado"),CONCATENATE("R4C",'Riesgos de Gestión'!$V$36),"")</f>
        <v/>
      </c>
      <c r="AB19" s="35" t="str">
        <f>IF(AND('Riesgos de Gestión'!$AF$31="Alta",'Riesgos de Gestión'!$AH$31="Mayor"),CONCATENATE("R4C",'Riesgos de Gestión'!$V$31),"")</f>
        <v/>
      </c>
      <c r="AC19" s="36" t="str">
        <f>IF(AND('Riesgos de Gestión'!$AF$32="Alta",'Riesgos de Gestión'!$AH$32="Mayor"),CONCATENATE("R4C",'Riesgos de Gestión'!$V$32),"")</f>
        <v/>
      </c>
      <c r="AD19" s="36" t="str">
        <f>IF(AND('Riesgos de Gestión'!$AF$33="Alta",'Riesgos de Gestión'!$AH$33="Mayor"),CONCATENATE("R4C",'Riesgos de Gestión'!$V$33),"")</f>
        <v/>
      </c>
      <c r="AE19" s="36" t="str">
        <f>IF(AND('Riesgos de Gestión'!$AF$34="Alta",'Riesgos de Gestión'!$AH$34="Mayor"),CONCATENATE("R4C",'Riesgos de Gestión'!$V$34),"")</f>
        <v/>
      </c>
      <c r="AF19" s="36" t="str">
        <f>IF(AND('Riesgos de Gestión'!$AF$35="Alta",'Riesgos de Gestión'!$AH$35="Mayor"),CONCATENATE("R4C",'Riesgos de Gestión'!$V$35),"")</f>
        <v/>
      </c>
      <c r="AG19" s="37" t="str">
        <f>IF(AND('Riesgos de Gestión'!$AF$36="Alta",'Riesgos de Gestión'!$AH$36="Mayor"),CONCATENATE("R4C",'Riesgos de Gestión'!$V$36),"")</f>
        <v/>
      </c>
      <c r="AH19" s="38" t="str">
        <f>IF(AND('Riesgos de Gestión'!$AF$31="Alta",'Riesgos de Gestión'!$AH$31="Catastrófico"),CONCATENATE("R4C",'Riesgos de Gestión'!$V$31),"")</f>
        <v/>
      </c>
      <c r="AI19" s="39" t="str">
        <f>IF(AND('Riesgos de Gestión'!$AF$32="Alta",'Riesgos de Gestión'!$AH$32="Catastrófico"),CONCATENATE("R4C",'Riesgos de Gestión'!$V$32),"")</f>
        <v/>
      </c>
      <c r="AJ19" s="39" t="str">
        <f>IF(AND('Riesgos de Gestión'!$AF$33="Alta",'Riesgos de Gestión'!$AH$33="Catastrófico"),CONCATENATE("R4C",'Riesgos de Gestión'!$V$33),"")</f>
        <v/>
      </c>
      <c r="AK19" s="39" t="str">
        <f>IF(AND('Riesgos de Gestión'!$AF$34="Alta",'Riesgos de Gestión'!$AH$34="Catastrófico"),CONCATENATE("R4C",'Riesgos de Gestión'!$V$34),"")</f>
        <v/>
      </c>
      <c r="AL19" s="39" t="str">
        <f>IF(AND('Riesgos de Gestión'!$AF$35="Alta",'Riesgos de Gestión'!$AH$35="Catastrófico"),CONCATENATE("R4C",'Riesgos de Gestión'!$V$35),"")</f>
        <v/>
      </c>
      <c r="AM19" s="40" t="str">
        <f>IF(AND('Riesgos de Gestión'!$AF$36="Alta",'Riesgos de Gestión'!$AH$36="Catastrófico"),CONCATENATE("R4C",'Riesgos de Gestión'!$V$36),"")</f>
        <v/>
      </c>
      <c r="AN19" s="66"/>
      <c r="AO19" s="478"/>
      <c r="AP19" s="479"/>
      <c r="AQ19" s="479"/>
      <c r="AR19" s="479"/>
      <c r="AS19" s="479"/>
      <c r="AT19" s="480"/>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row>
    <row r="20" spans="1:76" ht="15" customHeight="1" x14ac:dyDescent="0.25">
      <c r="A20" s="66"/>
      <c r="B20" s="389"/>
      <c r="C20" s="389"/>
      <c r="D20" s="390"/>
      <c r="E20" s="488"/>
      <c r="F20" s="487"/>
      <c r="G20" s="487"/>
      <c r="H20" s="487"/>
      <c r="I20" s="487"/>
      <c r="J20" s="50" t="str">
        <f>IF(AND('Riesgos de Gestión'!$AF$37="Alta",'Riesgos de Gestión'!$AH$37="Leve"),CONCATENATE("R5C",'Riesgos de Gestión'!$V$37),"")</f>
        <v/>
      </c>
      <c r="K20" s="51" t="str">
        <f>IF(AND('Riesgos de Gestión'!$AF$38="Alta",'Riesgos de Gestión'!$AH$38="Leve"),CONCATENATE("R5C",'Riesgos de Gestión'!$V$38),"")</f>
        <v/>
      </c>
      <c r="L20" s="51" t="str">
        <f>IF(AND('Riesgos de Gestión'!$AF$39="Alta",'Riesgos de Gestión'!$AH$39="Leve"),CONCATENATE("R5C",'Riesgos de Gestión'!$V$39),"")</f>
        <v/>
      </c>
      <c r="M20" s="51" t="str">
        <f>IF(AND('Riesgos de Gestión'!$AF$40="Alta",'Riesgos de Gestión'!$AH$40="Leve"),CONCATENATE("R5C",'Riesgos de Gestión'!$V$40),"")</f>
        <v/>
      </c>
      <c r="N20" s="51" t="str">
        <f>IF(AND('Riesgos de Gestión'!$AF$41="Alta",'Riesgos de Gestión'!$AH$41="Leve"),CONCATENATE("R5C",'Riesgos de Gestión'!$V$41),"")</f>
        <v/>
      </c>
      <c r="O20" s="52" t="str">
        <f>IF(AND('Riesgos de Gestión'!$AF$42="Alta",'Riesgos de Gestión'!$AH$42="Leve"),CONCATENATE("R5C",'Riesgos de Gestión'!$V$42),"")</f>
        <v/>
      </c>
      <c r="P20" s="50" t="str">
        <f>IF(AND('Riesgos de Gestión'!$AF$37="Alta",'Riesgos de Gestión'!$AH$37="Menor"),CONCATENATE("R5C",'Riesgos de Gestión'!$V$37),"")</f>
        <v/>
      </c>
      <c r="Q20" s="51" t="str">
        <f>IF(AND('Riesgos de Gestión'!$AF$38="Alta",'Riesgos de Gestión'!$AH$38="Menor"),CONCATENATE("R5C",'Riesgos de Gestión'!$V$38),"")</f>
        <v/>
      </c>
      <c r="R20" s="51" t="str">
        <f>IF(AND('Riesgos de Gestión'!$AF$39="Alta",'Riesgos de Gestión'!$AH$39="Menor"),CONCATENATE("R5C",'Riesgos de Gestión'!$V$39),"")</f>
        <v/>
      </c>
      <c r="S20" s="51" t="str">
        <f>IF(AND('Riesgos de Gestión'!$AF$40="Alta",'Riesgos de Gestión'!$AH$40="Menor"),CONCATENATE("R5C",'Riesgos de Gestión'!$V$40),"")</f>
        <v/>
      </c>
      <c r="T20" s="51" t="str">
        <f>IF(AND('Riesgos de Gestión'!$AF$41="Alta",'Riesgos de Gestión'!$AH$41="Menor"),CONCATENATE("R5C",'Riesgos de Gestión'!$V$41),"")</f>
        <v/>
      </c>
      <c r="U20" s="52" t="str">
        <f>IF(AND('Riesgos de Gestión'!$AF$42="Alta",'Riesgos de Gestión'!$AH$42="Menor"),CONCATENATE("R5C",'Riesgos de Gestión'!$V$42),"")</f>
        <v/>
      </c>
      <c r="V20" s="35" t="str">
        <f>IF(AND('Riesgos de Gestión'!$AF$37="Alta",'Riesgos de Gestión'!$AH$37="Moderado"),CONCATENATE("R5C",'Riesgos de Gestión'!$V$37),"")</f>
        <v/>
      </c>
      <c r="W20" s="36" t="str">
        <f>IF(AND('Riesgos de Gestión'!$AF$38="Alta",'Riesgos de Gestión'!$AH$38="Moderado"),CONCATENATE("R5C",'Riesgos de Gestión'!$V$38),"")</f>
        <v/>
      </c>
      <c r="X20" s="36" t="str">
        <f>IF(AND('Riesgos de Gestión'!$AF$39="Alta",'Riesgos de Gestión'!$AH$39="Moderado"),CONCATENATE("R5C",'Riesgos de Gestión'!$V$39),"")</f>
        <v/>
      </c>
      <c r="Y20" s="36" t="str">
        <f>IF(AND('Riesgos de Gestión'!$AF$40="Alta",'Riesgos de Gestión'!$AH$40="Moderado"),CONCATENATE("R5C",'Riesgos de Gestión'!$V$40),"")</f>
        <v/>
      </c>
      <c r="Z20" s="36" t="str">
        <f>IF(AND('Riesgos de Gestión'!$AF$41="Alta",'Riesgos de Gestión'!$AH$41="Moderado"),CONCATENATE("R5C",'Riesgos de Gestión'!$V$41),"")</f>
        <v/>
      </c>
      <c r="AA20" s="37" t="str">
        <f>IF(AND('Riesgos de Gestión'!$AF$42="Alta",'Riesgos de Gestión'!$AH$42="Moderado"),CONCATENATE("R5C",'Riesgos de Gestión'!$V$42),"")</f>
        <v/>
      </c>
      <c r="AB20" s="35" t="str">
        <f>IF(AND('Riesgos de Gestión'!$AF$37="Alta",'Riesgos de Gestión'!$AH$37="Mayor"),CONCATENATE("R5C",'Riesgos de Gestión'!$V$37),"")</f>
        <v/>
      </c>
      <c r="AC20" s="36" t="str">
        <f>IF(AND('Riesgos de Gestión'!$AF$38="Alta",'Riesgos de Gestión'!$AH$38="Mayor"),CONCATENATE("R5C",'Riesgos de Gestión'!$V$38),"")</f>
        <v/>
      </c>
      <c r="AD20" s="36" t="str">
        <f>IF(AND('Riesgos de Gestión'!$AF$39="Alta",'Riesgos de Gestión'!$AH$39="Mayor"),CONCATENATE("R5C",'Riesgos de Gestión'!$V$39),"")</f>
        <v/>
      </c>
      <c r="AE20" s="36" t="str">
        <f>IF(AND('Riesgos de Gestión'!$AF$40="Alta",'Riesgos de Gestión'!$AH$40="Mayor"),CONCATENATE("R5C",'Riesgos de Gestión'!$V$40),"")</f>
        <v/>
      </c>
      <c r="AF20" s="36" t="str">
        <f>IF(AND('Riesgos de Gestión'!$AF$41="Alta",'Riesgos de Gestión'!$AH$41="Mayor"),CONCATENATE("R5C",'Riesgos de Gestión'!$V$41),"")</f>
        <v/>
      </c>
      <c r="AG20" s="37" t="str">
        <f>IF(AND('Riesgos de Gestión'!$AF$42="Alta",'Riesgos de Gestión'!$AH$42="Mayor"),CONCATENATE("R5C",'Riesgos de Gestión'!$V$42),"")</f>
        <v/>
      </c>
      <c r="AH20" s="38" t="str">
        <f>IF(AND('Riesgos de Gestión'!$AF$37="Alta",'Riesgos de Gestión'!$AH$37="Catastrófico"),CONCATENATE("R5C",'Riesgos de Gestión'!$V$37),"")</f>
        <v/>
      </c>
      <c r="AI20" s="39" t="str">
        <f>IF(AND('Riesgos de Gestión'!$AF$38="Alta",'Riesgos de Gestión'!$AH$38="Catastrófico"),CONCATENATE("R5C",'Riesgos de Gestión'!$V$38),"")</f>
        <v/>
      </c>
      <c r="AJ20" s="39" t="str">
        <f>IF(AND('Riesgos de Gestión'!$AF$39="Alta",'Riesgos de Gestión'!$AH$39="Catastrófico"),CONCATENATE("R5C",'Riesgos de Gestión'!$V$39),"")</f>
        <v/>
      </c>
      <c r="AK20" s="39" t="str">
        <f>IF(AND('Riesgos de Gestión'!$AF$40="Alta",'Riesgos de Gestión'!$AH$40="Catastrófico"),CONCATENATE("R5C",'Riesgos de Gestión'!$V$40),"")</f>
        <v/>
      </c>
      <c r="AL20" s="39" t="str">
        <f>IF(AND('Riesgos de Gestión'!$AF$41="Alta",'Riesgos de Gestión'!$AH$41="Catastrófico"),CONCATENATE("R5C",'Riesgos de Gestión'!$V$41),"")</f>
        <v/>
      </c>
      <c r="AM20" s="40" t="str">
        <f>IF(AND('Riesgos de Gestión'!$AF$42="Alta",'Riesgos de Gestión'!$AH$42="Catastrófico"),CONCATENATE("R5C",'Riesgos de Gestión'!$V$42),"")</f>
        <v/>
      </c>
      <c r="AN20" s="66"/>
      <c r="AO20" s="478"/>
      <c r="AP20" s="479"/>
      <c r="AQ20" s="479"/>
      <c r="AR20" s="479"/>
      <c r="AS20" s="479"/>
      <c r="AT20" s="480"/>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row>
    <row r="21" spans="1:76" ht="15" customHeight="1" x14ac:dyDescent="0.25">
      <c r="A21" s="66"/>
      <c r="B21" s="389"/>
      <c r="C21" s="389"/>
      <c r="D21" s="390"/>
      <c r="E21" s="488"/>
      <c r="F21" s="487"/>
      <c r="G21" s="487"/>
      <c r="H21" s="487"/>
      <c r="I21" s="487"/>
      <c r="J21" s="50" t="str">
        <f>IF(AND('Riesgos de Gestión'!$AF$43="Alta",'Riesgos de Gestión'!$AH$43="Leve"),CONCATENATE("R6C",'Riesgos de Gestión'!$V$43),"")</f>
        <v/>
      </c>
      <c r="K21" s="51" t="str">
        <f>IF(AND('Riesgos de Gestión'!$AF$44="Alta",'Riesgos de Gestión'!$AH$44="Leve"),CONCATENATE("R6C",'Riesgos de Gestión'!$V$44),"")</f>
        <v/>
      </c>
      <c r="L21" s="51" t="str">
        <f>IF(AND('Riesgos de Gestión'!$AF$45="Alta",'Riesgos de Gestión'!$AH$45="Leve"),CONCATENATE("R6C",'Riesgos de Gestión'!$V$45),"")</f>
        <v/>
      </c>
      <c r="M21" s="51" t="str">
        <f>IF(AND('Riesgos de Gestión'!$AF$46="Alta",'Riesgos de Gestión'!$AH$46="Leve"),CONCATENATE("R6C",'Riesgos de Gestión'!$V$46),"")</f>
        <v/>
      </c>
      <c r="N21" s="51" t="str">
        <f>IF(AND('Riesgos de Gestión'!$AF$47="Alta",'Riesgos de Gestión'!$AH$47="Leve"),CONCATENATE("R6C",'Riesgos de Gestión'!$V$47),"")</f>
        <v/>
      </c>
      <c r="O21" s="52" t="str">
        <f>IF(AND('Riesgos de Gestión'!$AF$48="Alta",'Riesgos de Gestión'!$AH$48="Leve"),CONCATENATE("R6C",'Riesgos de Gestión'!$V$48),"")</f>
        <v/>
      </c>
      <c r="P21" s="50" t="str">
        <f>IF(AND('Riesgos de Gestión'!$AF$43="Alta",'Riesgos de Gestión'!$AH$43="Menor"),CONCATENATE("R6C",'Riesgos de Gestión'!$V$43),"")</f>
        <v/>
      </c>
      <c r="Q21" s="51" t="str">
        <f>IF(AND('Riesgos de Gestión'!$AF$44="Alta",'Riesgos de Gestión'!$AH$44="Menor"),CONCATENATE("R6C",'Riesgos de Gestión'!$V$44),"")</f>
        <v/>
      </c>
      <c r="R21" s="51" t="str">
        <f>IF(AND('Riesgos de Gestión'!$AF$45="Alta",'Riesgos de Gestión'!$AH$45="Menor"),CONCATENATE("R6C",'Riesgos de Gestión'!$V$45),"")</f>
        <v/>
      </c>
      <c r="S21" s="51" t="str">
        <f>IF(AND('Riesgos de Gestión'!$AF$46="Alta",'Riesgos de Gestión'!$AH$46="Menor"),CONCATENATE("R6C",'Riesgos de Gestión'!$V$46),"")</f>
        <v/>
      </c>
      <c r="T21" s="51" t="str">
        <f>IF(AND('Riesgos de Gestión'!$AF$47="Alta",'Riesgos de Gestión'!$AH$47="Menor"),CONCATENATE("R6C",'Riesgos de Gestión'!$V$47),"")</f>
        <v/>
      </c>
      <c r="U21" s="52" t="str">
        <f>IF(AND('Riesgos de Gestión'!$AF$48="Alta",'Riesgos de Gestión'!$AH$48="Menor"),CONCATENATE("R6C",'Riesgos de Gestión'!$V$48),"")</f>
        <v/>
      </c>
      <c r="V21" s="35" t="str">
        <f>IF(AND('Riesgos de Gestión'!$AF$43="Alta",'Riesgos de Gestión'!$AH$43="Moderado"),CONCATENATE("R6C",'Riesgos de Gestión'!$V$43),"")</f>
        <v/>
      </c>
      <c r="W21" s="36" t="str">
        <f>IF(AND('Riesgos de Gestión'!$AF$44="Alta",'Riesgos de Gestión'!$AH$44="Moderado"),CONCATENATE("R6C",'Riesgos de Gestión'!$V$44),"")</f>
        <v/>
      </c>
      <c r="X21" s="36" t="str">
        <f>IF(AND('Riesgos de Gestión'!$AF$45="Alta",'Riesgos de Gestión'!$AH$45="Moderado"),CONCATENATE("R6C",'Riesgos de Gestión'!$V$45),"")</f>
        <v/>
      </c>
      <c r="Y21" s="36" t="str">
        <f>IF(AND('Riesgos de Gestión'!$AF$46="Alta",'Riesgos de Gestión'!$AH$46="Moderado"),CONCATENATE("R6C",'Riesgos de Gestión'!$V$46),"")</f>
        <v/>
      </c>
      <c r="Z21" s="36" t="str">
        <f>IF(AND('Riesgos de Gestión'!$AF$47="Alta",'Riesgos de Gestión'!$AH$47="Moderado"),CONCATENATE("R6C",'Riesgos de Gestión'!$V$47),"")</f>
        <v/>
      </c>
      <c r="AA21" s="37" t="str">
        <f>IF(AND('Riesgos de Gestión'!$AF$48="Alta",'Riesgos de Gestión'!$AH$48="Moderado"),CONCATENATE("R6C",'Riesgos de Gestión'!$V$48),"")</f>
        <v/>
      </c>
      <c r="AB21" s="35" t="str">
        <f>IF(AND('Riesgos de Gestión'!$AF$43="Alta",'Riesgos de Gestión'!$AH$43="Mayor"),CONCATENATE("R6C",'Riesgos de Gestión'!$V$43),"")</f>
        <v/>
      </c>
      <c r="AC21" s="36" t="str">
        <f>IF(AND('Riesgos de Gestión'!$AF$44="Alta",'Riesgos de Gestión'!$AH$44="Mayor"),CONCATENATE("R6C",'Riesgos de Gestión'!$V$44),"")</f>
        <v/>
      </c>
      <c r="AD21" s="36" t="str">
        <f>IF(AND('Riesgos de Gestión'!$AF$45="Alta",'Riesgos de Gestión'!$AH$45="Mayor"),CONCATENATE("R6C",'Riesgos de Gestión'!$V$45),"")</f>
        <v/>
      </c>
      <c r="AE21" s="36" t="str">
        <f>IF(AND('Riesgos de Gestión'!$AF$46="Alta",'Riesgos de Gestión'!$AH$46="Mayor"),CONCATENATE("R6C",'Riesgos de Gestión'!$V$46),"")</f>
        <v/>
      </c>
      <c r="AF21" s="36" t="str">
        <f>IF(AND('Riesgos de Gestión'!$AF$47="Alta",'Riesgos de Gestión'!$AH$47="Mayor"),CONCATENATE("R6C",'Riesgos de Gestión'!$V$47),"")</f>
        <v/>
      </c>
      <c r="AG21" s="37" t="str">
        <f>IF(AND('Riesgos de Gestión'!$AF$48="Alta",'Riesgos de Gestión'!$AH$48="Mayor"),CONCATENATE("R6C",'Riesgos de Gestión'!$V$48),"")</f>
        <v/>
      </c>
      <c r="AH21" s="38" t="str">
        <f>IF(AND('Riesgos de Gestión'!$AF$43="Alta",'Riesgos de Gestión'!$AH$43="Catastrófico"),CONCATENATE("R6C",'Riesgos de Gestión'!$V$43),"")</f>
        <v/>
      </c>
      <c r="AI21" s="39" t="str">
        <f>IF(AND('Riesgos de Gestión'!$AF$44="Alta",'Riesgos de Gestión'!$AH$44="Catastrófico"),CONCATENATE("R6C",'Riesgos de Gestión'!$V$44),"")</f>
        <v/>
      </c>
      <c r="AJ21" s="39" t="str">
        <f>IF(AND('Riesgos de Gestión'!$AF$45="Alta",'Riesgos de Gestión'!$AH$45="Catastrófico"),CONCATENATE("R6C",'Riesgos de Gestión'!$V$45),"")</f>
        <v/>
      </c>
      <c r="AK21" s="39" t="str">
        <f>IF(AND('Riesgos de Gestión'!$AF$46="Alta",'Riesgos de Gestión'!$AH$46="Catastrófico"),CONCATENATE("R6C",'Riesgos de Gestión'!$V$46),"")</f>
        <v/>
      </c>
      <c r="AL21" s="39" t="str">
        <f>IF(AND('Riesgos de Gestión'!$AF$47="Alta",'Riesgos de Gestión'!$AH$47="Catastrófico"),CONCATENATE("R6C",'Riesgos de Gestión'!$V$47),"")</f>
        <v/>
      </c>
      <c r="AM21" s="40" t="str">
        <f>IF(AND('Riesgos de Gestión'!$AF$48="Alta",'Riesgos de Gestión'!$AH$48="Catastrófico"),CONCATENATE("R6C",'Riesgos de Gestión'!$V$48),"")</f>
        <v/>
      </c>
      <c r="AN21" s="66"/>
      <c r="AO21" s="478"/>
      <c r="AP21" s="479"/>
      <c r="AQ21" s="479"/>
      <c r="AR21" s="479"/>
      <c r="AS21" s="479"/>
      <c r="AT21" s="480"/>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row>
    <row r="22" spans="1:76" ht="15" customHeight="1" x14ac:dyDescent="0.25">
      <c r="A22" s="66"/>
      <c r="B22" s="389"/>
      <c r="C22" s="389"/>
      <c r="D22" s="390"/>
      <c r="E22" s="488"/>
      <c r="F22" s="487"/>
      <c r="G22" s="487"/>
      <c r="H22" s="487"/>
      <c r="I22" s="487"/>
      <c r="J22" s="50" t="str">
        <f>IF(AND('Riesgos de Gestión'!$AF$49="Alta",'Riesgos de Gestión'!$AH$49="Leve"),CONCATENATE("R7C",'Riesgos de Gestión'!$V$49),"")</f>
        <v/>
      </c>
      <c r="K22" s="51" t="str">
        <f>IF(AND('Riesgos de Gestión'!$AF$50="Alta",'Riesgos de Gestión'!$AH$50="Leve"),CONCATENATE("R7C",'Riesgos de Gestión'!$V$50),"")</f>
        <v/>
      </c>
      <c r="L22" s="51" t="str">
        <f>IF(AND('Riesgos de Gestión'!$AF$51="Alta",'Riesgos de Gestión'!$AH$51="Leve"),CONCATENATE("R7C",'Riesgos de Gestión'!$V$51),"")</f>
        <v/>
      </c>
      <c r="M22" s="51" t="str">
        <f>IF(AND('Riesgos de Gestión'!$AF$52="Alta",'Riesgos de Gestión'!$AH$52="Leve"),CONCATENATE("R7C",'Riesgos de Gestión'!$V$52),"")</f>
        <v/>
      </c>
      <c r="N22" s="51" t="str">
        <f>IF(AND('Riesgos de Gestión'!$AF$53="Alta",'Riesgos de Gestión'!$AH$53="Leve"),CONCATENATE("R7C",'Riesgos de Gestión'!$V$53),"")</f>
        <v/>
      </c>
      <c r="O22" s="52" t="str">
        <f>IF(AND('Riesgos de Gestión'!$AF$54="Alta",'Riesgos de Gestión'!$AH$54="Leve"),CONCATENATE("R7C",'Riesgos de Gestión'!$V$54),"")</f>
        <v/>
      </c>
      <c r="P22" s="50" t="str">
        <f>IF(AND('Riesgos de Gestión'!$AF$49="Alta",'Riesgos de Gestión'!$AH$49="Menor"),CONCATENATE("R7C",'Riesgos de Gestión'!$V$49),"")</f>
        <v/>
      </c>
      <c r="Q22" s="51" t="str">
        <f>IF(AND('Riesgos de Gestión'!$AF$50="Alta",'Riesgos de Gestión'!$AH$50="Menor"),CONCATENATE("R7C",'Riesgos de Gestión'!$V$50),"")</f>
        <v/>
      </c>
      <c r="R22" s="51" t="str">
        <f>IF(AND('Riesgos de Gestión'!$AF$51="Alta",'Riesgos de Gestión'!$AH$51="Menor"),CONCATENATE("R7C",'Riesgos de Gestión'!$V$51),"")</f>
        <v/>
      </c>
      <c r="S22" s="51" t="str">
        <f>IF(AND('Riesgos de Gestión'!$AF$52="Alta",'Riesgos de Gestión'!$AH$52="Menor"),CONCATENATE("R7C",'Riesgos de Gestión'!$V$52),"")</f>
        <v/>
      </c>
      <c r="T22" s="51" t="str">
        <f>IF(AND('Riesgos de Gestión'!$AF$53="Alta",'Riesgos de Gestión'!$AH$53="Menor"),CONCATENATE("R7C",'Riesgos de Gestión'!$V$53),"")</f>
        <v/>
      </c>
      <c r="U22" s="52" t="str">
        <f>IF(AND('Riesgos de Gestión'!$AF$54="Alta",'Riesgos de Gestión'!$AH$54="Menor"),CONCATENATE("R7C",'Riesgos de Gestión'!$V$54),"")</f>
        <v/>
      </c>
      <c r="V22" s="35" t="str">
        <f>IF(AND('Riesgos de Gestión'!$AF$49="Alta",'Riesgos de Gestión'!$AH$49="Moderado"),CONCATENATE("R7C",'Riesgos de Gestión'!$V$49),"")</f>
        <v/>
      </c>
      <c r="W22" s="36" t="str">
        <f>IF(AND('Riesgos de Gestión'!$AF$50="Alta",'Riesgos de Gestión'!$AH$50="Moderado"),CONCATENATE("R7C",'Riesgos de Gestión'!$V$50),"")</f>
        <v/>
      </c>
      <c r="X22" s="36" t="str">
        <f>IF(AND('Riesgos de Gestión'!$AF$51="Alta",'Riesgos de Gestión'!$AH$51="Moderado"),CONCATENATE("R7C",'Riesgos de Gestión'!$V$51),"")</f>
        <v/>
      </c>
      <c r="Y22" s="36" t="str">
        <f>IF(AND('Riesgos de Gestión'!$AF$52="Alta",'Riesgos de Gestión'!$AH$52="Moderado"),CONCATENATE("R7C",'Riesgos de Gestión'!$V$52),"")</f>
        <v/>
      </c>
      <c r="Z22" s="36" t="str">
        <f>IF(AND('Riesgos de Gestión'!$AF$53="Alta",'Riesgos de Gestión'!$AH$53="Moderado"),CONCATENATE("R7C",'Riesgos de Gestión'!$V$53),"")</f>
        <v/>
      </c>
      <c r="AA22" s="37" t="str">
        <f>IF(AND('Riesgos de Gestión'!$AF$54="Alta",'Riesgos de Gestión'!$AH$54="Moderado"),CONCATENATE("R7C",'Riesgos de Gestión'!$V$54),"")</f>
        <v/>
      </c>
      <c r="AB22" s="35" t="str">
        <f>IF(AND('Riesgos de Gestión'!$AF$49="Alta",'Riesgos de Gestión'!$AH$49="Mayor"),CONCATENATE("R7C",'Riesgos de Gestión'!$V$49),"")</f>
        <v/>
      </c>
      <c r="AC22" s="36" t="str">
        <f>IF(AND('Riesgos de Gestión'!$AF$50="Alta",'Riesgos de Gestión'!$AH$50="Mayor"),CONCATENATE("R7C",'Riesgos de Gestión'!$V$50),"")</f>
        <v/>
      </c>
      <c r="AD22" s="36" t="str">
        <f>IF(AND('Riesgos de Gestión'!$AF$51="Alta",'Riesgos de Gestión'!$AH$51="Mayor"),CONCATENATE("R7C",'Riesgos de Gestión'!$V$51),"")</f>
        <v/>
      </c>
      <c r="AE22" s="36" t="str">
        <f>IF(AND('Riesgos de Gestión'!$AF$52="Alta",'Riesgos de Gestión'!$AH$52="Mayor"),CONCATENATE("R7C",'Riesgos de Gestión'!$V$52),"")</f>
        <v/>
      </c>
      <c r="AF22" s="36" t="str">
        <f>IF(AND('Riesgos de Gestión'!$AF$53="Alta",'Riesgos de Gestión'!$AH$53="Mayor"),CONCATENATE("R7C",'Riesgos de Gestión'!$V$53),"")</f>
        <v/>
      </c>
      <c r="AG22" s="37" t="str">
        <f>IF(AND('Riesgos de Gestión'!$AF$54="Alta",'Riesgos de Gestión'!$AH$54="Mayor"),CONCATENATE("R7C",'Riesgos de Gestión'!$V$54),"")</f>
        <v/>
      </c>
      <c r="AH22" s="38" t="str">
        <f>IF(AND('Riesgos de Gestión'!$AF$49="Alta",'Riesgos de Gestión'!$AH$49="Catastrófico"),CONCATENATE("R7C",'Riesgos de Gestión'!$V$49),"")</f>
        <v/>
      </c>
      <c r="AI22" s="39" t="str">
        <f>IF(AND('Riesgos de Gestión'!$AF$50="Alta",'Riesgos de Gestión'!$AH$50="Catastrófico"),CONCATENATE("R7C",'Riesgos de Gestión'!$V$50),"")</f>
        <v/>
      </c>
      <c r="AJ22" s="39" t="str">
        <f>IF(AND('Riesgos de Gestión'!$AF$51="Alta",'Riesgos de Gestión'!$AH$51="Catastrófico"),CONCATENATE("R7C",'Riesgos de Gestión'!$V$51),"")</f>
        <v/>
      </c>
      <c r="AK22" s="39" t="str">
        <f>IF(AND('Riesgos de Gestión'!$AF$52="Alta",'Riesgos de Gestión'!$AH$52="Catastrófico"),CONCATENATE("R7C",'Riesgos de Gestión'!$V$52),"")</f>
        <v/>
      </c>
      <c r="AL22" s="39" t="str">
        <f>IF(AND('Riesgos de Gestión'!$AF$53="Alta",'Riesgos de Gestión'!$AH$53="Catastrófico"),CONCATENATE("R7C",'Riesgos de Gestión'!$V$53),"")</f>
        <v/>
      </c>
      <c r="AM22" s="40" t="str">
        <f>IF(AND('Riesgos de Gestión'!$AF$54="Alta",'Riesgos de Gestión'!$AH$54="Catastrófico"),CONCATENATE("R7C",'Riesgos de Gestión'!$V$54),"")</f>
        <v/>
      </c>
      <c r="AN22" s="66"/>
      <c r="AO22" s="478"/>
      <c r="AP22" s="479"/>
      <c r="AQ22" s="479"/>
      <c r="AR22" s="479"/>
      <c r="AS22" s="479"/>
      <c r="AT22" s="480"/>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row>
    <row r="23" spans="1:76" ht="15" customHeight="1" x14ac:dyDescent="0.25">
      <c r="A23" s="66"/>
      <c r="B23" s="389"/>
      <c r="C23" s="389"/>
      <c r="D23" s="390"/>
      <c r="E23" s="488"/>
      <c r="F23" s="487"/>
      <c r="G23" s="487"/>
      <c r="H23" s="487"/>
      <c r="I23" s="487"/>
      <c r="J23" s="50" t="str">
        <f>IF(AND('Riesgos de Gestión'!$AF$55="Alta",'Riesgos de Gestión'!$AH$55="Leve"),CONCATENATE("R8C",'Riesgos de Gestión'!$V$55),"")</f>
        <v/>
      </c>
      <c r="K23" s="51" t="str">
        <f>IF(AND('Riesgos de Gestión'!$AF$56="Alta",'Riesgos de Gestión'!$AH$56="Leve"),CONCATENATE("R8C",'Riesgos de Gestión'!$V$56),"")</f>
        <v/>
      </c>
      <c r="L23" s="51" t="str">
        <f>IF(AND('Riesgos de Gestión'!$AF$57="Alta",'Riesgos de Gestión'!$AH$57="Leve"),CONCATENATE("R8C",'Riesgos de Gestión'!$V$57),"")</f>
        <v/>
      </c>
      <c r="M23" s="51" t="str">
        <f>IF(AND('Riesgos de Gestión'!$AF$58="Alta",'Riesgos de Gestión'!$AH$58="Leve"),CONCATENATE("R8C",'Riesgos de Gestión'!$V$58),"")</f>
        <v/>
      </c>
      <c r="N23" s="51" t="str">
        <f>IF(AND('Riesgos de Gestión'!$AF$59="Alta",'Riesgos de Gestión'!$AH$59="Leve"),CONCATENATE("R8C",'Riesgos de Gestión'!$V$59),"")</f>
        <v/>
      </c>
      <c r="O23" s="52" t="str">
        <f>IF(AND('Riesgos de Gestión'!$AF$60="Alta",'Riesgos de Gestión'!$AH$60="Leve"),CONCATENATE("R8C",'Riesgos de Gestión'!$V$60),"")</f>
        <v/>
      </c>
      <c r="P23" s="50" t="str">
        <f>IF(AND('Riesgos de Gestión'!$AF$55="Alta",'Riesgos de Gestión'!$AH$55="Menor"),CONCATENATE("R8C",'Riesgos de Gestión'!$V$55),"")</f>
        <v/>
      </c>
      <c r="Q23" s="51" t="str">
        <f>IF(AND('Riesgos de Gestión'!$AF$56="Alta",'Riesgos de Gestión'!$AH$56="Menor"),CONCATENATE("R8C",'Riesgos de Gestión'!$V$56),"")</f>
        <v/>
      </c>
      <c r="R23" s="51" t="str">
        <f>IF(AND('Riesgos de Gestión'!$AF$57="Alta",'Riesgos de Gestión'!$AH$57="Menor"),CONCATENATE("R8C",'Riesgos de Gestión'!$V$57),"")</f>
        <v/>
      </c>
      <c r="S23" s="51" t="str">
        <f>IF(AND('Riesgos de Gestión'!$AF$58="Alta",'Riesgos de Gestión'!$AH$58="Menor"),CONCATENATE("R8C",'Riesgos de Gestión'!$V$58),"")</f>
        <v/>
      </c>
      <c r="T23" s="51" t="str">
        <f>IF(AND('Riesgos de Gestión'!$AF$59="Alta",'Riesgos de Gestión'!$AH$59="Menor"),CONCATENATE("R8C",'Riesgos de Gestión'!$V$59),"")</f>
        <v/>
      </c>
      <c r="U23" s="52" t="str">
        <f>IF(AND('Riesgos de Gestión'!$AF$60="Alta",'Riesgos de Gestión'!$AH$60="Menor"),CONCATENATE("R8C",'Riesgos de Gestión'!$V$60),"")</f>
        <v/>
      </c>
      <c r="V23" s="35" t="str">
        <f>IF(AND('Riesgos de Gestión'!$AF$55="Alta",'Riesgos de Gestión'!$AH$55="Moderado"),CONCATENATE("R8C",'Riesgos de Gestión'!$V$55),"")</f>
        <v/>
      </c>
      <c r="W23" s="36" t="str">
        <f>IF(AND('Riesgos de Gestión'!$AF$56="Alta",'Riesgos de Gestión'!$AH$56="Moderado"),CONCATENATE("R8C",'Riesgos de Gestión'!$V$56),"")</f>
        <v/>
      </c>
      <c r="X23" s="36" t="str">
        <f>IF(AND('Riesgos de Gestión'!$AF$57="Alta",'Riesgos de Gestión'!$AH$57="Moderado"),CONCATENATE("R8C",'Riesgos de Gestión'!$V$57),"")</f>
        <v/>
      </c>
      <c r="Y23" s="36" t="str">
        <f>IF(AND('Riesgos de Gestión'!$AF$58="Alta",'Riesgos de Gestión'!$AH$58="Moderado"),CONCATENATE("R8C",'Riesgos de Gestión'!$V$58),"")</f>
        <v/>
      </c>
      <c r="Z23" s="36" t="str">
        <f>IF(AND('Riesgos de Gestión'!$AF$59="Alta",'Riesgos de Gestión'!$AH$59="Moderado"),CONCATENATE("R8C",'Riesgos de Gestión'!$V$59),"")</f>
        <v/>
      </c>
      <c r="AA23" s="37" t="str">
        <f>IF(AND('Riesgos de Gestión'!$AF$60="Alta",'Riesgos de Gestión'!$AH$60="Moderado"),CONCATENATE("R8C",'Riesgos de Gestión'!$V$60),"")</f>
        <v/>
      </c>
      <c r="AB23" s="35" t="str">
        <f>IF(AND('Riesgos de Gestión'!$AF$55="Alta",'Riesgos de Gestión'!$AH$55="Mayor"),CONCATENATE("R8C",'Riesgos de Gestión'!$V$55),"")</f>
        <v/>
      </c>
      <c r="AC23" s="36" t="str">
        <f>IF(AND('Riesgos de Gestión'!$AF$56="Alta",'Riesgos de Gestión'!$AH$56="Mayor"),CONCATENATE("R8C",'Riesgos de Gestión'!$V$56),"")</f>
        <v/>
      </c>
      <c r="AD23" s="36" t="str">
        <f>IF(AND('Riesgos de Gestión'!$AF$57="Alta",'Riesgos de Gestión'!$AH$57="Mayor"),CONCATENATE("R8C",'Riesgos de Gestión'!$V$57),"")</f>
        <v/>
      </c>
      <c r="AE23" s="36" t="str">
        <f>IF(AND('Riesgos de Gestión'!$AF$58="Alta",'Riesgos de Gestión'!$AH$58="Mayor"),CONCATENATE("R8C",'Riesgos de Gestión'!$V$58),"")</f>
        <v/>
      </c>
      <c r="AF23" s="36" t="str">
        <f>IF(AND('Riesgos de Gestión'!$AF$59="Alta",'Riesgos de Gestión'!$AH$59="Mayor"),CONCATENATE("R8C",'Riesgos de Gestión'!$V$59),"")</f>
        <v/>
      </c>
      <c r="AG23" s="37" t="str">
        <f>IF(AND('Riesgos de Gestión'!$AF$60="Alta",'Riesgos de Gestión'!$AH$60="Mayor"),CONCATENATE("R8C",'Riesgos de Gestión'!$V$60),"")</f>
        <v/>
      </c>
      <c r="AH23" s="38" t="str">
        <f>IF(AND('Riesgos de Gestión'!$AF$55="Alta",'Riesgos de Gestión'!$AH$55="Catastrófico"),CONCATENATE("R8C",'Riesgos de Gestión'!$V$55),"")</f>
        <v/>
      </c>
      <c r="AI23" s="39" t="str">
        <f>IF(AND('Riesgos de Gestión'!$AF$56="Alta",'Riesgos de Gestión'!$AH$56="Catastrófico"),CONCATENATE("R8C",'Riesgos de Gestión'!$V$56),"")</f>
        <v/>
      </c>
      <c r="AJ23" s="39" t="str">
        <f>IF(AND('Riesgos de Gestión'!$AF$57="Alta",'Riesgos de Gestión'!$AH$57="Catastrófico"),CONCATENATE("R8C",'Riesgos de Gestión'!$V$57),"")</f>
        <v/>
      </c>
      <c r="AK23" s="39" t="str">
        <f>IF(AND('Riesgos de Gestión'!$AF$58="Alta",'Riesgos de Gestión'!$AH$58="Catastrófico"),CONCATENATE("R8C",'Riesgos de Gestión'!$V$58),"")</f>
        <v/>
      </c>
      <c r="AL23" s="39" t="str">
        <f>IF(AND('Riesgos de Gestión'!$AF$59="Alta",'Riesgos de Gestión'!$AH$59="Catastrófico"),CONCATENATE("R8C",'Riesgos de Gestión'!$V$59),"")</f>
        <v/>
      </c>
      <c r="AM23" s="40" t="str">
        <f>IF(AND('Riesgos de Gestión'!$AF$60="Alta",'Riesgos de Gestión'!$AH$60="Catastrófico"),CONCATENATE("R8C",'Riesgos de Gestión'!$V$60),"")</f>
        <v/>
      </c>
      <c r="AN23" s="66"/>
      <c r="AO23" s="478"/>
      <c r="AP23" s="479"/>
      <c r="AQ23" s="479"/>
      <c r="AR23" s="479"/>
      <c r="AS23" s="479"/>
      <c r="AT23" s="480"/>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row>
    <row r="24" spans="1:76" ht="15" customHeight="1" x14ac:dyDescent="0.25">
      <c r="A24" s="66"/>
      <c r="B24" s="389"/>
      <c r="C24" s="389"/>
      <c r="D24" s="390"/>
      <c r="E24" s="488"/>
      <c r="F24" s="487"/>
      <c r="G24" s="487"/>
      <c r="H24" s="487"/>
      <c r="I24" s="487"/>
      <c r="J24" s="50" t="str">
        <f>IF(AND('Riesgos de Gestión'!$AF$61="Alta",'Riesgos de Gestión'!$AH$61="Leve"),CONCATENATE("R9C",'Riesgos de Gestión'!$V$61),"")</f>
        <v/>
      </c>
      <c r="K24" s="51" t="str">
        <f>IF(AND('Riesgos de Gestión'!$AF$62="Alta",'Riesgos de Gestión'!$AH$62="Leve"),CONCATENATE("R9C",'Riesgos de Gestión'!$V$62),"")</f>
        <v/>
      </c>
      <c r="L24" s="51" t="str">
        <f>IF(AND('Riesgos de Gestión'!$AF$63="Alta",'Riesgos de Gestión'!$AH$63="Leve"),CONCATENATE("R9C",'Riesgos de Gestión'!$V$63),"")</f>
        <v/>
      </c>
      <c r="M24" s="51" t="str">
        <f>IF(AND('Riesgos de Gestión'!$AF$64="Alta",'Riesgos de Gestión'!$AH$64="Leve"),CONCATENATE("R9C",'Riesgos de Gestión'!$V$64),"")</f>
        <v/>
      </c>
      <c r="N24" s="51" t="str">
        <f>IF(AND('Riesgos de Gestión'!$AF$65="Alta",'Riesgos de Gestión'!$AH$65="Leve"),CONCATENATE("R9C",'Riesgos de Gestión'!$V$65),"")</f>
        <v/>
      </c>
      <c r="O24" s="52" t="str">
        <f>IF(AND('Riesgos de Gestión'!$AF$66="Alta",'Riesgos de Gestión'!$AH$66="Leve"),CONCATENATE("R9C",'Riesgos de Gestión'!$V$66),"")</f>
        <v/>
      </c>
      <c r="P24" s="50" t="str">
        <f>IF(AND('Riesgos de Gestión'!$AF$61="Alta",'Riesgos de Gestión'!$AH$61="Menor"),CONCATENATE("R9C",'Riesgos de Gestión'!$V$61),"")</f>
        <v/>
      </c>
      <c r="Q24" s="51" t="str">
        <f>IF(AND('Riesgos de Gestión'!$AF$62="Alta",'Riesgos de Gestión'!$AH$62="Menor"),CONCATENATE("R9C",'Riesgos de Gestión'!$V$62),"")</f>
        <v/>
      </c>
      <c r="R24" s="51" t="str">
        <f>IF(AND('Riesgos de Gestión'!$AF$63="Alta",'Riesgos de Gestión'!$AH$63="Menor"),CONCATENATE("R9C",'Riesgos de Gestión'!$V$63),"")</f>
        <v/>
      </c>
      <c r="S24" s="51" t="str">
        <f>IF(AND('Riesgos de Gestión'!$AF$64="Alta",'Riesgos de Gestión'!$AH$64="Menor"),CONCATENATE("R9C",'Riesgos de Gestión'!$V$64),"")</f>
        <v/>
      </c>
      <c r="T24" s="51" t="str">
        <f>IF(AND('Riesgos de Gestión'!$AF$65="Alta",'Riesgos de Gestión'!$AH$65="Menor"),CONCATENATE("R9C",'Riesgos de Gestión'!$V$65),"")</f>
        <v/>
      </c>
      <c r="U24" s="52" t="str">
        <f>IF(AND('Riesgos de Gestión'!$AF$66="Alta",'Riesgos de Gestión'!$AH$66="Menor"),CONCATENATE("R9C",'Riesgos de Gestión'!$V$66),"")</f>
        <v/>
      </c>
      <c r="V24" s="35" t="str">
        <f>IF(AND('Riesgos de Gestión'!$AF$61="Alta",'Riesgos de Gestión'!$AH$61="Moderado"),CONCATENATE("R9C",'Riesgos de Gestión'!$V$61),"")</f>
        <v/>
      </c>
      <c r="W24" s="36" t="str">
        <f>IF(AND('Riesgos de Gestión'!$AF$62="Alta",'Riesgos de Gestión'!$AH$62="Moderado"),CONCATENATE("R9C",'Riesgos de Gestión'!$V$62),"")</f>
        <v/>
      </c>
      <c r="X24" s="36" t="str">
        <f>IF(AND('Riesgos de Gestión'!$AF$63="Alta",'Riesgos de Gestión'!$AH$63="Moderado"),CONCATENATE("R9C",'Riesgos de Gestión'!$V$63),"")</f>
        <v/>
      </c>
      <c r="Y24" s="36" t="str">
        <f>IF(AND('Riesgos de Gestión'!$AF$64="Alta",'Riesgos de Gestión'!$AH$64="Moderado"),CONCATENATE("R9C",'Riesgos de Gestión'!$V$64),"")</f>
        <v/>
      </c>
      <c r="Z24" s="36" t="str">
        <f>IF(AND('Riesgos de Gestión'!$AF$65="Alta",'Riesgos de Gestión'!$AH$65="Moderado"),CONCATENATE("R9C",'Riesgos de Gestión'!$V$65),"")</f>
        <v/>
      </c>
      <c r="AA24" s="37" t="str">
        <f>IF(AND('Riesgos de Gestión'!$AF$66="Alta",'Riesgos de Gestión'!$AH$66="Moderado"),CONCATENATE("R9C",'Riesgos de Gestión'!$V$66),"")</f>
        <v/>
      </c>
      <c r="AB24" s="35" t="str">
        <f>IF(AND('Riesgos de Gestión'!$AF$61="Alta",'Riesgos de Gestión'!$AH$61="Mayor"),CONCATENATE("R9C",'Riesgos de Gestión'!$V$61),"")</f>
        <v/>
      </c>
      <c r="AC24" s="36" t="str">
        <f>IF(AND('Riesgos de Gestión'!$AF$62="Alta",'Riesgos de Gestión'!$AH$62="Mayor"),CONCATENATE("R9C",'Riesgos de Gestión'!$V$62),"")</f>
        <v/>
      </c>
      <c r="AD24" s="36" t="str">
        <f>IF(AND('Riesgos de Gestión'!$AF$63="Alta",'Riesgos de Gestión'!$AH$63="Mayor"),CONCATENATE("R9C",'Riesgos de Gestión'!$V$63),"")</f>
        <v/>
      </c>
      <c r="AE24" s="36" t="str">
        <f>IF(AND('Riesgos de Gestión'!$AF$64="Alta",'Riesgos de Gestión'!$AH$64="Mayor"),CONCATENATE("R9C",'Riesgos de Gestión'!$V$64),"")</f>
        <v/>
      </c>
      <c r="AF24" s="36" t="str">
        <f>IF(AND('Riesgos de Gestión'!$AF$65="Alta",'Riesgos de Gestión'!$AH$65="Mayor"),CONCATENATE("R9C",'Riesgos de Gestión'!$V$65),"")</f>
        <v/>
      </c>
      <c r="AG24" s="37" t="str">
        <f>IF(AND('Riesgos de Gestión'!$AF$66="Alta",'Riesgos de Gestión'!$AH$66="Mayor"),CONCATENATE("R9C",'Riesgos de Gestión'!$V$66),"")</f>
        <v/>
      </c>
      <c r="AH24" s="38" t="str">
        <f>IF(AND('Riesgos de Gestión'!$AF$61="Alta",'Riesgos de Gestión'!$AH$61="Catastrófico"),CONCATENATE("R9C",'Riesgos de Gestión'!$V$61),"")</f>
        <v/>
      </c>
      <c r="AI24" s="39" t="str">
        <f>IF(AND('Riesgos de Gestión'!$AF$62="Alta",'Riesgos de Gestión'!$AH$62="Catastrófico"),CONCATENATE("R9C",'Riesgos de Gestión'!$V$62),"")</f>
        <v/>
      </c>
      <c r="AJ24" s="39" t="str">
        <f>IF(AND('Riesgos de Gestión'!$AF$63="Alta",'Riesgos de Gestión'!$AH$63="Catastrófico"),CONCATENATE("R9C",'Riesgos de Gestión'!$V$63),"")</f>
        <v/>
      </c>
      <c r="AK24" s="39" t="str">
        <f>IF(AND('Riesgos de Gestión'!$AF$64="Alta",'Riesgos de Gestión'!$AH$64="Catastrófico"),CONCATENATE("R9C",'Riesgos de Gestión'!$V$64),"")</f>
        <v/>
      </c>
      <c r="AL24" s="39" t="str">
        <f>IF(AND('Riesgos de Gestión'!$AF$65="Alta",'Riesgos de Gestión'!$AH$65="Catastrófico"),CONCATENATE("R9C",'Riesgos de Gestión'!$V$65),"")</f>
        <v/>
      </c>
      <c r="AM24" s="40" t="str">
        <f>IF(AND('Riesgos de Gestión'!$AF$66="Alta",'Riesgos de Gestión'!$AH$66="Catastrófico"),CONCATENATE("R9C",'Riesgos de Gestión'!$V$66),"")</f>
        <v/>
      </c>
      <c r="AN24" s="66"/>
      <c r="AO24" s="478"/>
      <c r="AP24" s="479"/>
      <c r="AQ24" s="479"/>
      <c r="AR24" s="479"/>
      <c r="AS24" s="479"/>
      <c r="AT24" s="480"/>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row>
    <row r="25" spans="1:76" ht="15.75" customHeight="1" thickBot="1" x14ac:dyDescent="0.3">
      <c r="A25" s="66"/>
      <c r="B25" s="389"/>
      <c r="C25" s="389"/>
      <c r="D25" s="390"/>
      <c r="E25" s="489"/>
      <c r="F25" s="490"/>
      <c r="G25" s="490"/>
      <c r="H25" s="490"/>
      <c r="I25" s="490"/>
      <c r="J25" s="53" t="str">
        <f>IF(AND('Riesgos de Gestión'!$AF$67="Alta",'Riesgos de Gestión'!$AH$67="Leve"),CONCATENATE("R10C",'Riesgos de Gestión'!$V$67),"")</f>
        <v/>
      </c>
      <c r="K25" s="54" t="str">
        <f>IF(AND('Riesgos de Gestión'!$AF$68="Alta",'Riesgos de Gestión'!$AH$68="Leve"),CONCATENATE("R10C",'Riesgos de Gestión'!$V$68),"")</f>
        <v/>
      </c>
      <c r="L25" s="54" t="str">
        <f>IF(AND('Riesgos de Gestión'!$AF$69="Alta",'Riesgos de Gestión'!$AH$69="Leve"),CONCATENATE("R10C",'Riesgos de Gestión'!$V$69),"")</f>
        <v/>
      </c>
      <c r="M25" s="54" t="str">
        <f>IF(AND('Riesgos de Gestión'!$AF$70="Alta",'Riesgos de Gestión'!$AH$70="Leve"),CONCATENATE("R10C",'Riesgos de Gestión'!$V$70),"")</f>
        <v/>
      </c>
      <c r="N25" s="54" t="str">
        <f>IF(AND('Riesgos de Gestión'!$AF$71="Alta",'Riesgos de Gestión'!$AH$71="Leve"),CONCATENATE("R10C",'Riesgos de Gestión'!$V$71),"")</f>
        <v/>
      </c>
      <c r="O25" s="55" t="str">
        <f>IF(AND('Riesgos de Gestión'!$AF$72="Alta",'Riesgos de Gestión'!$AH$72="Leve"),CONCATENATE("R10C",'Riesgos de Gestión'!$V$72),"")</f>
        <v/>
      </c>
      <c r="P25" s="53" t="str">
        <f>IF(AND('Riesgos de Gestión'!$AF$67="Alta",'Riesgos de Gestión'!$AH$67="Menor"),CONCATENATE("R10C",'Riesgos de Gestión'!$V$67),"")</f>
        <v/>
      </c>
      <c r="Q25" s="54" t="str">
        <f>IF(AND('Riesgos de Gestión'!$AF$68="Alta",'Riesgos de Gestión'!$AH$68="Menor"),CONCATENATE("R10C",'Riesgos de Gestión'!$V$68),"")</f>
        <v/>
      </c>
      <c r="R25" s="54" t="str">
        <f>IF(AND('Riesgos de Gestión'!$AF$69="Alta",'Riesgos de Gestión'!$AH$69="Menor"),CONCATENATE("R10C",'Riesgos de Gestión'!$V$69),"")</f>
        <v/>
      </c>
      <c r="S25" s="54" t="str">
        <f>IF(AND('Riesgos de Gestión'!$AF$70="Alta",'Riesgos de Gestión'!$AH$70="Menor"),CONCATENATE("R10C",'Riesgos de Gestión'!$V$70),"")</f>
        <v/>
      </c>
      <c r="T25" s="54" t="str">
        <f>IF(AND('Riesgos de Gestión'!$AF$71="Alta",'Riesgos de Gestión'!$AH$71="Menor"),CONCATENATE("R10C",'Riesgos de Gestión'!$V$71),"")</f>
        <v/>
      </c>
      <c r="U25" s="55" t="str">
        <f>IF(AND('Riesgos de Gestión'!$AF$72="Alta",'Riesgos de Gestión'!$AH$72="Menor"),CONCATENATE("R10C",'Riesgos de Gestión'!$V$72),"")</f>
        <v/>
      </c>
      <c r="V25" s="41" t="str">
        <f>IF(AND('Riesgos de Gestión'!$AF$67="Alta",'Riesgos de Gestión'!$AH$67="Moderado"),CONCATENATE("R10C",'Riesgos de Gestión'!$V$67),"")</f>
        <v/>
      </c>
      <c r="W25" s="42" t="str">
        <f>IF(AND('Riesgos de Gestión'!$AF$68="Alta",'Riesgos de Gestión'!$AH$68="Moderado"),CONCATENATE("R10C",'Riesgos de Gestión'!$V$68),"")</f>
        <v/>
      </c>
      <c r="X25" s="42" t="str">
        <f>IF(AND('Riesgos de Gestión'!$AF$69="Alta",'Riesgos de Gestión'!$AH$69="Moderado"),CONCATENATE("R10C",'Riesgos de Gestión'!$V$69),"")</f>
        <v/>
      </c>
      <c r="Y25" s="42" t="str">
        <f>IF(AND('Riesgos de Gestión'!$AF$70="Alta",'Riesgos de Gestión'!$AH$70="Moderado"),CONCATENATE("R10C",'Riesgos de Gestión'!$V$70),"")</f>
        <v/>
      </c>
      <c r="Z25" s="42" t="str">
        <f>IF(AND('Riesgos de Gestión'!$AF$71="Alta",'Riesgos de Gestión'!$AH$71="Moderado"),CONCATENATE("R10C",'Riesgos de Gestión'!$V$71),"")</f>
        <v/>
      </c>
      <c r="AA25" s="43" t="str">
        <f>IF(AND('Riesgos de Gestión'!$AF$72="Alta",'Riesgos de Gestión'!$AH$72="Moderado"),CONCATENATE("R10C",'Riesgos de Gestión'!$V$72),"")</f>
        <v/>
      </c>
      <c r="AB25" s="41" t="str">
        <f>IF(AND('Riesgos de Gestión'!$AF$67="Alta",'Riesgos de Gestión'!$AH$67="Mayor"),CONCATENATE("R10C",'Riesgos de Gestión'!$V$67),"")</f>
        <v/>
      </c>
      <c r="AC25" s="42" t="str">
        <f>IF(AND('Riesgos de Gestión'!$AF$68="Alta",'Riesgos de Gestión'!$AH$68="Mayor"),CONCATENATE("R10C",'Riesgos de Gestión'!$V$68),"")</f>
        <v/>
      </c>
      <c r="AD25" s="42" t="str">
        <f>IF(AND('Riesgos de Gestión'!$AF$69="Alta",'Riesgos de Gestión'!$AH$69="Mayor"),CONCATENATE("R10C",'Riesgos de Gestión'!$V$69),"")</f>
        <v/>
      </c>
      <c r="AE25" s="42" t="str">
        <f>IF(AND('Riesgos de Gestión'!$AF$70="Alta",'Riesgos de Gestión'!$AH$70="Mayor"),CONCATENATE("R10C",'Riesgos de Gestión'!$V$70),"")</f>
        <v/>
      </c>
      <c r="AF25" s="42" t="str">
        <f>IF(AND('Riesgos de Gestión'!$AF$71="Alta",'Riesgos de Gestión'!$AH$71="Mayor"),CONCATENATE("R10C",'Riesgos de Gestión'!$V$71),"")</f>
        <v/>
      </c>
      <c r="AG25" s="43" t="str">
        <f>IF(AND('Riesgos de Gestión'!$AF$72="Alta",'Riesgos de Gestión'!$AH$72="Mayor"),CONCATENATE("R10C",'Riesgos de Gestión'!$V$72),"")</f>
        <v/>
      </c>
      <c r="AH25" s="44" t="str">
        <f>IF(AND('Riesgos de Gestión'!$AF$67="Alta",'Riesgos de Gestión'!$AH$67="Catastrófico"),CONCATENATE("R10C",'Riesgos de Gestión'!$V$67),"")</f>
        <v/>
      </c>
      <c r="AI25" s="45" t="str">
        <f>IF(AND('Riesgos de Gestión'!$AF$68="Alta",'Riesgos de Gestión'!$AH$68="Catastrófico"),CONCATENATE("R10C",'Riesgos de Gestión'!$V$68),"")</f>
        <v/>
      </c>
      <c r="AJ25" s="45" t="str">
        <f>IF(AND('Riesgos de Gestión'!$AF$69="Alta",'Riesgos de Gestión'!$AH$69="Catastrófico"),CONCATENATE("R10C",'Riesgos de Gestión'!$V$69),"")</f>
        <v/>
      </c>
      <c r="AK25" s="45" t="str">
        <f>IF(AND('Riesgos de Gestión'!$AF$70="Alta",'Riesgos de Gestión'!$AH$70="Catastrófico"),CONCATENATE("R10C",'Riesgos de Gestión'!$V$70),"")</f>
        <v/>
      </c>
      <c r="AL25" s="45" t="str">
        <f>IF(AND('Riesgos de Gestión'!$AF$71="Alta",'Riesgos de Gestión'!$AH$71="Catastrófico"),CONCATENATE("R10C",'Riesgos de Gestión'!$V$71),"")</f>
        <v/>
      </c>
      <c r="AM25" s="46" t="str">
        <f>IF(AND('Riesgos de Gestión'!$AF$72="Alta",'Riesgos de Gestión'!$AH$72="Catastrófico"),CONCATENATE("R10C",'Riesgos de Gestión'!$V$72),"")</f>
        <v/>
      </c>
      <c r="AN25" s="66"/>
      <c r="AO25" s="481"/>
      <c r="AP25" s="482"/>
      <c r="AQ25" s="482"/>
      <c r="AR25" s="482"/>
      <c r="AS25" s="482"/>
      <c r="AT25" s="483"/>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row>
    <row r="26" spans="1:76" ht="15" customHeight="1" x14ac:dyDescent="0.25">
      <c r="A26" s="66"/>
      <c r="B26" s="389"/>
      <c r="C26" s="389"/>
      <c r="D26" s="390"/>
      <c r="E26" s="484" t="s">
        <v>255</v>
      </c>
      <c r="F26" s="485"/>
      <c r="G26" s="485"/>
      <c r="H26" s="485"/>
      <c r="I26" s="502"/>
      <c r="J26" s="47" t="str">
        <f>IF(AND('Riesgos de Gestión'!$AF$13="Media",'Riesgos de Gestión'!$AH$13="Leve"),CONCATENATE("R1C",'Riesgos de Gestión'!$V$13),"")</f>
        <v/>
      </c>
      <c r="K26" s="48" t="str">
        <f>IF(AND('Riesgos de Gestión'!$AF$14="Media",'Riesgos de Gestión'!$AH$14="Leve"),CONCATENATE("R1C",'Riesgos de Gestión'!$V$14),"")</f>
        <v/>
      </c>
      <c r="L26" s="48" t="str">
        <f>IF(AND('Riesgos de Gestión'!$AF$15="Media",'Riesgos de Gestión'!$AH$15="Leve"),CONCATENATE("R1C",'Riesgos de Gestión'!$V$15),"")</f>
        <v/>
      </c>
      <c r="M26" s="48" t="str">
        <f>IF(AND('Riesgos de Gestión'!$AF$16="Media",'Riesgos de Gestión'!$AH$16="Leve"),CONCATENATE("R1C",'Riesgos de Gestión'!$V$16),"")</f>
        <v/>
      </c>
      <c r="N26" s="48" t="str">
        <f>IF(AND('Riesgos de Gestión'!$AF$17="Media",'Riesgos de Gestión'!$AH$17="Leve"),CONCATENATE("R1C",'Riesgos de Gestión'!$V$17),"")</f>
        <v/>
      </c>
      <c r="O26" s="49" t="str">
        <f>IF(AND('Riesgos de Gestión'!$AF$18="Media",'Riesgos de Gestión'!$AH$18="Leve"),CONCATENATE("R1C",'Riesgos de Gestión'!$V$18),"")</f>
        <v/>
      </c>
      <c r="P26" s="47" t="str">
        <f>IF(AND('Riesgos de Gestión'!$AF$13="Media",'Riesgos de Gestión'!$AH$13="Menor"),CONCATENATE("R1C",'Riesgos de Gestión'!$V$13),"")</f>
        <v/>
      </c>
      <c r="Q26" s="48" t="str">
        <f>IF(AND('Riesgos de Gestión'!$AF$14="Media",'Riesgos de Gestión'!$AH$14="Menor"),CONCATENATE("R1C",'Riesgos de Gestión'!$V$14),"")</f>
        <v/>
      </c>
      <c r="R26" s="48" t="str">
        <f>IF(AND('Riesgos de Gestión'!$AF$15="Media",'Riesgos de Gestión'!$AH$15="Menor"),CONCATENATE("R1C",'Riesgos de Gestión'!$V$15),"")</f>
        <v/>
      </c>
      <c r="S26" s="48" t="str">
        <f>IF(AND('Riesgos de Gestión'!$AF$16="Media",'Riesgos de Gestión'!$AH$16="Menor"),CONCATENATE("R1C",'Riesgos de Gestión'!$V$16),"")</f>
        <v/>
      </c>
      <c r="T26" s="48" t="str">
        <f>IF(AND('Riesgos de Gestión'!$AF$17="Media",'Riesgos de Gestión'!$AH$17="Menor"),CONCATENATE("R1C",'Riesgos de Gestión'!$V$17),"")</f>
        <v/>
      </c>
      <c r="U26" s="49" t="str">
        <f>IF(AND('Riesgos de Gestión'!$AF$18="Media",'Riesgos de Gestión'!$AH$18="Menor"),CONCATENATE("R1C",'Riesgos de Gestión'!$V$18),"")</f>
        <v/>
      </c>
      <c r="V26" s="47" t="str">
        <f>IF(AND('Riesgos de Gestión'!$AF$13="Media",'Riesgos de Gestión'!$AH$13="Moderado"),CONCATENATE("R1C",'Riesgos de Gestión'!$V$13),"")</f>
        <v/>
      </c>
      <c r="W26" s="48" t="str">
        <f>IF(AND('Riesgos de Gestión'!$AF$14="Media",'Riesgos de Gestión'!$AH$14="Moderado"),CONCATENATE("R1C",'Riesgos de Gestión'!$V$14),"")</f>
        <v/>
      </c>
      <c r="X26" s="48" t="str">
        <f>IF(AND('Riesgos de Gestión'!$AF$15="Media",'Riesgos de Gestión'!$AH$15="Moderado"),CONCATENATE("R1C",'Riesgos de Gestión'!$V$15),"")</f>
        <v/>
      </c>
      <c r="Y26" s="48" t="str">
        <f>IF(AND('Riesgos de Gestión'!$AF$16="Media",'Riesgos de Gestión'!$AH$16="Moderado"),CONCATENATE("R1C",'Riesgos de Gestión'!$V$16),"")</f>
        <v/>
      </c>
      <c r="Z26" s="48" t="str">
        <f>IF(AND('Riesgos de Gestión'!$AF$17="Media",'Riesgos de Gestión'!$AH$17="Moderado"),CONCATENATE("R1C",'Riesgos de Gestión'!$V$17),"")</f>
        <v/>
      </c>
      <c r="AA26" s="49" t="str">
        <f>IF(AND('Riesgos de Gestión'!$AF$18="Media",'Riesgos de Gestión'!$AH$18="Moderado"),CONCATENATE("R1C",'Riesgos de Gestión'!$V$18),"")</f>
        <v/>
      </c>
      <c r="AB26" s="29" t="str">
        <f>IF(AND('Riesgos de Gestión'!$AF$13="Media",'Riesgos de Gestión'!$AH$13="Mayor"),CONCATENATE("R1C",'Riesgos de Gestión'!$V$13),"")</f>
        <v/>
      </c>
      <c r="AC26" s="30" t="str">
        <f>IF(AND('Riesgos de Gestión'!$AF$14="Media",'Riesgos de Gestión'!$AH$14="Mayor"),CONCATENATE("R1C",'Riesgos de Gestión'!$V$14),"")</f>
        <v/>
      </c>
      <c r="AD26" s="30" t="str">
        <f>IF(AND('Riesgos de Gestión'!$AF$15="Media",'Riesgos de Gestión'!$AH$15="Mayor"),CONCATENATE("R1C",'Riesgos de Gestión'!$V$15),"")</f>
        <v/>
      </c>
      <c r="AE26" s="30" t="str">
        <f>IF(AND('Riesgos de Gestión'!$AF$16="Media",'Riesgos de Gestión'!$AH$16="Mayor"),CONCATENATE("R1C",'Riesgos de Gestión'!$V$16),"")</f>
        <v/>
      </c>
      <c r="AF26" s="30" t="str">
        <f>IF(AND('Riesgos de Gestión'!$AF$17="Media",'Riesgos de Gestión'!$AH$17="Mayor"),CONCATENATE("R1C",'Riesgos de Gestión'!$V$17),"")</f>
        <v/>
      </c>
      <c r="AG26" s="31" t="str">
        <f>IF(AND('Riesgos de Gestión'!$AF$18="Media",'Riesgos de Gestión'!$AH$18="Mayor"),CONCATENATE("R1C",'Riesgos de Gestión'!$V$18),"")</f>
        <v/>
      </c>
      <c r="AH26" s="32" t="str">
        <f>IF(AND('Riesgos de Gestión'!$AF$13="Media",'Riesgos de Gestión'!$AH$13="Catastrófico"),CONCATENATE("R1C",'Riesgos de Gestión'!$V$13),"")</f>
        <v/>
      </c>
      <c r="AI26" s="33" t="str">
        <f>IF(AND('Riesgos de Gestión'!$AF$14="Media",'Riesgos de Gestión'!$AH$14="Catastrófico"),CONCATENATE("R1C",'Riesgos de Gestión'!$V$14),"")</f>
        <v/>
      </c>
      <c r="AJ26" s="33" t="str">
        <f>IF(AND('Riesgos de Gestión'!$AF$15="Media",'Riesgos de Gestión'!$AH$15="Catastrófico"),CONCATENATE("R1C",'Riesgos de Gestión'!$V$15),"")</f>
        <v/>
      </c>
      <c r="AK26" s="33" t="str">
        <f>IF(AND('Riesgos de Gestión'!$AF$16="Media",'Riesgos de Gestión'!$AH$16="Catastrófico"),CONCATENATE("R1C",'Riesgos de Gestión'!$V$16),"")</f>
        <v/>
      </c>
      <c r="AL26" s="33" t="str">
        <f>IF(AND('Riesgos de Gestión'!$AF$17="Media",'Riesgos de Gestión'!$AH$17="Catastrófico"),CONCATENATE("R1C",'Riesgos de Gestión'!$V$17),"")</f>
        <v/>
      </c>
      <c r="AM26" s="34" t="str">
        <f>IF(AND('Riesgos de Gestión'!$AF$18="Media",'Riesgos de Gestión'!$AH$18="Catastrófico"),CONCATENATE("R1C",'Riesgos de Gestión'!$V$18),"")</f>
        <v/>
      </c>
      <c r="AN26" s="66"/>
      <c r="AO26" s="514" t="s">
        <v>256</v>
      </c>
      <c r="AP26" s="515"/>
      <c r="AQ26" s="515"/>
      <c r="AR26" s="515"/>
      <c r="AS26" s="515"/>
      <c r="AT26" s="51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row>
    <row r="27" spans="1:76" ht="15" customHeight="1" x14ac:dyDescent="0.25">
      <c r="A27" s="66"/>
      <c r="B27" s="389"/>
      <c r="C27" s="389"/>
      <c r="D27" s="390"/>
      <c r="E27" s="486"/>
      <c r="F27" s="487"/>
      <c r="G27" s="487"/>
      <c r="H27" s="487"/>
      <c r="I27" s="503"/>
      <c r="J27" s="50" t="str">
        <f>IF(AND('Riesgos de Gestión'!$AF$19="Media",'Riesgos de Gestión'!$AH$19="Leve"),CONCATENATE("R2C",'Riesgos de Gestión'!$V$19),"")</f>
        <v/>
      </c>
      <c r="K27" s="51" t="str">
        <f>IF(AND('Riesgos de Gestión'!$AF$20="Media",'Riesgos de Gestión'!$AH$20="Leve"),CONCATENATE("R2C",'Riesgos de Gestión'!$V$20),"")</f>
        <v/>
      </c>
      <c r="L27" s="51" t="str">
        <f>IF(AND('Riesgos de Gestión'!$AF$21="Media",'Riesgos de Gestión'!$AH$21="Leve"),CONCATENATE("R2C",'Riesgos de Gestión'!$V$21),"")</f>
        <v/>
      </c>
      <c r="M27" s="51" t="str">
        <f>IF(AND('Riesgos de Gestión'!$AF$22="Media",'Riesgos de Gestión'!$AH$22="Leve"),CONCATENATE("R2C",'Riesgos de Gestión'!$V$22),"")</f>
        <v/>
      </c>
      <c r="N27" s="51" t="str">
        <f>IF(AND('Riesgos de Gestión'!$AF$23="Media",'Riesgos de Gestión'!$AH$23="Leve"),CONCATENATE("R2C",'Riesgos de Gestión'!$V$23),"")</f>
        <v/>
      </c>
      <c r="O27" s="52" t="str">
        <f>IF(AND('Riesgos de Gestión'!$AF$24="Media",'Riesgos de Gestión'!$AH$24="Leve"),CONCATENATE("R2C",'Riesgos de Gestión'!$V$24),"")</f>
        <v/>
      </c>
      <c r="P27" s="50" t="str">
        <f>IF(AND('Riesgos de Gestión'!$AF$19="Media",'Riesgos de Gestión'!$AH$19="Menor"),CONCATENATE("R2C",'Riesgos de Gestión'!$V$19),"")</f>
        <v/>
      </c>
      <c r="Q27" s="51" t="str">
        <f>IF(AND('Riesgos de Gestión'!$AF$20="Media",'Riesgos de Gestión'!$AH$20="Menor"),CONCATENATE("R2C",'Riesgos de Gestión'!$V$20),"")</f>
        <v/>
      </c>
      <c r="R27" s="51" t="str">
        <f>IF(AND('Riesgos de Gestión'!$AF$21="Media",'Riesgos de Gestión'!$AH$21="Menor"),CONCATENATE("R2C",'Riesgos de Gestión'!$V$21),"")</f>
        <v/>
      </c>
      <c r="S27" s="51" t="str">
        <f>IF(AND('Riesgos de Gestión'!$AF$22="Media",'Riesgos de Gestión'!$AH$22="Menor"),CONCATENATE("R2C",'Riesgos de Gestión'!$V$22),"")</f>
        <v/>
      </c>
      <c r="T27" s="51" t="str">
        <f>IF(AND('Riesgos de Gestión'!$AF$23="Media",'Riesgos de Gestión'!$AH$23="Menor"),CONCATENATE("R2C",'Riesgos de Gestión'!$V$23),"")</f>
        <v/>
      </c>
      <c r="U27" s="52" t="str">
        <f>IF(AND('Riesgos de Gestión'!$AF$24="Media",'Riesgos de Gestión'!$AH$24="Menor"),CONCATENATE("R2C",'Riesgos de Gestión'!$V$24),"")</f>
        <v/>
      </c>
      <c r="V27" s="50" t="str">
        <f>IF(AND('Riesgos de Gestión'!$AF$19="Media",'Riesgos de Gestión'!$AH$19="Moderado"),CONCATENATE("R2C",'Riesgos de Gestión'!$V$19),"")</f>
        <v/>
      </c>
      <c r="W27" s="51" t="str">
        <f>IF(AND('Riesgos de Gestión'!$AF$20="Media",'Riesgos de Gestión'!$AH$20="Moderado"),CONCATENATE("R2C",'Riesgos de Gestión'!$V$20),"")</f>
        <v/>
      </c>
      <c r="X27" s="51" t="str">
        <f>IF(AND('Riesgos de Gestión'!$AF$21="Media",'Riesgos de Gestión'!$AH$21="Moderado"),CONCATENATE("R2C",'Riesgos de Gestión'!$V$21),"")</f>
        <v/>
      </c>
      <c r="Y27" s="51" t="str">
        <f>IF(AND('Riesgos de Gestión'!$AF$22="Media",'Riesgos de Gestión'!$AH$22="Moderado"),CONCATENATE("R2C",'Riesgos de Gestión'!$V$22),"")</f>
        <v/>
      </c>
      <c r="Z27" s="51" t="str">
        <f>IF(AND('Riesgos de Gestión'!$AF$23="Media",'Riesgos de Gestión'!$AH$23="Moderado"),CONCATENATE("R2C",'Riesgos de Gestión'!$V$23),"")</f>
        <v/>
      </c>
      <c r="AA27" s="52" t="str">
        <f>IF(AND('Riesgos de Gestión'!$AF$24="Media",'Riesgos de Gestión'!$AH$24="Moderado"),CONCATENATE("R2C",'Riesgos de Gestión'!$V$24),"")</f>
        <v/>
      </c>
      <c r="AB27" s="35" t="str">
        <f>IF(AND('Riesgos de Gestión'!$AF$19="Media",'Riesgos de Gestión'!$AH$19="Mayor"),CONCATENATE("R2C",'Riesgos de Gestión'!$V$19),"")</f>
        <v/>
      </c>
      <c r="AC27" s="36" t="str">
        <f>IF(AND('Riesgos de Gestión'!$AF$20="Media",'Riesgos de Gestión'!$AH$20="Mayor"),CONCATENATE("R2C",'Riesgos de Gestión'!$V$20),"")</f>
        <v/>
      </c>
      <c r="AD27" s="36" t="str">
        <f>IF(AND('Riesgos de Gestión'!$AF$21="Media",'Riesgos de Gestión'!$AH$21="Mayor"),CONCATENATE("R2C",'Riesgos de Gestión'!$V$21),"")</f>
        <v/>
      </c>
      <c r="AE27" s="36" t="str">
        <f>IF(AND('Riesgos de Gestión'!$AF$22="Media",'Riesgos de Gestión'!$AH$22="Mayor"),CONCATENATE("R2C",'Riesgos de Gestión'!$V$22),"")</f>
        <v/>
      </c>
      <c r="AF27" s="36" t="str">
        <f>IF(AND('Riesgos de Gestión'!$AF$23="Media",'Riesgos de Gestión'!$AH$23="Mayor"),CONCATENATE("R2C",'Riesgos de Gestión'!$V$23),"")</f>
        <v/>
      </c>
      <c r="AG27" s="37" t="str">
        <f>IF(AND('Riesgos de Gestión'!$AF$24="Media",'Riesgos de Gestión'!$AH$24="Mayor"),CONCATENATE("R2C",'Riesgos de Gestión'!$V$24),"")</f>
        <v/>
      </c>
      <c r="AH27" s="38" t="str">
        <f>IF(AND('Riesgos de Gestión'!$AF$19="Media",'Riesgos de Gestión'!$AH$19="Catastrófico"),CONCATENATE("R2C",'Riesgos de Gestión'!$V$19),"")</f>
        <v/>
      </c>
      <c r="AI27" s="39" t="str">
        <f>IF(AND('Riesgos de Gestión'!$AF$20="Media",'Riesgos de Gestión'!$AH$20="Catastrófico"),CONCATENATE("R2C",'Riesgos de Gestión'!$V$20),"")</f>
        <v/>
      </c>
      <c r="AJ27" s="39" t="str">
        <f>IF(AND('Riesgos de Gestión'!$AF$21="Media",'Riesgos de Gestión'!$AH$21="Catastrófico"),CONCATENATE("R2C",'Riesgos de Gestión'!$V$21),"")</f>
        <v/>
      </c>
      <c r="AK27" s="39" t="str">
        <f>IF(AND('Riesgos de Gestión'!$AF$22="Media",'Riesgos de Gestión'!$AH$22="Catastrófico"),CONCATENATE("R2C",'Riesgos de Gestión'!$V$22),"")</f>
        <v/>
      </c>
      <c r="AL27" s="39" t="str">
        <f>IF(AND('Riesgos de Gestión'!$AF$23="Media",'Riesgos de Gestión'!$AH$23="Catastrófico"),CONCATENATE("R2C",'Riesgos de Gestión'!$V$23),"")</f>
        <v/>
      </c>
      <c r="AM27" s="40" t="str">
        <f>IF(AND('Riesgos de Gestión'!$AF$24="Media",'Riesgos de Gestión'!$AH$24="Catastrófico"),CONCATENATE("R2C",'Riesgos de Gestión'!$V$24),"")</f>
        <v/>
      </c>
      <c r="AN27" s="66"/>
      <c r="AO27" s="517"/>
      <c r="AP27" s="518"/>
      <c r="AQ27" s="518"/>
      <c r="AR27" s="518"/>
      <c r="AS27" s="518"/>
      <c r="AT27" s="519"/>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row>
    <row r="28" spans="1:76" ht="15" customHeight="1" x14ac:dyDescent="0.25">
      <c r="A28" s="66"/>
      <c r="B28" s="389"/>
      <c r="C28" s="389"/>
      <c r="D28" s="390"/>
      <c r="E28" s="488"/>
      <c r="F28" s="487"/>
      <c r="G28" s="487"/>
      <c r="H28" s="487"/>
      <c r="I28" s="503"/>
      <c r="J28" s="50" t="str">
        <f>IF(AND('Riesgos de Gestión'!$AF$25="Media",'Riesgos de Gestión'!$AH$25="Leve"),CONCATENATE("R3C",'Riesgos de Gestión'!$V$25),"")</f>
        <v/>
      </c>
      <c r="K28" s="51" t="str">
        <f>IF(AND('Riesgos de Gestión'!$AF$26="Media",'Riesgos de Gestión'!$AH$26="Leve"),CONCATENATE("R3C",'Riesgos de Gestión'!$V$26),"")</f>
        <v/>
      </c>
      <c r="L28" s="51" t="str">
        <f>IF(AND('Riesgos de Gestión'!$AF$27="Media",'Riesgos de Gestión'!$AH$27="Leve"),CONCATENATE("R3C",'Riesgos de Gestión'!$V$27),"")</f>
        <v/>
      </c>
      <c r="M28" s="51" t="str">
        <f>IF(AND('Riesgos de Gestión'!$AF$28="Media",'Riesgos de Gestión'!$AH$28="Leve"),CONCATENATE("R3C",'Riesgos de Gestión'!$V$28),"")</f>
        <v/>
      </c>
      <c r="N28" s="51" t="str">
        <f>IF(AND('Riesgos de Gestión'!$AF$29="Media",'Riesgos de Gestión'!$AH$29="Leve"),CONCATENATE("R3C",'Riesgos de Gestión'!$V$29),"")</f>
        <v/>
      </c>
      <c r="O28" s="52" t="str">
        <f>IF(AND('Riesgos de Gestión'!$AF$30="Media",'Riesgos de Gestión'!$AH$30="Leve"),CONCATENATE("R3C",'Riesgos de Gestión'!$V$30),"")</f>
        <v/>
      </c>
      <c r="P28" s="50" t="str">
        <f>IF(AND('Riesgos de Gestión'!$AF$25="Media",'Riesgos de Gestión'!$AH$25="Menor"),CONCATENATE("R3C",'Riesgos de Gestión'!$V$25),"")</f>
        <v/>
      </c>
      <c r="Q28" s="51" t="str">
        <f>IF(AND('Riesgos de Gestión'!$AF$26="Media",'Riesgos de Gestión'!$AH$26="Menor"),CONCATENATE("R3C",'Riesgos de Gestión'!$V$26),"")</f>
        <v/>
      </c>
      <c r="R28" s="51" t="str">
        <f>IF(AND('Riesgos de Gestión'!$AF$27="Media",'Riesgos de Gestión'!$AH$27="Menor"),CONCATENATE("R3C",'Riesgos de Gestión'!$V$27),"")</f>
        <v/>
      </c>
      <c r="S28" s="51" t="str">
        <f>IF(AND('Riesgos de Gestión'!$AF$28="Media",'Riesgos de Gestión'!$AH$28="Menor"),CONCATENATE("R3C",'Riesgos de Gestión'!$V$28),"")</f>
        <v/>
      </c>
      <c r="T28" s="51" t="str">
        <f>IF(AND('Riesgos de Gestión'!$AF$29="Media",'Riesgos de Gestión'!$AH$29="Menor"),CONCATENATE("R3C",'Riesgos de Gestión'!$V$29),"")</f>
        <v/>
      </c>
      <c r="U28" s="52" t="str">
        <f>IF(AND('Riesgos de Gestión'!$AF$30="Media",'Riesgos de Gestión'!$AH$30="Menor"),CONCATENATE("R3C",'Riesgos de Gestión'!$V$30),"")</f>
        <v/>
      </c>
      <c r="V28" s="50" t="str">
        <f>IF(AND('Riesgos de Gestión'!$AF$25="Media",'Riesgos de Gestión'!$AH$25="Moderado"),CONCATENATE("R3C",'Riesgos de Gestión'!$V$25),"")</f>
        <v/>
      </c>
      <c r="W28" s="51" t="str">
        <f>IF(AND('Riesgos de Gestión'!$AF$26="Media",'Riesgos de Gestión'!$AH$26="Moderado"),CONCATENATE("R3C",'Riesgos de Gestión'!$V$26),"")</f>
        <v/>
      </c>
      <c r="X28" s="51" t="str">
        <f>IF(AND('Riesgos de Gestión'!$AF$27="Media",'Riesgos de Gestión'!$AH$27="Moderado"),CONCATENATE("R3C",'Riesgos de Gestión'!$V$27),"")</f>
        <v/>
      </c>
      <c r="Y28" s="51" t="str">
        <f>IF(AND('Riesgos de Gestión'!$AF$28="Media",'Riesgos de Gestión'!$AH$28="Moderado"),CONCATENATE("R3C",'Riesgos de Gestión'!$V$28),"")</f>
        <v/>
      </c>
      <c r="Z28" s="51" t="str">
        <f>IF(AND('Riesgos de Gestión'!$AF$29="Media",'Riesgos de Gestión'!$AH$29="Moderado"),CONCATENATE("R3C",'Riesgos de Gestión'!$V$29),"")</f>
        <v/>
      </c>
      <c r="AA28" s="52" t="str">
        <f>IF(AND('Riesgos de Gestión'!$AF$30="Media",'Riesgos de Gestión'!$AH$30="Moderado"),CONCATENATE("R3C",'Riesgos de Gestión'!$V$30),"")</f>
        <v/>
      </c>
      <c r="AB28" s="35" t="str">
        <f>IF(AND('Riesgos de Gestión'!$AF$25="Media",'Riesgos de Gestión'!$AH$25="Mayor"),CONCATENATE("R3C",'Riesgos de Gestión'!$V$25),"")</f>
        <v/>
      </c>
      <c r="AC28" s="36" t="str">
        <f>IF(AND('Riesgos de Gestión'!$AF$26="Media",'Riesgos de Gestión'!$AH$26="Mayor"),CONCATENATE("R3C",'Riesgos de Gestión'!$V$26),"")</f>
        <v/>
      </c>
      <c r="AD28" s="36" t="str">
        <f>IF(AND('Riesgos de Gestión'!$AF$27="Media",'Riesgos de Gestión'!$AH$27="Mayor"),CONCATENATE("R3C",'Riesgos de Gestión'!$V$27),"")</f>
        <v/>
      </c>
      <c r="AE28" s="36" t="str">
        <f>IF(AND('Riesgos de Gestión'!$AF$28="Media",'Riesgos de Gestión'!$AH$28="Mayor"),CONCATENATE("R3C",'Riesgos de Gestión'!$V$28),"")</f>
        <v/>
      </c>
      <c r="AF28" s="36" t="str">
        <f>IF(AND('Riesgos de Gestión'!$AF$29="Media",'Riesgos de Gestión'!$AH$29="Mayor"),CONCATENATE("R3C",'Riesgos de Gestión'!$V$29),"")</f>
        <v/>
      </c>
      <c r="AG28" s="37" t="str">
        <f>IF(AND('Riesgos de Gestión'!$AF$30="Media",'Riesgos de Gestión'!$AH$30="Mayor"),CONCATENATE("R3C",'Riesgos de Gestión'!$V$30),"")</f>
        <v/>
      </c>
      <c r="AH28" s="38" t="str">
        <f>IF(AND('Riesgos de Gestión'!$AF$25="Media",'Riesgos de Gestión'!$AH$25="Catastrófico"),CONCATENATE("R3C",'Riesgos de Gestión'!$V$25),"")</f>
        <v/>
      </c>
      <c r="AI28" s="39" t="str">
        <f>IF(AND('Riesgos de Gestión'!$AF$26="Media",'Riesgos de Gestión'!$AH$26="Catastrófico"),CONCATENATE("R3C",'Riesgos de Gestión'!$V$26),"")</f>
        <v/>
      </c>
      <c r="AJ28" s="39" t="str">
        <f>IF(AND('Riesgos de Gestión'!$AF$27="Media",'Riesgos de Gestión'!$AH$27="Catastrófico"),CONCATENATE("R3C",'Riesgos de Gestión'!$V$27),"")</f>
        <v/>
      </c>
      <c r="AK28" s="39" t="str">
        <f>IF(AND('Riesgos de Gestión'!$AF$28="Media",'Riesgos de Gestión'!$AH$28="Catastrófico"),CONCATENATE("R3C",'Riesgos de Gestión'!$V$28),"")</f>
        <v/>
      </c>
      <c r="AL28" s="39" t="str">
        <f>IF(AND('Riesgos de Gestión'!$AF$29="Media",'Riesgos de Gestión'!$AH$29="Catastrófico"),CONCATENATE("R3C",'Riesgos de Gestión'!$V$29),"")</f>
        <v/>
      </c>
      <c r="AM28" s="40" t="str">
        <f>IF(AND('Riesgos de Gestión'!$AF$30="Media",'Riesgos de Gestión'!$AH$30="Catastrófico"),CONCATENATE("R3C",'Riesgos de Gestión'!$V$30),"")</f>
        <v/>
      </c>
      <c r="AN28" s="66"/>
      <c r="AO28" s="517"/>
      <c r="AP28" s="518"/>
      <c r="AQ28" s="518"/>
      <c r="AR28" s="518"/>
      <c r="AS28" s="518"/>
      <c r="AT28" s="519"/>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row>
    <row r="29" spans="1:76" ht="15" customHeight="1" x14ac:dyDescent="0.25">
      <c r="A29" s="66"/>
      <c r="B29" s="389"/>
      <c r="C29" s="389"/>
      <c r="D29" s="390"/>
      <c r="E29" s="488"/>
      <c r="F29" s="487"/>
      <c r="G29" s="487"/>
      <c r="H29" s="487"/>
      <c r="I29" s="503"/>
      <c r="J29" s="50" t="str">
        <f>IF(AND('Riesgos de Gestión'!$AF$31="Media",'Riesgos de Gestión'!$AH$31="Leve"),CONCATENATE("R4C",'Riesgos de Gestión'!$V$31),"")</f>
        <v/>
      </c>
      <c r="K29" s="51" t="str">
        <f>IF(AND('Riesgos de Gestión'!$AF$32="Media",'Riesgos de Gestión'!$AH$32="Leve"),CONCATENATE("R4C",'Riesgos de Gestión'!$V$32),"")</f>
        <v/>
      </c>
      <c r="L29" s="51" t="str">
        <f>IF(AND('Riesgos de Gestión'!$AF$33="Media",'Riesgos de Gestión'!$AH$33="Leve"),CONCATENATE("R4C",'Riesgos de Gestión'!$V$33),"")</f>
        <v/>
      </c>
      <c r="M29" s="51" t="str">
        <f>IF(AND('Riesgos de Gestión'!$AF$34="Media",'Riesgos de Gestión'!$AH$34="Leve"),CONCATENATE("R4C",'Riesgos de Gestión'!$V$34),"")</f>
        <v/>
      </c>
      <c r="N29" s="51" t="str">
        <f>IF(AND('Riesgos de Gestión'!$AF$35="Media",'Riesgos de Gestión'!$AH$35="Leve"),CONCATENATE("R4C",'Riesgos de Gestión'!$V$35),"")</f>
        <v/>
      </c>
      <c r="O29" s="52" t="str">
        <f>IF(AND('Riesgos de Gestión'!$AF$36="Media",'Riesgos de Gestión'!$AH$36="Leve"),CONCATENATE("R4C",'Riesgos de Gestión'!$V$36),"")</f>
        <v/>
      </c>
      <c r="P29" s="50" t="str">
        <f>IF(AND('Riesgos de Gestión'!$AF$31="Media",'Riesgos de Gestión'!$AH$31="Menor"),CONCATENATE("R4C",'Riesgos de Gestión'!$V$31),"")</f>
        <v/>
      </c>
      <c r="Q29" s="51" t="str">
        <f>IF(AND('Riesgos de Gestión'!$AF$32="Media",'Riesgos de Gestión'!$AH$32="Menor"),CONCATENATE("R4C",'Riesgos de Gestión'!$V$32),"")</f>
        <v/>
      </c>
      <c r="R29" s="51" t="str">
        <f>IF(AND('Riesgos de Gestión'!$AF$33="Media",'Riesgos de Gestión'!$AH$33="Menor"),CONCATENATE("R4C",'Riesgos de Gestión'!$V$33),"")</f>
        <v/>
      </c>
      <c r="S29" s="51" t="str">
        <f>IF(AND('Riesgos de Gestión'!$AF$34="Media",'Riesgos de Gestión'!$AH$34="Menor"),CONCATENATE("R4C",'Riesgos de Gestión'!$V$34),"")</f>
        <v/>
      </c>
      <c r="T29" s="51" t="str">
        <f>IF(AND('Riesgos de Gestión'!$AF$35="Media",'Riesgos de Gestión'!$AH$35="Menor"),CONCATENATE("R4C",'Riesgos de Gestión'!$V$35),"")</f>
        <v/>
      </c>
      <c r="U29" s="52" t="str">
        <f>IF(AND('Riesgos de Gestión'!$AF$36="Media",'Riesgos de Gestión'!$AH$36="Menor"),CONCATENATE("R4C",'Riesgos de Gestión'!$V$36),"")</f>
        <v/>
      </c>
      <c r="V29" s="50" t="str">
        <f>IF(AND('Riesgos de Gestión'!$AF$31="Media",'Riesgos de Gestión'!$AH$31="Moderado"),CONCATENATE("R4C",'Riesgos de Gestión'!$V$31),"")</f>
        <v/>
      </c>
      <c r="W29" s="51" t="str">
        <f>IF(AND('Riesgos de Gestión'!$AF$32="Media",'Riesgos de Gestión'!$AH$32="Moderado"),CONCATENATE("R4C",'Riesgos de Gestión'!$V$32),"")</f>
        <v/>
      </c>
      <c r="X29" s="51" t="str">
        <f>IF(AND('Riesgos de Gestión'!$AF$33="Media",'Riesgos de Gestión'!$AH$33="Moderado"),CONCATENATE("R4C",'Riesgos de Gestión'!$V$33),"")</f>
        <v/>
      </c>
      <c r="Y29" s="51" t="str">
        <f>IF(AND('Riesgos de Gestión'!$AF$34="Media",'Riesgos de Gestión'!$AH$34="Moderado"),CONCATENATE("R4C",'Riesgos de Gestión'!$V$34),"")</f>
        <v/>
      </c>
      <c r="Z29" s="51" t="str">
        <f>IF(AND('Riesgos de Gestión'!$AF$35="Media",'Riesgos de Gestión'!$AH$35="Moderado"),CONCATENATE("R4C",'Riesgos de Gestión'!$V$35),"")</f>
        <v/>
      </c>
      <c r="AA29" s="52" t="str">
        <f>IF(AND('Riesgos de Gestión'!$AF$36="Media",'Riesgos de Gestión'!$AH$36="Moderado"),CONCATENATE("R4C",'Riesgos de Gestión'!$V$36),"")</f>
        <v/>
      </c>
      <c r="AB29" s="35" t="str">
        <f>IF(AND('Riesgos de Gestión'!$AF$31="Media",'Riesgos de Gestión'!$AH$31="Mayor"),CONCATENATE("R4C",'Riesgos de Gestión'!$V$31),"")</f>
        <v/>
      </c>
      <c r="AC29" s="36" t="str">
        <f>IF(AND('Riesgos de Gestión'!$AF$32="Media",'Riesgos de Gestión'!$AH$32="Mayor"),CONCATENATE("R4C",'Riesgos de Gestión'!$V$32),"")</f>
        <v/>
      </c>
      <c r="AD29" s="36" t="str">
        <f>IF(AND('Riesgos de Gestión'!$AF$33="Media",'Riesgos de Gestión'!$AH$33="Mayor"),CONCATENATE("R4C",'Riesgos de Gestión'!$V$33),"")</f>
        <v/>
      </c>
      <c r="AE29" s="36" t="str">
        <f>IF(AND('Riesgos de Gestión'!$AF$34="Media",'Riesgos de Gestión'!$AH$34="Mayor"),CONCATENATE("R4C",'Riesgos de Gestión'!$V$34),"")</f>
        <v/>
      </c>
      <c r="AF29" s="36" t="str">
        <f>IF(AND('Riesgos de Gestión'!$AF$35="Media",'Riesgos de Gestión'!$AH$35="Mayor"),CONCATENATE("R4C",'Riesgos de Gestión'!$V$35),"")</f>
        <v/>
      </c>
      <c r="AG29" s="37" t="str">
        <f>IF(AND('Riesgos de Gestión'!$AF$36="Media",'Riesgos de Gestión'!$AH$36="Mayor"),CONCATENATE("R4C",'Riesgos de Gestión'!$V$36),"")</f>
        <v/>
      </c>
      <c r="AH29" s="38" t="str">
        <f>IF(AND('Riesgos de Gestión'!$AF$31="Media",'Riesgos de Gestión'!$AH$31="Catastrófico"),CONCATENATE("R4C",'Riesgos de Gestión'!$V$31),"")</f>
        <v/>
      </c>
      <c r="AI29" s="39" t="str">
        <f>IF(AND('Riesgos de Gestión'!$AF$32="Media",'Riesgos de Gestión'!$AH$32="Catastrófico"),CONCATENATE("R4C",'Riesgos de Gestión'!$V$32),"")</f>
        <v/>
      </c>
      <c r="AJ29" s="39" t="str">
        <f>IF(AND('Riesgos de Gestión'!$AF$33="Media",'Riesgos de Gestión'!$AH$33="Catastrófico"),CONCATENATE("R4C",'Riesgos de Gestión'!$V$33),"")</f>
        <v/>
      </c>
      <c r="AK29" s="39" t="str">
        <f>IF(AND('Riesgos de Gestión'!$AF$34="Media",'Riesgos de Gestión'!$AH$34="Catastrófico"),CONCATENATE("R4C",'Riesgos de Gestión'!$V$34),"")</f>
        <v/>
      </c>
      <c r="AL29" s="39" t="str">
        <f>IF(AND('Riesgos de Gestión'!$AF$35="Media",'Riesgos de Gestión'!$AH$35="Catastrófico"),CONCATENATE("R4C",'Riesgos de Gestión'!$V$35),"")</f>
        <v/>
      </c>
      <c r="AM29" s="40" t="str">
        <f>IF(AND('Riesgos de Gestión'!$AF$36="Media",'Riesgos de Gestión'!$AH$36="Catastrófico"),CONCATENATE("R4C",'Riesgos de Gestión'!$V$36),"")</f>
        <v/>
      </c>
      <c r="AN29" s="66"/>
      <c r="AO29" s="517"/>
      <c r="AP29" s="518"/>
      <c r="AQ29" s="518"/>
      <c r="AR29" s="518"/>
      <c r="AS29" s="518"/>
      <c r="AT29" s="519"/>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row>
    <row r="30" spans="1:76" ht="15" customHeight="1" x14ac:dyDescent="0.25">
      <c r="A30" s="66"/>
      <c r="B30" s="389"/>
      <c r="C30" s="389"/>
      <c r="D30" s="390"/>
      <c r="E30" s="488"/>
      <c r="F30" s="487"/>
      <c r="G30" s="487"/>
      <c r="H30" s="487"/>
      <c r="I30" s="503"/>
      <c r="J30" s="50" t="str">
        <f>IF(AND('Riesgos de Gestión'!$AF$37="Media",'Riesgos de Gestión'!$AH$37="Leve"),CONCATENATE("R5C",'Riesgos de Gestión'!$V$37),"")</f>
        <v/>
      </c>
      <c r="K30" s="51" t="str">
        <f>IF(AND('Riesgos de Gestión'!$AF$38="Media",'Riesgos de Gestión'!$AH$38="Leve"),CONCATENATE("R5C",'Riesgos de Gestión'!$V$38),"")</f>
        <v/>
      </c>
      <c r="L30" s="51" t="str">
        <f>IF(AND('Riesgos de Gestión'!$AF$39="Media",'Riesgos de Gestión'!$AH$39="Leve"),CONCATENATE("R5C",'Riesgos de Gestión'!$V$39),"")</f>
        <v/>
      </c>
      <c r="M30" s="51" t="str">
        <f>IF(AND('Riesgos de Gestión'!$AF$40="Media",'Riesgos de Gestión'!$AH$40="Leve"),CONCATENATE("R5C",'Riesgos de Gestión'!$V$40),"")</f>
        <v/>
      </c>
      <c r="N30" s="51" t="str">
        <f>IF(AND('Riesgos de Gestión'!$AF$41="Media",'Riesgos de Gestión'!$AH$41="Leve"),CONCATENATE("R5C",'Riesgos de Gestión'!$V$41),"")</f>
        <v/>
      </c>
      <c r="O30" s="52" t="str">
        <f>IF(AND('Riesgos de Gestión'!$AF$42="Media",'Riesgos de Gestión'!$AH$42="Leve"),CONCATENATE("R5C",'Riesgos de Gestión'!$V$42),"")</f>
        <v/>
      </c>
      <c r="P30" s="50" t="str">
        <f>IF(AND('Riesgos de Gestión'!$AF$37="Media",'Riesgos de Gestión'!$AH$37="Menor"),CONCATENATE("R5C",'Riesgos de Gestión'!$V$37),"")</f>
        <v/>
      </c>
      <c r="Q30" s="51" t="str">
        <f>IF(AND('Riesgos de Gestión'!$AF$38="Media",'Riesgos de Gestión'!$AH$38="Menor"),CONCATENATE("R5C",'Riesgos de Gestión'!$V$38),"")</f>
        <v/>
      </c>
      <c r="R30" s="51" t="str">
        <f>IF(AND('Riesgos de Gestión'!$AF$39="Media",'Riesgos de Gestión'!$AH$39="Menor"),CONCATENATE("R5C",'Riesgos de Gestión'!$V$39),"")</f>
        <v/>
      </c>
      <c r="S30" s="51" t="str">
        <f>IF(AND('Riesgos de Gestión'!$AF$40="Media",'Riesgos de Gestión'!$AH$40="Menor"),CONCATENATE("R5C",'Riesgos de Gestión'!$V$40),"")</f>
        <v/>
      </c>
      <c r="T30" s="51" t="str">
        <f>IF(AND('Riesgos de Gestión'!$AF$41="Media",'Riesgos de Gestión'!$AH$41="Menor"),CONCATENATE("R5C",'Riesgos de Gestión'!$V$41),"")</f>
        <v/>
      </c>
      <c r="U30" s="52" t="str">
        <f>IF(AND('Riesgos de Gestión'!$AF$42="Media",'Riesgos de Gestión'!$AH$42="Menor"),CONCATENATE("R5C",'Riesgos de Gestión'!$V$42),"")</f>
        <v/>
      </c>
      <c r="V30" s="50" t="str">
        <f>IF(AND('Riesgos de Gestión'!$AF$37="Media",'Riesgos de Gestión'!$AH$37="Moderado"),CONCATENATE("R5C",'Riesgos de Gestión'!$V$37),"")</f>
        <v/>
      </c>
      <c r="W30" s="51" t="str">
        <f>IF(AND('Riesgos de Gestión'!$AF$38="Media",'Riesgos de Gestión'!$AH$38="Moderado"),CONCATENATE("R5C",'Riesgos de Gestión'!$V$38),"")</f>
        <v/>
      </c>
      <c r="X30" s="51" t="str">
        <f>IF(AND('Riesgos de Gestión'!$AF$39="Media",'Riesgos de Gestión'!$AH$39="Moderado"),CONCATENATE("R5C",'Riesgos de Gestión'!$V$39),"")</f>
        <v/>
      </c>
      <c r="Y30" s="51" t="str">
        <f>IF(AND('Riesgos de Gestión'!$AF$40="Media",'Riesgos de Gestión'!$AH$40="Moderado"),CONCATENATE("R5C",'Riesgos de Gestión'!$V$40),"")</f>
        <v/>
      </c>
      <c r="Z30" s="51" t="str">
        <f>IF(AND('Riesgos de Gestión'!$AF$41="Media",'Riesgos de Gestión'!$AH$41="Moderado"),CONCATENATE("R5C",'Riesgos de Gestión'!$V$41),"")</f>
        <v/>
      </c>
      <c r="AA30" s="52" t="str">
        <f>IF(AND('Riesgos de Gestión'!$AF$42="Media",'Riesgos de Gestión'!$AH$42="Moderado"),CONCATENATE("R5C",'Riesgos de Gestión'!$V$42),"")</f>
        <v/>
      </c>
      <c r="AB30" s="35" t="str">
        <f>IF(AND('Riesgos de Gestión'!$AF$37="Media",'Riesgos de Gestión'!$AH$37="Mayor"),CONCATENATE("R5C",'Riesgos de Gestión'!$V$37),"")</f>
        <v/>
      </c>
      <c r="AC30" s="36" t="str">
        <f>IF(AND('Riesgos de Gestión'!$AF$38="Media",'Riesgos de Gestión'!$AH$38="Mayor"),CONCATENATE("R5C",'Riesgos de Gestión'!$V$38),"")</f>
        <v/>
      </c>
      <c r="AD30" s="36" t="str">
        <f>IF(AND('Riesgos de Gestión'!$AF$39="Media",'Riesgos de Gestión'!$AH$39="Mayor"),CONCATENATE("R5C",'Riesgos de Gestión'!$V$39),"")</f>
        <v/>
      </c>
      <c r="AE30" s="36" t="str">
        <f>IF(AND('Riesgos de Gestión'!$AF$40="Media",'Riesgos de Gestión'!$AH$40="Mayor"),CONCATENATE("R5C",'Riesgos de Gestión'!$V$40),"")</f>
        <v/>
      </c>
      <c r="AF30" s="36" t="str">
        <f>IF(AND('Riesgos de Gestión'!$AF$41="Media",'Riesgos de Gestión'!$AH$41="Mayor"),CONCATENATE("R5C",'Riesgos de Gestión'!$V$41),"")</f>
        <v/>
      </c>
      <c r="AG30" s="37" t="str">
        <f>IF(AND('Riesgos de Gestión'!$AF$42="Media",'Riesgos de Gestión'!$AH$42="Mayor"),CONCATENATE("R5C",'Riesgos de Gestión'!$V$42),"")</f>
        <v/>
      </c>
      <c r="AH30" s="38" t="str">
        <f>IF(AND('Riesgos de Gestión'!$AF$37="Media",'Riesgos de Gestión'!$AH$37="Catastrófico"),CONCATENATE("R5C",'Riesgos de Gestión'!$V$37),"")</f>
        <v/>
      </c>
      <c r="AI30" s="39" t="str">
        <f>IF(AND('Riesgos de Gestión'!$AF$38="Media",'Riesgos de Gestión'!$AH$38="Catastrófico"),CONCATENATE("R5C",'Riesgos de Gestión'!$V$38),"")</f>
        <v/>
      </c>
      <c r="AJ30" s="39" t="str">
        <f>IF(AND('Riesgos de Gestión'!$AF$39="Media",'Riesgos de Gestión'!$AH$39="Catastrófico"),CONCATENATE("R5C",'Riesgos de Gestión'!$V$39),"")</f>
        <v/>
      </c>
      <c r="AK30" s="39" t="str">
        <f>IF(AND('Riesgos de Gestión'!$AF$40="Media",'Riesgos de Gestión'!$AH$40="Catastrófico"),CONCATENATE("R5C",'Riesgos de Gestión'!$V$40),"")</f>
        <v/>
      </c>
      <c r="AL30" s="39" t="str">
        <f>IF(AND('Riesgos de Gestión'!$AF$41="Media",'Riesgos de Gestión'!$AH$41="Catastrófico"),CONCATENATE("R5C",'Riesgos de Gestión'!$V$41),"")</f>
        <v/>
      </c>
      <c r="AM30" s="40" t="str">
        <f>IF(AND('Riesgos de Gestión'!$AF$42="Media",'Riesgos de Gestión'!$AH$42="Catastrófico"),CONCATENATE("R5C",'Riesgos de Gestión'!$V$42),"")</f>
        <v/>
      </c>
      <c r="AN30" s="66"/>
      <c r="AO30" s="517"/>
      <c r="AP30" s="518"/>
      <c r="AQ30" s="518"/>
      <c r="AR30" s="518"/>
      <c r="AS30" s="518"/>
      <c r="AT30" s="519"/>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row>
    <row r="31" spans="1:76" ht="15" customHeight="1" x14ac:dyDescent="0.25">
      <c r="A31" s="66"/>
      <c r="B31" s="389"/>
      <c r="C31" s="389"/>
      <c r="D31" s="390"/>
      <c r="E31" s="488"/>
      <c r="F31" s="487"/>
      <c r="G31" s="487"/>
      <c r="H31" s="487"/>
      <c r="I31" s="503"/>
      <c r="J31" s="50" t="str">
        <f>IF(AND('Riesgos de Gestión'!$AF$43="Media",'Riesgos de Gestión'!$AH$43="Leve"),CONCATENATE("R6C",'Riesgos de Gestión'!$V$43),"")</f>
        <v/>
      </c>
      <c r="K31" s="51" t="str">
        <f>IF(AND('Riesgos de Gestión'!$AF$44="Media",'Riesgos de Gestión'!$AH$44="Leve"),CONCATENATE("R6C",'Riesgos de Gestión'!$V$44),"")</f>
        <v/>
      </c>
      <c r="L31" s="51" t="str">
        <f>IF(AND('Riesgos de Gestión'!$AF$45="Media",'Riesgos de Gestión'!$AH$45="Leve"),CONCATENATE("R6C",'Riesgos de Gestión'!$V$45),"")</f>
        <v/>
      </c>
      <c r="M31" s="51" t="str">
        <f>IF(AND('Riesgos de Gestión'!$AF$46="Media",'Riesgos de Gestión'!$AH$46="Leve"),CONCATENATE("R6C",'Riesgos de Gestión'!$V$46),"")</f>
        <v/>
      </c>
      <c r="N31" s="51" t="str">
        <f>IF(AND('Riesgos de Gestión'!$AF$47="Media",'Riesgos de Gestión'!$AH$47="Leve"),CONCATENATE("R6C",'Riesgos de Gestión'!$V$47),"")</f>
        <v/>
      </c>
      <c r="O31" s="52" t="str">
        <f>IF(AND('Riesgos de Gestión'!$AF$48="Media",'Riesgos de Gestión'!$AH$48="Leve"),CONCATENATE("R6C",'Riesgos de Gestión'!$V$48),"")</f>
        <v/>
      </c>
      <c r="P31" s="50" t="str">
        <f>IF(AND('Riesgos de Gestión'!$AF$43="Media",'Riesgos de Gestión'!$AH$43="Menor"),CONCATENATE("R6C",'Riesgos de Gestión'!$V$43),"")</f>
        <v/>
      </c>
      <c r="Q31" s="51" t="str">
        <f>IF(AND('Riesgos de Gestión'!$AF$44="Media",'Riesgos de Gestión'!$AH$44="Menor"),CONCATENATE("R6C",'Riesgos de Gestión'!$V$44),"")</f>
        <v/>
      </c>
      <c r="R31" s="51" t="str">
        <f>IF(AND('Riesgos de Gestión'!$AF$45="Media",'Riesgos de Gestión'!$AH$45="Menor"),CONCATENATE("R6C",'Riesgos de Gestión'!$V$45),"")</f>
        <v/>
      </c>
      <c r="S31" s="51" t="str">
        <f>IF(AND('Riesgos de Gestión'!$AF$46="Media",'Riesgos de Gestión'!$AH$46="Menor"),CONCATENATE("R6C",'Riesgos de Gestión'!$V$46),"")</f>
        <v/>
      </c>
      <c r="T31" s="51" t="str">
        <f>IF(AND('Riesgos de Gestión'!$AF$47="Media",'Riesgos de Gestión'!$AH$47="Menor"),CONCATENATE("R6C",'Riesgos de Gestión'!$V$47),"")</f>
        <v/>
      </c>
      <c r="U31" s="52" t="str">
        <f>IF(AND('Riesgos de Gestión'!$AF$48="Media",'Riesgos de Gestión'!$AH$48="Menor"),CONCATENATE("R6C",'Riesgos de Gestión'!$V$48),"")</f>
        <v/>
      </c>
      <c r="V31" s="50" t="str">
        <f>IF(AND('Riesgos de Gestión'!$AF$43="Media",'Riesgos de Gestión'!$AH$43="Moderado"),CONCATENATE("R6C",'Riesgos de Gestión'!$V$43),"")</f>
        <v/>
      </c>
      <c r="W31" s="51" t="str">
        <f>IF(AND('Riesgos de Gestión'!$AF$44="Media",'Riesgos de Gestión'!$AH$44="Moderado"),CONCATENATE("R6C",'Riesgos de Gestión'!$V$44),"")</f>
        <v/>
      </c>
      <c r="X31" s="51" t="str">
        <f>IF(AND('Riesgos de Gestión'!$AF$45="Media",'Riesgos de Gestión'!$AH$45="Moderado"),CONCATENATE("R6C",'Riesgos de Gestión'!$V$45),"")</f>
        <v/>
      </c>
      <c r="Y31" s="51" t="str">
        <f>IF(AND('Riesgos de Gestión'!$AF$46="Media",'Riesgos de Gestión'!$AH$46="Moderado"),CONCATENATE("R6C",'Riesgos de Gestión'!$V$46),"")</f>
        <v/>
      </c>
      <c r="Z31" s="51" t="str">
        <f>IF(AND('Riesgos de Gestión'!$AF$47="Media",'Riesgos de Gestión'!$AH$47="Moderado"),CONCATENATE("R6C",'Riesgos de Gestión'!$V$47),"")</f>
        <v/>
      </c>
      <c r="AA31" s="52" t="str">
        <f>IF(AND('Riesgos de Gestión'!$AF$48="Media",'Riesgos de Gestión'!$AH$48="Moderado"),CONCATENATE("R6C",'Riesgos de Gestión'!$V$48),"")</f>
        <v/>
      </c>
      <c r="AB31" s="35" t="str">
        <f>IF(AND('Riesgos de Gestión'!$AF$43="Media",'Riesgos de Gestión'!$AH$43="Mayor"),CONCATENATE("R6C",'Riesgos de Gestión'!$V$43),"")</f>
        <v/>
      </c>
      <c r="AC31" s="36" t="str">
        <f>IF(AND('Riesgos de Gestión'!$AF$44="Media",'Riesgos de Gestión'!$AH$44="Mayor"),CONCATENATE("R6C",'Riesgos de Gestión'!$V$44),"")</f>
        <v/>
      </c>
      <c r="AD31" s="36" t="str">
        <f>IF(AND('Riesgos de Gestión'!$AF$45="Media",'Riesgos de Gestión'!$AH$45="Mayor"),CONCATENATE("R6C",'Riesgos de Gestión'!$V$45),"")</f>
        <v/>
      </c>
      <c r="AE31" s="36" t="str">
        <f>IF(AND('Riesgos de Gestión'!$AF$46="Media",'Riesgos de Gestión'!$AH$46="Mayor"),CONCATENATE("R6C",'Riesgos de Gestión'!$V$46),"")</f>
        <v/>
      </c>
      <c r="AF31" s="36" t="str">
        <f>IF(AND('Riesgos de Gestión'!$AF$47="Media",'Riesgos de Gestión'!$AH$47="Mayor"),CONCATENATE("R6C",'Riesgos de Gestión'!$V$47),"")</f>
        <v/>
      </c>
      <c r="AG31" s="37" t="str">
        <f>IF(AND('Riesgos de Gestión'!$AF$48="Media",'Riesgos de Gestión'!$AH$48="Mayor"),CONCATENATE("R6C",'Riesgos de Gestión'!$V$48),"")</f>
        <v/>
      </c>
      <c r="AH31" s="38" t="str">
        <f>IF(AND('Riesgos de Gestión'!$AF$43="Media",'Riesgos de Gestión'!$AH$43="Catastrófico"),CONCATENATE("R6C",'Riesgos de Gestión'!$V$43),"")</f>
        <v/>
      </c>
      <c r="AI31" s="39" t="str">
        <f>IF(AND('Riesgos de Gestión'!$AF$44="Media",'Riesgos de Gestión'!$AH$44="Catastrófico"),CONCATENATE("R6C",'Riesgos de Gestión'!$V$44),"")</f>
        <v/>
      </c>
      <c r="AJ31" s="39" t="str">
        <f>IF(AND('Riesgos de Gestión'!$AF$45="Media",'Riesgos de Gestión'!$AH$45="Catastrófico"),CONCATENATE("R6C",'Riesgos de Gestión'!$V$45),"")</f>
        <v/>
      </c>
      <c r="AK31" s="39" t="str">
        <f>IF(AND('Riesgos de Gestión'!$AF$46="Media",'Riesgos de Gestión'!$AH$46="Catastrófico"),CONCATENATE("R6C",'Riesgos de Gestión'!$V$46),"")</f>
        <v/>
      </c>
      <c r="AL31" s="39" t="str">
        <f>IF(AND('Riesgos de Gestión'!$AF$47="Media",'Riesgos de Gestión'!$AH$47="Catastrófico"),CONCATENATE("R6C",'Riesgos de Gestión'!$V$47),"")</f>
        <v/>
      </c>
      <c r="AM31" s="40" t="str">
        <f>IF(AND('Riesgos de Gestión'!$AF$48="Media",'Riesgos de Gestión'!$AH$48="Catastrófico"),CONCATENATE("R6C",'Riesgos de Gestión'!$V$48),"")</f>
        <v/>
      </c>
      <c r="AN31" s="66"/>
      <c r="AO31" s="517"/>
      <c r="AP31" s="518"/>
      <c r="AQ31" s="518"/>
      <c r="AR31" s="518"/>
      <c r="AS31" s="518"/>
      <c r="AT31" s="519"/>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row>
    <row r="32" spans="1:76" ht="15" customHeight="1" x14ac:dyDescent="0.25">
      <c r="A32" s="66"/>
      <c r="B32" s="389"/>
      <c r="C32" s="389"/>
      <c r="D32" s="390"/>
      <c r="E32" s="488"/>
      <c r="F32" s="487"/>
      <c r="G32" s="487"/>
      <c r="H32" s="487"/>
      <c r="I32" s="503"/>
      <c r="J32" s="50" t="str">
        <f>IF(AND('Riesgos de Gestión'!$AF$49="Media",'Riesgos de Gestión'!$AH$49="Leve"),CONCATENATE("R7C",'Riesgos de Gestión'!$V$49),"")</f>
        <v/>
      </c>
      <c r="K32" s="51" t="str">
        <f>IF(AND('Riesgos de Gestión'!$AF$50="Media",'Riesgos de Gestión'!$AH$50="Leve"),CONCATENATE("R7C",'Riesgos de Gestión'!$V$50),"")</f>
        <v/>
      </c>
      <c r="L32" s="51" t="str">
        <f>IF(AND('Riesgos de Gestión'!$AF$51="Media",'Riesgos de Gestión'!$AH$51="Leve"),CONCATENATE("R7C",'Riesgos de Gestión'!$V$51),"")</f>
        <v/>
      </c>
      <c r="M32" s="51" t="str">
        <f>IF(AND('Riesgos de Gestión'!$AF$52="Media",'Riesgos de Gestión'!$AH$52="Leve"),CONCATENATE("R7C",'Riesgos de Gestión'!$V$52),"")</f>
        <v/>
      </c>
      <c r="N32" s="51" t="str">
        <f>IF(AND('Riesgos de Gestión'!$AF$53="Media",'Riesgos de Gestión'!$AH$53="Leve"),CONCATENATE("R7C",'Riesgos de Gestión'!$V$53),"")</f>
        <v/>
      </c>
      <c r="O32" s="52" t="str">
        <f>IF(AND('Riesgos de Gestión'!$AF$54="Media",'Riesgos de Gestión'!$AH$54="Leve"),CONCATENATE("R7C",'Riesgos de Gestión'!$V$54),"")</f>
        <v/>
      </c>
      <c r="P32" s="50" t="str">
        <f>IF(AND('Riesgos de Gestión'!$AF$49="Media",'Riesgos de Gestión'!$AH$49="Menor"),CONCATENATE("R7C",'Riesgos de Gestión'!$V$49),"")</f>
        <v/>
      </c>
      <c r="Q32" s="51" t="str">
        <f>IF(AND('Riesgos de Gestión'!$AF$50="Media",'Riesgos de Gestión'!$AH$50="Menor"),CONCATENATE("R7C",'Riesgos de Gestión'!$V$50),"")</f>
        <v/>
      </c>
      <c r="R32" s="51" t="str">
        <f>IF(AND('Riesgos de Gestión'!$AF$51="Media",'Riesgos de Gestión'!$AH$51="Menor"),CONCATENATE("R7C",'Riesgos de Gestión'!$V$51),"")</f>
        <v/>
      </c>
      <c r="S32" s="51" t="str">
        <f>IF(AND('Riesgos de Gestión'!$AF$52="Media",'Riesgos de Gestión'!$AH$52="Menor"),CONCATENATE("R7C",'Riesgos de Gestión'!$V$52),"")</f>
        <v/>
      </c>
      <c r="T32" s="51" t="str">
        <f>IF(AND('Riesgos de Gestión'!$AF$53="Media",'Riesgos de Gestión'!$AH$53="Menor"),CONCATENATE("R7C",'Riesgos de Gestión'!$V$53),"")</f>
        <v/>
      </c>
      <c r="U32" s="52" t="str">
        <f>IF(AND('Riesgos de Gestión'!$AF$54="Media",'Riesgos de Gestión'!$AH$54="Menor"),CONCATENATE("R7C",'Riesgos de Gestión'!$V$54),"")</f>
        <v/>
      </c>
      <c r="V32" s="50" t="str">
        <f>IF(AND('Riesgos de Gestión'!$AF$49="Media",'Riesgos de Gestión'!$AH$49="Moderado"),CONCATENATE("R7C",'Riesgos de Gestión'!$V$49),"")</f>
        <v/>
      </c>
      <c r="W32" s="51" t="str">
        <f>IF(AND('Riesgos de Gestión'!$AF$50="Media",'Riesgos de Gestión'!$AH$50="Moderado"),CONCATENATE("R7C",'Riesgos de Gestión'!$V$50),"")</f>
        <v/>
      </c>
      <c r="X32" s="51" t="str">
        <f>IF(AND('Riesgos de Gestión'!$AF$51="Media",'Riesgos de Gestión'!$AH$51="Moderado"),CONCATENATE("R7C",'Riesgos de Gestión'!$V$51),"")</f>
        <v/>
      </c>
      <c r="Y32" s="51" t="str">
        <f>IF(AND('Riesgos de Gestión'!$AF$52="Media",'Riesgos de Gestión'!$AH$52="Moderado"),CONCATENATE("R7C",'Riesgos de Gestión'!$V$52),"")</f>
        <v/>
      </c>
      <c r="Z32" s="51" t="str">
        <f>IF(AND('Riesgos de Gestión'!$AF$53="Media",'Riesgos de Gestión'!$AH$53="Moderado"),CONCATENATE("R7C",'Riesgos de Gestión'!$V$53),"")</f>
        <v/>
      </c>
      <c r="AA32" s="52" t="str">
        <f>IF(AND('Riesgos de Gestión'!$AF$54="Media",'Riesgos de Gestión'!$AH$54="Moderado"),CONCATENATE("R7C",'Riesgos de Gestión'!$V$54),"")</f>
        <v/>
      </c>
      <c r="AB32" s="35" t="str">
        <f>IF(AND('Riesgos de Gestión'!$AF$49="Media",'Riesgos de Gestión'!$AH$49="Mayor"),CONCATENATE("R7C",'Riesgos de Gestión'!$V$49),"")</f>
        <v/>
      </c>
      <c r="AC32" s="36" t="str">
        <f>IF(AND('Riesgos de Gestión'!$AF$50="Media",'Riesgos de Gestión'!$AH$50="Mayor"),CONCATENATE("R7C",'Riesgos de Gestión'!$V$50),"")</f>
        <v/>
      </c>
      <c r="AD32" s="36" t="str">
        <f>IF(AND('Riesgos de Gestión'!$AF$51="Media",'Riesgos de Gestión'!$AH$51="Mayor"),CONCATENATE("R7C",'Riesgos de Gestión'!$V$51),"")</f>
        <v/>
      </c>
      <c r="AE32" s="36" t="str">
        <f>IF(AND('Riesgos de Gestión'!$AF$52="Media",'Riesgos de Gestión'!$AH$52="Mayor"),CONCATENATE("R7C",'Riesgos de Gestión'!$V$52),"")</f>
        <v/>
      </c>
      <c r="AF32" s="36" t="str">
        <f>IF(AND('Riesgos de Gestión'!$AF$53="Media",'Riesgos de Gestión'!$AH$53="Mayor"),CONCATENATE("R7C",'Riesgos de Gestión'!$V$53),"")</f>
        <v/>
      </c>
      <c r="AG32" s="37" t="str">
        <f>IF(AND('Riesgos de Gestión'!$AF$54="Media",'Riesgos de Gestión'!$AH$54="Mayor"),CONCATENATE("R7C",'Riesgos de Gestión'!$V$54),"")</f>
        <v/>
      </c>
      <c r="AH32" s="38" t="str">
        <f>IF(AND('Riesgos de Gestión'!$AF$49="Media",'Riesgos de Gestión'!$AH$49="Catastrófico"),CONCATENATE("R7C",'Riesgos de Gestión'!$V$49),"")</f>
        <v/>
      </c>
      <c r="AI32" s="39" t="str">
        <f>IF(AND('Riesgos de Gestión'!$AF$50="Media",'Riesgos de Gestión'!$AH$50="Catastrófico"),CONCATENATE("R7C",'Riesgos de Gestión'!$V$50),"")</f>
        <v/>
      </c>
      <c r="AJ32" s="39" t="str">
        <f>IF(AND('Riesgos de Gestión'!$AF$51="Media",'Riesgos de Gestión'!$AH$51="Catastrófico"),CONCATENATE("R7C",'Riesgos de Gestión'!$V$51),"")</f>
        <v/>
      </c>
      <c r="AK32" s="39" t="str">
        <f>IF(AND('Riesgos de Gestión'!$AF$52="Media",'Riesgos de Gestión'!$AH$52="Catastrófico"),CONCATENATE("R7C",'Riesgos de Gestión'!$V$52),"")</f>
        <v/>
      </c>
      <c r="AL32" s="39" t="str">
        <f>IF(AND('Riesgos de Gestión'!$AF$53="Media",'Riesgos de Gestión'!$AH$53="Catastrófico"),CONCATENATE("R7C",'Riesgos de Gestión'!$V$53),"")</f>
        <v/>
      </c>
      <c r="AM32" s="40" t="str">
        <f>IF(AND('Riesgos de Gestión'!$AF$54="Media",'Riesgos de Gestión'!$AH$54="Catastrófico"),CONCATENATE("R7C",'Riesgos de Gestión'!$V$54),"")</f>
        <v/>
      </c>
      <c r="AN32" s="66"/>
      <c r="AO32" s="517"/>
      <c r="AP32" s="518"/>
      <c r="AQ32" s="518"/>
      <c r="AR32" s="518"/>
      <c r="AS32" s="518"/>
      <c r="AT32" s="519"/>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row>
    <row r="33" spans="1:80" ht="15" customHeight="1" x14ac:dyDescent="0.25">
      <c r="A33" s="66"/>
      <c r="B33" s="389"/>
      <c r="C33" s="389"/>
      <c r="D33" s="390"/>
      <c r="E33" s="488"/>
      <c r="F33" s="487"/>
      <c r="G33" s="487"/>
      <c r="H33" s="487"/>
      <c r="I33" s="503"/>
      <c r="J33" s="50" t="str">
        <f>IF(AND('Riesgos de Gestión'!$AF$55="Media",'Riesgos de Gestión'!$AH$55="Leve"),CONCATENATE("R8C",'Riesgos de Gestión'!$V$55),"")</f>
        <v/>
      </c>
      <c r="K33" s="51" t="str">
        <f>IF(AND('Riesgos de Gestión'!$AF$56="Media",'Riesgos de Gestión'!$AH$56="Leve"),CONCATENATE("R8C",'Riesgos de Gestión'!$V$56),"")</f>
        <v/>
      </c>
      <c r="L33" s="51" t="str">
        <f>IF(AND('Riesgos de Gestión'!$AF$57="Media",'Riesgos de Gestión'!$AH$57="Leve"),CONCATENATE("R8C",'Riesgos de Gestión'!$V$57),"")</f>
        <v/>
      </c>
      <c r="M33" s="51" t="str">
        <f>IF(AND('Riesgos de Gestión'!$AF$58="Media",'Riesgos de Gestión'!$AH$58="Leve"),CONCATENATE("R8C",'Riesgos de Gestión'!$V$58),"")</f>
        <v/>
      </c>
      <c r="N33" s="51" t="str">
        <f>IF(AND('Riesgos de Gestión'!$AF$59="Media",'Riesgos de Gestión'!$AH$59="Leve"),CONCATENATE("R8C",'Riesgos de Gestión'!$V$59),"")</f>
        <v/>
      </c>
      <c r="O33" s="52" t="str">
        <f>IF(AND('Riesgos de Gestión'!$AF$60="Media",'Riesgos de Gestión'!$AH$60="Leve"),CONCATENATE("R8C",'Riesgos de Gestión'!$V$60),"")</f>
        <v/>
      </c>
      <c r="P33" s="50" t="str">
        <f>IF(AND('Riesgos de Gestión'!$AF$55="Media",'Riesgos de Gestión'!$AH$55="Menor"),CONCATENATE("R8C",'Riesgos de Gestión'!$V$55),"")</f>
        <v/>
      </c>
      <c r="Q33" s="51" t="str">
        <f>IF(AND('Riesgos de Gestión'!$AF$56="Media",'Riesgos de Gestión'!$AH$56="Menor"),CONCATENATE("R8C",'Riesgos de Gestión'!$V$56),"")</f>
        <v/>
      </c>
      <c r="R33" s="51" t="str">
        <f>IF(AND('Riesgos de Gestión'!$AF$57="Media",'Riesgos de Gestión'!$AH$57="Menor"),CONCATENATE("R8C",'Riesgos de Gestión'!$V$57),"")</f>
        <v/>
      </c>
      <c r="S33" s="51" t="str">
        <f>IF(AND('Riesgos de Gestión'!$AF$58="Media",'Riesgos de Gestión'!$AH$58="Menor"),CONCATENATE("R8C",'Riesgos de Gestión'!$V$58),"")</f>
        <v/>
      </c>
      <c r="T33" s="51" t="str">
        <f>IF(AND('Riesgos de Gestión'!$AF$59="Media",'Riesgos de Gestión'!$AH$59="Menor"),CONCATENATE("R8C",'Riesgos de Gestión'!$V$59),"")</f>
        <v/>
      </c>
      <c r="U33" s="52" t="str">
        <f>IF(AND('Riesgos de Gestión'!$AF$60="Media",'Riesgos de Gestión'!$AH$60="Menor"),CONCATENATE("R8C",'Riesgos de Gestión'!$V$60),"")</f>
        <v/>
      </c>
      <c r="V33" s="50" t="str">
        <f>IF(AND('Riesgos de Gestión'!$AF$55="Media",'Riesgos de Gestión'!$AH$55="Moderado"),CONCATENATE("R8C",'Riesgos de Gestión'!$V$55),"")</f>
        <v/>
      </c>
      <c r="W33" s="51" t="str">
        <f>IF(AND('Riesgos de Gestión'!$AF$56="Media",'Riesgos de Gestión'!$AH$56="Moderado"),CONCATENATE("R8C",'Riesgos de Gestión'!$V$56),"")</f>
        <v/>
      </c>
      <c r="X33" s="51" t="str">
        <f>IF(AND('Riesgos de Gestión'!$AF$57="Media",'Riesgos de Gestión'!$AH$57="Moderado"),CONCATENATE("R8C",'Riesgos de Gestión'!$V$57),"")</f>
        <v/>
      </c>
      <c r="Y33" s="51" t="str">
        <f>IF(AND('Riesgos de Gestión'!$AF$58="Media",'Riesgos de Gestión'!$AH$58="Moderado"),CONCATENATE("R8C",'Riesgos de Gestión'!$V$58),"")</f>
        <v/>
      </c>
      <c r="Z33" s="51" t="str">
        <f>IF(AND('Riesgos de Gestión'!$AF$59="Media",'Riesgos de Gestión'!$AH$59="Moderado"),CONCATENATE("R8C",'Riesgos de Gestión'!$V$59),"")</f>
        <v/>
      </c>
      <c r="AA33" s="52" t="str">
        <f>IF(AND('Riesgos de Gestión'!$AF$60="Media",'Riesgos de Gestión'!$AH$60="Moderado"),CONCATENATE("R8C",'Riesgos de Gestión'!$V$60),"")</f>
        <v/>
      </c>
      <c r="AB33" s="35" t="str">
        <f>IF(AND('Riesgos de Gestión'!$AF$55="Media",'Riesgos de Gestión'!$AH$55="Mayor"),CONCATENATE("R8C",'Riesgos de Gestión'!$V$55),"")</f>
        <v/>
      </c>
      <c r="AC33" s="36" t="str">
        <f>IF(AND('Riesgos de Gestión'!$AF$56="Media",'Riesgos de Gestión'!$AH$56="Mayor"),CONCATENATE("R8C",'Riesgos de Gestión'!$V$56),"")</f>
        <v/>
      </c>
      <c r="AD33" s="36" t="str">
        <f>IF(AND('Riesgos de Gestión'!$AF$57="Media",'Riesgos de Gestión'!$AH$57="Mayor"),CONCATENATE("R8C",'Riesgos de Gestión'!$V$57),"")</f>
        <v/>
      </c>
      <c r="AE33" s="36" t="str">
        <f>IF(AND('Riesgos de Gestión'!$AF$58="Media",'Riesgos de Gestión'!$AH$58="Mayor"),CONCATENATE("R8C",'Riesgos de Gestión'!$V$58),"")</f>
        <v/>
      </c>
      <c r="AF33" s="36" t="str">
        <f>IF(AND('Riesgos de Gestión'!$AF$59="Media",'Riesgos de Gestión'!$AH$59="Mayor"),CONCATENATE("R8C",'Riesgos de Gestión'!$V$59),"")</f>
        <v/>
      </c>
      <c r="AG33" s="37" t="str">
        <f>IF(AND('Riesgos de Gestión'!$AF$60="Media",'Riesgos de Gestión'!$AH$60="Mayor"),CONCATENATE("R8C",'Riesgos de Gestión'!$V$60),"")</f>
        <v/>
      </c>
      <c r="AH33" s="38" t="str">
        <f>IF(AND('Riesgos de Gestión'!$AF$55="Media",'Riesgos de Gestión'!$AH$55="Catastrófico"),CONCATENATE("R8C",'Riesgos de Gestión'!$V$55),"")</f>
        <v/>
      </c>
      <c r="AI33" s="39" t="str">
        <f>IF(AND('Riesgos de Gestión'!$AF$56="Media",'Riesgos de Gestión'!$AH$56="Catastrófico"),CONCATENATE("R8C",'Riesgos de Gestión'!$V$56),"")</f>
        <v/>
      </c>
      <c r="AJ33" s="39" t="str">
        <f>IF(AND('Riesgos de Gestión'!$AF$57="Media",'Riesgos de Gestión'!$AH$57="Catastrófico"),CONCATENATE("R8C",'Riesgos de Gestión'!$V$57),"")</f>
        <v/>
      </c>
      <c r="AK33" s="39" t="str">
        <f>IF(AND('Riesgos de Gestión'!$AF$58="Media",'Riesgos de Gestión'!$AH$58="Catastrófico"),CONCATENATE("R8C",'Riesgos de Gestión'!$V$58),"")</f>
        <v/>
      </c>
      <c r="AL33" s="39" t="str">
        <f>IF(AND('Riesgos de Gestión'!$AF$59="Media",'Riesgos de Gestión'!$AH$59="Catastrófico"),CONCATENATE("R8C",'Riesgos de Gestión'!$V$59),"")</f>
        <v/>
      </c>
      <c r="AM33" s="40" t="str">
        <f>IF(AND('Riesgos de Gestión'!$AF$60="Media",'Riesgos de Gestión'!$AH$60="Catastrófico"),CONCATENATE("R8C",'Riesgos de Gestión'!$V$60),"")</f>
        <v/>
      </c>
      <c r="AN33" s="66"/>
      <c r="AO33" s="517"/>
      <c r="AP33" s="518"/>
      <c r="AQ33" s="518"/>
      <c r="AR33" s="518"/>
      <c r="AS33" s="518"/>
      <c r="AT33" s="519"/>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row>
    <row r="34" spans="1:80" ht="15" customHeight="1" x14ac:dyDescent="0.25">
      <c r="A34" s="66"/>
      <c r="B34" s="389"/>
      <c r="C34" s="389"/>
      <c r="D34" s="390"/>
      <c r="E34" s="488"/>
      <c r="F34" s="487"/>
      <c r="G34" s="487"/>
      <c r="H34" s="487"/>
      <c r="I34" s="503"/>
      <c r="J34" s="50" t="str">
        <f>IF(AND('Riesgos de Gestión'!$AF$61="Media",'Riesgos de Gestión'!$AH$61="Leve"),CONCATENATE("R9C",'Riesgos de Gestión'!$V$61),"")</f>
        <v/>
      </c>
      <c r="K34" s="51" t="str">
        <f>IF(AND('Riesgos de Gestión'!$AF$62="Media",'Riesgos de Gestión'!$AH$62="Leve"),CONCATENATE("R9C",'Riesgos de Gestión'!$V$62),"")</f>
        <v/>
      </c>
      <c r="L34" s="51" t="str">
        <f>IF(AND('Riesgos de Gestión'!$AF$63="Media",'Riesgos de Gestión'!$AH$63="Leve"),CONCATENATE("R9C",'Riesgos de Gestión'!$V$63),"")</f>
        <v/>
      </c>
      <c r="M34" s="51" t="str">
        <f>IF(AND('Riesgos de Gestión'!$AF$64="Media",'Riesgos de Gestión'!$AH$64="Leve"),CONCATENATE("R9C",'Riesgos de Gestión'!$V$64),"")</f>
        <v/>
      </c>
      <c r="N34" s="51" t="str">
        <f>IF(AND('Riesgos de Gestión'!$AF$65="Media",'Riesgos de Gestión'!$AH$65="Leve"),CONCATENATE("R9C",'Riesgos de Gestión'!$V$65),"")</f>
        <v/>
      </c>
      <c r="O34" s="52" t="str">
        <f>IF(AND('Riesgos de Gestión'!$AF$66="Media",'Riesgos de Gestión'!$AH$66="Leve"),CONCATENATE("R9C",'Riesgos de Gestión'!$V$66),"")</f>
        <v/>
      </c>
      <c r="P34" s="50" t="str">
        <f>IF(AND('Riesgos de Gestión'!$AF$61="Media",'Riesgos de Gestión'!$AH$61="Menor"),CONCATENATE("R9C",'Riesgos de Gestión'!$V$61),"")</f>
        <v/>
      </c>
      <c r="Q34" s="51" t="str">
        <f>IF(AND('Riesgos de Gestión'!$AF$62="Media",'Riesgos de Gestión'!$AH$62="Menor"),CONCATENATE("R9C",'Riesgos de Gestión'!$V$62),"")</f>
        <v/>
      </c>
      <c r="R34" s="51" t="str">
        <f>IF(AND('Riesgos de Gestión'!$AF$63="Media",'Riesgos de Gestión'!$AH$63="Menor"),CONCATENATE("R9C",'Riesgos de Gestión'!$V$63),"")</f>
        <v/>
      </c>
      <c r="S34" s="51" t="str">
        <f>IF(AND('Riesgos de Gestión'!$AF$64="Media",'Riesgos de Gestión'!$AH$64="Menor"),CONCATENATE("R9C",'Riesgos de Gestión'!$V$64),"")</f>
        <v/>
      </c>
      <c r="T34" s="51" t="str">
        <f>IF(AND('Riesgos de Gestión'!$AF$65="Media",'Riesgos de Gestión'!$AH$65="Menor"),CONCATENATE("R9C",'Riesgos de Gestión'!$V$65),"")</f>
        <v/>
      </c>
      <c r="U34" s="52" t="str">
        <f>IF(AND('Riesgos de Gestión'!$AF$66="Media",'Riesgos de Gestión'!$AH$66="Menor"),CONCATENATE("R9C",'Riesgos de Gestión'!$V$66),"")</f>
        <v/>
      </c>
      <c r="V34" s="50" t="str">
        <f>IF(AND('Riesgos de Gestión'!$AF$61="Media",'Riesgos de Gestión'!$AH$61="Moderado"),CONCATENATE("R9C",'Riesgos de Gestión'!$V$61),"")</f>
        <v/>
      </c>
      <c r="W34" s="51" t="str">
        <f>IF(AND('Riesgos de Gestión'!$AF$62="Media",'Riesgos de Gestión'!$AH$62="Moderado"),CONCATENATE("R9C",'Riesgos de Gestión'!$V$62),"")</f>
        <v/>
      </c>
      <c r="X34" s="51" t="str">
        <f>IF(AND('Riesgos de Gestión'!$AF$63="Media",'Riesgos de Gestión'!$AH$63="Moderado"),CONCATENATE("R9C",'Riesgos de Gestión'!$V$63),"")</f>
        <v/>
      </c>
      <c r="Y34" s="51" t="str">
        <f>IF(AND('Riesgos de Gestión'!$AF$64="Media",'Riesgos de Gestión'!$AH$64="Moderado"),CONCATENATE("R9C",'Riesgos de Gestión'!$V$64),"")</f>
        <v/>
      </c>
      <c r="Z34" s="51" t="str">
        <f>IF(AND('Riesgos de Gestión'!$AF$65="Media",'Riesgos de Gestión'!$AH$65="Moderado"),CONCATENATE("R9C",'Riesgos de Gestión'!$V$65),"")</f>
        <v/>
      </c>
      <c r="AA34" s="52" t="str">
        <f>IF(AND('Riesgos de Gestión'!$AF$66="Media",'Riesgos de Gestión'!$AH$66="Moderado"),CONCATENATE("R9C",'Riesgos de Gestión'!$V$66),"")</f>
        <v/>
      </c>
      <c r="AB34" s="35" t="str">
        <f>IF(AND('Riesgos de Gestión'!$AF$61="Media",'Riesgos de Gestión'!$AH$61="Mayor"),CONCATENATE("R9C",'Riesgos de Gestión'!$V$61),"")</f>
        <v/>
      </c>
      <c r="AC34" s="36" t="str">
        <f>IF(AND('Riesgos de Gestión'!$AF$62="Media",'Riesgos de Gestión'!$AH$62="Mayor"),CONCATENATE("R9C",'Riesgos de Gestión'!$V$62),"")</f>
        <v/>
      </c>
      <c r="AD34" s="36" t="str">
        <f>IF(AND('Riesgos de Gestión'!$AF$63="Media",'Riesgos de Gestión'!$AH$63="Mayor"),CONCATENATE("R9C",'Riesgos de Gestión'!$V$63),"")</f>
        <v/>
      </c>
      <c r="AE34" s="36" t="str">
        <f>IF(AND('Riesgos de Gestión'!$AF$64="Media",'Riesgos de Gestión'!$AH$64="Mayor"),CONCATENATE("R9C",'Riesgos de Gestión'!$V$64),"")</f>
        <v/>
      </c>
      <c r="AF34" s="36" t="str">
        <f>IF(AND('Riesgos de Gestión'!$AF$65="Media",'Riesgos de Gestión'!$AH$65="Mayor"),CONCATENATE("R9C",'Riesgos de Gestión'!$V$65),"")</f>
        <v/>
      </c>
      <c r="AG34" s="37" t="str">
        <f>IF(AND('Riesgos de Gestión'!$AF$66="Media",'Riesgos de Gestión'!$AH$66="Mayor"),CONCATENATE("R9C",'Riesgos de Gestión'!$V$66),"")</f>
        <v/>
      </c>
      <c r="AH34" s="38" t="str">
        <f>IF(AND('Riesgos de Gestión'!$AF$61="Media",'Riesgos de Gestión'!$AH$61="Catastrófico"),CONCATENATE("R9C",'Riesgos de Gestión'!$V$61),"")</f>
        <v/>
      </c>
      <c r="AI34" s="39" t="str">
        <f>IF(AND('Riesgos de Gestión'!$AF$62="Media",'Riesgos de Gestión'!$AH$62="Catastrófico"),CONCATENATE("R9C",'Riesgos de Gestión'!$V$62),"")</f>
        <v/>
      </c>
      <c r="AJ34" s="39" t="str">
        <f>IF(AND('Riesgos de Gestión'!$AF$63="Media",'Riesgos de Gestión'!$AH$63="Catastrófico"),CONCATENATE("R9C",'Riesgos de Gestión'!$V$63),"")</f>
        <v/>
      </c>
      <c r="AK34" s="39" t="str">
        <f>IF(AND('Riesgos de Gestión'!$AF$64="Media",'Riesgos de Gestión'!$AH$64="Catastrófico"),CONCATENATE("R9C",'Riesgos de Gestión'!$V$64),"")</f>
        <v/>
      </c>
      <c r="AL34" s="39" t="str">
        <f>IF(AND('Riesgos de Gestión'!$AF$65="Media",'Riesgos de Gestión'!$AH$65="Catastrófico"),CONCATENATE("R9C",'Riesgos de Gestión'!$V$65),"")</f>
        <v/>
      </c>
      <c r="AM34" s="40" t="str">
        <f>IF(AND('Riesgos de Gestión'!$AF$66="Media",'Riesgos de Gestión'!$AH$66="Catastrófico"),CONCATENATE("R9C",'Riesgos de Gestión'!$V$66),"")</f>
        <v/>
      </c>
      <c r="AN34" s="66"/>
      <c r="AO34" s="517"/>
      <c r="AP34" s="518"/>
      <c r="AQ34" s="518"/>
      <c r="AR34" s="518"/>
      <c r="AS34" s="518"/>
      <c r="AT34" s="519"/>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row>
    <row r="35" spans="1:80" ht="15.75" customHeight="1" thickBot="1" x14ac:dyDescent="0.3">
      <c r="A35" s="66"/>
      <c r="B35" s="389"/>
      <c r="C35" s="389"/>
      <c r="D35" s="390"/>
      <c r="E35" s="489"/>
      <c r="F35" s="490"/>
      <c r="G35" s="490"/>
      <c r="H35" s="490"/>
      <c r="I35" s="504"/>
      <c r="J35" s="50" t="str">
        <f>IF(AND('Riesgos de Gestión'!$AF$67="Media",'Riesgos de Gestión'!$AH$67="Leve"),CONCATENATE("R10C",'Riesgos de Gestión'!$V$67),"")</f>
        <v/>
      </c>
      <c r="K35" s="51" t="str">
        <f>IF(AND('Riesgos de Gestión'!$AF$68="Media",'Riesgos de Gestión'!$AH$68="Leve"),CONCATENATE("R10C",'Riesgos de Gestión'!$V$68),"")</f>
        <v/>
      </c>
      <c r="L35" s="51" t="str">
        <f>IF(AND('Riesgos de Gestión'!$AF$69="Media",'Riesgos de Gestión'!$AH$69="Leve"),CONCATENATE("R10C",'Riesgos de Gestión'!$V$69),"")</f>
        <v/>
      </c>
      <c r="M35" s="51" t="str">
        <f>IF(AND('Riesgos de Gestión'!$AF$70="Media",'Riesgos de Gestión'!$AH$70="Leve"),CONCATENATE("R10C",'Riesgos de Gestión'!$V$70),"")</f>
        <v/>
      </c>
      <c r="N35" s="51" t="str">
        <f>IF(AND('Riesgos de Gestión'!$AF$71="Media",'Riesgos de Gestión'!$AH$71="Leve"),CONCATENATE("R10C",'Riesgos de Gestión'!$V$71),"")</f>
        <v/>
      </c>
      <c r="O35" s="52" t="str">
        <f>IF(AND('Riesgos de Gestión'!$AF$72="Media",'Riesgos de Gestión'!$AH$72="Leve"),CONCATENATE("R10C",'Riesgos de Gestión'!$V$72),"")</f>
        <v/>
      </c>
      <c r="P35" s="50" t="str">
        <f>IF(AND('Riesgos de Gestión'!$AF$67="Media",'Riesgos de Gestión'!$AH$67="Menor"),CONCATENATE("R10C",'Riesgos de Gestión'!$V$67),"")</f>
        <v/>
      </c>
      <c r="Q35" s="51" t="str">
        <f>IF(AND('Riesgos de Gestión'!$AF$68="Media",'Riesgos de Gestión'!$AH$68="Menor"),CONCATENATE("R10C",'Riesgos de Gestión'!$V$68),"")</f>
        <v/>
      </c>
      <c r="R35" s="51" t="str">
        <f>IF(AND('Riesgos de Gestión'!$AF$69="Media",'Riesgos de Gestión'!$AH$69="Menor"),CONCATENATE("R10C",'Riesgos de Gestión'!$V$69),"")</f>
        <v/>
      </c>
      <c r="S35" s="51" t="str">
        <f>IF(AND('Riesgos de Gestión'!$AF$70="Media",'Riesgos de Gestión'!$AH$70="Menor"),CONCATENATE("R10C",'Riesgos de Gestión'!$V$70),"")</f>
        <v/>
      </c>
      <c r="T35" s="51" t="str">
        <f>IF(AND('Riesgos de Gestión'!$AF$71="Media",'Riesgos de Gestión'!$AH$71="Menor"),CONCATENATE("R10C",'Riesgos de Gestión'!$V$71),"")</f>
        <v/>
      </c>
      <c r="U35" s="52" t="str">
        <f>IF(AND('Riesgos de Gestión'!$AF$72="Media",'Riesgos de Gestión'!$AH$72="Menor"),CONCATENATE("R10C",'Riesgos de Gestión'!$V$72),"")</f>
        <v/>
      </c>
      <c r="V35" s="50" t="str">
        <f>IF(AND('Riesgos de Gestión'!$AF$67="Media",'Riesgos de Gestión'!$AH$67="Moderado"),CONCATENATE("R10C",'Riesgos de Gestión'!$V$67),"")</f>
        <v/>
      </c>
      <c r="W35" s="51" t="str">
        <f>IF(AND('Riesgos de Gestión'!$AF$68="Media",'Riesgos de Gestión'!$AH$68="Moderado"),CONCATENATE("R10C",'Riesgos de Gestión'!$V$68),"")</f>
        <v/>
      </c>
      <c r="X35" s="51" t="str">
        <f>IF(AND('Riesgos de Gestión'!$AF$69="Media",'Riesgos de Gestión'!$AH$69="Moderado"),CONCATENATE("R10C",'Riesgos de Gestión'!$V$69),"")</f>
        <v/>
      </c>
      <c r="Y35" s="51" t="str">
        <f>IF(AND('Riesgos de Gestión'!$AF$70="Media",'Riesgos de Gestión'!$AH$70="Moderado"),CONCATENATE("R10C",'Riesgos de Gestión'!$V$70),"")</f>
        <v/>
      </c>
      <c r="Z35" s="51" t="str">
        <f>IF(AND('Riesgos de Gestión'!$AF$71="Media",'Riesgos de Gestión'!$AH$71="Moderado"),CONCATENATE("R10C",'Riesgos de Gestión'!$V$71),"")</f>
        <v/>
      </c>
      <c r="AA35" s="52" t="str">
        <f>IF(AND('Riesgos de Gestión'!$AF$72="Media",'Riesgos de Gestión'!$AH$72="Moderado"),CONCATENATE("R10C",'Riesgos de Gestión'!$V$72),"")</f>
        <v/>
      </c>
      <c r="AB35" s="41" t="str">
        <f>IF(AND('Riesgos de Gestión'!$AF$67="Media",'Riesgos de Gestión'!$AH$67="Mayor"),CONCATENATE("R10C",'Riesgos de Gestión'!$V$67),"")</f>
        <v/>
      </c>
      <c r="AC35" s="42" t="str">
        <f>IF(AND('Riesgos de Gestión'!$AF$68="Media",'Riesgos de Gestión'!$AH$68="Mayor"),CONCATENATE("R10C",'Riesgos de Gestión'!$V$68),"")</f>
        <v/>
      </c>
      <c r="AD35" s="42" t="str">
        <f>IF(AND('Riesgos de Gestión'!$AF$69="Media",'Riesgos de Gestión'!$AH$69="Mayor"),CONCATENATE("R10C",'Riesgos de Gestión'!$V$69),"")</f>
        <v/>
      </c>
      <c r="AE35" s="42" t="str">
        <f>IF(AND('Riesgos de Gestión'!$AF$70="Media",'Riesgos de Gestión'!$AH$70="Mayor"),CONCATENATE("R10C",'Riesgos de Gestión'!$V$70),"")</f>
        <v/>
      </c>
      <c r="AF35" s="42" t="str">
        <f>IF(AND('Riesgos de Gestión'!$AF$71="Media",'Riesgos de Gestión'!$AH$71="Mayor"),CONCATENATE("R10C",'Riesgos de Gestión'!$V$71),"")</f>
        <v/>
      </c>
      <c r="AG35" s="43" t="str">
        <f>IF(AND('Riesgos de Gestión'!$AF$72="Media",'Riesgos de Gestión'!$AH$72="Mayor"),CONCATENATE("R10C",'Riesgos de Gestión'!$V$72),"")</f>
        <v/>
      </c>
      <c r="AH35" s="44" t="str">
        <f>IF(AND('Riesgos de Gestión'!$AF$67="Media",'Riesgos de Gestión'!$AH$67="Catastrófico"),CONCATENATE("R10C",'Riesgos de Gestión'!$V$67),"")</f>
        <v/>
      </c>
      <c r="AI35" s="45" t="str">
        <f>IF(AND('Riesgos de Gestión'!$AF$68="Media",'Riesgos de Gestión'!$AH$68="Catastrófico"),CONCATENATE("R10C",'Riesgos de Gestión'!$V$68),"")</f>
        <v/>
      </c>
      <c r="AJ35" s="45" t="str">
        <f>IF(AND('Riesgos de Gestión'!$AF$69="Media",'Riesgos de Gestión'!$AH$69="Catastrófico"),CONCATENATE("R10C",'Riesgos de Gestión'!$V$69),"")</f>
        <v/>
      </c>
      <c r="AK35" s="45" t="str">
        <f>IF(AND('Riesgos de Gestión'!$AF$70="Media",'Riesgos de Gestión'!$AH$70="Catastrófico"),CONCATENATE("R10C",'Riesgos de Gestión'!$V$70),"")</f>
        <v/>
      </c>
      <c r="AL35" s="45" t="str">
        <f>IF(AND('Riesgos de Gestión'!$AF$71="Media",'Riesgos de Gestión'!$AH$71="Catastrófico"),CONCATENATE("R10C",'Riesgos de Gestión'!$V$71),"")</f>
        <v/>
      </c>
      <c r="AM35" s="46" t="str">
        <f>IF(AND('Riesgos de Gestión'!$AF$72="Media",'Riesgos de Gestión'!$AH$72="Catastrófico"),CONCATENATE("R10C",'Riesgos de Gestión'!$V$72),"")</f>
        <v/>
      </c>
      <c r="AN35" s="66"/>
      <c r="AO35" s="520"/>
      <c r="AP35" s="521"/>
      <c r="AQ35" s="521"/>
      <c r="AR35" s="521"/>
      <c r="AS35" s="521"/>
      <c r="AT35" s="522"/>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row>
    <row r="36" spans="1:80" ht="15" customHeight="1" x14ac:dyDescent="0.25">
      <c r="A36" s="66"/>
      <c r="B36" s="389"/>
      <c r="C36" s="389"/>
      <c r="D36" s="390"/>
      <c r="E36" s="484" t="s">
        <v>257</v>
      </c>
      <c r="F36" s="485"/>
      <c r="G36" s="485"/>
      <c r="H36" s="485"/>
      <c r="I36" s="485"/>
      <c r="J36" s="56" t="str">
        <f>IF(AND('Riesgos de Gestión'!$AF$13="Baja",'Riesgos de Gestión'!$AH$13="Leve"),CONCATENATE("R1C",'Riesgos de Gestión'!$V$13),"")</f>
        <v/>
      </c>
      <c r="K36" s="57" t="str">
        <f>IF(AND('Riesgos de Gestión'!$AF$14="Baja",'Riesgos de Gestión'!$AH$14="Leve"),CONCATENATE("R1C",'Riesgos de Gestión'!$V$14),"")</f>
        <v/>
      </c>
      <c r="L36" s="57" t="str">
        <f>IF(AND('Riesgos de Gestión'!$AF$15="Baja",'Riesgos de Gestión'!$AH$15="Leve"),CONCATENATE("R1C",'Riesgos de Gestión'!$V$15),"")</f>
        <v/>
      </c>
      <c r="M36" s="57" t="str">
        <f>IF(AND('Riesgos de Gestión'!$AF$16="Baja",'Riesgos de Gestión'!$AH$16="Leve"),CONCATENATE("R1C",'Riesgos de Gestión'!$V$16),"")</f>
        <v/>
      </c>
      <c r="N36" s="57" t="str">
        <f>IF(AND('Riesgos de Gestión'!$AF$17="Baja",'Riesgos de Gestión'!$AH$17="Leve"),CONCATENATE("R1C",'Riesgos de Gestión'!$V$17),"")</f>
        <v/>
      </c>
      <c r="O36" s="58" t="str">
        <f>IF(AND('Riesgos de Gestión'!$AF$18="Baja",'Riesgos de Gestión'!$AH$18="Leve"),CONCATENATE("R1C",'Riesgos de Gestión'!$V$18),"")</f>
        <v/>
      </c>
      <c r="P36" s="47" t="str">
        <f>IF(AND('Riesgos de Gestión'!$AF$13="Baja",'Riesgos de Gestión'!$AH$13="Menor"),CONCATENATE("R1C",'Riesgos de Gestión'!$V$13),"")</f>
        <v/>
      </c>
      <c r="Q36" s="48" t="str">
        <f>IF(AND('Riesgos de Gestión'!$AF$14="Baja",'Riesgos de Gestión'!$AH$14="Menor"),CONCATENATE("R1C",'Riesgos de Gestión'!$V$14),"")</f>
        <v/>
      </c>
      <c r="R36" s="48" t="str">
        <f>IF(AND('Riesgos de Gestión'!$AF$15="Baja",'Riesgos de Gestión'!$AH$15="Menor"),CONCATENATE("R1C",'Riesgos de Gestión'!$V$15),"")</f>
        <v/>
      </c>
      <c r="S36" s="48" t="str">
        <f>IF(AND('Riesgos de Gestión'!$AF$16="Baja",'Riesgos de Gestión'!$AH$16="Menor"),CONCATENATE("R1C",'Riesgos de Gestión'!$V$16),"")</f>
        <v/>
      </c>
      <c r="T36" s="48" t="str">
        <f>IF(AND('Riesgos de Gestión'!$AF$17="Baja",'Riesgos de Gestión'!$AH$17="Menor"),CONCATENATE("R1C",'Riesgos de Gestión'!$V$17),"")</f>
        <v/>
      </c>
      <c r="U36" s="49" t="str">
        <f>IF(AND('Riesgos de Gestión'!$AF$18="Baja",'Riesgos de Gestión'!$AH$18="Menor"),CONCATENATE("R1C",'Riesgos de Gestión'!$V$18),"")</f>
        <v/>
      </c>
      <c r="V36" s="47" t="str">
        <f>IF(AND('Riesgos de Gestión'!$AF$13="Baja",'Riesgos de Gestión'!$AH$13="Moderado"),CONCATENATE("R1C",'Riesgos de Gestión'!$V$13),"")</f>
        <v/>
      </c>
      <c r="W36" s="48" t="str">
        <f>IF(AND('Riesgos de Gestión'!$AF$14="Baja",'Riesgos de Gestión'!$AH$14="Moderado"),CONCATENATE("R1C",'Riesgos de Gestión'!$V$14),"")</f>
        <v/>
      </c>
      <c r="X36" s="48" t="str">
        <f>IF(AND('Riesgos de Gestión'!$AF$15="Baja",'Riesgos de Gestión'!$AH$15="Moderado"),CONCATENATE("R1C",'Riesgos de Gestión'!$V$15),"")</f>
        <v/>
      </c>
      <c r="Y36" s="48" t="str">
        <f>IF(AND('Riesgos de Gestión'!$AF$16="Baja",'Riesgos de Gestión'!$AH$16="Moderado"),CONCATENATE("R1C",'Riesgos de Gestión'!$V$16),"")</f>
        <v/>
      </c>
      <c r="Z36" s="48" t="str">
        <f>IF(AND('Riesgos de Gestión'!$AF$17="Baja",'Riesgos de Gestión'!$AH$17="Moderado"),CONCATENATE("R1C",'Riesgos de Gestión'!$V$17),"")</f>
        <v/>
      </c>
      <c r="AA36" s="49" t="str">
        <f>IF(AND('Riesgos de Gestión'!$AF$18="Baja",'Riesgos de Gestión'!$AH$18="Moderado"),CONCATENATE("R1C",'Riesgos de Gestión'!$V$18),"")</f>
        <v/>
      </c>
      <c r="AB36" s="29" t="str">
        <f>IF(AND('Riesgos de Gestión'!$AF$13="Baja",'Riesgos de Gestión'!$AH$13="Mayor"),CONCATENATE("R1C",'Riesgos de Gestión'!$V$13),"")</f>
        <v/>
      </c>
      <c r="AC36" s="30" t="str">
        <f>IF(AND('Riesgos de Gestión'!$AF$14="Baja",'Riesgos de Gestión'!$AH$14="Mayor"),CONCATENATE("R1C",'Riesgos de Gestión'!$V$14),"")</f>
        <v/>
      </c>
      <c r="AD36" s="30" t="str">
        <f>IF(AND('Riesgos de Gestión'!$AF$15="Baja",'Riesgos de Gestión'!$AH$15="Mayor"),CONCATENATE("R1C",'Riesgos de Gestión'!$V$15),"")</f>
        <v/>
      </c>
      <c r="AE36" s="30" t="str">
        <f>IF(AND('Riesgos de Gestión'!$AF$16="Baja",'Riesgos de Gestión'!$AH$16="Mayor"),CONCATENATE("R1C",'Riesgos de Gestión'!$V$16),"")</f>
        <v/>
      </c>
      <c r="AF36" s="30" t="str">
        <f>IF(AND('Riesgos de Gestión'!$AF$17="Baja",'Riesgos de Gestión'!$AH$17="Mayor"),CONCATENATE("R1C",'Riesgos de Gestión'!$V$17),"")</f>
        <v/>
      </c>
      <c r="AG36" s="31" t="str">
        <f>IF(AND('Riesgos de Gestión'!$AF$18="Baja",'Riesgos de Gestión'!$AH$18="Mayor"),CONCATENATE("R1C",'Riesgos de Gestión'!$V$18),"")</f>
        <v/>
      </c>
      <c r="AH36" s="32" t="str">
        <f>IF(AND('Riesgos de Gestión'!$AF$13="Baja",'Riesgos de Gestión'!$AH$13="Catastrófico"),CONCATENATE("R1C",'Riesgos de Gestión'!$V$13),"")</f>
        <v/>
      </c>
      <c r="AI36" s="33" t="str">
        <f>IF(AND('Riesgos de Gestión'!$AF$14="Baja",'Riesgos de Gestión'!$AH$14="Catastrófico"),CONCATENATE("R1C",'Riesgos de Gestión'!$V$14),"")</f>
        <v/>
      </c>
      <c r="AJ36" s="33" t="str">
        <f>IF(AND('Riesgos de Gestión'!$AF$15="Baja",'Riesgos de Gestión'!$AH$15="Catastrófico"),CONCATENATE("R1C",'Riesgos de Gestión'!$V$15),"")</f>
        <v/>
      </c>
      <c r="AK36" s="33" t="str">
        <f>IF(AND('Riesgos de Gestión'!$AF$16="Baja",'Riesgos de Gestión'!$AH$16="Catastrófico"),CONCATENATE("R1C",'Riesgos de Gestión'!$V$16),"")</f>
        <v/>
      </c>
      <c r="AL36" s="33" t="str">
        <f>IF(AND('Riesgos de Gestión'!$AF$17="Baja",'Riesgos de Gestión'!$AH$17="Catastrófico"),CONCATENATE("R1C",'Riesgos de Gestión'!$V$17),"")</f>
        <v/>
      </c>
      <c r="AM36" s="34" t="str">
        <f>IF(AND('Riesgos de Gestión'!$AF$18="Baja",'Riesgos de Gestión'!$AH$18="Catastrófico"),CONCATENATE("R1C",'Riesgos de Gestión'!$V$18),"")</f>
        <v/>
      </c>
      <c r="AN36" s="66"/>
      <c r="AO36" s="505" t="s">
        <v>258</v>
      </c>
      <c r="AP36" s="506"/>
      <c r="AQ36" s="506"/>
      <c r="AR36" s="506"/>
      <c r="AS36" s="506"/>
      <c r="AT36" s="507"/>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row>
    <row r="37" spans="1:80" ht="15" customHeight="1" x14ac:dyDescent="0.25">
      <c r="A37" s="66"/>
      <c r="B37" s="389"/>
      <c r="C37" s="389"/>
      <c r="D37" s="390"/>
      <c r="E37" s="486"/>
      <c r="F37" s="487"/>
      <c r="G37" s="487"/>
      <c r="H37" s="487"/>
      <c r="I37" s="487"/>
      <c r="J37" s="59" t="str">
        <f>IF(AND('Riesgos de Gestión'!$AF$19="Baja",'Riesgos de Gestión'!$AH$19="Leve"),CONCATENATE("R2C",'Riesgos de Gestión'!$V$19),"")</f>
        <v/>
      </c>
      <c r="K37" s="60" t="str">
        <f>IF(AND('Riesgos de Gestión'!$AF$20="Baja",'Riesgos de Gestión'!$AH$20="Leve"),CONCATENATE("R2C",'Riesgos de Gestión'!$V$20),"")</f>
        <v/>
      </c>
      <c r="L37" s="60" t="str">
        <f>IF(AND('Riesgos de Gestión'!$AF$21="Baja",'Riesgos de Gestión'!$AH$21="Leve"),CONCATENATE("R2C",'Riesgos de Gestión'!$V$21),"")</f>
        <v/>
      </c>
      <c r="M37" s="60" t="str">
        <f>IF(AND('Riesgos de Gestión'!$AF$22="Baja",'Riesgos de Gestión'!$AH$22="Leve"),CONCATENATE("R2C",'Riesgos de Gestión'!$V$22),"")</f>
        <v/>
      </c>
      <c r="N37" s="60" t="str">
        <f>IF(AND('Riesgos de Gestión'!$AF$23="Baja",'Riesgos de Gestión'!$AH$23="Leve"),CONCATENATE("R2C",'Riesgos de Gestión'!$V$23),"")</f>
        <v/>
      </c>
      <c r="O37" s="61" t="str">
        <f>IF(AND('Riesgos de Gestión'!$AF$24="Baja",'Riesgos de Gestión'!$AH$24="Leve"),CONCATENATE("R2C",'Riesgos de Gestión'!$V$24),"")</f>
        <v/>
      </c>
      <c r="P37" s="50" t="str">
        <f>IF(AND('Riesgos de Gestión'!$AF$19="Baja",'Riesgos de Gestión'!$AH$19="Menor"),CONCATENATE("R2C",'Riesgos de Gestión'!$V$19),"")</f>
        <v/>
      </c>
      <c r="Q37" s="51" t="str">
        <f>IF(AND('Riesgos de Gestión'!$AF$20="Baja",'Riesgos de Gestión'!$AH$20="Menor"),CONCATENATE("R2C",'Riesgos de Gestión'!$V$20),"")</f>
        <v/>
      </c>
      <c r="R37" s="51" t="str">
        <f>IF(AND('Riesgos de Gestión'!$AF$21="Baja",'Riesgos de Gestión'!$AH$21="Menor"),CONCATENATE("R2C",'Riesgos de Gestión'!$V$21),"")</f>
        <v/>
      </c>
      <c r="S37" s="51" t="str">
        <f>IF(AND('Riesgos de Gestión'!$AF$22="Baja",'Riesgos de Gestión'!$AH$22="Menor"),CONCATENATE("R2C",'Riesgos de Gestión'!$V$22),"")</f>
        <v/>
      </c>
      <c r="T37" s="51" t="str">
        <f>IF(AND('Riesgos de Gestión'!$AF$23="Baja",'Riesgos de Gestión'!$AH$23="Menor"),CONCATENATE("R2C",'Riesgos de Gestión'!$V$23),"")</f>
        <v/>
      </c>
      <c r="U37" s="52" t="str">
        <f>IF(AND('Riesgos de Gestión'!$AF$24="Baja",'Riesgos de Gestión'!$AH$24="Menor"),CONCATENATE("R2C",'Riesgos de Gestión'!$V$24),"")</f>
        <v/>
      </c>
      <c r="V37" s="50" t="str">
        <f>IF(AND('Riesgos de Gestión'!$AF$19="Baja",'Riesgos de Gestión'!$AH$19="Moderado"),CONCATENATE("R2C",'Riesgos de Gestión'!$V$19),"")</f>
        <v/>
      </c>
      <c r="W37" s="51" t="str">
        <f>IF(AND('Riesgos de Gestión'!$AF$20="Baja",'Riesgos de Gestión'!$AH$20="Moderado"),CONCATENATE("R2C",'Riesgos de Gestión'!$V$20),"")</f>
        <v/>
      </c>
      <c r="X37" s="51" t="str">
        <f>IF(AND('Riesgos de Gestión'!$AF$21="Baja",'Riesgos de Gestión'!$AH$21="Moderado"),CONCATENATE("R2C",'Riesgos de Gestión'!$V$21),"")</f>
        <v/>
      </c>
      <c r="Y37" s="51" t="str">
        <f>IF(AND('Riesgos de Gestión'!$AF$22="Baja",'Riesgos de Gestión'!$AH$22="Moderado"),CONCATENATE("R2C",'Riesgos de Gestión'!$V$22),"")</f>
        <v/>
      </c>
      <c r="Z37" s="51" t="str">
        <f>IF(AND('Riesgos de Gestión'!$AF$23="Baja",'Riesgos de Gestión'!$AH$23="Moderado"),CONCATENATE("R2C",'Riesgos de Gestión'!$V$23),"")</f>
        <v/>
      </c>
      <c r="AA37" s="52" t="str">
        <f>IF(AND('Riesgos de Gestión'!$AF$24="Baja",'Riesgos de Gestión'!$AH$24="Moderado"),CONCATENATE("R2C",'Riesgos de Gestión'!$V$24),"")</f>
        <v/>
      </c>
      <c r="AB37" s="35" t="str">
        <f>IF(AND('Riesgos de Gestión'!$AF$19="Baja",'Riesgos de Gestión'!$AH$19="Mayor"),CONCATENATE("R2C",'Riesgos de Gestión'!$V$19),"")</f>
        <v/>
      </c>
      <c r="AC37" s="36" t="str">
        <f>IF(AND('Riesgos de Gestión'!$AF$20="Baja",'Riesgos de Gestión'!$AH$20="Mayor"),CONCATENATE("R2C",'Riesgos de Gestión'!$V$20),"")</f>
        <v/>
      </c>
      <c r="AD37" s="36" t="str">
        <f>IF(AND('Riesgos de Gestión'!$AF$21="Baja",'Riesgos de Gestión'!$AH$21="Mayor"),CONCATENATE("R2C",'Riesgos de Gestión'!$V$21),"")</f>
        <v/>
      </c>
      <c r="AE37" s="36" t="str">
        <f>IF(AND('Riesgos de Gestión'!$AF$22="Baja",'Riesgos de Gestión'!$AH$22="Mayor"),CONCATENATE("R2C",'Riesgos de Gestión'!$V$22),"")</f>
        <v/>
      </c>
      <c r="AF37" s="36" t="str">
        <f>IF(AND('Riesgos de Gestión'!$AF$23="Baja",'Riesgos de Gestión'!$AH$23="Mayor"),CONCATENATE("R2C",'Riesgos de Gestión'!$V$23),"")</f>
        <v/>
      </c>
      <c r="AG37" s="37" t="str">
        <f>IF(AND('Riesgos de Gestión'!$AF$24="Baja",'Riesgos de Gestión'!$AH$24="Mayor"),CONCATENATE("R2C",'Riesgos de Gestión'!$V$24),"")</f>
        <v/>
      </c>
      <c r="AH37" s="38" t="str">
        <f>IF(AND('Riesgos de Gestión'!$AF$19="Baja",'Riesgos de Gestión'!$AH$19="Catastrófico"),CONCATENATE("R2C",'Riesgos de Gestión'!$V$19),"")</f>
        <v/>
      </c>
      <c r="AI37" s="39" t="str">
        <f>IF(AND('Riesgos de Gestión'!$AF$20="Baja",'Riesgos de Gestión'!$AH$20="Catastrófico"),CONCATENATE("R2C",'Riesgos de Gestión'!$V$20),"")</f>
        <v/>
      </c>
      <c r="AJ37" s="39" t="str">
        <f>IF(AND('Riesgos de Gestión'!$AF$21="Baja",'Riesgos de Gestión'!$AH$21="Catastrófico"),CONCATENATE("R2C",'Riesgos de Gestión'!$V$21),"")</f>
        <v/>
      </c>
      <c r="AK37" s="39" t="str">
        <f>IF(AND('Riesgos de Gestión'!$AF$22="Baja",'Riesgos de Gestión'!$AH$22="Catastrófico"),CONCATENATE("R2C",'Riesgos de Gestión'!$V$22),"")</f>
        <v/>
      </c>
      <c r="AL37" s="39" t="str">
        <f>IF(AND('Riesgos de Gestión'!$AF$23="Baja",'Riesgos de Gestión'!$AH$23="Catastrófico"),CONCATENATE("R2C",'Riesgos de Gestión'!$V$23),"")</f>
        <v/>
      </c>
      <c r="AM37" s="40" t="str">
        <f>IF(AND('Riesgos de Gestión'!$AF$24="Baja",'Riesgos de Gestión'!$AH$24="Catastrófico"),CONCATENATE("R2C",'Riesgos de Gestión'!$V$24),"")</f>
        <v/>
      </c>
      <c r="AN37" s="66"/>
      <c r="AO37" s="508"/>
      <c r="AP37" s="509"/>
      <c r="AQ37" s="509"/>
      <c r="AR37" s="509"/>
      <c r="AS37" s="509"/>
      <c r="AT37" s="510"/>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row>
    <row r="38" spans="1:80" ht="15" customHeight="1" x14ac:dyDescent="0.25">
      <c r="A38" s="66"/>
      <c r="B38" s="389"/>
      <c r="C38" s="389"/>
      <c r="D38" s="390"/>
      <c r="E38" s="488"/>
      <c r="F38" s="487"/>
      <c r="G38" s="487"/>
      <c r="H38" s="487"/>
      <c r="I38" s="487"/>
      <c r="J38" s="59" t="str">
        <f>IF(AND('Riesgos de Gestión'!$AF$25="Baja",'Riesgos de Gestión'!$AH$25="Leve"),CONCATENATE("R3C",'Riesgos de Gestión'!$V$25),"")</f>
        <v/>
      </c>
      <c r="K38" s="60" t="str">
        <f>IF(AND('Riesgos de Gestión'!$AF$26="Baja",'Riesgos de Gestión'!$AH$26="Leve"),CONCATENATE("R3C",'Riesgos de Gestión'!$V$26),"")</f>
        <v/>
      </c>
      <c r="L38" s="60" t="str">
        <f>IF(AND('Riesgos de Gestión'!$AF$27="Baja",'Riesgos de Gestión'!$AH$27="Leve"),CONCATENATE("R3C",'Riesgos de Gestión'!$V$27),"")</f>
        <v/>
      </c>
      <c r="M38" s="60" t="str">
        <f>IF(AND('Riesgos de Gestión'!$AF$28="Baja",'Riesgos de Gestión'!$AH$28="Leve"),CONCATENATE("R3C",'Riesgos de Gestión'!$V$28),"")</f>
        <v/>
      </c>
      <c r="N38" s="60" t="str">
        <f>IF(AND('Riesgos de Gestión'!$AF$29="Baja",'Riesgos de Gestión'!$AH$29="Leve"),CONCATENATE("R3C",'Riesgos de Gestión'!$V$29),"")</f>
        <v/>
      </c>
      <c r="O38" s="61" t="str">
        <f>IF(AND('Riesgos de Gestión'!$AF$30="Baja",'Riesgos de Gestión'!$AH$30="Leve"),CONCATENATE("R3C",'Riesgos de Gestión'!$V$30),"")</f>
        <v/>
      </c>
      <c r="P38" s="50" t="str">
        <f>IF(AND('Riesgos de Gestión'!$AF$25="Baja",'Riesgos de Gestión'!$AH$25="Menor"),CONCATENATE("R3C",'Riesgos de Gestión'!$V$25),"")</f>
        <v/>
      </c>
      <c r="Q38" s="51" t="str">
        <f>IF(AND('Riesgos de Gestión'!$AF$26="Baja",'Riesgos de Gestión'!$AH$26="Menor"),CONCATENATE("R3C",'Riesgos de Gestión'!$V$26),"")</f>
        <v/>
      </c>
      <c r="R38" s="51" t="str">
        <f>IF(AND('Riesgos de Gestión'!$AF$27="Baja",'Riesgos de Gestión'!$AH$27="Menor"),CONCATENATE("R3C",'Riesgos de Gestión'!$V$27),"")</f>
        <v/>
      </c>
      <c r="S38" s="51" t="str">
        <f>IF(AND('Riesgos de Gestión'!$AF$28="Baja",'Riesgos de Gestión'!$AH$28="Menor"),CONCATENATE("R3C",'Riesgos de Gestión'!$V$28),"")</f>
        <v/>
      </c>
      <c r="T38" s="51" t="str">
        <f>IF(AND('Riesgos de Gestión'!$AF$29="Baja",'Riesgos de Gestión'!$AH$29="Menor"),CONCATENATE("R3C",'Riesgos de Gestión'!$V$29),"")</f>
        <v/>
      </c>
      <c r="U38" s="52" t="str">
        <f>IF(AND('Riesgos de Gestión'!$AF$30="Baja",'Riesgos de Gestión'!$AH$30="Menor"),CONCATENATE("R3C",'Riesgos de Gestión'!$V$30),"")</f>
        <v/>
      </c>
      <c r="V38" s="50" t="str">
        <f>IF(AND('Riesgos de Gestión'!$AF$25="Baja",'Riesgos de Gestión'!$AH$25="Moderado"),CONCATENATE("R3C",'Riesgos de Gestión'!$V$25),"")</f>
        <v/>
      </c>
      <c r="W38" s="51" t="str">
        <f>IF(AND('Riesgos de Gestión'!$AF$26="Baja",'Riesgos de Gestión'!$AH$26="Moderado"),CONCATENATE("R3C",'Riesgos de Gestión'!$V$26),"")</f>
        <v/>
      </c>
      <c r="X38" s="51" t="str">
        <f>IF(AND('Riesgos de Gestión'!$AF$27="Baja",'Riesgos de Gestión'!$AH$27="Moderado"),CONCATENATE("R3C",'Riesgos de Gestión'!$V$27),"")</f>
        <v/>
      </c>
      <c r="Y38" s="51" t="str">
        <f>IF(AND('Riesgos de Gestión'!$AF$28="Baja",'Riesgos de Gestión'!$AH$28="Moderado"),CONCATENATE("R3C",'Riesgos de Gestión'!$V$28),"")</f>
        <v/>
      </c>
      <c r="Z38" s="51" t="str">
        <f>IF(AND('Riesgos de Gestión'!$AF$29="Baja",'Riesgos de Gestión'!$AH$29="Moderado"),CONCATENATE("R3C",'Riesgos de Gestión'!$V$29),"")</f>
        <v/>
      </c>
      <c r="AA38" s="52" t="str">
        <f>IF(AND('Riesgos de Gestión'!$AF$30="Baja",'Riesgos de Gestión'!$AH$30="Moderado"),CONCATENATE("R3C",'Riesgos de Gestión'!$V$30),"")</f>
        <v/>
      </c>
      <c r="AB38" s="35" t="str">
        <f>IF(AND('Riesgos de Gestión'!$AF$25="Baja",'Riesgos de Gestión'!$AH$25="Mayor"),CONCATENATE("R3C",'Riesgos de Gestión'!$V$25),"")</f>
        <v/>
      </c>
      <c r="AC38" s="36" t="str">
        <f>IF(AND('Riesgos de Gestión'!$AF$26="Baja",'Riesgos de Gestión'!$AH$26="Mayor"),CONCATENATE("R3C",'Riesgos de Gestión'!$V$26),"")</f>
        <v/>
      </c>
      <c r="AD38" s="36" t="str">
        <f>IF(AND('Riesgos de Gestión'!$AF$27="Baja",'Riesgos de Gestión'!$AH$27="Mayor"),CONCATENATE("R3C",'Riesgos de Gestión'!$V$27),"")</f>
        <v/>
      </c>
      <c r="AE38" s="36" t="str">
        <f>IF(AND('Riesgos de Gestión'!$AF$28="Baja",'Riesgos de Gestión'!$AH$28="Mayor"),CONCATENATE("R3C",'Riesgos de Gestión'!$V$28),"")</f>
        <v/>
      </c>
      <c r="AF38" s="36" t="str">
        <f>IF(AND('Riesgos de Gestión'!$AF$29="Baja",'Riesgos de Gestión'!$AH$29="Mayor"),CONCATENATE("R3C",'Riesgos de Gestión'!$V$29),"")</f>
        <v/>
      </c>
      <c r="AG38" s="37" t="str">
        <f>IF(AND('Riesgos de Gestión'!$AF$30="Baja",'Riesgos de Gestión'!$AH$30="Mayor"),CONCATENATE("R3C",'Riesgos de Gestión'!$V$30),"")</f>
        <v/>
      </c>
      <c r="AH38" s="38" t="str">
        <f>IF(AND('Riesgos de Gestión'!$AF$25="Baja",'Riesgos de Gestión'!$AH$25="Catastrófico"),CONCATENATE("R3C",'Riesgos de Gestión'!$V$25),"")</f>
        <v/>
      </c>
      <c r="AI38" s="39" t="str">
        <f>IF(AND('Riesgos de Gestión'!$AF$26="Baja",'Riesgos de Gestión'!$AH$26="Catastrófico"),CONCATENATE("R3C",'Riesgos de Gestión'!$V$26),"")</f>
        <v/>
      </c>
      <c r="AJ38" s="39" t="str">
        <f>IF(AND('Riesgos de Gestión'!$AF$27="Baja",'Riesgos de Gestión'!$AH$27="Catastrófico"),CONCATENATE("R3C",'Riesgos de Gestión'!$V$27),"")</f>
        <v/>
      </c>
      <c r="AK38" s="39" t="str">
        <f>IF(AND('Riesgos de Gestión'!$AF$28="Baja",'Riesgos de Gestión'!$AH$28="Catastrófico"),CONCATENATE("R3C",'Riesgos de Gestión'!$V$28),"")</f>
        <v/>
      </c>
      <c r="AL38" s="39" t="str">
        <f>IF(AND('Riesgos de Gestión'!$AF$29="Baja",'Riesgos de Gestión'!$AH$29="Catastrófico"),CONCATENATE("R3C",'Riesgos de Gestión'!$V$29),"")</f>
        <v/>
      </c>
      <c r="AM38" s="40" t="str">
        <f>IF(AND('Riesgos de Gestión'!$AF$30="Baja",'Riesgos de Gestión'!$AH$30="Catastrófico"),CONCATENATE("R3C",'Riesgos de Gestión'!$V$30),"")</f>
        <v/>
      </c>
      <c r="AN38" s="66"/>
      <c r="AO38" s="508"/>
      <c r="AP38" s="509"/>
      <c r="AQ38" s="509"/>
      <c r="AR38" s="509"/>
      <c r="AS38" s="509"/>
      <c r="AT38" s="510"/>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row>
    <row r="39" spans="1:80" ht="15" customHeight="1" x14ac:dyDescent="0.25">
      <c r="A39" s="66"/>
      <c r="B39" s="389"/>
      <c r="C39" s="389"/>
      <c r="D39" s="390"/>
      <c r="E39" s="488"/>
      <c r="F39" s="487"/>
      <c r="G39" s="487"/>
      <c r="H39" s="487"/>
      <c r="I39" s="487"/>
      <c r="J39" s="59" t="str">
        <f>IF(AND('Riesgos de Gestión'!$AF$31="Baja",'Riesgos de Gestión'!$AH$31="Leve"),CONCATENATE("R4C",'Riesgos de Gestión'!$V$31),"")</f>
        <v/>
      </c>
      <c r="K39" s="60" t="str">
        <f>IF(AND('Riesgos de Gestión'!$AF$32="Baja",'Riesgos de Gestión'!$AH$32="Leve"),CONCATENATE("R4C",'Riesgos de Gestión'!$V$32),"")</f>
        <v/>
      </c>
      <c r="L39" s="60" t="str">
        <f>IF(AND('Riesgos de Gestión'!$AF$33="Baja",'Riesgos de Gestión'!$AH$33="Leve"),CONCATENATE("R4C",'Riesgos de Gestión'!$V$33),"")</f>
        <v/>
      </c>
      <c r="M39" s="60" t="str">
        <f>IF(AND('Riesgos de Gestión'!$AF$34="Baja",'Riesgos de Gestión'!$AH$34="Leve"),CONCATENATE("R4C",'Riesgos de Gestión'!$V$34),"")</f>
        <v/>
      </c>
      <c r="N39" s="60" t="str">
        <f>IF(AND('Riesgos de Gestión'!$AF$35="Baja",'Riesgos de Gestión'!$AH$35="Leve"),CONCATENATE("R4C",'Riesgos de Gestión'!$V$35),"")</f>
        <v/>
      </c>
      <c r="O39" s="61" t="str">
        <f>IF(AND('Riesgos de Gestión'!$AF$36="Baja",'Riesgos de Gestión'!$AH$36="Leve"),CONCATENATE("R4C",'Riesgos de Gestión'!$V$36),"")</f>
        <v/>
      </c>
      <c r="P39" s="50" t="str">
        <f>IF(AND('Riesgos de Gestión'!$AF$31="Baja",'Riesgos de Gestión'!$AH$31="Menor"),CONCATENATE("R4C",'Riesgos de Gestión'!$V$31),"")</f>
        <v/>
      </c>
      <c r="Q39" s="51" t="str">
        <f>IF(AND('Riesgos de Gestión'!$AF$32="Baja",'Riesgos de Gestión'!$AH$32="Menor"),CONCATENATE("R4C",'Riesgos de Gestión'!$V$32),"")</f>
        <v/>
      </c>
      <c r="R39" s="51" t="str">
        <f>IF(AND('Riesgos de Gestión'!$AF$33="Baja",'Riesgos de Gestión'!$AH$33="Menor"),CONCATENATE("R4C",'Riesgos de Gestión'!$V$33),"")</f>
        <v/>
      </c>
      <c r="S39" s="51" t="str">
        <f>IF(AND('Riesgos de Gestión'!$AF$34="Baja",'Riesgos de Gestión'!$AH$34="Menor"),CONCATENATE("R4C",'Riesgos de Gestión'!$V$34),"")</f>
        <v/>
      </c>
      <c r="T39" s="51" t="str">
        <f>IF(AND('Riesgos de Gestión'!$AF$35="Baja",'Riesgos de Gestión'!$AH$35="Menor"),CONCATENATE("R4C",'Riesgos de Gestión'!$V$35),"")</f>
        <v/>
      </c>
      <c r="U39" s="52" t="str">
        <f>IF(AND('Riesgos de Gestión'!$AF$36="Baja",'Riesgos de Gestión'!$AH$36="Menor"),CONCATENATE("R4C",'Riesgos de Gestión'!$V$36),"")</f>
        <v/>
      </c>
      <c r="V39" s="50" t="str">
        <f>IF(AND('Riesgos de Gestión'!$AF$31="Baja",'Riesgos de Gestión'!$AH$31="Moderado"),CONCATENATE("R4C",'Riesgos de Gestión'!$V$31),"")</f>
        <v/>
      </c>
      <c r="W39" s="51" t="str">
        <f>IF(AND('Riesgos de Gestión'!$AF$32="Baja",'Riesgos de Gestión'!$AH$32="Moderado"),CONCATENATE("R4C",'Riesgos de Gestión'!$V$32),"")</f>
        <v/>
      </c>
      <c r="X39" s="51" t="str">
        <f>IF(AND('Riesgos de Gestión'!$AF$33="Baja",'Riesgos de Gestión'!$AH$33="Moderado"),CONCATENATE("R4C",'Riesgos de Gestión'!$V$33),"")</f>
        <v/>
      </c>
      <c r="Y39" s="51" t="str">
        <f>IF(AND('Riesgos de Gestión'!$AF$34="Baja",'Riesgos de Gestión'!$AH$34="Moderado"),CONCATENATE("R4C",'Riesgos de Gestión'!$V$34),"")</f>
        <v/>
      </c>
      <c r="Z39" s="51" t="str">
        <f>IF(AND('Riesgos de Gestión'!$AF$35="Baja",'Riesgos de Gestión'!$AH$35="Moderado"),CONCATENATE("R4C",'Riesgos de Gestión'!$V$35),"")</f>
        <v/>
      </c>
      <c r="AA39" s="52" t="str">
        <f>IF(AND('Riesgos de Gestión'!$AF$36="Baja",'Riesgos de Gestión'!$AH$36="Moderado"),CONCATENATE("R4C",'Riesgos de Gestión'!$V$36),"")</f>
        <v/>
      </c>
      <c r="AB39" s="35" t="str">
        <f>IF(AND('Riesgos de Gestión'!$AF$31="Baja",'Riesgos de Gestión'!$AH$31="Mayor"),CONCATENATE("R4C",'Riesgos de Gestión'!$V$31),"")</f>
        <v/>
      </c>
      <c r="AC39" s="36" t="str">
        <f>IF(AND('Riesgos de Gestión'!$AF$32="Baja",'Riesgos de Gestión'!$AH$32="Mayor"),CONCATENATE("R4C",'Riesgos de Gestión'!$V$32),"")</f>
        <v/>
      </c>
      <c r="AD39" s="36" t="str">
        <f>IF(AND('Riesgos de Gestión'!$AF$33="Baja",'Riesgos de Gestión'!$AH$33="Mayor"),CONCATENATE("R4C",'Riesgos de Gestión'!$V$33),"")</f>
        <v/>
      </c>
      <c r="AE39" s="36" t="str">
        <f>IF(AND('Riesgos de Gestión'!$AF$34="Baja",'Riesgos de Gestión'!$AH$34="Mayor"),CONCATENATE("R4C",'Riesgos de Gestión'!$V$34),"")</f>
        <v/>
      </c>
      <c r="AF39" s="36" t="str">
        <f>IF(AND('Riesgos de Gestión'!$AF$35="Baja",'Riesgos de Gestión'!$AH$35="Mayor"),CONCATENATE("R4C",'Riesgos de Gestión'!$V$35),"")</f>
        <v/>
      </c>
      <c r="AG39" s="37" t="str">
        <f>IF(AND('Riesgos de Gestión'!$AF$36="Baja",'Riesgos de Gestión'!$AH$36="Mayor"),CONCATENATE("R4C",'Riesgos de Gestión'!$V$36),"")</f>
        <v/>
      </c>
      <c r="AH39" s="38" t="str">
        <f>IF(AND('Riesgos de Gestión'!$AF$31="Baja",'Riesgos de Gestión'!$AH$31="Catastrófico"),CONCATENATE("R4C",'Riesgos de Gestión'!$V$31),"")</f>
        <v/>
      </c>
      <c r="AI39" s="39" t="str">
        <f>IF(AND('Riesgos de Gestión'!$AF$32="Baja",'Riesgos de Gestión'!$AH$32="Catastrófico"),CONCATENATE("R4C",'Riesgos de Gestión'!$V$32),"")</f>
        <v/>
      </c>
      <c r="AJ39" s="39" t="str">
        <f>IF(AND('Riesgos de Gestión'!$AF$33="Baja",'Riesgos de Gestión'!$AH$33="Catastrófico"),CONCATENATE("R4C",'Riesgos de Gestión'!$V$33),"")</f>
        <v/>
      </c>
      <c r="AK39" s="39" t="str">
        <f>IF(AND('Riesgos de Gestión'!$AF$34="Baja",'Riesgos de Gestión'!$AH$34="Catastrófico"),CONCATENATE("R4C",'Riesgos de Gestión'!$V$34),"")</f>
        <v/>
      </c>
      <c r="AL39" s="39" t="str">
        <f>IF(AND('Riesgos de Gestión'!$AF$35="Baja",'Riesgos de Gestión'!$AH$35="Catastrófico"),CONCATENATE("R4C",'Riesgos de Gestión'!$V$35),"")</f>
        <v/>
      </c>
      <c r="AM39" s="40" t="str">
        <f>IF(AND('Riesgos de Gestión'!$AF$36="Baja",'Riesgos de Gestión'!$AH$36="Catastrófico"),CONCATENATE("R4C",'Riesgos de Gestión'!$V$36),"")</f>
        <v/>
      </c>
      <c r="AN39" s="66"/>
      <c r="AO39" s="508"/>
      <c r="AP39" s="509"/>
      <c r="AQ39" s="509"/>
      <c r="AR39" s="509"/>
      <c r="AS39" s="509"/>
      <c r="AT39" s="510"/>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row>
    <row r="40" spans="1:80" ht="15" customHeight="1" x14ac:dyDescent="0.25">
      <c r="A40" s="66"/>
      <c r="B40" s="389"/>
      <c r="C40" s="389"/>
      <c r="D40" s="390"/>
      <c r="E40" s="488"/>
      <c r="F40" s="487"/>
      <c r="G40" s="487"/>
      <c r="H40" s="487"/>
      <c r="I40" s="487"/>
      <c r="J40" s="59" t="str">
        <f>IF(AND('Riesgos de Gestión'!$AF$37="Baja",'Riesgos de Gestión'!$AH$37="Leve"),CONCATENATE("R5C",'Riesgos de Gestión'!$V$37),"")</f>
        <v/>
      </c>
      <c r="K40" s="60" t="str">
        <f>IF(AND('Riesgos de Gestión'!$AF$38="Baja",'Riesgos de Gestión'!$AH$38="Leve"),CONCATENATE("R5C",'Riesgos de Gestión'!$V$38),"")</f>
        <v/>
      </c>
      <c r="L40" s="60" t="str">
        <f>IF(AND('Riesgos de Gestión'!$AF$39="Baja",'Riesgos de Gestión'!$AH$39="Leve"),CONCATENATE("R5C",'Riesgos de Gestión'!$V$39),"")</f>
        <v/>
      </c>
      <c r="M40" s="60" t="str">
        <f>IF(AND('Riesgos de Gestión'!$AF$40="Baja",'Riesgos de Gestión'!$AH$40="Leve"),CONCATENATE("R5C",'Riesgos de Gestión'!$V$40),"")</f>
        <v/>
      </c>
      <c r="N40" s="60" t="str">
        <f>IF(AND('Riesgos de Gestión'!$AF$41="Baja",'Riesgos de Gestión'!$AH$41="Leve"),CONCATENATE("R5C",'Riesgos de Gestión'!$V$41),"")</f>
        <v/>
      </c>
      <c r="O40" s="61" t="str">
        <f>IF(AND('Riesgos de Gestión'!$AF$42="Baja",'Riesgos de Gestión'!$AH$42="Leve"),CONCATENATE("R5C",'Riesgos de Gestión'!$V$42),"")</f>
        <v/>
      </c>
      <c r="P40" s="50" t="str">
        <f>IF(AND('Riesgos de Gestión'!$AF$37="Baja",'Riesgos de Gestión'!$AH$37="Menor"),CONCATENATE("R5C",'Riesgos de Gestión'!$V$37),"")</f>
        <v/>
      </c>
      <c r="Q40" s="51" t="str">
        <f>IF(AND('Riesgos de Gestión'!$AF$38="Baja",'Riesgos de Gestión'!$AH$38="Menor"),CONCATENATE("R5C",'Riesgos de Gestión'!$V$38),"")</f>
        <v/>
      </c>
      <c r="R40" s="51" t="str">
        <f>IF(AND('Riesgos de Gestión'!$AF$39="Baja",'Riesgos de Gestión'!$AH$39="Menor"),CONCATENATE("R5C",'Riesgos de Gestión'!$V$39),"")</f>
        <v/>
      </c>
      <c r="S40" s="51" t="str">
        <f>IF(AND('Riesgos de Gestión'!$AF$40="Baja",'Riesgos de Gestión'!$AH$40="Menor"),CONCATENATE("R5C",'Riesgos de Gestión'!$V$40),"")</f>
        <v/>
      </c>
      <c r="T40" s="51" t="str">
        <f>IF(AND('Riesgos de Gestión'!$AF$41="Baja",'Riesgos de Gestión'!$AH$41="Menor"),CONCATENATE("R5C",'Riesgos de Gestión'!$V$41),"")</f>
        <v/>
      </c>
      <c r="U40" s="52" t="str">
        <f>IF(AND('Riesgos de Gestión'!$AF$42="Baja",'Riesgos de Gestión'!$AH$42="Menor"),CONCATENATE("R5C",'Riesgos de Gestión'!$V$42),"")</f>
        <v/>
      </c>
      <c r="V40" s="50" t="str">
        <f>IF(AND('Riesgos de Gestión'!$AF$37="Baja",'Riesgos de Gestión'!$AH$37="Moderado"),CONCATENATE("R5C",'Riesgos de Gestión'!$V$37),"")</f>
        <v/>
      </c>
      <c r="W40" s="51" t="str">
        <f>IF(AND('Riesgos de Gestión'!$AF$38="Baja",'Riesgos de Gestión'!$AH$38="Moderado"),CONCATENATE("R5C",'Riesgos de Gestión'!$V$38),"")</f>
        <v/>
      </c>
      <c r="X40" s="51" t="str">
        <f>IF(AND('Riesgos de Gestión'!$AF$39="Baja",'Riesgos de Gestión'!$AH$39="Moderado"),CONCATENATE("R5C",'Riesgos de Gestión'!$V$39),"")</f>
        <v/>
      </c>
      <c r="Y40" s="51" t="str">
        <f>IF(AND('Riesgos de Gestión'!$AF$40="Baja",'Riesgos de Gestión'!$AH$40="Moderado"),CONCATENATE("R5C",'Riesgos de Gestión'!$V$40),"")</f>
        <v/>
      </c>
      <c r="Z40" s="51" t="str">
        <f>IF(AND('Riesgos de Gestión'!$AF$41="Baja",'Riesgos de Gestión'!$AH$41="Moderado"),CONCATENATE("R5C",'Riesgos de Gestión'!$V$41),"")</f>
        <v/>
      </c>
      <c r="AA40" s="52" t="str">
        <f>IF(AND('Riesgos de Gestión'!$AF$42="Baja",'Riesgos de Gestión'!$AH$42="Moderado"),CONCATENATE("R5C",'Riesgos de Gestión'!$V$42),"")</f>
        <v/>
      </c>
      <c r="AB40" s="35" t="str">
        <f>IF(AND('Riesgos de Gestión'!$AF$37="Baja",'Riesgos de Gestión'!$AH$37="Mayor"),CONCATENATE("R5C",'Riesgos de Gestión'!$V$37),"")</f>
        <v/>
      </c>
      <c r="AC40" s="36" t="str">
        <f>IF(AND('Riesgos de Gestión'!$AF$38="Baja",'Riesgos de Gestión'!$AH$38="Mayor"),CONCATENATE("R5C",'Riesgos de Gestión'!$V$38),"")</f>
        <v/>
      </c>
      <c r="AD40" s="36" t="str">
        <f>IF(AND('Riesgos de Gestión'!$AF$39="Baja",'Riesgos de Gestión'!$AH$39="Mayor"),CONCATENATE("R5C",'Riesgos de Gestión'!$V$39),"")</f>
        <v/>
      </c>
      <c r="AE40" s="36" t="str">
        <f>IF(AND('Riesgos de Gestión'!$AF$40="Baja",'Riesgos de Gestión'!$AH$40="Mayor"),CONCATENATE("R5C",'Riesgos de Gestión'!$V$40),"")</f>
        <v/>
      </c>
      <c r="AF40" s="36" t="str">
        <f>IF(AND('Riesgos de Gestión'!$AF$41="Baja",'Riesgos de Gestión'!$AH$41="Mayor"),CONCATENATE("R5C",'Riesgos de Gestión'!$V$41),"")</f>
        <v/>
      </c>
      <c r="AG40" s="37" t="str">
        <f>IF(AND('Riesgos de Gestión'!$AF$42="Baja",'Riesgos de Gestión'!$AH$42="Mayor"),CONCATENATE("R5C",'Riesgos de Gestión'!$V$42),"")</f>
        <v/>
      </c>
      <c r="AH40" s="38" t="str">
        <f>IF(AND('Riesgos de Gestión'!$AF$37="Baja",'Riesgos de Gestión'!$AH$37="Catastrófico"),CONCATENATE("R5C",'Riesgos de Gestión'!$V$37),"")</f>
        <v/>
      </c>
      <c r="AI40" s="39" t="str">
        <f>IF(AND('Riesgos de Gestión'!$AF$38="Baja",'Riesgos de Gestión'!$AH$38="Catastrófico"),CONCATENATE("R5C",'Riesgos de Gestión'!$V$38),"")</f>
        <v/>
      </c>
      <c r="AJ40" s="39" t="str">
        <f>IF(AND('Riesgos de Gestión'!$AF$39="Baja",'Riesgos de Gestión'!$AH$39="Catastrófico"),CONCATENATE("R5C",'Riesgos de Gestión'!$V$39),"")</f>
        <v/>
      </c>
      <c r="AK40" s="39" t="str">
        <f>IF(AND('Riesgos de Gestión'!$AF$40="Baja",'Riesgos de Gestión'!$AH$40="Catastrófico"),CONCATENATE("R5C",'Riesgos de Gestión'!$V$40),"")</f>
        <v/>
      </c>
      <c r="AL40" s="39" t="str">
        <f>IF(AND('Riesgos de Gestión'!$AF$41="Baja",'Riesgos de Gestión'!$AH$41="Catastrófico"),CONCATENATE("R5C",'Riesgos de Gestión'!$V$41),"")</f>
        <v/>
      </c>
      <c r="AM40" s="40" t="str">
        <f>IF(AND('Riesgos de Gestión'!$AF$42="Baja",'Riesgos de Gestión'!$AH$42="Catastrófico"),CONCATENATE("R5C",'Riesgos de Gestión'!$V$42),"")</f>
        <v/>
      </c>
      <c r="AN40" s="66"/>
      <c r="AO40" s="508"/>
      <c r="AP40" s="509"/>
      <c r="AQ40" s="509"/>
      <c r="AR40" s="509"/>
      <c r="AS40" s="509"/>
      <c r="AT40" s="510"/>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row>
    <row r="41" spans="1:80" ht="15" customHeight="1" x14ac:dyDescent="0.25">
      <c r="A41" s="66"/>
      <c r="B41" s="389"/>
      <c r="C41" s="389"/>
      <c r="D41" s="390"/>
      <c r="E41" s="488"/>
      <c r="F41" s="487"/>
      <c r="G41" s="487"/>
      <c r="H41" s="487"/>
      <c r="I41" s="487"/>
      <c r="J41" s="59" t="str">
        <f>IF(AND('Riesgos de Gestión'!$AF$43="Baja",'Riesgos de Gestión'!$AH$43="Leve"),CONCATENATE("R6C",'Riesgos de Gestión'!$V$43),"")</f>
        <v/>
      </c>
      <c r="K41" s="60" t="str">
        <f>IF(AND('Riesgos de Gestión'!$AF$44="Baja",'Riesgos de Gestión'!$AH$44="Leve"),CONCATENATE("R6C",'Riesgos de Gestión'!$V$44),"")</f>
        <v/>
      </c>
      <c r="L41" s="60" t="str">
        <f>IF(AND('Riesgos de Gestión'!$AF$45="Baja",'Riesgos de Gestión'!$AH$45="Leve"),CONCATENATE("R6C",'Riesgos de Gestión'!$V$45),"")</f>
        <v/>
      </c>
      <c r="M41" s="60" t="str">
        <f>IF(AND('Riesgos de Gestión'!$AF$46="Baja",'Riesgos de Gestión'!$AH$46="Leve"),CONCATENATE("R6C",'Riesgos de Gestión'!$V$46),"")</f>
        <v/>
      </c>
      <c r="N41" s="60" t="str">
        <f>IF(AND('Riesgos de Gestión'!$AF$47="Baja",'Riesgos de Gestión'!$AH$47="Leve"),CONCATENATE("R6C",'Riesgos de Gestión'!$V$47),"")</f>
        <v/>
      </c>
      <c r="O41" s="61" t="str">
        <f>IF(AND('Riesgos de Gestión'!$AF$48="Baja",'Riesgos de Gestión'!$AH$48="Leve"),CONCATENATE("R6C",'Riesgos de Gestión'!$V$48),"")</f>
        <v/>
      </c>
      <c r="P41" s="50" t="str">
        <f>IF(AND('Riesgos de Gestión'!$AF$43="Baja",'Riesgos de Gestión'!$AH$43="Menor"),CONCATENATE("R6C",'Riesgos de Gestión'!$V$43),"")</f>
        <v/>
      </c>
      <c r="Q41" s="51" t="str">
        <f>IF(AND('Riesgos de Gestión'!$AF$44="Baja",'Riesgos de Gestión'!$AH$44="Menor"),CONCATENATE("R6C",'Riesgos de Gestión'!$V$44),"")</f>
        <v/>
      </c>
      <c r="R41" s="51" t="str">
        <f>IF(AND('Riesgos de Gestión'!$AF$45="Baja",'Riesgos de Gestión'!$AH$45="Menor"),CONCATENATE("R6C",'Riesgos de Gestión'!$V$45),"")</f>
        <v/>
      </c>
      <c r="S41" s="51" t="str">
        <f>IF(AND('Riesgos de Gestión'!$AF$46="Baja",'Riesgos de Gestión'!$AH$46="Menor"),CONCATENATE("R6C",'Riesgos de Gestión'!$V$46),"")</f>
        <v/>
      </c>
      <c r="T41" s="51" t="str">
        <f>IF(AND('Riesgos de Gestión'!$AF$47="Baja",'Riesgos de Gestión'!$AH$47="Menor"),CONCATENATE("R6C",'Riesgos de Gestión'!$V$47),"")</f>
        <v/>
      </c>
      <c r="U41" s="52" t="str">
        <f>IF(AND('Riesgos de Gestión'!$AF$48="Baja",'Riesgos de Gestión'!$AH$48="Menor"),CONCATENATE("R6C",'Riesgos de Gestión'!$V$48),"")</f>
        <v/>
      </c>
      <c r="V41" s="50" t="str">
        <f>IF(AND('Riesgos de Gestión'!$AF$43="Baja",'Riesgos de Gestión'!$AH$43="Moderado"),CONCATENATE("R6C",'Riesgos de Gestión'!$V$43),"")</f>
        <v/>
      </c>
      <c r="W41" s="51" t="str">
        <f>IF(AND('Riesgos de Gestión'!$AF$44="Baja",'Riesgos de Gestión'!$AH$44="Moderado"),CONCATENATE("R6C",'Riesgos de Gestión'!$V$44),"")</f>
        <v/>
      </c>
      <c r="X41" s="51" t="str">
        <f>IF(AND('Riesgos de Gestión'!$AF$45="Baja",'Riesgos de Gestión'!$AH$45="Moderado"),CONCATENATE("R6C",'Riesgos de Gestión'!$V$45),"")</f>
        <v/>
      </c>
      <c r="Y41" s="51" t="str">
        <f>IF(AND('Riesgos de Gestión'!$AF$46="Baja",'Riesgos de Gestión'!$AH$46="Moderado"),CONCATENATE("R6C",'Riesgos de Gestión'!$V$46),"")</f>
        <v/>
      </c>
      <c r="Z41" s="51" t="str">
        <f>IF(AND('Riesgos de Gestión'!$AF$47="Baja",'Riesgos de Gestión'!$AH$47="Moderado"),CONCATENATE("R6C",'Riesgos de Gestión'!$V$47),"")</f>
        <v/>
      </c>
      <c r="AA41" s="52" t="str">
        <f>IF(AND('Riesgos de Gestión'!$AF$48="Baja",'Riesgos de Gestión'!$AH$48="Moderado"),CONCATENATE("R6C",'Riesgos de Gestión'!$V$48),"")</f>
        <v/>
      </c>
      <c r="AB41" s="35" t="str">
        <f>IF(AND('Riesgos de Gestión'!$AF$43="Baja",'Riesgos de Gestión'!$AH$43="Mayor"),CONCATENATE("R6C",'Riesgos de Gestión'!$V$43),"")</f>
        <v/>
      </c>
      <c r="AC41" s="36" t="str">
        <f>IF(AND('Riesgos de Gestión'!$AF$44="Baja",'Riesgos de Gestión'!$AH$44="Mayor"),CONCATENATE("R6C",'Riesgos de Gestión'!$V$44),"")</f>
        <v/>
      </c>
      <c r="AD41" s="36" t="str">
        <f>IF(AND('Riesgos de Gestión'!$AF$45="Baja",'Riesgos de Gestión'!$AH$45="Mayor"),CONCATENATE("R6C",'Riesgos de Gestión'!$V$45),"")</f>
        <v/>
      </c>
      <c r="AE41" s="36" t="str">
        <f>IF(AND('Riesgos de Gestión'!$AF$46="Baja",'Riesgos de Gestión'!$AH$46="Mayor"),CONCATENATE("R6C",'Riesgos de Gestión'!$V$46),"")</f>
        <v/>
      </c>
      <c r="AF41" s="36" t="str">
        <f>IF(AND('Riesgos de Gestión'!$AF$47="Baja",'Riesgos de Gestión'!$AH$47="Mayor"),CONCATENATE("R6C",'Riesgos de Gestión'!$V$47),"")</f>
        <v/>
      </c>
      <c r="AG41" s="37" t="str">
        <f>IF(AND('Riesgos de Gestión'!$AF$48="Baja",'Riesgos de Gestión'!$AH$48="Mayor"),CONCATENATE("R6C",'Riesgos de Gestión'!$V$48),"")</f>
        <v/>
      </c>
      <c r="AH41" s="38" t="str">
        <f>IF(AND('Riesgos de Gestión'!$AF$43="Baja",'Riesgos de Gestión'!$AH$43="Catastrófico"),CONCATENATE("R6C",'Riesgos de Gestión'!$V$43),"")</f>
        <v/>
      </c>
      <c r="AI41" s="39" t="str">
        <f>IF(AND('Riesgos de Gestión'!$AF$44="Baja",'Riesgos de Gestión'!$AH$44="Catastrófico"),CONCATENATE("R6C",'Riesgos de Gestión'!$V$44),"")</f>
        <v/>
      </c>
      <c r="AJ41" s="39" t="str">
        <f>IF(AND('Riesgos de Gestión'!$AF$45="Baja",'Riesgos de Gestión'!$AH$45="Catastrófico"),CONCATENATE("R6C",'Riesgos de Gestión'!$V$45),"")</f>
        <v/>
      </c>
      <c r="AK41" s="39" t="str">
        <f>IF(AND('Riesgos de Gestión'!$AF$46="Baja",'Riesgos de Gestión'!$AH$46="Catastrófico"),CONCATENATE("R6C",'Riesgos de Gestión'!$V$46),"")</f>
        <v/>
      </c>
      <c r="AL41" s="39" t="str">
        <f>IF(AND('Riesgos de Gestión'!$AF$47="Baja",'Riesgos de Gestión'!$AH$47="Catastrófico"),CONCATENATE("R6C",'Riesgos de Gestión'!$V$47),"")</f>
        <v/>
      </c>
      <c r="AM41" s="40" t="str">
        <f>IF(AND('Riesgos de Gestión'!$AF$48="Baja",'Riesgos de Gestión'!$AH$48="Catastrófico"),CONCATENATE("R6C",'Riesgos de Gestión'!$V$48),"")</f>
        <v/>
      </c>
      <c r="AN41" s="66"/>
      <c r="AO41" s="508"/>
      <c r="AP41" s="509"/>
      <c r="AQ41" s="509"/>
      <c r="AR41" s="509"/>
      <c r="AS41" s="509"/>
      <c r="AT41" s="510"/>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row>
    <row r="42" spans="1:80" ht="15" customHeight="1" x14ac:dyDescent="0.25">
      <c r="A42" s="66"/>
      <c r="B42" s="389"/>
      <c r="C42" s="389"/>
      <c r="D42" s="390"/>
      <c r="E42" s="488"/>
      <c r="F42" s="487"/>
      <c r="G42" s="487"/>
      <c r="H42" s="487"/>
      <c r="I42" s="487"/>
      <c r="J42" s="59" t="str">
        <f>IF(AND('Riesgos de Gestión'!$AF$49="Baja",'Riesgos de Gestión'!$AH$49="Leve"),CONCATENATE("R7C",'Riesgos de Gestión'!$V$49),"")</f>
        <v/>
      </c>
      <c r="K42" s="60" t="str">
        <f>IF(AND('Riesgos de Gestión'!$AF$50="Baja",'Riesgos de Gestión'!$AH$50="Leve"),CONCATENATE("R7C",'Riesgos de Gestión'!$V$50),"")</f>
        <v/>
      </c>
      <c r="L42" s="60" t="str">
        <f>IF(AND('Riesgos de Gestión'!$AF$51="Baja",'Riesgos de Gestión'!$AH$51="Leve"),CONCATENATE("R7C",'Riesgos de Gestión'!$V$51),"")</f>
        <v/>
      </c>
      <c r="M42" s="60" t="str">
        <f>IF(AND('Riesgos de Gestión'!$AF$52="Baja",'Riesgos de Gestión'!$AH$52="Leve"),CONCATENATE("R7C",'Riesgos de Gestión'!$V$52),"")</f>
        <v/>
      </c>
      <c r="N42" s="60" t="str">
        <f>IF(AND('Riesgos de Gestión'!$AF$53="Baja",'Riesgos de Gestión'!$AH$53="Leve"),CONCATENATE("R7C",'Riesgos de Gestión'!$V$53),"")</f>
        <v/>
      </c>
      <c r="O42" s="61" t="str">
        <f>IF(AND('Riesgos de Gestión'!$AF$54="Baja",'Riesgos de Gestión'!$AH$54="Leve"),CONCATENATE("R7C",'Riesgos de Gestión'!$V$54),"")</f>
        <v/>
      </c>
      <c r="P42" s="50" t="str">
        <f>IF(AND('Riesgos de Gestión'!$AF$49="Baja",'Riesgos de Gestión'!$AH$49="Menor"),CONCATENATE("R7C",'Riesgos de Gestión'!$V$49),"")</f>
        <v/>
      </c>
      <c r="Q42" s="51" t="str">
        <f>IF(AND('Riesgos de Gestión'!$AF$50="Baja",'Riesgos de Gestión'!$AH$50="Menor"),CONCATENATE("R7C",'Riesgos de Gestión'!$V$50),"")</f>
        <v/>
      </c>
      <c r="R42" s="51" t="str">
        <f>IF(AND('Riesgos de Gestión'!$AF$51="Baja",'Riesgos de Gestión'!$AH$51="Menor"),CONCATENATE("R7C",'Riesgos de Gestión'!$V$51),"")</f>
        <v/>
      </c>
      <c r="S42" s="51" t="str">
        <f>IF(AND('Riesgos de Gestión'!$AF$52="Baja",'Riesgos de Gestión'!$AH$52="Menor"),CONCATENATE("R7C",'Riesgos de Gestión'!$V$52),"")</f>
        <v/>
      </c>
      <c r="T42" s="51" t="str">
        <f>IF(AND('Riesgos de Gestión'!$AF$53="Baja",'Riesgos de Gestión'!$AH$53="Menor"),CONCATENATE("R7C",'Riesgos de Gestión'!$V$53),"")</f>
        <v/>
      </c>
      <c r="U42" s="52" t="str">
        <f>IF(AND('Riesgos de Gestión'!$AF$54="Baja",'Riesgos de Gestión'!$AH$54="Menor"),CONCATENATE("R7C",'Riesgos de Gestión'!$V$54),"")</f>
        <v/>
      </c>
      <c r="V42" s="50" t="str">
        <f>IF(AND('Riesgos de Gestión'!$AF$49="Baja",'Riesgos de Gestión'!$AH$49="Moderado"),CONCATENATE("R7C",'Riesgos de Gestión'!$V$49),"")</f>
        <v/>
      </c>
      <c r="W42" s="51" t="str">
        <f>IF(AND('Riesgos de Gestión'!$AF$50="Baja",'Riesgos de Gestión'!$AH$50="Moderado"),CONCATENATE("R7C",'Riesgos de Gestión'!$V$50),"")</f>
        <v/>
      </c>
      <c r="X42" s="51" t="str">
        <f>IF(AND('Riesgos de Gestión'!$AF$51="Baja",'Riesgos de Gestión'!$AH$51="Moderado"),CONCATENATE("R7C",'Riesgos de Gestión'!$V$51),"")</f>
        <v/>
      </c>
      <c r="Y42" s="51" t="str">
        <f>IF(AND('Riesgos de Gestión'!$AF$52="Baja",'Riesgos de Gestión'!$AH$52="Moderado"),CONCATENATE("R7C",'Riesgos de Gestión'!$V$52),"")</f>
        <v/>
      </c>
      <c r="Z42" s="51" t="str">
        <f>IF(AND('Riesgos de Gestión'!$AF$53="Baja",'Riesgos de Gestión'!$AH$53="Moderado"),CONCATENATE("R7C",'Riesgos de Gestión'!$V$53),"")</f>
        <v/>
      </c>
      <c r="AA42" s="52" t="str">
        <f>IF(AND('Riesgos de Gestión'!$AF$54="Baja",'Riesgos de Gestión'!$AH$54="Moderado"),CONCATENATE("R7C",'Riesgos de Gestión'!$V$54),"")</f>
        <v/>
      </c>
      <c r="AB42" s="35" t="str">
        <f>IF(AND('Riesgos de Gestión'!$AF$49="Baja",'Riesgos de Gestión'!$AH$49="Mayor"),CONCATENATE("R7C",'Riesgos de Gestión'!$V$49),"")</f>
        <v/>
      </c>
      <c r="AC42" s="36" t="str">
        <f>IF(AND('Riesgos de Gestión'!$AF$50="Baja",'Riesgos de Gestión'!$AH$50="Mayor"),CONCATENATE("R7C",'Riesgos de Gestión'!$V$50),"")</f>
        <v/>
      </c>
      <c r="AD42" s="36" t="str">
        <f>IF(AND('Riesgos de Gestión'!$AF$51="Baja",'Riesgos de Gestión'!$AH$51="Mayor"),CONCATENATE("R7C",'Riesgos de Gestión'!$V$51),"")</f>
        <v/>
      </c>
      <c r="AE42" s="36" t="str">
        <f>IF(AND('Riesgos de Gestión'!$AF$52="Baja",'Riesgos de Gestión'!$AH$52="Mayor"),CONCATENATE("R7C",'Riesgos de Gestión'!$V$52),"")</f>
        <v/>
      </c>
      <c r="AF42" s="36" t="str">
        <f>IF(AND('Riesgos de Gestión'!$AF$53="Baja",'Riesgos de Gestión'!$AH$53="Mayor"),CONCATENATE("R7C",'Riesgos de Gestión'!$V$53),"")</f>
        <v/>
      </c>
      <c r="AG42" s="37" t="str">
        <f>IF(AND('Riesgos de Gestión'!$AF$54="Baja",'Riesgos de Gestión'!$AH$54="Mayor"),CONCATENATE("R7C",'Riesgos de Gestión'!$V$54),"")</f>
        <v/>
      </c>
      <c r="AH42" s="38" t="str">
        <f>IF(AND('Riesgos de Gestión'!$AF$49="Baja",'Riesgos de Gestión'!$AH$49="Catastrófico"),CONCATENATE("R7C",'Riesgos de Gestión'!$V$49),"")</f>
        <v/>
      </c>
      <c r="AI42" s="39" t="str">
        <f>IF(AND('Riesgos de Gestión'!$AF$50="Baja",'Riesgos de Gestión'!$AH$50="Catastrófico"),CONCATENATE("R7C",'Riesgos de Gestión'!$V$50),"")</f>
        <v/>
      </c>
      <c r="AJ42" s="39" t="str">
        <f>IF(AND('Riesgos de Gestión'!$AF$51="Baja",'Riesgos de Gestión'!$AH$51="Catastrófico"),CONCATENATE("R7C",'Riesgos de Gestión'!$V$51),"")</f>
        <v/>
      </c>
      <c r="AK42" s="39" t="str">
        <f>IF(AND('Riesgos de Gestión'!$AF$52="Baja",'Riesgos de Gestión'!$AH$52="Catastrófico"),CONCATENATE("R7C",'Riesgos de Gestión'!$V$52),"")</f>
        <v/>
      </c>
      <c r="AL42" s="39" t="str">
        <f>IF(AND('Riesgos de Gestión'!$AF$53="Baja",'Riesgos de Gestión'!$AH$53="Catastrófico"),CONCATENATE("R7C",'Riesgos de Gestión'!$V$53),"")</f>
        <v/>
      </c>
      <c r="AM42" s="40" t="str">
        <f>IF(AND('Riesgos de Gestión'!$AF$54="Baja",'Riesgos de Gestión'!$AH$54="Catastrófico"),CONCATENATE("R7C",'Riesgos de Gestión'!$V$54),"")</f>
        <v/>
      </c>
      <c r="AN42" s="66"/>
      <c r="AO42" s="508"/>
      <c r="AP42" s="509"/>
      <c r="AQ42" s="509"/>
      <c r="AR42" s="509"/>
      <c r="AS42" s="509"/>
      <c r="AT42" s="510"/>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row>
    <row r="43" spans="1:80" ht="15" customHeight="1" x14ac:dyDescent="0.25">
      <c r="A43" s="66"/>
      <c r="B43" s="389"/>
      <c r="C43" s="389"/>
      <c r="D43" s="390"/>
      <c r="E43" s="488"/>
      <c r="F43" s="487"/>
      <c r="G43" s="487"/>
      <c r="H43" s="487"/>
      <c r="I43" s="487"/>
      <c r="J43" s="59" t="str">
        <f>IF(AND('Riesgos de Gestión'!$AF$55="Baja",'Riesgos de Gestión'!$AH$55="Leve"),CONCATENATE("R8C",'Riesgos de Gestión'!$V$55),"")</f>
        <v/>
      </c>
      <c r="K43" s="60" t="str">
        <f>IF(AND('Riesgos de Gestión'!$AF$56="Baja",'Riesgos de Gestión'!$AH$56="Leve"),CONCATENATE("R8C",'Riesgos de Gestión'!$V$56),"")</f>
        <v/>
      </c>
      <c r="L43" s="60" t="str">
        <f>IF(AND('Riesgos de Gestión'!$AF$57="Baja",'Riesgos de Gestión'!$AH$57="Leve"),CONCATENATE("R8C",'Riesgos de Gestión'!$V$57),"")</f>
        <v/>
      </c>
      <c r="M43" s="60" t="str">
        <f>IF(AND('Riesgos de Gestión'!$AF$58="Baja",'Riesgos de Gestión'!$AH$58="Leve"),CONCATENATE("R8C",'Riesgos de Gestión'!$V$58),"")</f>
        <v/>
      </c>
      <c r="N43" s="60" t="str">
        <f>IF(AND('Riesgos de Gestión'!$AF$59="Baja",'Riesgos de Gestión'!$AH$59="Leve"),CONCATENATE("R8C",'Riesgos de Gestión'!$V$59),"")</f>
        <v/>
      </c>
      <c r="O43" s="61" t="str">
        <f>IF(AND('Riesgos de Gestión'!$AF$60="Baja",'Riesgos de Gestión'!$AH$60="Leve"),CONCATENATE("R8C",'Riesgos de Gestión'!$V$60),"")</f>
        <v/>
      </c>
      <c r="P43" s="50" t="str">
        <f>IF(AND('Riesgos de Gestión'!$AF$55="Baja",'Riesgos de Gestión'!$AH$55="Menor"),CONCATENATE("R8C",'Riesgos de Gestión'!$V$55),"")</f>
        <v/>
      </c>
      <c r="Q43" s="51" t="str">
        <f>IF(AND('Riesgos de Gestión'!$AF$56="Baja",'Riesgos de Gestión'!$AH$56="Menor"),CONCATENATE("R8C",'Riesgos de Gestión'!$V$56),"")</f>
        <v/>
      </c>
      <c r="R43" s="51" t="str">
        <f>IF(AND('Riesgos de Gestión'!$AF$57="Baja",'Riesgos de Gestión'!$AH$57="Menor"),CONCATENATE("R8C",'Riesgos de Gestión'!$V$57),"")</f>
        <v/>
      </c>
      <c r="S43" s="51" t="str">
        <f>IF(AND('Riesgos de Gestión'!$AF$58="Baja",'Riesgos de Gestión'!$AH$58="Menor"),CONCATENATE("R8C",'Riesgos de Gestión'!$V$58),"")</f>
        <v/>
      </c>
      <c r="T43" s="51" t="str">
        <f>IF(AND('Riesgos de Gestión'!$AF$59="Baja",'Riesgos de Gestión'!$AH$59="Menor"),CONCATENATE("R8C",'Riesgos de Gestión'!$V$59),"")</f>
        <v/>
      </c>
      <c r="U43" s="52" t="str">
        <f>IF(AND('Riesgos de Gestión'!$AF$60="Baja",'Riesgos de Gestión'!$AH$60="Menor"),CONCATENATE("R8C",'Riesgos de Gestión'!$V$60),"")</f>
        <v/>
      </c>
      <c r="V43" s="50" t="str">
        <f>IF(AND('Riesgos de Gestión'!$AF$55="Baja",'Riesgos de Gestión'!$AH$55="Moderado"),CONCATENATE("R8C",'Riesgos de Gestión'!$V$55),"")</f>
        <v/>
      </c>
      <c r="W43" s="51" t="str">
        <f>IF(AND('Riesgos de Gestión'!$AF$56="Baja",'Riesgos de Gestión'!$AH$56="Moderado"),CONCATENATE("R8C",'Riesgos de Gestión'!$V$56),"")</f>
        <v/>
      </c>
      <c r="X43" s="51" t="str">
        <f>IF(AND('Riesgos de Gestión'!$AF$57="Baja",'Riesgos de Gestión'!$AH$57="Moderado"),CONCATENATE("R8C",'Riesgos de Gestión'!$V$57),"")</f>
        <v/>
      </c>
      <c r="Y43" s="51" t="str">
        <f>IF(AND('Riesgos de Gestión'!$AF$58="Baja",'Riesgos de Gestión'!$AH$58="Moderado"),CONCATENATE("R8C",'Riesgos de Gestión'!$V$58),"")</f>
        <v/>
      </c>
      <c r="Z43" s="51" t="str">
        <f>IF(AND('Riesgos de Gestión'!$AF$59="Baja",'Riesgos de Gestión'!$AH$59="Moderado"),CONCATENATE("R8C",'Riesgos de Gestión'!$V$59),"")</f>
        <v/>
      </c>
      <c r="AA43" s="52" t="str">
        <f>IF(AND('Riesgos de Gestión'!$AF$60="Baja",'Riesgos de Gestión'!$AH$60="Moderado"),CONCATENATE("R8C",'Riesgos de Gestión'!$V$60),"")</f>
        <v/>
      </c>
      <c r="AB43" s="35" t="str">
        <f>IF(AND('Riesgos de Gestión'!$AF$55="Baja",'Riesgos de Gestión'!$AH$55="Mayor"),CONCATENATE("R8C",'Riesgos de Gestión'!$V$55),"")</f>
        <v/>
      </c>
      <c r="AC43" s="36" t="str">
        <f>IF(AND('Riesgos de Gestión'!$AF$56="Baja",'Riesgos de Gestión'!$AH$56="Mayor"),CONCATENATE("R8C",'Riesgos de Gestión'!$V$56),"")</f>
        <v/>
      </c>
      <c r="AD43" s="36" t="str">
        <f>IF(AND('Riesgos de Gestión'!$AF$57="Baja",'Riesgos de Gestión'!$AH$57="Mayor"),CONCATENATE("R8C",'Riesgos de Gestión'!$V$57),"")</f>
        <v/>
      </c>
      <c r="AE43" s="36" t="str">
        <f>IF(AND('Riesgos de Gestión'!$AF$58="Baja",'Riesgos de Gestión'!$AH$58="Mayor"),CONCATENATE("R8C",'Riesgos de Gestión'!$V$58),"")</f>
        <v/>
      </c>
      <c r="AF43" s="36" t="str">
        <f>IF(AND('Riesgos de Gestión'!$AF$59="Baja",'Riesgos de Gestión'!$AH$59="Mayor"),CONCATENATE("R8C",'Riesgos de Gestión'!$V$59),"")</f>
        <v/>
      </c>
      <c r="AG43" s="37" t="str">
        <f>IF(AND('Riesgos de Gestión'!$AF$60="Baja",'Riesgos de Gestión'!$AH$60="Mayor"),CONCATENATE("R8C",'Riesgos de Gestión'!$V$60),"")</f>
        <v/>
      </c>
      <c r="AH43" s="38" t="str">
        <f>IF(AND('Riesgos de Gestión'!$AF$55="Baja",'Riesgos de Gestión'!$AH$55="Catastrófico"),CONCATENATE("R8C",'Riesgos de Gestión'!$V$55),"")</f>
        <v/>
      </c>
      <c r="AI43" s="39" t="str">
        <f>IF(AND('Riesgos de Gestión'!$AF$56="Baja",'Riesgos de Gestión'!$AH$56="Catastrófico"),CONCATENATE("R8C",'Riesgos de Gestión'!$V$56),"")</f>
        <v/>
      </c>
      <c r="AJ43" s="39" t="str">
        <f>IF(AND('Riesgos de Gestión'!$AF$57="Baja",'Riesgos de Gestión'!$AH$57="Catastrófico"),CONCATENATE("R8C",'Riesgos de Gestión'!$V$57),"")</f>
        <v/>
      </c>
      <c r="AK43" s="39" t="str">
        <f>IF(AND('Riesgos de Gestión'!$AF$58="Baja",'Riesgos de Gestión'!$AH$58="Catastrófico"),CONCATENATE("R8C",'Riesgos de Gestión'!$V$58),"")</f>
        <v/>
      </c>
      <c r="AL43" s="39" t="str">
        <f>IF(AND('Riesgos de Gestión'!$AF$59="Baja",'Riesgos de Gestión'!$AH$59="Catastrófico"),CONCATENATE("R8C",'Riesgos de Gestión'!$V$59),"")</f>
        <v/>
      </c>
      <c r="AM43" s="40" t="str">
        <f>IF(AND('Riesgos de Gestión'!$AF$60="Baja",'Riesgos de Gestión'!$AH$60="Catastrófico"),CONCATENATE("R8C",'Riesgos de Gestión'!$V$60),"")</f>
        <v/>
      </c>
      <c r="AN43" s="66"/>
      <c r="AO43" s="508"/>
      <c r="AP43" s="509"/>
      <c r="AQ43" s="509"/>
      <c r="AR43" s="509"/>
      <c r="AS43" s="509"/>
      <c r="AT43" s="510"/>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row>
    <row r="44" spans="1:80" ht="15" customHeight="1" x14ac:dyDescent="0.25">
      <c r="A44" s="66"/>
      <c r="B44" s="389"/>
      <c r="C44" s="389"/>
      <c r="D44" s="390"/>
      <c r="E44" s="488"/>
      <c r="F44" s="487"/>
      <c r="G44" s="487"/>
      <c r="H44" s="487"/>
      <c r="I44" s="487"/>
      <c r="J44" s="59" t="str">
        <f>IF(AND('Riesgos de Gestión'!$AF$61="Baja",'Riesgos de Gestión'!$AH$61="Leve"),CONCATENATE("R9C",'Riesgos de Gestión'!$V$61),"")</f>
        <v/>
      </c>
      <c r="K44" s="60" t="str">
        <f>IF(AND('Riesgos de Gestión'!$AF$62="Baja",'Riesgos de Gestión'!$AH$62="Leve"),CONCATENATE("R9C",'Riesgos de Gestión'!$V$62),"")</f>
        <v/>
      </c>
      <c r="L44" s="60" t="str">
        <f>IF(AND('Riesgos de Gestión'!$AF$63="Baja",'Riesgos de Gestión'!$AH$63="Leve"),CONCATENATE("R9C",'Riesgos de Gestión'!$V$63),"")</f>
        <v/>
      </c>
      <c r="M44" s="60" t="str">
        <f>IF(AND('Riesgos de Gestión'!$AF$64="Baja",'Riesgos de Gestión'!$AH$64="Leve"),CONCATENATE("R9C",'Riesgos de Gestión'!$V$64),"")</f>
        <v/>
      </c>
      <c r="N44" s="60" t="str">
        <f>IF(AND('Riesgos de Gestión'!$AF$65="Baja",'Riesgos de Gestión'!$AH$65="Leve"),CONCATENATE("R9C",'Riesgos de Gestión'!$V$65),"")</f>
        <v/>
      </c>
      <c r="O44" s="61" t="str">
        <f>IF(AND('Riesgos de Gestión'!$AF$66="Baja",'Riesgos de Gestión'!$AH$66="Leve"),CONCATENATE("R9C",'Riesgos de Gestión'!$V$66),"")</f>
        <v/>
      </c>
      <c r="P44" s="50" t="str">
        <f>IF(AND('Riesgos de Gestión'!$AF$61="Baja",'Riesgos de Gestión'!$AH$61="Menor"),CONCATENATE("R9C",'Riesgos de Gestión'!$V$61),"")</f>
        <v/>
      </c>
      <c r="Q44" s="51" t="str">
        <f>IF(AND('Riesgos de Gestión'!$AF$62="Baja",'Riesgos de Gestión'!$AH$62="Menor"),CONCATENATE("R9C",'Riesgos de Gestión'!$V$62),"")</f>
        <v/>
      </c>
      <c r="R44" s="51" t="str">
        <f>IF(AND('Riesgos de Gestión'!$AF$63="Baja",'Riesgos de Gestión'!$AH$63="Menor"),CONCATENATE("R9C",'Riesgos de Gestión'!$V$63),"")</f>
        <v/>
      </c>
      <c r="S44" s="51" t="str">
        <f>IF(AND('Riesgos de Gestión'!$AF$64="Baja",'Riesgos de Gestión'!$AH$64="Menor"),CONCATENATE("R9C",'Riesgos de Gestión'!$V$64),"")</f>
        <v/>
      </c>
      <c r="T44" s="51" t="str">
        <f>IF(AND('Riesgos de Gestión'!$AF$65="Baja",'Riesgos de Gestión'!$AH$65="Menor"),CONCATENATE("R9C",'Riesgos de Gestión'!$V$65),"")</f>
        <v/>
      </c>
      <c r="U44" s="52" t="str">
        <f>IF(AND('Riesgos de Gestión'!$AF$66="Baja",'Riesgos de Gestión'!$AH$66="Menor"),CONCATENATE("R9C",'Riesgos de Gestión'!$V$66),"")</f>
        <v/>
      </c>
      <c r="V44" s="50" t="str">
        <f>IF(AND('Riesgos de Gestión'!$AF$61="Baja",'Riesgos de Gestión'!$AH$61="Moderado"),CONCATENATE("R9C",'Riesgos de Gestión'!$V$61),"")</f>
        <v/>
      </c>
      <c r="W44" s="51" t="str">
        <f>IF(AND('Riesgos de Gestión'!$AF$62="Baja",'Riesgos de Gestión'!$AH$62="Moderado"),CONCATENATE("R9C",'Riesgos de Gestión'!$V$62),"")</f>
        <v/>
      </c>
      <c r="X44" s="51" t="str">
        <f>IF(AND('Riesgos de Gestión'!$AF$63="Baja",'Riesgos de Gestión'!$AH$63="Moderado"),CONCATENATE("R9C",'Riesgos de Gestión'!$V$63),"")</f>
        <v/>
      </c>
      <c r="Y44" s="51" t="str">
        <f>IF(AND('Riesgos de Gestión'!$AF$64="Baja",'Riesgos de Gestión'!$AH$64="Moderado"),CONCATENATE("R9C",'Riesgos de Gestión'!$V$64),"")</f>
        <v/>
      </c>
      <c r="Z44" s="51" t="str">
        <f>IF(AND('Riesgos de Gestión'!$AF$65="Baja",'Riesgos de Gestión'!$AH$65="Moderado"),CONCATENATE("R9C",'Riesgos de Gestión'!$V$65),"")</f>
        <v/>
      </c>
      <c r="AA44" s="52" t="str">
        <f>IF(AND('Riesgos de Gestión'!$AF$66="Baja",'Riesgos de Gestión'!$AH$66="Moderado"),CONCATENATE("R9C",'Riesgos de Gestión'!$V$66),"")</f>
        <v/>
      </c>
      <c r="AB44" s="35" t="str">
        <f>IF(AND('Riesgos de Gestión'!$AF$61="Baja",'Riesgos de Gestión'!$AH$61="Mayor"),CONCATENATE("R9C",'Riesgos de Gestión'!$V$61),"")</f>
        <v/>
      </c>
      <c r="AC44" s="36" t="str">
        <f>IF(AND('Riesgos de Gestión'!$AF$62="Baja",'Riesgos de Gestión'!$AH$62="Mayor"),CONCATENATE("R9C",'Riesgos de Gestión'!$V$62),"")</f>
        <v/>
      </c>
      <c r="AD44" s="36" t="str">
        <f>IF(AND('Riesgos de Gestión'!$AF$63="Baja",'Riesgos de Gestión'!$AH$63="Mayor"),CONCATENATE("R9C",'Riesgos de Gestión'!$V$63),"")</f>
        <v/>
      </c>
      <c r="AE44" s="36" t="str">
        <f>IF(AND('Riesgos de Gestión'!$AF$64="Baja",'Riesgos de Gestión'!$AH$64="Mayor"),CONCATENATE("R9C",'Riesgos de Gestión'!$V$64),"")</f>
        <v/>
      </c>
      <c r="AF44" s="36" t="str">
        <f>IF(AND('Riesgos de Gestión'!$AF$65="Baja",'Riesgos de Gestión'!$AH$65="Mayor"),CONCATENATE("R9C",'Riesgos de Gestión'!$V$65),"")</f>
        <v/>
      </c>
      <c r="AG44" s="37" t="str">
        <f>IF(AND('Riesgos de Gestión'!$AF$66="Baja",'Riesgos de Gestión'!$AH$66="Mayor"),CONCATENATE("R9C",'Riesgos de Gestión'!$V$66),"")</f>
        <v/>
      </c>
      <c r="AH44" s="38" t="str">
        <f>IF(AND('Riesgos de Gestión'!$AF$61="Baja",'Riesgos de Gestión'!$AH$61="Catastrófico"),CONCATENATE("R9C",'Riesgos de Gestión'!$V$61),"")</f>
        <v/>
      </c>
      <c r="AI44" s="39" t="str">
        <f>IF(AND('Riesgos de Gestión'!$AF$62="Baja",'Riesgos de Gestión'!$AH$62="Catastrófico"),CONCATENATE("R9C",'Riesgos de Gestión'!$V$62),"")</f>
        <v/>
      </c>
      <c r="AJ44" s="39" t="str">
        <f>IF(AND('Riesgos de Gestión'!$AF$63="Baja",'Riesgos de Gestión'!$AH$63="Catastrófico"),CONCATENATE("R9C",'Riesgos de Gestión'!$V$63),"")</f>
        <v/>
      </c>
      <c r="AK44" s="39" t="str">
        <f>IF(AND('Riesgos de Gestión'!$AF$64="Baja",'Riesgos de Gestión'!$AH$64="Catastrófico"),CONCATENATE("R9C",'Riesgos de Gestión'!$V$64),"")</f>
        <v/>
      </c>
      <c r="AL44" s="39" t="str">
        <f>IF(AND('Riesgos de Gestión'!$AF$65="Baja",'Riesgos de Gestión'!$AH$65="Catastrófico"),CONCATENATE("R9C",'Riesgos de Gestión'!$V$65),"")</f>
        <v/>
      </c>
      <c r="AM44" s="40" t="str">
        <f>IF(AND('Riesgos de Gestión'!$AF$66="Baja",'Riesgos de Gestión'!$AH$66="Catastrófico"),CONCATENATE("R9C",'Riesgos de Gestión'!$V$66),"")</f>
        <v/>
      </c>
      <c r="AN44" s="66"/>
      <c r="AO44" s="508"/>
      <c r="AP44" s="509"/>
      <c r="AQ44" s="509"/>
      <c r="AR44" s="509"/>
      <c r="AS44" s="509"/>
      <c r="AT44" s="510"/>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row>
    <row r="45" spans="1:80" ht="15.75" customHeight="1" thickBot="1" x14ac:dyDescent="0.3">
      <c r="A45" s="66"/>
      <c r="B45" s="389"/>
      <c r="C45" s="389"/>
      <c r="D45" s="390"/>
      <c r="E45" s="489"/>
      <c r="F45" s="490"/>
      <c r="G45" s="490"/>
      <c r="H45" s="490"/>
      <c r="I45" s="490"/>
      <c r="J45" s="62" t="str">
        <f>IF(AND('Riesgos de Gestión'!$AF$67="Baja",'Riesgos de Gestión'!$AH$67="Leve"),CONCATENATE("R10C",'Riesgos de Gestión'!$V$67),"")</f>
        <v/>
      </c>
      <c r="K45" s="63" t="str">
        <f>IF(AND('Riesgos de Gestión'!$AF$68="Baja",'Riesgos de Gestión'!$AH$68="Leve"),CONCATENATE("R10C",'Riesgos de Gestión'!$V$68),"")</f>
        <v/>
      </c>
      <c r="L45" s="63" t="str">
        <f>IF(AND('Riesgos de Gestión'!$AF$69="Baja",'Riesgos de Gestión'!$AH$69="Leve"),CONCATENATE("R10C",'Riesgos de Gestión'!$V$69),"")</f>
        <v/>
      </c>
      <c r="M45" s="63" t="str">
        <f>IF(AND('Riesgos de Gestión'!$AF$70="Baja",'Riesgos de Gestión'!$AH$70="Leve"),CONCATENATE("R10C",'Riesgos de Gestión'!$V$70),"")</f>
        <v/>
      </c>
      <c r="N45" s="63" t="str">
        <f>IF(AND('Riesgos de Gestión'!$AF$71="Baja",'Riesgos de Gestión'!$AH$71="Leve"),CONCATENATE("R10C",'Riesgos de Gestión'!$V$71),"")</f>
        <v/>
      </c>
      <c r="O45" s="64" t="str">
        <f>IF(AND('Riesgos de Gestión'!$AF$72="Baja",'Riesgos de Gestión'!$AH$72="Leve"),CONCATENATE("R10C",'Riesgos de Gestión'!$V$72),"")</f>
        <v/>
      </c>
      <c r="P45" s="50" t="str">
        <f>IF(AND('Riesgos de Gestión'!$AF$67="Baja",'Riesgos de Gestión'!$AH$67="Menor"),CONCATENATE("R10C",'Riesgos de Gestión'!$V$67),"")</f>
        <v/>
      </c>
      <c r="Q45" s="51" t="str">
        <f>IF(AND('Riesgos de Gestión'!$AF$68="Baja",'Riesgos de Gestión'!$AH$68="Menor"),CONCATENATE("R10C",'Riesgos de Gestión'!$V$68),"")</f>
        <v/>
      </c>
      <c r="R45" s="51" t="str">
        <f>IF(AND('Riesgos de Gestión'!$AF$69="Baja",'Riesgos de Gestión'!$AH$69="Menor"),CONCATENATE("R10C",'Riesgos de Gestión'!$V$69),"")</f>
        <v/>
      </c>
      <c r="S45" s="51" t="str">
        <f>IF(AND('Riesgos de Gestión'!$AF$70="Baja",'Riesgos de Gestión'!$AH$70="Menor"),CONCATENATE("R10C",'Riesgos de Gestión'!$V$70),"")</f>
        <v/>
      </c>
      <c r="T45" s="51" t="str">
        <f>IF(AND('Riesgos de Gestión'!$AF$71="Baja",'Riesgos de Gestión'!$AH$71="Menor"),CONCATENATE("R10C",'Riesgos de Gestión'!$V$71),"")</f>
        <v/>
      </c>
      <c r="U45" s="52" t="str">
        <f>IF(AND('Riesgos de Gestión'!$AF$72="Baja",'Riesgos de Gestión'!$AH$72="Menor"),CONCATENATE("R10C",'Riesgos de Gestión'!$V$72),"")</f>
        <v/>
      </c>
      <c r="V45" s="53" t="str">
        <f>IF(AND('Riesgos de Gestión'!$AF$67="Baja",'Riesgos de Gestión'!$AH$67="Moderado"),CONCATENATE("R10C",'Riesgos de Gestión'!$V$67),"")</f>
        <v/>
      </c>
      <c r="W45" s="54" t="str">
        <f>IF(AND('Riesgos de Gestión'!$AF$68="Baja",'Riesgos de Gestión'!$AH$68="Moderado"),CONCATENATE("R10C",'Riesgos de Gestión'!$V$68),"")</f>
        <v/>
      </c>
      <c r="X45" s="54" t="str">
        <f>IF(AND('Riesgos de Gestión'!$AF$69="Baja",'Riesgos de Gestión'!$AH$69="Moderado"),CONCATENATE("R10C",'Riesgos de Gestión'!$V$69),"")</f>
        <v/>
      </c>
      <c r="Y45" s="54" t="str">
        <f>IF(AND('Riesgos de Gestión'!$AF$70="Baja",'Riesgos de Gestión'!$AH$70="Moderado"),CONCATENATE("R10C",'Riesgos de Gestión'!$V$70),"")</f>
        <v/>
      </c>
      <c r="Z45" s="54" t="str">
        <f>IF(AND('Riesgos de Gestión'!$AF$71="Baja",'Riesgos de Gestión'!$AH$71="Moderado"),CONCATENATE("R10C",'Riesgos de Gestión'!$V$71),"")</f>
        <v/>
      </c>
      <c r="AA45" s="55" t="str">
        <f>IF(AND('Riesgos de Gestión'!$AF$72="Baja",'Riesgos de Gestión'!$AH$72="Moderado"),CONCATENATE("R10C",'Riesgos de Gestión'!$V$72),"")</f>
        <v/>
      </c>
      <c r="AB45" s="41" t="str">
        <f>IF(AND('Riesgos de Gestión'!$AF$67="Baja",'Riesgos de Gestión'!$AH$67="Mayor"),CONCATENATE("R10C",'Riesgos de Gestión'!$V$67),"")</f>
        <v/>
      </c>
      <c r="AC45" s="42" t="str">
        <f>IF(AND('Riesgos de Gestión'!$AF$68="Baja",'Riesgos de Gestión'!$AH$68="Mayor"),CONCATENATE("R10C",'Riesgos de Gestión'!$V$68),"")</f>
        <v/>
      </c>
      <c r="AD45" s="42" t="str">
        <f>IF(AND('Riesgos de Gestión'!$AF$69="Baja",'Riesgos de Gestión'!$AH$69="Mayor"),CONCATENATE("R10C",'Riesgos de Gestión'!$V$69),"")</f>
        <v/>
      </c>
      <c r="AE45" s="42" t="str">
        <f>IF(AND('Riesgos de Gestión'!$AF$70="Baja",'Riesgos de Gestión'!$AH$70="Mayor"),CONCATENATE("R10C",'Riesgos de Gestión'!$V$70),"")</f>
        <v/>
      </c>
      <c r="AF45" s="42" t="str">
        <f>IF(AND('Riesgos de Gestión'!$AF$71="Baja",'Riesgos de Gestión'!$AH$71="Mayor"),CONCATENATE("R10C",'Riesgos de Gestión'!$V$71),"")</f>
        <v/>
      </c>
      <c r="AG45" s="43" t="str">
        <f>IF(AND('Riesgos de Gestión'!$AF$72="Baja",'Riesgos de Gestión'!$AH$72="Mayor"),CONCATENATE("R10C",'Riesgos de Gestión'!$V$72),"")</f>
        <v/>
      </c>
      <c r="AH45" s="44" t="str">
        <f>IF(AND('Riesgos de Gestión'!$AF$67="Baja",'Riesgos de Gestión'!$AH$67="Catastrófico"),CONCATENATE("R10C",'Riesgos de Gestión'!$V$67),"")</f>
        <v/>
      </c>
      <c r="AI45" s="45" t="str">
        <f>IF(AND('Riesgos de Gestión'!$AF$68="Baja",'Riesgos de Gestión'!$AH$68="Catastrófico"),CONCATENATE("R10C",'Riesgos de Gestión'!$V$68),"")</f>
        <v/>
      </c>
      <c r="AJ45" s="45" t="str">
        <f>IF(AND('Riesgos de Gestión'!$AF$69="Baja",'Riesgos de Gestión'!$AH$69="Catastrófico"),CONCATENATE("R10C",'Riesgos de Gestión'!$V$69),"")</f>
        <v/>
      </c>
      <c r="AK45" s="45" t="str">
        <f>IF(AND('Riesgos de Gestión'!$AF$70="Baja",'Riesgos de Gestión'!$AH$70="Catastrófico"),CONCATENATE("R10C",'Riesgos de Gestión'!$V$70),"")</f>
        <v/>
      </c>
      <c r="AL45" s="45" t="str">
        <f>IF(AND('Riesgos de Gestión'!$AF$71="Baja",'Riesgos de Gestión'!$AH$71="Catastrófico"),CONCATENATE("R10C",'Riesgos de Gestión'!$V$71),"")</f>
        <v/>
      </c>
      <c r="AM45" s="46" t="str">
        <f>IF(AND('Riesgos de Gestión'!$AF$72="Baja",'Riesgos de Gestión'!$AH$72="Catastrófico"),CONCATENATE("R10C",'Riesgos de Gestión'!$V$72),"")</f>
        <v/>
      </c>
      <c r="AN45" s="66"/>
      <c r="AO45" s="511"/>
      <c r="AP45" s="512"/>
      <c r="AQ45" s="512"/>
      <c r="AR45" s="512"/>
      <c r="AS45" s="512"/>
      <c r="AT45" s="513"/>
    </row>
    <row r="46" spans="1:80" ht="46.5" customHeight="1" x14ac:dyDescent="0.35">
      <c r="A46" s="66"/>
      <c r="B46" s="389"/>
      <c r="C46" s="389"/>
      <c r="D46" s="390"/>
      <c r="E46" s="484" t="s">
        <v>259</v>
      </c>
      <c r="F46" s="485"/>
      <c r="G46" s="485"/>
      <c r="H46" s="485"/>
      <c r="I46" s="502"/>
      <c r="J46" s="56" t="str">
        <f>IF(AND('Riesgos de Gestión'!$AF$13="Muy Baja",'Riesgos de Gestión'!$AH$13="Leve"),CONCATENATE("R1C",'Riesgos de Gestión'!$V$13),"")</f>
        <v/>
      </c>
      <c r="K46" s="57" t="str">
        <f>IF(AND('Riesgos de Gestión'!$AF$14="Muy Baja",'Riesgos de Gestión'!$AH$14="Leve"),CONCATENATE("R1C",'Riesgos de Gestión'!$V$14),"")</f>
        <v/>
      </c>
      <c r="L46" s="57" t="str">
        <f>IF(AND('Riesgos de Gestión'!$AF$15="Muy Baja",'Riesgos de Gestión'!$AH$15="Leve"),CONCATENATE("R1C",'Riesgos de Gestión'!$V$15),"")</f>
        <v/>
      </c>
      <c r="M46" s="57" t="str">
        <f>IF(AND('Riesgos de Gestión'!$AF$16="Muy Baja",'Riesgos de Gestión'!$AH$16="Leve"),CONCATENATE("R1C",'Riesgos de Gestión'!$V$16),"")</f>
        <v/>
      </c>
      <c r="N46" s="57" t="str">
        <f>IF(AND('Riesgos de Gestión'!$AF$17="Muy Baja",'Riesgos de Gestión'!$AH$17="Leve"),CONCATENATE("R1C",'Riesgos de Gestión'!$V$17),"")</f>
        <v/>
      </c>
      <c r="O46" s="58" t="str">
        <f>IF(AND('Riesgos de Gestión'!$AF$18="Muy Baja",'Riesgos de Gestión'!$AH$18="Leve"),CONCATENATE("R1C",'Riesgos de Gestión'!$V$18),"")</f>
        <v/>
      </c>
      <c r="P46" s="56" t="str">
        <f>IF(AND('Riesgos de Gestión'!$AF$13="Muy Baja",'Riesgos de Gestión'!$AH$13="Menor"),CONCATENATE("R1C",'Riesgos de Gestión'!$V$13),"")</f>
        <v/>
      </c>
      <c r="Q46" s="57" t="str">
        <f>IF(AND('Riesgos de Gestión'!$AF$14="Muy Baja",'Riesgos de Gestión'!$AH$14="Menor"),CONCATENATE("R1C",'Riesgos de Gestión'!$V$14),"")</f>
        <v/>
      </c>
      <c r="R46" s="57" t="str">
        <f>IF(AND('Riesgos de Gestión'!$AF$15="Muy Baja",'Riesgos de Gestión'!$AH$15="Menor"),CONCATENATE("R1C",'Riesgos de Gestión'!$V$15),"")</f>
        <v/>
      </c>
      <c r="S46" s="57" t="str">
        <f>IF(AND('Riesgos de Gestión'!$AF$16="Muy Baja",'Riesgos de Gestión'!$AH$16="Menor"),CONCATENATE("R1C",'Riesgos de Gestión'!$V$16),"")</f>
        <v/>
      </c>
      <c r="T46" s="57" t="str">
        <f>IF(AND('Riesgos de Gestión'!$AF$17="Muy Baja",'Riesgos de Gestión'!$AH$17="Menor"),CONCATENATE("R1C",'Riesgos de Gestión'!$V$17),"")</f>
        <v/>
      </c>
      <c r="U46" s="58" t="str">
        <f>IF(AND('Riesgos de Gestión'!$AF$18="Muy Baja",'Riesgos de Gestión'!$AH$18="Menor"),CONCATENATE("R1C",'Riesgos de Gestión'!$V$18),"")</f>
        <v/>
      </c>
      <c r="V46" s="47" t="str">
        <f>IF(AND('Riesgos de Gestión'!$AF$13="Muy Baja",'Riesgos de Gestión'!$AH$13="Moderado"),CONCATENATE("R1C",'Riesgos de Gestión'!$V$13),"")</f>
        <v/>
      </c>
      <c r="W46" s="65" t="str">
        <f>IF(AND('Riesgos de Gestión'!$AF$14="Muy Baja",'Riesgos de Gestión'!$AH$14="Moderado"),CONCATENATE("R1C",'Riesgos de Gestión'!$V$14),"")</f>
        <v/>
      </c>
      <c r="X46" s="48" t="str">
        <f>IF(AND('Riesgos de Gestión'!$AF$15="Muy Baja",'Riesgos de Gestión'!$AH$15="Moderado"),CONCATENATE("R1C",'Riesgos de Gestión'!$V$15),"")</f>
        <v/>
      </c>
      <c r="Y46" s="48" t="str">
        <f>IF(AND('Riesgos de Gestión'!$AF$16="Muy Baja",'Riesgos de Gestión'!$AH$16="Moderado"),CONCATENATE("R1C",'Riesgos de Gestión'!$V$16),"")</f>
        <v/>
      </c>
      <c r="Z46" s="48" t="str">
        <f>IF(AND('Riesgos de Gestión'!$AF$17="Muy Baja",'Riesgos de Gestión'!$AH$17="Moderado"),CONCATENATE("R1C",'Riesgos de Gestión'!$V$17),"")</f>
        <v/>
      </c>
      <c r="AA46" s="49" t="str">
        <f>IF(AND('Riesgos de Gestión'!$AF$18="Muy Baja",'Riesgos de Gestión'!$AH$18="Moderado"),CONCATENATE("R1C",'Riesgos de Gestión'!$V$18),"")</f>
        <v/>
      </c>
      <c r="AB46" s="29" t="str">
        <f>IF(AND('Riesgos de Gestión'!$AF$13="Muy Baja",'Riesgos de Gestión'!$AH$13="Mayor"),CONCATENATE("R1C",'Riesgos de Gestión'!$V$13),"")</f>
        <v/>
      </c>
      <c r="AC46" s="30" t="str">
        <f>IF(AND('Riesgos de Gestión'!$AF$14="Muy Baja",'Riesgos de Gestión'!$AH$14="Mayor"),CONCATENATE("R1C",'Riesgos de Gestión'!$V$14),"")</f>
        <v/>
      </c>
      <c r="AD46" s="30" t="str">
        <f>IF(AND('Riesgos de Gestión'!$AF$15="Muy Baja",'Riesgos de Gestión'!$AH$15="Mayor"),CONCATENATE("R1C",'Riesgos de Gestión'!$V$15),"")</f>
        <v/>
      </c>
      <c r="AE46" s="30" t="str">
        <f>IF(AND('Riesgos de Gestión'!$AF$16="Muy Baja",'Riesgos de Gestión'!$AH$16="Mayor"),CONCATENATE("R1C",'Riesgos de Gestión'!$V$16),"")</f>
        <v/>
      </c>
      <c r="AF46" s="30" t="str">
        <f>IF(AND('Riesgos de Gestión'!$AF$17="Muy Baja",'Riesgos de Gestión'!$AH$17="Mayor"),CONCATENATE("R1C",'Riesgos de Gestión'!$V$17),"")</f>
        <v/>
      </c>
      <c r="AG46" s="31" t="str">
        <f>IF(AND('Riesgos de Gestión'!$AF$18="Muy Baja",'Riesgos de Gestión'!$AH$18="Mayor"),CONCATENATE("R1C",'Riesgos de Gestión'!$V$18),"")</f>
        <v/>
      </c>
      <c r="AH46" s="32" t="str">
        <f>IF(AND('Riesgos de Gestión'!$AF$13="Muy Baja",'Riesgos de Gestión'!$AH$13="Catastrófico"),CONCATENATE("R1C",'Riesgos de Gestión'!$V$13),"")</f>
        <v/>
      </c>
      <c r="AI46" s="33" t="str">
        <f>IF(AND('Riesgos de Gestión'!$AF$14="Muy Baja",'Riesgos de Gestión'!$AH$14="Catastrófico"),CONCATENATE("R1C",'Riesgos de Gestión'!$V$14),"")</f>
        <v/>
      </c>
      <c r="AJ46" s="33" t="str">
        <f>IF(AND('Riesgos de Gestión'!$AF$15="Muy Baja",'Riesgos de Gestión'!$AH$15="Catastrófico"),CONCATENATE("R1C",'Riesgos de Gestión'!$V$15),"")</f>
        <v/>
      </c>
      <c r="AK46" s="33" t="str">
        <f>IF(AND('Riesgos de Gestión'!$AF$16="Muy Baja",'Riesgos de Gestión'!$AH$16="Catastrófico"),CONCATENATE("R1C",'Riesgos de Gestión'!$V$16),"")</f>
        <v/>
      </c>
      <c r="AL46" s="33" t="str">
        <f>IF(AND('Riesgos de Gestión'!$AF$17="Muy Baja",'Riesgos de Gestión'!$AH$17="Catastrófico"),CONCATENATE("R1C",'Riesgos de Gestión'!$V$17),"")</f>
        <v/>
      </c>
      <c r="AM46" s="34" t="str">
        <f>IF(AND('Riesgos de Gestión'!$AF$18="Muy Baja",'Riesgos de Gestión'!$AH$18="Catastrófico"),CONCATENATE("R1C",'Riesgos de Gestión'!$V$18),"")</f>
        <v/>
      </c>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row>
    <row r="47" spans="1:80" ht="46.5" customHeight="1" x14ac:dyDescent="0.25">
      <c r="A47" s="66"/>
      <c r="B47" s="389"/>
      <c r="C47" s="389"/>
      <c r="D47" s="390"/>
      <c r="E47" s="486"/>
      <c r="F47" s="487"/>
      <c r="G47" s="487"/>
      <c r="H47" s="487"/>
      <c r="I47" s="503"/>
      <c r="J47" s="59" t="str">
        <f>IF(AND('Riesgos de Gestión'!$AF$19="Muy Baja",'Riesgos de Gestión'!$AH$19="Leve"),CONCATENATE("R2C",'Riesgos de Gestión'!$V$19),"")</f>
        <v/>
      </c>
      <c r="K47" s="60" t="str">
        <f>IF(AND('Riesgos de Gestión'!$AF$20="Muy Baja",'Riesgos de Gestión'!$AH$20="Leve"),CONCATENATE("R2C",'Riesgos de Gestión'!$V$20),"")</f>
        <v/>
      </c>
      <c r="L47" s="60" t="str">
        <f>IF(AND('Riesgos de Gestión'!$AF$21="Muy Baja",'Riesgos de Gestión'!$AH$21="Leve"),CONCATENATE("R2C",'Riesgos de Gestión'!$V$21),"")</f>
        <v/>
      </c>
      <c r="M47" s="60" t="str">
        <f>IF(AND('Riesgos de Gestión'!$AF$22="Muy Baja",'Riesgos de Gestión'!$AH$22="Leve"),CONCATENATE("R2C",'Riesgos de Gestión'!$V$22),"")</f>
        <v/>
      </c>
      <c r="N47" s="60" t="str">
        <f>IF(AND('Riesgos de Gestión'!$AF$23="Muy Baja",'Riesgos de Gestión'!$AH$23="Leve"),CONCATENATE("R2C",'Riesgos de Gestión'!$V$23),"")</f>
        <v/>
      </c>
      <c r="O47" s="61" t="str">
        <f>IF(AND('Riesgos de Gestión'!$AF$24="Muy Baja",'Riesgos de Gestión'!$AH$24="Leve"),CONCATENATE("R2C",'Riesgos de Gestión'!$V$24),"")</f>
        <v/>
      </c>
      <c r="P47" s="59" t="str">
        <f>IF(AND('Riesgos de Gestión'!$AF$19="Muy Baja",'Riesgos de Gestión'!$AH$19="Menor"),CONCATENATE("R2C",'Riesgos de Gestión'!$V$19),"")</f>
        <v/>
      </c>
      <c r="Q47" s="60" t="str">
        <f>IF(AND('Riesgos de Gestión'!$AF$20="Muy Baja",'Riesgos de Gestión'!$AH$20="Menor"),CONCATENATE("R2C",'Riesgos de Gestión'!$V$20),"")</f>
        <v/>
      </c>
      <c r="R47" s="60" t="str">
        <f>IF(AND('Riesgos de Gestión'!$AF$21="Muy Baja",'Riesgos de Gestión'!$AH$21="Menor"),CONCATENATE("R2C",'Riesgos de Gestión'!$V$21),"")</f>
        <v/>
      </c>
      <c r="S47" s="60" t="str">
        <f>IF(AND('Riesgos de Gestión'!$AF$22="Muy Baja",'Riesgos de Gestión'!$AH$22="Menor"),CONCATENATE("R2C",'Riesgos de Gestión'!$V$22),"")</f>
        <v/>
      </c>
      <c r="T47" s="60" t="str">
        <f>IF(AND('Riesgos de Gestión'!$AF$23="Muy Baja",'Riesgos de Gestión'!$AH$23="Menor"),CONCATENATE("R2C",'Riesgos de Gestión'!$V$23),"")</f>
        <v/>
      </c>
      <c r="U47" s="61" t="str">
        <f>IF(AND('Riesgos de Gestión'!$AF$24="Muy Baja",'Riesgos de Gestión'!$AH$24="Menor"),CONCATENATE("R2C",'Riesgos de Gestión'!$V$24),"")</f>
        <v/>
      </c>
      <c r="V47" s="50" t="str">
        <f>IF(AND('Riesgos de Gestión'!$AF$19="Muy Baja",'Riesgos de Gestión'!$AH$19="Moderado"),CONCATENATE("R2C",'Riesgos de Gestión'!$V$19),"")</f>
        <v/>
      </c>
      <c r="W47" s="51" t="str">
        <f>IF(AND('Riesgos de Gestión'!$AF$20="Muy Baja",'Riesgos de Gestión'!$AH$20="Moderado"),CONCATENATE("R2C",'Riesgos de Gestión'!$V$20),"")</f>
        <v/>
      </c>
      <c r="X47" s="51" t="str">
        <f>IF(AND('Riesgos de Gestión'!$AF$21="Muy Baja",'Riesgos de Gestión'!$AH$21="Moderado"),CONCATENATE("R2C",'Riesgos de Gestión'!$V$21),"")</f>
        <v/>
      </c>
      <c r="Y47" s="51" t="str">
        <f>IF(AND('Riesgos de Gestión'!$AF$22="Muy Baja",'Riesgos de Gestión'!$AH$22="Moderado"),CONCATENATE("R2C",'Riesgos de Gestión'!$V$22),"")</f>
        <v/>
      </c>
      <c r="Z47" s="51" t="str">
        <f>IF(AND('Riesgos de Gestión'!$AF$23="Muy Baja",'Riesgos de Gestión'!$AH$23="Moderado"),CONCATENATE("R2C",'Riesgos de Gestión'!$V$23),"")</f>
        <v/>
      </c>
      <c r="AA47" s="52" t="str">
        <f>IF(AND('Riesgos de Gestión'!$AF$24="Muy Baja",'Riesgos de Gestión'!$AH$24="Moderado"),CONCATENATE("R2C",'Riesgos de Gestión'!$V$24),"")</f>
        <v/>
      </c>
      <c r="AB47" s="35" t="str">
        <f>IF(AND('Riesgos de Gestión'!$AF$19="Muy Baja",'Riesgos de Gestión'!$AH$19="Mayor"),CONCATENATE("R2C",'Riesgos de Gestión'!$V$19),"")</f>
        <v/>
      </c>
      <c r="AC47" s="36" t="str">
        <f>IF(AND('Riesgos de Gestión'!$AF$20="Muy Baja",'Riesgos de Gestión'!$AH$20="Mayor"),CONCATENATE("R2C",'Riesgos de Gestión'!$V$20),"")</f>
        <v/>
      </c>
      <c r="AD47" s="36" t="str">
        <f>IF(AND('Riesgos de Gestión'!$AF$21="Muy Baja",'Riesgos de Gestión'!$AH$21="Mayor"),CONCATENATE("R2C",'Riesgos de Gestión'!$V$21),"")</f>
        <v/>
      </c>
      <c r="AE47" s="36" t="str">
        <f>IF(AND('Riesgos de Gestión'!$AF$22="Muy Baja",'Riesgos de Gestión'!$AH$22="Mayor"),CONCATENATE("R2C",'Riesgos de Gestión'!$V$22),"")</f>
        <v/>
      </c>
      <c r="AF47" s="36" t="str">
        <f>IF(AND('Riesgos de Gestión'!$AF$23="Muy Baja",'Riesgos de Gestión'!$AH$23="Mayor"),CONCATENATE("R2C",'Riesgos de Gestión'!$V$23),"")</f>
        <v/>
      </c>
      <c r="AG47" s="37" t="str">
        <f>IF(AND('Riesgos de Gestión'!$AF$24="Muy Baja",'Riesgos de Gestión'!$AH$24="Mayor"),CONCATENATE("R2C",'Riesgos de Gestión'!$V$24),"")</f>
        <v/>
      </c>
      <c r="AH47" s="38" t="str">
        <f>IF(AND('Riesgos de Gestión'!$AF$19="Muy Baja",'Riesgos de Gestión'!$AH$19="Catastrófico"),CONCATENATE("R2C",'Riesgos de Gestión'!$V$19),"")</f>
        <v/>
      </c>
      <c r="AI47" s="39" t="str">
        <f>IF(AND('Riesgos de Gestión'!$AF$20="Muy Baja",'Riesgos de Gestión'!$AH$20="Catastrófico"),CONCATENATE("R2C",'Riesgos de Gestión'!$V$20),"")</f>
        <v/>
      </c>
      <c r="AJ47" s="39" t="str">
        <f>IF(AND('Riesgos de Gestión'!$AF$21="Muy Baja",'Riesgos de Gestión'!$AH$21="Catastrófico"),CONCATENATE("R2C",'Riesgos de Gestión'!$V$21),"")</f>
        <v/>
      </c>
      <c r="AK47" s="39" t="str">
        <f>IF(AND('Riesgos de Gestión'!$AF$22="Muy Baja",'Riesgos de Gestión'!$AH$22="Catastrófico"),CONCATENATE("R2C",'Riesgos de Gestión'!$V$22),"")</f>
        <v/>
      </c>
      <c r="AL47" s="39" t="str">
        <f>IF(AND('Riesgos de Gestión'!$AF$23="Muy Baja",'Riesgos de Gestión'!$AH$23="Catastrófico"),CONCATENATE("R2C",'Riesgos de Gestión'!$V$23),"")</f>
        <v/>
      </c>
      <c r="AM47" s="40" t="str">
        <f>IF(AND('Riesgos de Gestión'!$AF$24="Muy Baja",'Riesgos de Gestión'!$AH$24="Catastrófico"),CONCATENATE("R2C",'Riesgos de Gestión'!$V$24),"")</f>
        <v/>
      </c>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row>
    <row r="48" spans="1:80" ht="15" customHeight="1" x14ac:dyDescent="0.25">
      <c r="A48" s="66"/>
      <c r="B48" s="389"/>
      <c r="C48" s="389"/>
      <c r="D48" s="390"/>
      <c r="E48" s="486"/>
      <c r="F48" s="487"/>
      <c r="G48" s="487"/>
      <c r="H48" s="487"/>
      <c r="I48" s="503"/>
      <c r="J48" s="59" t="str">
        <f>IF(AND('Riesgos de Gestión'!$AF$25="Muy Baja",'Riesgos de Gestión'!$AH$25="Leve"),CONCATENATE("R3C",'Riesgos de Gestión'!$V$25),"")</f>
        <v/>
      </c>
      <c r="K48" s="60" t="str">
        <f>IF(AND('Riesgos de Gestión'!$AF$26="Muy Baja",'Riesgos de Gestión'!$AH$26="Leve"),CONCATENATE("R3C",'Riesgos de Gestión'!$V$26),"")</f>
        <v/>
      </c>
      <c r="L48" s="60" t="str">
        <f>IF(AND('Riesgos de Gestión'!$AF$27="Muy Baja",'Riesgos de Gestión'!$AH$27="Leve"),CONCATENATE("R3C",'Riesgos de Gestión'!$V$27),"")</f>
        <v/>
      </c>
      <c r="M48" s="60" t="str">
        <f>IF(AND('Riesgos de Gestión'!$AF$28="Muy Baja",'Riesgos de Gestión'!$AH$28="Leve"),CONCATENATE("R3C",'Riesgos de Gestión'!$V$28),"")</f>
        <v/>
      </c>
      <c r="N48" s="60" t="str">
        <f>IF(AND('Riesgos de Gestión'!$AF$29="Muy Baja",'Riesgos de Gestión'!$AH$29="Leve"),CONCATENATE("R3C",'Riesgos de Gestión'!$V$29),"")</f>
        <v/>
      </c>
      <c r="O48" s="61" t="str">
        <f>IF(AND('Riesgos de Gestión'!$AF$30="Muy Baja",'Riesgos de Gestión'!$AH$30="Leve"),CONCATENATE("R3C",'Riesgos de Gestión'!$V$30),"")</f>
        <v/>
      </c>
      <c r="P48" s="59" t="str">
        <f>IF(AND('Riesgos de Gestión'!$AF$25="Muy Baja",'Riesgos de Gestión'!$AH$25="Menor"),CONCATENATE("R3C",'Riesgos de Gestión'!$V$25),"")</f>
        <v/>
      </c>
      <c r="Q48" s="60" t="str">
        <f>IF(AND('Riesgos de Gestión'!$AF$26="Muy Baja",'Riesgos de Gestión'!$AH$26="Menor"),CONCATENATE("R3C",'Riesgos de Gestión'!$V$26),"")</f>
        <v/>
      </c>
      <c r="R48" s="60" t="str">
        <f>IF(AND('Riesgos de Gestión'!$AF$27="Muy Baja",'Riesgos de Gestión'!$AH$27="Menor"),CONCATENATE("R3C",'Riesgos de Gestión'!$V$27),"")</f>
        <v/>
      </c>
      <c r="S48" s="60" t="str">
        <f>IF(AND('Riesgos de Gestión'!$AF$28="Muy Baja",'Riesgos de Gestión'!$AH$28="Menor"),CONCATENATE("R3C",'Riesgos de Gestión'!$V$28),"")</f>
        <v/>
      </c>
      <c r="T48" s="60" t="str">
        <f>IF(AND('Riesgos de Gestión'!$AF$29="Muy Baja",'Riesgos de Gestión'!$AH$29="Menor"),CONCATENATE("R3C",'Riesgos de Gestión'!$V$29),"")</f>
        <v/>
      </c>
      <c r="U48" s="61" t="str">
        <f>IF(AND('Riesgos de Gestión'!$AF$30="Muy Baja",'Riesgos de Gestión'!$AH$30="Menor"),CONCATENATE("R3C",'Riesgos de Gestión'!$V$30),"")</f>
        <v/>
      </c>
      <c r="V48" s="50" t="str">
        <f>IF(AND('Riesgos de Gestión'!$AF$25="Muy Baja",'Riesgos de Gestión'!$AH$25="Moderado"),CONCATENATE("R3C",'Riesgos de Gestión'!$V$25),"")</f>
        <v/>
      </c>
      <c r="W48" s="51" t="str">
        <f>IF(AND('Riesgos de Gestión'!$AF$26="Muy Baja",'Riesgos de Gestión'!$AH$26="Moderado"),CONCATENATE("R3C",'Riesgos de Gestión'!$V$26),"")</f>
        <v/>
      </c>
      <c r="X48" s="51" t="str">
        <f>IF(AND('Riesgos de Gestión'!$AF$27="Muy Baja",'Riesgos de Gestión'!$AH$27="Moderado"),CONCATENATE("R3C",'Riesgos de Gestión'!$V$27),"")</f>
        <v/>
      </c>
      <c r="Y48" s="51" t="str">
        <f>IF(AND('Riesgos de Gestión'!$AF$28="Muy Baja",'Riesgos de Gestión'!$AH$28="Moderado"),CONCATENATE("R3C",'Riesgos de Gestión'!$V$28),"")</f>
        <v/>
      </c>
      <c r="Z48" s="51" t="str">
        <f>IF(AND('Riesgos de Gestión'!$AF$29="Muy Baja",'Riesgos de Gestión'!$AH$29="Moderado"),CONCATENATE("R3C",'Riesgos de Gestión'!$V$29),"")</f>
        <v/>
      </c>
      <c r="AA48" s="52" t="str">
        <f>IF(AND('Riesgos de Gestión'!$AF$30="Muy Baja",'Riesgos de Gestión'!$AH$30="Moderado"),CONCATENATE("R3C",'Riesgos de Gestión'!$V$30),"")</f>
        <v/>
      </c>
      <c r="AB48" s="35" t="str">
        <f>IF(AND('Riesgos de Gestión'!$AF$25="Muy Baja",'Riesgos de Gestión'!$AH$25="Mayor"),CONCATENATE("R3C",'Riesgos de Gestión'!$V$25),"")</f>
        <v/>
      </c>
      <c r="AC48" s="36" t="str">
        <f>IF(AND('Riesgos de Gestión'!$AF$26="Muy Baja",'Riesgos de Gestión'!$AH$26="Mayor"),CONCATENATE("R3C",'Riesgos de Gestión'!$V$26),"")</f>
        <v/>
      </c>
      <c r="AD48" s="36" t="str">
        <f>IF(AND('Riesgos de Gestión'!$AF$27="Muy Baja",'Riesgos de Gestión'!$AH$27="Mayor"),CONCATENATE("R3C",'Riesgos de Gestión'!$V$27),"")</f>
        <v/>
      </c>
      <c r="AE48" s="36" t="str">
        <f>IF(AND('Riesgos de Gestión'!$AF$28="Muy Baja",'Riesgos de Gestión'!$AH$28="Mayor"),CONCATENATE("R3C",'Riesgos de Gestión'!$V$28),"")</f>
        <v/>
      </c>
      <c r="AF48" s="36" t="str">
        <f>IF(AND('Riesgos de Gestión'!$AF$29="Muy Baja",'Riesgos de Gestión'!$AH$29="Mayor"),CONCATENATE("R3C",'Riesgos de Gestión'!$V$29),"")</f>
        <v/>
      </c>
      <c r="AG48" s="37" t="str">
        <f>IF(AND('Riesgos de Gestión'!$AF$30="Muy Baja",'Riesgos de Gestión'!$AH$30="Mayor"),CONCATENATE("R3C",'Riesgos de Gestión'!$V$30),"")</f>
        <v/>
      </c>
      <c r="AH48" s="38" t="str">
        <f>IF(AND('Riesgos de Gestión'!$AF$25="Muy Baja",'Riesgos de Gestión'!$AH$25="Catastrófico"),CONCATENATE("R3C",'Riesgos de Gestión'!$V$25),"")</f>
        <v/>
      </c>
      <c r="AI48" s="39" t="str">
        <f>IF(AND('Riesgos de Gestión'!$AF$26="Muy Baja",'Riesgos de Gestión'!$AH$26="Catastrófico"),CONCATENATE("R3C",'Riesgos de Gestión'!$V$26),"")</f>
        <v/>
      </c>
      <c r="AJ48" s="39" t="str">
        <f>IF(AND('Riesgos de Gestión'!$AF$27="Muy Baja",'Riesgos de Gestión'!$AH$27="Catastrófico"),CONCATENATE("R3C",'Riesgos de Gestión'!$V$27),"")</f>
        <v/>
      </c>
      <c r="AK48" s="39" t="str">
        <f>IF(AND('Riesgos de Gestión'!$AF$28="Muy Baja",'Riesgos de Gestión'!$AH$28="Catastrófico"),CONCATENATE("R3C",'Riesgos de Gestión'!$V$28),"")</f>
        <v/>
      </c>
      <c r="AL48" s="39" t="str">
        <f>IF(AND('Riesgos de Gestión'!$AF$29="Muy Baja",'Riesgos de Gestión'!$AH$29="Catastrófico"),CONCATENATE("R3C",'Riesgos de Gestión'!$V$29),"")</f>
        <v/>
      </c>
      <c r="AM48" s="40" t="str">
        <f>IF(AND('Riesgos de Gestión'!$AF$30="Muy Baja",'Riesgos de Gestión'!$AH$30="Catastrófico"),CONCATENATE("R3C",'Riesgos de Gestión'!$V$30),"")</f>
        <v/>
      </c>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row>
    <row r="49" spans="1:80" ht="15" customHeight="1" x14ac:dyDescent="0.25">
      <c r="A49" s="66"/>
      <c r="B49" s="389"/>
      <c r="C49" s="389"/>
      <c r="D49" s="390"/>
      <c r="E49" s="488"/>
      <c r="F49" s="487"/>
      <c r="G49" s="487"/>
      <c r="H49" s="487"/>
      <c r="I49" s="503"/>
      <c r="J49" s="59" t="str">
        <f>IF(AND('Riesgos de Gestión'!$AF$31="Muy Baja",'Riesgos de Gestión'!$AH$31="Leve"),CONCATENATE("R4C",'Riesgos de Gestión'!$V$31),"")</f>
        <v/>
      </c>
      <c r="K49" s="60" t="str">
        <f>IF(AND('Riesgos de Gestión'!$AF$32="Muy Baja",'Riesgos de Gestión'!$AH$32="Leve"),CONCATENATE("R4C",'Riesgos de Gestión'!$V$32),"")</f>
        <v/>
      </c>
      <c r="L49" s="60" t="str">
        <f>IF(AND('Riesgos de Gestión'!$AF$33="Muy Baja",'Riesgos de Gestión'!$AH$33="Leve"),CONCATENATE("R4C",'Riesgos de Gestión'!$V$33),"")</f>
        <v/>
      </c>
      <c r="M49" s="60" t="str">
        <f>IF(AND('Riesgos de Gestión'!$AF$34="Muy Baja",'Riesgos de Gestión'!$AH$34="Leve"),CONCATENATE("R4C",'Riesgos de Gestión'!$V$34),"")</f>
        <v/>
      </c>
      <c r="N49" s="60" t="str">
        <f>IF(AND('Riesgos de Gestión'!$AF$35="Muy Baja",'Riesgos de Gestión'!$AH$35="Leve"),CONCATENATE("R4C",'Riesgos de Gestión'!$V$35),"")</f>
        <v/>
      </c>
      <c r="O49" s="61" t="str">
        <f>IF(AND('Riesgos de Gestión'!$AF$36="Muy Baja",'Riesgos de Gestión'!$AH$36="Leve"),CONCATENATE("R4C",'Riesgos de Gestión'!$V$36),"")</f>
        <v/>
      </c>
      <c r="P49" s="59" t="str">
        <f>IF(AND('Riesgos de Gestión'!$AF$31="Muy Baja",'Riesgos de Gestión'!$AH$31="Menor"),CONCATENATE("R4C",'Riesgos de Gestión'!$V$31),"")</f>
        <v/>
      </c>
      <c r="Q49" s="60" t="str">
        <f>IF(AND('Riesgos de Gestión'!$AF$32="Muy Baja",'Riesgos de Gestión'!$AH$32="Menor"),CONCATENATE("R4C",'Riesgos de Gestión'!$V$32),"")</f>
        <v/>
      </c>
      <c r="R49" s="60" t="str">
        <f>IF(AND('Riesgos de Gestión'!$AF$33="Muy Baja",'Riesgos de Gestión'!$AH$33="Menor"),CONCATENATE("R4C",'Riesgos de Gestión'!$V$33),"")</f>
        <v/>
      </c>
      <c r="S49" s="60" t="str">
        <f>IF(AND('Riesgos de Gestión'!$AF$34="Muy Baja",'Riesgos de Gestión'!$AH$34="Menor"),CONCATENATE("R4C",'Riesgos de Gestión'!$V$34),"")</f>
        <v/>
      </c>
      <c r="T49" s="60" t="str">
        <f>IF(AND('Riesgos de Gestión'!$AF$35="Muy Baja",'Riesgos de Gestión'!$AH$35="Menor"),CONCATENATE("R4C",'Riesgos de Gestión'!$V$35),"")</f>
        <v/>
      </c>
      <c r="U49" s="61" t="str">
        <f>IF(AND('Riesgos de Gestión'!$AF$36="Muy Baja",'Riesgos de Gestión'!$AH$36="Menor"),CONCATENATE("R4C",'Riesgos de Gestión'!$V$36),"")</f>
        <v/>
      </c>
      <c r="V49" s="50" t="str">
        <f>IF(AND('Riesgos de Gestión'!$AF$31="Muy Baja",'Riesgos de Gestión'!$AH$31="Moderado"),CONCATENATE("R4C",'Riesgos de Gestión'!$V$31),"")</f>
        <v/>
      </c>
      <c r="W49" s="51" t="str">
        <f>IF(AND('Riesgos de Gestión'!$AF$32="Muy Baja",'Riesgos de Gestión'!$AH$32="Moderado"),CONCATENATE("R4C",'Riesgos de Gestión'!$V$32),"")</f>
        <v/>
      </c>
      <c r="X49" s="51" t="str">
        <f>IF(AND('Riesgos de Gestión'!$AF$33="Muy Baja",'Riesgos de Gestión'!$AH$33="Moderado"),CONCATENATE("R4C",'Riesgos de Gestión'!$V$33),"")</f>
        <v/>
      </c>
      <c r="Y49" s="51" t="str">
        <f>IF(AND('Riesgos de Gestión'!$AF$34="Muy Baja",'Riesgos de Gestión'!$AH$34="Moderado"),CONCATENATE("R4C",'Riesgos de Gestión'!$V$34),"")</f>
        <v/>
      </c>
      <c r="Z49" s="51" t="str">
        <f>IF(AND('Riesgos de Gestión'!$AF$35="Muy Baja",'Riesgos de Gestión'!$AH$35="Moderado"),CONCATENATE("R4C",'Riesgos de Gestión'!$V$35),"")</f>
        <v/>
      </c>
      <c r="AA49" s="52" t="str">
        <f>IF(AND('Riesgos de Gestión'!$AF$36="Muy Baja",'Riesgos de Gestión'!$AH$36="Moderado"),CONCATENATE("R4C",'Riesgos de Gestión'!$V$36),"")</f>
        <v/>
      </c>
      <c r="AB49" s="35" t="str">
        <f>IF(AND('Riesgos de Gestión'!$AF$31="Muy Baja",'Riesgos de Gestión'!$AH$31="Mayor"),CONCATENATE("R4C",'Riesgos de Gestión'!$V$31),"")</f>
        <v/>
      </c>
      <c r="AC49" s="36" t="str">
        <f>IF(AND('Riesgos de Gestión'!$AF$32="Muy Baja",'Riesgos de Gestión'!$AH$32="Mayor"),CONCATENATE("R4C",'Riesgos de Gestión'!$V$32),"")</f>
        <v/>
      </c>
      <c r="AD49" s="36" t="str">
        <f>IF(AND('Riesgos de Gestión'!$AF$33="Muy Baja",'Riesgos de Gestión'!$AH$33="Mayor"),CONCATENATE("R4C",'Riesgos de Gestión'!$V$33),"")</f>
        <v/>
      </c>
      <c r="AE49" s="36" t="str">
        <f>IF(AND('Riesgos de Gestión'!$AF$34="Muy Baja",'Riesgos de Gestión'!$AH$34="Mayor"),CONCATENATE("R4C",'Riesgos de Gestión'!$V$34),"")</f>
        <v/>
      </c>
      <c r="AF49" s="36" t="str">
        <f>IF(AND('Riesgos de Gestión'!$AF$35="Muy Baja",'Riesgos de Gestión'!$AH$35="Mayor"),CONCATENATE("R4C",'Riesgos de Gestión'!$V$35),"")</f>
        <v/>
      </c>
      <c r="AG49" s="37" t="str">
        <f>IF(AND('Riesgos de Gestión'!$AF$36="Muy Baja",'Riesgos de Gestión'!$AH$36="Mayor"),CONCATENATE("R4C",'Riesgos de Gestión'!$V$36),"")</f>
        <v/>
      </c>
      <c r="AH49" s="38" t="str">
        <f>IF(AND('Riesgos de Gestión'!$AF$31="Muy Baja",'Riesgos de Gestión'!$AH$31="Catastrófico"),CONCATENATE("R4C",'Riesgos de Gestión'!$V$31),"")</f>
        <v/>
      </c>
      <c r="AI49" s="39" t="str">
        <f>IF(AND('Riesgos de Gestión'!$AF$32="Muy Baja",'Riesgos de Gestión'!$AH$32="Catastrófico"),CONCATENATE("R4C",'Riesgos de Gestión'!$V$32),"")</f>
        <v/>
      </c>
      <c r="AJ49" s="39" t="str">
        <f>IF(AND('Riesgos de Gestión'!$AF$33="Muy Baja",'Riesgos de Gestión'!$AH$33="Catastrófico"),CONCATENATE("R4C",'Riesgos de Gestión'!$V$33),"")</f>
        <v/>
      </c>
      <c r="AK49" s="39" t="str">
        <f>IF(AND('Riesgos de Gestión'!$AF$34="Muy Baja",'Riesgos de Gestión'!$AH$34="Catastrófico"),CONCATENATE("R4C",'Riesgos de Gestión'!$V$34),"")</f>
        <v/>
      </c>
      <c r="AL49" s="39" t="str">
        <f>IF(AND('Riesgos de Gestión'!$AF$35="Muy Baja",'Riesgos de Gestión'!$AH$35="Catastrófico"),CONCATENATE("R4C",'Riesgos de Gestión'!$V$35),"")</f>
        <v/>
      </c>
      <c r="AM49" s="40" t="str">
        <f>IF(AND('Riesgos de Gestión'!$AF$36="Muy Baja",'Riesgos de Gestión'!$AH$36="Catastrófico"),CONCATENATE("R4C",'Riesgos de Gestión'!$V$36),"")</f>
        <v/>
      </c>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row>
    <row r="50" spans="1:80" ht="15" customHeight="1" x14ac:dyDescent="0.25">
      <c r="A50" s="66"/>
      <c r="B50" s="389"/>
      <c r="C50" s="389"/>
      <c r="D50" s="390"/>
      <c r="E50" s="488"/>
      <c r="F50" s="487"/>
      <c r="G50" s="487"/>
      <c r="H50" s="487"/>
      <c r="I50" s="503"/>
      <c r="J50" s="59" t="str">
        <f>IF(AND('Riesgos de Gestión'!$AF$37="Muy Baja",'Riesgos de Gestión'!$AH$37="Leve"),CONCATENATE("R5C",'Riesgos de Gestión'!$V$37),"")</f>
        <v/>
      </c>
      <c r="K50" s="60" t="str">
        <f>IF(AND('Riesgos de Gestión'!$AF$38="Muy Baja",'Riesgos de Gestión'!$AH$38="Leve"),CONCATENATE("R5C",'Riesgos de Gestión'!$V$38),"")</f>
        <v/>
      </c>
      <c r="L50" s="60" t="str">
        <f>IF(AND('Riesgos de Gestión'!$AF$39="Muy Baja",'Riesgos de Gestión'!$AH$39="Leve"),CONCATENATE("R5C",'Riesgos de Gestión'!$V$39),"")</f>
        <v/>
      </c>
      <c r="M50" s="60" t="str">
        <f>IF(AND('Riesgos de Gestión'!$AF$40="Muy Baja",'Riesgos de Gestión'!$AH$40="Leve"),CONCATENATE("R5C",'Riesgos de Gestión'!$V$40),"")</f>
        <v/>
      </c>
      <c r="N50" s="60" t="str">
        <f>IF(AND('Riesgos de Gestión'!$AF$41="Muy Baja",'Riesgos de Gestión'!$AH$41="Leve"),CONCATENATE("R5C",'Riesgos de Gestión'!$V$41),"")</f>
        <v/>
      </c>
      <c r="O50" s="61" t="str">
        <f>IF(AND('Riesgos de Gestión'!$AF$42="Muy Baja",'Riesgos de Gestión'!$AH$42="Leve"),CONCATENATE("R5C",'Riesgos de Gestión'!$V$42),"")</f>
        <v/>
      </c>
      <c r="P50" s="59" t="str">
        <f>IF(AND('Riesgos de Gestión'!$AF$37="Muy Baja",'Riesgos de Gestión'!$AH$37="Menor"),CONCATENATE("R5C",'Riesgos de Gestión'!$V$37),"")</f>
        <v/>
      </c>
      <c r="Q50" s="60" t="str">
        <f>IF(AND('Riesgos de Gestión'!$AF$38="Muy Baja",'Riesgos de Gestión'!$AH$38="Menor"),CONCATENATE("R5C",'Riesgos de Gestión'!$V$38),"")</f>
        <v/>
      </c>
      <c r="R50" s="60" t="str">
        <f>IF(AND('Riesgos de Gestión'!$AF$39="Muy Baja",'Riesgos de Gestión'!$AH$39="Menor"),CONCATENATE("R5C",'Riesgos de Gestión'!$V$39),"")</f>
        <v/>
      </c>
      <c r="S50" s="60" t="str">
        <f>IF(AND('Riesgos de Gestión'!$AF$40="Muy Baja",'Riesgos de Gestión'!$AH$40="Menor"),CONCATENATE("R5C",'Riesgos de Gestión'!$V$40),"")</f>
        <v/>
      </c>
      <c r="T50" s="60" t="str">
        <f>IF(AND('Riesgos de Gestión'!$AF$41="Muy Baja",'Riesgos de Gestión'!$AH$41="Menor"),CONCATENATE("R5C",'Riesgos de Gestión'!$V$41),"")</f>
        <v/>
      </c>
      <c r="U50" s="61" t="str">
        <f>IF(AND('Riesgos de Gestión'!$AF$42="Muy Baja",'Riesgos de Gestión'!$AH$42="Menor"),CONCATENATE("R5C",'Riesgos de Gestión'!$V$42),"")</f>
        <v/>
      </c>
      <c r="V50" s="50" t="str">
        <f>IF(AND('Riesgos de Gestión'!$AF$37="Muy Baja",'Riesgos de Gestión'!$AH$37="Moderado"),CONCATENATE("R5C",'Riesgos de Gestión'!$V$37),"")</f>
        <v/>
      </c>
      <c r="W50" s="51" t="str">
        <f>IF(AND('Riesgos de Gestión'!$AF$38="Muy Baja",'Riesgos de Gestión'!$AH$38="Moderado"),CONCATENATE("R5C",'Riesgos de Gestión'!$V$38),"")</f>
        <v/>
      </c>
      <c r="X50" s="51" t="str">
        <f>IF(AND('Riesgos de Gestión'!$AF$39="Muy Baja",'Riesgos de Gestión'!$AH$39="Moderado"),CONCATENATE("R5C",'Riesgos de Gestión'!$V$39),"")</f>
        <v/>
      </c>
      <c r="Y50" s="51" t="str">
        <f>IF(AND('Riesgos de Gestión'!$AF$40="Muy Baja",'Riesgos de Gestión'!$AH$40="Moderado"),CONCATENATE("R5C",'Riesgos de Gestión'!$V$40),"")</f>
        <v/>
      </c>
      <c r="Z50" s="51" t="str">
        <f>IF(AND('Riesgos de Gestión'!$AF$41="Muy Baja",'Riesgos de Gestión'!$AH$41="Moderado"),CONCATENATE("R5C",'Riesgos de Gestión'!$V$41),"")</f>
        <v/>
      </c>
      <c r="AA50" s="52" t="str">
        <f>IF(AND('Riesgos de Gestión'!$AF$42="Muy Baja",'Riesgos de Gestión'!$AH$42="Moderado"),CONCATENATE("R5C",'Riesgos de Gestión'!$V$42),"")</f>
        <v/>
      </c>
      <c r="AB50" s="35" t="str">
        <f>IF(AND('Riesgos de Gestión'!$AF$37="Muy Baja",'Riesgos de Gestión'!$AH$37="Mayor"),CONCATENATE("R5C",'Riesgos de Gestión'!$V$37),"")</f>
        <v/>
      </c>
      <c r="AC50" s="36" t="str">
        <f>IF(AND('Riesgos de Gestión'!$AF$38="Muy Baja",'Riesgos de Gestión'!$AH$38="Mayor"),CONCATENATE("R5C",'Riesgos de Gestión'!$V$38),"")</f>
        <v/>
      </c>
      <c r="AD50" s="36" t="str">
        <f>IF(AND('Riesgos de Gestión'!$AF$39="Muy Baja",'Riesgos de Gestión'!$AH$39="Mayor"),CONCATENATE("R5C",'Riesgos de Gestión'!$V$39),"")</f>
        <v/>
      </c>
      <c r="AE50" s="36" t="str">
        <f>IF(AND('Riesgos de Gestión'!$AF$40="Muy Baja",'Riesgos de Gestión'!$AH$40="Mayor"),CONCATENATE("R5C",'Riesgos de Gestión'!$V$40),"")</f>
        <v/>
      </c>
      <c r="AF50" s="36" t="str">
        <f>IF(AND('Riesgos de Gestión'!$AF$41="Muy Baja",'Riesgos de Gestión'!$AH$41="Mayor"),CONCATENATE("R5C",'Riesgos de Gestión'!$V$41),"")</f>
        <v/>
      </c>
      <c r="AG50" s="37" t="str">
        <f>IF(AND('Riesgos de Gestión'!$AF$42="Muy Baja",'Riesgos de Gestión'!$AH$42="Mayor"),CONCATENATE("R5C",'Riesgos de Gestión'!$V$42),"")</f>
        <v/>
      </c>
      <c r="AH50" s="38" t="str">
        <f>IF(AND('Riesgos de Gestión'!$AF$37="Muy Baja",'Riesgos de Gestión'!$AH$37="Catastrófico"),CONCATENATE("R5C",'Riesgos de Gestión'!$V$37),"")</f>
        <v/>
      </c>
      <c r="AI50" s="39" t="str">
        <f>IF(AND('Riesgos de Gestión'!$AF$38="Muy Baja",'Riesgos de Gestión'!$AH$38="Catastrófico"),CONCATENATE("R5C",'Riesgos de Gestión'!$V$38),"")</f>
        <v/>
      </c>
      <c r="AJ50" s="39" t="str">
        <f>IF(AND('Riesgos de Gestión'!$AF$39="Muy Baja",'Riesgos de Gestión'!$AH$39="Catastrófico"),CONCATENATE("R5C",'Riesgos de Gestión'!$V$39),"")</f>
        <v/>
      </c>
      <c r="AK50" s="39" t="str">
        <f>IF(AND('Riesgos de Gestión'!$AF$40="Muy Baja",'Riesgos de Gestión'!$AH$40="Catastrófico"),CONCATENATE("R5C",'Riesgos de Gestión'!$V$40),"")</f>
        <v/>
      </c>
      <c r="AL50" s="39" t="str">
        <f>IF(AND('Riesgos de Gestión'!$AF$41="Muy Baja",'Riesgos de Gestión'!$AH$41="Catastrófico"),CONCATENATE("R5C",'Riesgos de Gestión'!$V$41),"")</f>
        <v/>
      </c>
      <c r="AM50" s="40" t="str">
        <f>IF(AND('Riesgos de Gestión'!$AF$42="Muy Baja",'Riesgos de Gestión'!$AH$42="Catastrófico"),CONCATENATE("R5C",'Riesgos de Gestión'!$V$42),"")</f>
        <v/>
      </c>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row>
    <row r="51" spans="1:80" ht="15" customHeight="1" x14ac:dyDescent="0.25">
      <c r="A51" s="66"/>
      <c r="B51" s="389"/>
      <c r="C51" s="389"/>
      <c r="D51" s="390"/>
      <c r="E51" s="488"/>
      <c r="F51" s="487"/>
      <c r="G51" s="487"/>
      <c r="H51" s="487"/>
      <c r="I51" s="503"/>
      <c r="J51" s="59" t="str">
        <f>IF(AND('Riesgos de Gestión'!$AF$43="Muy Baja",'Riesgos de Gestión'!$AH$43="Leve"),CONCATENATE("R6C",'Riesgos de Gestión'!$V$43),"")</f>
        <v/>
      </c>
      <c r="K51" s="60" t="str">
        <f>IF(AND('Riesgos de Gestión'!$AF$44="Muy Baja",'Riesgos de Gestión'!$AH$44="Leve"),CONCATENATE("R6C",'Riesgos de Gestión'!$V$44),"")</f>
        <v/>
      </c>
      <c r="L51" s="60" t="str">
        <f>IF(AND('Riesgos de Gestión'!$AF$45="Muy Baja",'Riesgos de Gestión'!$AH$45="Leve"),CONCATENATE("R6C",'Riesgos de Gestión'!$V$45),"")</f>
        <v/>
      </c>
      <c r="M51" s="60" t="str">
        <f>IF(AND('Riesgos de Gestión'!$AF$46="Muy Baja",'Riesgos de Gestión'!$AH$46="Leve"),CONCATENATE("R6C",'Riesgos de Gestión'!$V$46),"")</f>
        <v/>
      </c>
      <c r="N51" s="60" t="str">
        <f>IF(AND('Riesgos de Gestión'!$AF$47="Muy Baja",'Riesgos de Gestión'!$AH$47="Leve"),CONCATENATE("R6C",'Riesgos de Gestión'!$V$47),"")</f>
        <v/>
      </c>
      <c r="O51" s="61" t="str">
        <f>IF(AND('Riesgos de Gestión'!$AF$48="Muy Baja",'Riesgos de Gestión'!$AH$48="Leve"),CONCATENATE("R6C",'Riesgos de Gestión'!$V$48),"")</f>
        <v/>
      </c>
      <c r="P51" s="59" t="str">
        <f>IF(AND('Riesgos de Gestión'!$AF$43="Muy Baja",'Riesgos de Gestión'!$AH$43="Menor"),CONCATENATE("R6C",'Riesgos de Gestión'!$V$43),"")</f>
        <v/>
      </c>
      <c r="Q51" s="60" t="str">
        <f>IF(AND('Riesgos de Gestión'!$AF$44="Muy Baja",'Riesgos de Gestión'!$AH$44="Menor"),CONCATENATE("R6C",'Riesgos de Gestión'!$V$44),"")</f>
        <v/>
      </c>
      <c r="R51" s="60" t="str">
        <f>IF(AND('Riesgos de Gestión'!$AF$45="Muy Baja",'Riesgos de Gestión'!$AH$45="Menor"),CONCATENATE("R6C",'Riesgos de Gestión'!$V$45),"")</f>
        <v/>
      </c>
      <c r="S51" s="60" t="str">
        <f>IF(AND('Riesgos de Gestión'!$AF$46="Muy Baja",'Riesgos de Gestión'!$AH$46="Menor"),CONCATENATE("R6C",'Riesgos de Gestión'!$V$46),"")</f>
        <v/>
      </c>
      <c r="T51" s="60" t="str">
        <f>IF(AND('Riesgos de Gestión'!$AF$47="Muy Baja",'Riesgos de Gestión'!$AH$47="Menor"),CONCATENATE("R6C",'Riesgos de Gestión'!$V$47),"")</f>
        <v/>
      </c>
      <c r="U51" s="61" t="str">
        <f>IF(AND('Riesgos de Gestión'!$AF$48="Muy Baja",'Riesgos de Gestión'!$AH$48="Menor"),CONCATENATE("R6C",'Riesgos de Gestión'!$V$48),"")</f>
        <v/>
      </c>
      <c r="V51" s="50" t="str">
        <f>IF(AND('Riesgos de Gestión'!$AF$43="Muy Baja",'Riesgos de Gestión'!$AH$43="Moderado"),CONCATENATE("R6C",'Riesgos de Gestión'!$V$43),"")</f>
        <v/>
      </c>
      <c r="W51" s="51" t="str">
        <f>IF(AND('Riesgos de Gestión'!$AF$44="Muy Baja",'Riesgos de Gestión'!$AH$44="Moderado"),CONCATENATE("R6C",'Riesgos de Gestión'!$V$44),"")</f>
        <v/>
      </c>
      <c r="X51" s="51" t="str">
        <f>IF(AND('Riesgos de Gestión'!$AF$45="Muy Baja",'Riesgos de Gestión'!$AH$45="Moderado"),CONCATENATE("R6C",'Riesgos de Gestión'!$V$45),"")</f>
        <v/>
      </c>
      <c r="Y51" s="51" t="str">
        <f>IF(AND('Riesgos de Gestión'!$AF$46="Muy Baja",'Riesgos de Gestión'!$AH$46="Moderado"),CONCATENATE("R6C",'Riesgos de Gestión'!$V$46),"")</f>
        <v/>
      </c>
      <c r="Z51" s="51" t="str">
        <f>IF(AND('Riesgos de Gestión'!$AF$47="Muy Baja",'Riesgos de Gestión'!$AH$47="Moderado"),CONCATENATE("R6C",'Riesgos de Gestión'!$V$47),"")</f>
        <v/>
      </c>
      <c r="AA51" s="52" t="str">
        <f>IF(AND('Riesgos de Gestión'!$AF$48="Muy Baja",'Riesgos de Gestión'!$AH$48="Moderado"),CONCATENATE("R6C",'Riesgos de Gestión'!$V$48),"")</f>
        <v/>
      </c>
      <c r="AB51" s="35" t="str">
        <f>IF(AND('Riesgos de Gestión'!$AF$43="Muy Baja",'Riesgos de Gestión'!$AH$43="Mayor"),CONCATENATE("R6C",'Riesgos de Gestión'!$V$43),"")</f>
        <v/>
      </c>
      <c r="AC51" s="36" t="str">
        <f>IF(AND('Riesgos de Gestión'!$AF$44="Muy Baja",'Riesgos de Gestión'!$AH$44="Mayor"),CONCATENATE("R6C",'Riesgos de Gestión'!$V$44),"")</f>
        <v/>
      </c>
      <c r="AD51" s="36" t="str">
        <f>IF(AND('Riesgos de Gestión'!$AF$45="Muy Baja",'Riesgos de Gestión'!$AH$45="Mayor"),CONCATENATE("R6C",'Riesgos de Gestión'!$V$45),"")</f>
        <v/>
      </c>
      <c r="AE51" s="36" t="str">
        <f>IF(AND('Riesgos de Gestión'!$AF$46="Muy Baja",'Riesgos de Gestión'!$AH$46="Mayor"),CONCATENATE("R6C",'Riesgos de Gestión'!$V$46),"")</f>
        <v/>
      </c>
      <c r="AF51" s="36" t="str">
        <f>IF(AND('Riesgos de Gestión'!$AF$47="Muy Baja",'Riesgos de Gestión'!$AH$47="Mayor"),CONCATENATE("R6C",'Riesgos de Gestión'!$V$47),"")</f>
        <v/>
      </c>
      <c r="AG51" s="37" t="str">
        <f>IF(AND('Riesgos de Gestión'!$AF$48="Muy Baja",'Riesgos de Gestión'!$AH$48="Mayor"),CONCATENATE("R6C",'Riesgos de Gestión'!$V$48),"")</f>
        <v/>
      </c>
      <c r="AH51" s="38" t="str">
        <f>IF(AND('Riesgos de Gestión'!$AF$43="Muy Baja",'Riesgos de Gestión'!$AH$43="Catastrófico"),CONCATENATE("R6C",'Riesgos de Gestión'!$V$43),"")</f>
        <v/>
      </c>
      <c r="AI51" s="39" t="str">
        <f>IF(AND('Riesgos de Gestión'!$AF$44="Muy Baja",'Riesgos de Gestión'!$AH$44="Catastrófico"),CONCATENATE("R6C",'Riesgos de Gestión'!$V$44),"")</f>
        <v/>
      </c>
      <c r="AJ51" s="39" t="str">
        <f>IF(AND('Riesgos de Gestión'!$AF$45="Muy Baja",'Riesgos de Gestión'!$AH$45="Catastrófico"),CONCATENATE("R6C",'Riesgos de Gestión'!$V$45),"")</f>
        <v/>
      </c>
      <c r="AK51" s="39" t="str">
        <f>IF(AND('Riesgos de Gestión'!$AF$46="Muy Baja",'Riesgos de Gestión'!$AH$46="Catastrófico"),CONCATENATE("R6C",'Riesgos de Gestión'!$V$46),"")</f>
        <v/>
      </c>
      <c r="AL51" s="39" t="str">
        <f>IF(AND('Riesgos de Gestión'!$AF$47="Muy Baja",'Riesgos de Gestión'!$AH$47="Catastrófico"),CONCATENATE("R6C",'Riesgos de Gestión'!$V$47),"")</f>
        <v/>
      </c>
      <c r="AM51" s="40" t="str">
        <f>IF(AND('Riesgos de Gestión'!$AF$48="Muy Baja",'Riesgos de Gestión'!$AH$48="Catastrófico"),CONCATENATE("R6C",'Riesgos de Gestión'!$V$48),"")</f>
        <v/>
      </c>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row>
    <row r="52" spans="1:80" ht="15" customHeight="1" x14ac:dyDescent="0.25">
      <c r="A52" s="66"/>
      <c r="B52" s="389"/>
      <c r="C52" s="389"/>
      <c r="D52" s="390"/>
      <c r="E52" s="488"/>
      <c r="F52" s="487"/>
      <c r="G52" s="487"/>
      <c r="H52" s="487"/>
      <c r="I52" s="503"/>
      <c r="J52" s="59" t="str">
        <f>IF(AND('Riesgos de Gestión'!$AF$49="Muy Baja",'Riesgos de Gestión'!$AH$49="Leve"),CONCATENATE("R7C",'Riesgos de Gestión'!$V$49),"")</f>
        <v/>
      </c>
      <c r="K52" s="60" t="str">
        <f>IF(AND('Riesgos de Gestión'!$AF$50="Muy Baja",'Riesgos de Gestión'!$AH$50="Leve"),CONCATENATE("R7C",'Riesgos de Gestión'!$V$50),"")</f>
        <v/>
      </c>
      <c r="L52" s="60" t="str">
        <f>IF(AND('Riesgos de Gestión'!$AF$51="Muy Baja",'Riesgos de Gestión'!$AH$51="Leve"),CONCATENATE("R7C",'Riesgos de Gestión'!$V$51),"")</f>
        <v/>
      </c>
      <c r="M52" s="60" t="str">
        <f>IF(AND('Riesgos de Gestión'!$AF$52="Muy Baja",'Riesgos de Gestión'!$AH$52="Leve"),CONCATENATE("R7C",'Riesgos de Gestión'!$V$52),"")</f>
        <v/>
      </c>
      <c r="N52" s="60" t="str">
        <f>IF(AND('Riesgos de Gestión'!$AF$53="Muy Baja",'Riesgos de Gestión'!$AH$53="Leve"),CONCATENATE("R7C",'Riesgos de Gestión'!$V$53),"")</f>
        <v/>
      </c>
      <c r="O52" s="61" t="str">
        <f>IF(AND('Riesgos de Gestión'!$AF$54="Muy Baja",'Riesgos de Gestión'!$AH$54="Leve"),CONCATENATE("R7C",'Riesgos de Gestión'!$V$54),"")</f>
        <v/>
      </c>
      <c r="P52" s="59" t="str">
        <f>IF(AND('Riesgos de Gestión'!$AF$49="Muy Baja",'Riesgos de Gestión'!$AH$49="Menor"),CONCATENATE("R7C",'Riesgos de Gestión'!$V$49),"")</f>
        <v/>
      </c>
      <c r="Q52" s="60" t="str">
        <f>IF(AND('Riesgos de Gestión'!$AF$50="Muy Baja",'Riesgos de Gestión'!$AH$50="Menor"),CONCATENATE("R7C",'Riesgos de Gestión'!$V$50),"")</f>
        <v/>
      </c>
      <c r="R52" s="60" t="str">
        <f>IF(AND('Riesgos de Gestión'!$AF$51="Muy Baja",'Riesgos de Gestión'!$AH$51="Menor"),CONCATENATE("R7C",'Riesgos de Gestión'!$V$51),"")</f>
        <v/>
      </c>
      <c r="S52" s="60" t="str">
        <f>IF(AND('Riesgos de Gestión'!$AF$52="Muy Baja",'Riesgos de Gestión'!$AH$52="Menor"),CONCATENATE("R7C",'Riesgos de Gestión'!$V$52),"")</f>
        <v/>
      </c>
      <c r="T52" s="60" t="str">
        <f>IF(AND('Riesgos de Gestión'!$AF$53="Muy Baja",'Riesgos de Gestión'!$AH$53="Menor"),CONCATENATE("R7C",'Riesgos de Gestión'!$V$53),"")</f>
        <v/>
      </c>
      <c r="U52" s="61" t="str">
        <f>IF(AND('Riesgos de Gestión'!$AF$54="Muy Baja",'Riesgos de Gestión'!$AH$54="Menor"),CONCATENATE("R7C",'Riesgos de Gestión'!$V$54),"")</f>
        <v/>
      </c>
      <c r="V52" s="50" t="str">
        <f>IF(AND('Riesgos de Gestión'!$AF$49="Muy Baja",'Riesgos de Gestión'!$AH$49="Moderado"),CONCATENATE("R7C",'Riesgos de Gestión'!$V$49),"")</f>
        <v/>
      </c>
      <c r="W52" s="51" t="str">
        <f>IF(AND('Riesgos de Gestión'!$AF$50="Muy Baja",'Riesgos de Gestión'!$AH$50="Moderado"),CONCATENATE("R7C",'Riesgos de Gestión'!$V$50),"")</f>
        <v/>
      </c>
      <c r="X52" s="51" t="str">
        <f>IF(AND('Riesgos de Gestión'!$AF$51="Muy Baja",'Riesgos de Gestión'!$AH$51="Moderado"),CONCATENATE("R7C",'Riesgos de Gestión'!$V$51),"")</f>
        <v/>
      </c>
      <c r="Y52" s="51" t="str">
        <f>IF(AND('Riesgos de Gestión'!$AF$52="Muy Baja",'Riesgos de Gestión'!$AH$52="Moderado"),CONCATENATE("R7C",'Riesgos de Gestión'!$V$52),"")</f>
        <v/>
      </c>
      <c r="Z52" s="51" t="str">
        <f>IF(AND('Riesgos de Gestión'!$AF$53="Muy Baja",'Riesgos de Gestión'!$AH$53="Moderado"),CONCATENATE("R7C",'Riesgos de Gestión'!$V$53),"")</f>
        <v/>
      </c>
      <c r="AA52" s="52" t="str">
        <f>IF(AND('Riesgos de Gestión'!$AF$54="Muy Baja",'Riesgos de Gestión'!$AH$54="Moderado"),CONCATENATE("R7C",'Riesgos de Gestión'!$V$54),"")</f>
        <v/>
      </c>
      <c r="AB52" s="35" t="str">
        <f>IF(AND('Riesgos de Gestión'!$AF$49="Muy Baja",'Riesgos de Gestión'!$AH$49="Mayor"),CONCATENATE("R7C",'Riesgos de Gestión'!$V$49),"")</f>
        <v/>
      </c>
      <c r="AC52" s="36" t="str">
        <f>IF(AND('Riesgos de Gestión'!$AF$50="Muy Baja",'Riesgos de Gestión'!$AH$50="Mayor"),CONCATENATE("R7C",'Riesgos de Gestión'!$V$50),"")</f>
        <v/>
      </c>
      <c r="AD52" s="36" t="str">
        <f>IF(AND('Riesgos de Gestión'!$AF$51="Muy Baja",'Riesgos de Gestión'!$AH$51="Mayor"),CONCATENATE("R7C",'Riesgos de Gestión'!$V$51),"")</f>
        <v/>
      </c>
      <c r="AE52" s="36" t="str">
        <f>IF(AND('Riesgos de Gestión'!$AF$52="Muy Baja",'Riesgos de Gestión'!$AH$52="Mayor"),CONCATENATE("R7C",'Riesgos de Gestión'!$V$52),"")</f>
        <v/>
      </c>
      <c r="AF52" s="36" t="str">
        <f>IF(AND('Riesgos de Gestión'!$AF$53="Muy Baja",'Riesgos de Gestión'!$AH$53="Mayor"),CONCATENATE("R7C",'Riesgos de Gestión'!$V$53),"")</f>
        <v/>
      </c>
      <c r="AG52" s="37" t="str">
        <f>IF(AND('Riesgos de Gestión'!$AF$54="Muy Baja",'Riesgos de Gestión'!$AH$54="Mayor"),CONCATENATE("R7C",'Riesgos de Gestión'!$V$54),"")</f>
        <v/>
      </c>
      <c r="AH52" s="38" t="str">
        <f>IF(AND('Riesgos de Gestión'!$AF$49="Muy Baja",'Riesgos de Gestión'!$AH$49="Catastrófico"),CONCATENATE("R7C",'Riesgos de Gestión'!$V$49),"")</f>
        <v/>
      </c>
      <c r="AI52" s="39" t="str">
        <f>IF(AND('Riesgos de Gestión'!$AF$50="Muy Baja",'Riesgos de Gestión'!$AH$50="Catastrófico"),CONCATENATE("R7C",'Riesgos de Gestión'!$V$50),"")</f>
        <v/>
      </c>
      <c r="AJ52" s="39" t="str">
        <f>IF(AND('Riesgos de Gestión'!$AF$51="Muy Baja",'Riesgos de Gestión'!$AH$51="Catastrófico"),CONCATENATE("R7C",'Riesgos de Gestión'!$V$51),"")</f>
        <v/>
      </c>
      <c r="AK52" s="39" t="str">
        <f>IF(AND('Riesgos de Gestión'!$AF$52="Muy Baja",'Riesgos de Gestión'!$AH$52="Catastrófico"),CONCATENATE("R7C",'Riesgos de Gestión'!$V$52),"")</f>
        <v/>
      </c>
      <c r="AL52" s="39" t="str">
        <f>IF(AND('Riesgos de Gestión'!$AF$53="Muy Baja",'Riesgos de Gestión'!$AH$53="Catastrófico"),CONCATENATE("R7C",'Riesgos de Gestión'!$V$53),"")</f>
        <v/>
      </c>
      <c r="AM52" s="40" t="str">
        <f>IF(AND('Riesgos de Gestión'!$AF$54="Muy Baja",'Riesgos de Gestión'!$AH$54="Catastrófico"),CONCATENATE("R7C",'Riesgos de Gestión'!$V$54),"")</f>
        <v/>
      </c>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row>
    <row r="53" spans="1:80" ht="15" customHeight="1" x14ac:dyDescent="0.25">
      <c r="A53" s="66"/>
      <c r="B53" s="389"/>
      <c r="C53" s="389"/>
      <c r="D53" s="390"/>
      <c r="E53" s="488"/>
      <c r="F53" s="487"/>
      <c r="G53" s="487"/>
      <c r="H53" s="487"/>
      <c r="I53" s="503"/>
      <c r="J53" s="59" t="str">
        <f>IF(AND('Riesgos de Gestión'!$AF$55="Muy Baja",'Riesgos de Gestión'!$AH$55="Leve"),CONCATENATE("R8C",'Riesgos de Gestión'!$V$55),"")</f>
        <v/>
      </c>
      <c r="K53" s="60" t="str">
        <f>IF(AND('Riesgos de Gestión'!$AF$56="Muy Baja",'Riesgos de Gestión'!$AH$56="Leve"),CONCATENATE("R8C",'Riesgos de Gestión'!$V$56),"")</f>
        <v/>
      </c>
      <c r="L53" s="60" t="str">
        <f>IF(AND('Riesgos de Gestión'!$AF$57="Muy Baja",'Riesgos de Gestión'!$AH$57="Leve"),CONCATENATE("R8C",'Riesgos de Gestión'!$V$57),"")</f>
        <v/>
      </c>
      <c r="M53" s="60" t="str">
        <f>IF(AND('Riesgos de Gestión'!$AF$58="Muy Baja",'Riesgos de Gestión'!$AH$58="Leve"),CONCATENATE("R8C",'Riesgos de Gestión'!$V$58),"")</f>
        <v/>
      </c>
      <c r="N53" s="60" t="str">
        <f>IF(AND('Riesgos de Gestión'!$AF$59="Muy Baja",'Riesgos de Gestión'!$AH$59="Leve"),CONCATENATE("R8C",'Riesgos de Gestión'!$V$59),"")</f>
        <v/>
      </c>
      <c r="O53" s="61" t="str">
        <f>IF(AND('Riesgos de Gestión'!$AF$60="Muy Baja",'Riesgos de Gestión'!$AH$60="Leve"),CONCATENATE("R8C",'Riesgos de Gestión'!$V$60),"")</f>
        <v/>
      </c>
      <c r="P53" s="59" t="str">
        <f>IF(AND('Riesgos de Gestión'!$AF$55="Muy Baja",'Riesgos de Gestión'!$AH$55="Menor"),CONCATENATE("R8C",'Riesgos de Gestión'!$V$55),"")</f>
        <v/>
      </c>
      <c r="Q53" s="60" t="str">
        <f>IF(AND('Riesgos de Gestión'!$AF$56="Muy Baja",'Riesgos de Gestión'!$AH$56="Menor"),CONCATENATE("R8C",'Riesgos de Gestión'!$V$56),"")</f>
        <v/>
      </c>
      <c r="R53" s="60" t="str">
        <f>IF(AND('Riesgos de Gestión'!$AF$57="Muy Baja",'Riesgos de Gestión'!$AH$57="Menor"),CONCATENATE("R8C",'Riesgos de Gestión'!$V$57),"")</f>
        <v/>
      </c>
      <c r="S53" s="60" t="str">
        <f>IF(AND('Riesgos de Gestión'!$AF$58="Muy Baja",'Riesgos de Gestión'!$AH$58="Menor"),CONCATENATE("R8C",'Riesgos de Gestión'!$V$58),"")</f>
        <v/>
      </c>
      <c r="T53" s="60" t="str">
        <f>IF(AND('Riesgos de Gestión'!$AF$59="Muy Baja",'Riesgos de Gestión'!$AH$59="Menor"),CONCATENATE("R8C",'Riesgos de Gestión'!$V$59),"")</f>
        <v/>
      </c>
      <c r="U53" s="61" t="str">
        <f>IF(AND('Riesgos de Gestión'!$AF$60="Muy Baja",'Riesgos de Gestión'!$AH$60="Menor"),CONCATENATE("R8C",'Riesgos de Gestión'!$V$60),"")</f>
        <v/>
      </c>
      <c r="V53" s="50" t="str">
        <f>IF(AND('Riesgos de Gestión'!$AF$55="Muy Baja",'Riesgos de Gestión'!$AH$55="Moderado"),CONCATENATE("R8C",'Riesgos de Gestión'!$V$55),"")</f>
        <v/>
      </c>
      <c r="W53" s="51" t="str">
        <f>IF(AND('Riesgos de Gestión'!$AF$56="Muy Baja",'Riesgos de Gestión'!$AH$56="Moderado"),CONCATENATE("R8C",'Riesgos de Gestión'!$V$56),"")</f>
        <v/>
      </c>
      <c r="X53" s="51" t="str">
        <f>IF(AND('Riesgos de Gestión'!$AF$57="Muy Baja",'Riesgos de Gestión'!$AH$57="Moderado"),CONCATENATE("R8C",'Riesgos de Gestión'!$V$57),"")</f>
        <v/>
      </c>
      <c r="Y53" s="51" t="str">
        <f>IF(AND('Riesgos de Gestión'!$AF$58="Muy Baja",'Riesgos de Gestión'!$AH$58="Moderado"),CONCATENATE("R8C",'Riesgos de Gestión'!$V$58),"")</f>
        <v/>
      </c>
      <c r="Z53" s="51" t="str">
        <f>IF(AND('Riesgos de Gestión'!$AF$59="Muy Baja",'Riesgos de Gestión'!$AH$59="Moderado"),CONCATENATE("R8C",'Riesgos de Gestión'!$V$59),"")</f>
        <v/>
      </c>
      <c r="AA53" s="52" t="str">
        <f>IF(AND('Riesgos de Gestión'!$AF$60="Muy Baja",'Riesgos de Gestión'!$AH$60="Moderado"),CONCATENATE("R8C",'Riesgos de Gestión'!$V$60),"")</f>
        <v/>
      </c>
      <c r="AB53" s="35" t="str">
        <f>IF(AND('Riesgos de Gestión'!$AF$55="Muy Baja",'Riesgos de Gestión'!$AH$55="Mayor"),CONCATENATE("R8C",'Riesgos de Gestión'!$V$55),"")</f>
        <v/>
      </c>
      <c r="AC53" s="36" t="str">
        <f>IF(AND('Riesgos de Gestión'!$AF$56="Muy Baja",'Riesgos de Gestión'!$AH$56="Mayor"),CONCATENATE("R8C",'Riesgos de Gestión'!$V$56),"")</f>
        <v/>
      </c>
      <c r="AD53" s="36" t="str">
        <f>IF(AND('Riesgos de Gestión'!$AF$57="Muy Baja",'Riesgos de Gestión'!$AH$57="Mayor"),CONCATENATE("R8C",'Riesgos de Gestión'!$V$57),"")</f>
        <v/>
      </c>
      <c r="AE53" s="36" t="str">
        <f>IF(AND('Riesgos de Gestión'!$AF$58="Muy Baja",'Riesgos de Gestión'!$AH$58="Mayor"),CONCATENATE("R8C",'Riesgos de Gestión'!$V$58),"")</f>
        <v/>
      </c>
      <c r="AF53" s="36" t="str">
        <f>IF(AND('Riesgos de Gestión'!$AF$59="Muy Baja",'Riesgos de Gestión'!$AH$59="Mayor"),CONCATENATE("R8C",'Riesgos de Gestión'!$V$59),"")</f>
        <v/>
      </c>
      <c r="AG53" s="37" t="str">
        <f>IF(AND('Riesgos de Gestión'!$AF$60="Muy Baja",'Riesgos de Gestión'!$AH$60="Mayor"),CONCATENATE("R8C",'Riesgos de Gestión'!$V$60),"")</f>
        <v/>
      </c>
      <c r="AH53" s="38" t="str">
        <f>IF(AND('Riesgos de Gestión'!$AF$55="Muy Baja",'Riesgos de Gestión'!$AH$55="Catastrófico"),CONCATENATE("R8C",'Riesgos de Gestión'!$V$55),"")</f>
        <v/>
      </c>
      <c r="AI53" s="39" t="str">
        <f>IF(AND('Riesgos de Gestión'!$AF$56="Muy Baja",'Riesgos de Gestión'!$AH$56="Catastrófico"),CONCATENATE("R8C",'Riesgos de Gestión'!$V$56),"")</f>
        <v/>
      </c>
      <c r="AJ53" s="39" t="str">
        <f>IF(AND('Riesgos de Gestión'!$AF$57="Muy Baja",'Riesgos de Gestión'!$AH$57="Catastrófico"),CONCATENATE("R8C",'Riesgos de Gestión'!$V$57),"")</f>
        <v/>
      </c>
      <c r="AK53" s="39" t="str">
        <f>IF(AND('Riesgos de Gestión'!$AF$58="Muy Baja",'Riesgos de Gestión'!$AH$58="Catastrófico"),CONCATENATE("R8C",'Riesgos de Gestión'!$V$58),"")</f>
        <v/>
      </c>
      <c r="AL53" s="39" t="str">
        <f>IF(AND('Riesgos de Gestión'!$AF$59="Muy Baja",'Riesgos de Gestión'!$AH$59="Catastrófico"),CONCATENATE("R8C",'Riesgos de Gestión'!$V$59),"")</f>
        <v/>
      </c>
      <c r="AM53" s="40" t="str">
        <f>IF(AND('Riesgos de Gestión'!$AF$60="Muy Baja",'Riesgos de Gestión'!$AH$60="Catastrófico"),CONCATENATE("R8C",'Riesgos de Gestión'!$V$60),"")</f>
        <v/>
      </c>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row>
    <row r="54" spans="1:80" ht="15" customHeight="1" x14ac:dyDescent="0.25">
      <c r="A54" s="66"/>
      <c r="B54" s="389"/>
      <c r="C54" s="389"/>
      <c r="D54" s="390"/>
      <c r="E54" s="488"/>
      <c r="F54" s="487"/>
      <c r="G54" s="487"/>
      <c r="H54" s="487"/>
      <c r="I54" s="503"/>
      <c r="J54" s="59" t="str">
        <f>IF(AND('Riesgos de Gestión'!$AF$61="Muy Baja",'Riesgos de Gestión'!$AH$61="Leve"),CONCATENATE("R9C",'Riesgos de Gestión'!$V$61),"")</f>
        <v/>
      </c>
      <c r="K54" s="60" t="str">
        <f>IF(AND('Riesgos de Gestión'!$AF$62="Muy Baja",'Riesgos de Gestión'!$AH$62="Leve"),CONCATENATE("R9C",'Riesgos de Gestión'!$V$62),"")</f>
        <v/>
      </c>
      <c r="L54" s="60" t="str">
        <f>IF(AND('Riesgos de Gestión'!$AF$63="Muy Baja",'Riesgos de Gestión'!$AH$63="Leve"),CONCATENATE("R9C",'Riesgos de Gestión'!$V$63),"")</f>
        <v/>
      </c>
      <c r="M54" s="60" t="str">
        <f>IF(AND('Riesgos de Gestión'!$AF$64="Muy Baja",'Riesgos de Gestión'!$AH$64="Leve"),CONCATENATE("R9C",'Riesgos de Gestión'!$V$64),"")</f>
        <v/>
      </c>
      <c r="N54" s="60" t="str">
        <f>IF(AND('Riesgos de Gestión'!$AF$65="Muy Baja",'Riesgos de Gestión'!$AH$65="Leve"),CONCATENATE("R9C",'Riesgos de Gestión'!$V$65),"")</f>
        <v/>
      </c>
      <c r="O54" s="61" t="str">
        <f>IF(AND('Riesgos de Gestión'!$AF$66="Muy Baja",'Riesgos de Gestión'!$AH$66="Leve"),CONCATENATE("R9C",'Riesgos de Gestión'!$V$66),"")</f>
        <v/>
      </c>
      <c r="P54" s="59" t="str">
        <f>IF(AND('Riesgos de Gestión'!$AF$61="Muy Baja",'Riesgos de Gestión'!$AH$61="Menor"),CONCATENATE("R9C",'Riesgos de Gestión'!$V$61),"")</f>
        <v/>
      </c>
      <c r="Q54" s="60" t="str">
        <f>IF(AND('Riesgos de Gestión'!$AF$62="Muy Baja",'Riesgos de Gestión'!$AH$62="Menor"),CONCATENATE("R9C",'Riesgos de Gestión'!$V$62),"")</f>
        <v/>
      </c>
      <c r="R54" s="60" t="str">
        <f>IF(AND('Riesgos de Gestión'!$AF$63="Muy Baja",'Riesgos de Gestión'!$AH$63="Menor"),CONCATENATE("R9C",'Riesgos de Gestión'!$V$63),"")</f>
        <v/>
      </c>
      <c r="S54" s="60" t="str">
        <f>IF(AND('Riesgos de Gestión'!$AF$64="Muy Baja",'Riesgos de Gestión'!$AH$64="Menor"),CONCATENATE("R9C",'Riesgos de Gestión'!$V$64),"")</f>
        <v/>
      </c>
      <c r="T54" s="60" t="str">
        <f>IF(AND('Riesgos de Gestión'!$AF$65="Muy Baja",'Riesgos de Gestión'!$AH$65="Menor"),CONCATENATE("R9C",'Riesgos de Gestión'!$V$65),"")</f>
        <v/>
      </c>
      <c r="U54" s="61" t="str">
        <f>IF(AND('Riesgos de Gestión'!$AF$66="Muy Baja",'Riesgos de Gestión'!$AH$66="Menor"),CONCATENATE("R9C",'Riesgos de Gestión'!$V$66),"")</f>
        <v/>
      </c>
      <c r="V54" s="50" t="str">
        <f>IF(AND('Riesgos de Gestión'!$AF$61="Muy Baja",'Riesgos de Gestión'!$AH$61="Moderado"),CONCATENATE("R9C",'Riesgos de Gestión'!$V$61),"")</f>
        <v/>
      </c>
      <c r="W54" s="51" t="str">
        <f>IF(AND('Riesgos de Gestión'!$AF$62="Muy Baja",'Riesgos de Gestión'!$AH$62="Moderado"),CONCATENATE("R9C",'Riesgos de Gestión'!$V$62),"")</f>
        <v/>
      </c>
      <c r="X54" s="51" t="str">
        <f>IF(AND('Riesgos de Gestión'!$AF$63="Muy Baja",'Riesgos de Gestión'!$AH$63="Moderado"),CONCATENATE("R9C",'Riesgos de Gestión'!$V$63),"")</f>
        <v/>
      </c>
      <c r="Y54" s="51" t="str">
        <f>IF(AND('Riesgos de Gestión'!$AF$64="Muy Baja",'Riesgos de Gestión'!$AH$64="Moderado"),CONCATENATE("R9C",'Riesgos de Gestión'!$V$64),"")</f>
        <v/>
      </c>
      <c r="Z54" s="51" t="str">
        <f>IF(AND('Riesgos de Gestión'!$AF$65="Muy Baja",'Riesgos de Gestión'!$AH$65="Moderado"),CONCATENATE("R9C",'Riesgos de Gestión'!$V$65),"")</f>
        <v/>
      </c>
      <c r="AA54" s="52" t="str">
        <f>IF(AND('Riesgos de Gestión'!$AF$66="Muy Baja",'Riesgos de Gestión'!$AH$66="Moderado"),CONCATENATE("R9C",'Riesgos de Gestión'!$V$66),"")</f>
        <v/>
      </c>
      <c r="AB54" s="35" t="str">
        <f>IF(AND('Riesgos de Gestión'!$AF$61="Muy Baja",'Riesgos de Gestión'!$AH$61="Mayor"),CONCATENATE("R9C",'Riesgos de Gestión'!$V$61),"")</f>
        <v/>
      </c>
      <c r="AC54" s="36" t="str">
        <f>IF(AND('Riesgos de Gestión'!$AF$62="Muy Baja",'Riesgos de Gestión'!$AH$62="Mayor"),CONCATENATE("R9C",'Riesgos de Gestión'!$V$62),"")</f>
        <v/>
      </c>
      <c r="AD54" s="36" t="str">
        <f>IF(AND('Riesgos de Gestión'!$AF$63="Muy Baja",'Riesgos de Gestión'!$AH$63="Mayor"),CONCATENATE("R9C",'Riesgos de Gestión'!$V$63),"")</f>
        <v/>
      </c>
      <c r="AE54" s="36" t="str">
        <f>IF(AND('Riesgos de Gestión'!$AF$64="Muy Baja",'Riesgos de Gestión'!$AH$64="Mayor"),CONCATENATE("R9C",'Riesgos de Gestión'!$V$64),"")</f>
        <v/>
      </c>
      <c r="AF54" s="36" t="str">
        <f>IF(AND('Riesgos de Gestión'!$AF$65="Muy Baja",'Riesgos de Gestión'!$AH$65="Mayor"),CONCATENATE("R9C",'Riesgos de Gestión'!$V$65),"")</f>
        <v/>
      </c>
      <c r="AG54" s="37" t="str">
        <f>IF(AND('Riesgos de Gestión'!$AF$66="Muy Baja",'Riesgos de Gestión'!$AH$66="Mayor"),CONCATENATE("R9C",'Riesgos de Gestión'!$V$66),"")</f>
        <v/>
      </c>
      <c r="AH54" s="38" t="str">
        <f>IF(AND('Riesgos de Gestión'!$AF$61="Muy Baja",'Riesgos de Gestión'!$AH$61="Catastrófico"),CONCATENATE("R9C",'Riesgos de Gestión'!$V$61),"")</f>
        <v/>
      </c>
      <c r="AI54" s="39" t="str">
        <f>IF(AND('Riesgos de Gestión'!$AF$62="Muy Baja",'Riesgos de Gestión'!$AH$62="Catastrófico"),CONCATENATE("R9C",'Riesgos de Gestión'!$V$62),"")</f>
        <v/>
      </c>
      <c r="AJ54" s="39" t="str">
        <f>IF(AND('Riesgos de Gestión'!$AF$63="Muy Baja",'Riesgos de Gestión'!$AH$63="Catastrófico"),CONCATENATE("R9C",'Riesgos de Gestión'!$V$63),"")</f>
        <v/>
      </c>
      <c r="AK54" s="39" t="str">
        <f>IF(AND('Riesgos de Gestión'!$AF$64="Muy Baja",'Riesgos de Gestión'!$AH$64="Catastrófico"),CONCATENATE("R9C",'Riesgos de Gestión'!$V$64),"")</f>
        <v/>
      </c>
      <c r="AL54" s="39" t="str">
        <f>IF(AND('Riesgos de Gestión'!$AF$65="Muy Baja",'Riesgos de Gestión'!$AH$65="Catastrófico"),CONCATENATE("R9C",'Riesgos de Gestión'!$V$65),"")</f>
        <v/>
      </c>
      <c r="AM54" s="40" t="str">
        <f>IF(AND('Riesgos de Gestión'!$AF$66="Muy Baja",'Riesgos de Gestión'!$AH$66="Catastrófico"),CONCATENATE("R9C",'Riesgos de Gestión'!$V$66),"")</f>
        <v/>
      </c>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row>
    <row r="55" spans="1:80" ht="15.75" customHeight="1" thickBot="1" x14ac:dyDescent="0.3">
      <c r="A55" s="66"/>
      <c r="B55" s="389"/>
      <c r="C55" s="389"/>
      <c r="D55" s="390"/>
      <c r="E55" s="489"/>
      <c r="F55" s="490"/>
      <c r="G55" s="490"/>
      <c r="H55" s="490"/>
      <c r="I55" s="504"/>
      <c r="J55" s="62" t="str">
        <f>IF(AND('Riesgos de Gestión'!$AF$67="Muy Baja",'Riesgos de Gestión'!$AH$67="Leve"),CONCATENATE("R10C",'Riesgos de Gestión'!$V$67),"")</f>
        <v/>
      </c>
      <c r="K55" s="63" t="str">
        <f>IF(AND('Riesgos de Gestión'!$AF$68="Muy Baja",'Riesgos de Gestión'!$AH$68="Leve"),CONCATENATE("R10C",'Riesgos de Gestión'!$V$68),"")</f>
        <v/>
      </c>
      <c r="L55" s="63" t="str">
        <f>IF(AND('Riesgos de Gestión'!$AF$69="Muy Baja",'Riesgos de Gestión'!$AH$69="Leve"),CONCATENATE("R10C",'Riesgos de Gestión'!$V$69),"")</f>
        <v/>
      </c>
      <c r="M55" s="63" t="str">
        <f>IF(AND('Riesgos de Gestión'!$AF$70="Muy Baja",'Riesgos de Gestión'!$AH$70="Leve"),CONCATENATE("R10C",'Riesgos de Gestión'!$V$70),"")</f>
        <v/>
      </c>
      <c r="N55" s="63" t="str">
        <f>IF(AND('Riesgos de Gestión'!$AF$71="Muy Baja",'Riesgos de Gestión'!$AH$71="Leve"),CONCATENATE("R10C",'Riesgos de Gestión'!$V$71),"")</f>
        <v/>
      </c>
      <c r="O55" s="64" t="str">
        <f>IF(AND('Riesgos de Gestión'!$AF$72="Muy Baja",'Riesgos de Gestión'!$AH$72="Leve"),CONCATENATE("R10C",'Riesgos de Gestión'!$V$72),"")</f>
        <v/>
      </c>
      <c r="P55" s="62" t="str">
        <f>IF(AND('Riesgos de Gestión'!$AF$67="Muy Baja",'Riesgos de Gestión'!$AH$67="Menor"),CONCATENATE("R10C",'Riesgos de Gestión'!$V$67),"")</f>
        <v/>
      </c>
      <c r="Q55" s="63" t="str">
        <f>IF(AND('Riesgos de Gestión'!$AF$68="Muy Baja",'Riesgos de Gestión'!$AH$68="Menor"),CONCATENATE("R10C",'Riesgos de Gestión'!$V$68),"")</f>
        <v/>
      </c>
      <c r="R55" s="63" t="str">
        <f>IF(AND('Riesgos de Gestión'!$AF$69="Muy Baja",'Riesgos de Gestión'!$AH$69="Menor"),CONCATENATE("R10C",'Riesgos de Gestión'!$V$69),"")</f>
        <v/>
      </c>
      <c r="S55" s="63" t="str">
        <f>IF(AND('Riesgos de Gestión'!$AF$70="Muy Baja",'Riesgos de Gestión'!$AH$70="Menor"),CONCATENATE("R10C",'Riesgos de Gestión'!$V$70),"")</f>
        <v/>
      </c>
      <c r="T55" s="63" t="str">
        <f>IF(AND('Riesgos de Gestión'!$AF$71="Muy Baja",'Riesgos de Gestión'!$AH$71="Menor"),CONCATENATE("R10C",'Riesgos de Gestión'!$V$71),"")</f>
        <v/>
      </c>
      <c r="U55" s="64" t="str">
        <f>IF(AND('Riesgos de Gestión'!$AF$72="Muy Baja",'Riesgos de Gestión'!$AH$72="Menor"),CONCATENATE("R10C",'Riesgos de Gestión'!$V$72),"")</f>
        <v/>
      </c>
      <c r="V55" s="53" t="str">
        <f>IF(AND('Riesgos de Gestión'!$AF$67="Muy Baja",'Riesgos de Gestión'!$AH$67="Moderado"),CONCATENATE("R10C",'Riesgos de Gestión'!$V$67),"")</f>
        <v/>
      </c>
      <c r="W55" s="54" t="str">
        <f>IF(AND('Riesgos de Gestión'!$AF$68="Muy Baja",'Riesgos de Gestión'!$AH$68="Moderado"),CONCATENATE("R10C",'Riesgos de Gestión'!$V$68),"")</f>
        <v/>
      </c>
      <c r="X55" s="54" t="str">
        <f>IF(AND('Riesgos de Gestión'!$AF$69="Muy Baja",'Riesgos de Gestión'!$AH$69="Moderado"),CONCATENATE("R10C",'Riesgos de Gestión'!$V$69),"")</f>
        <v/>
      </c>
      <c r="Y55" s="54" t="str">
        <f>IF(AND('Riesgos de Gestión'!$AF$70="Muy Baja",'Riesgos de Gestión'!$AH$70="Moderado"),CONCATENATE("R10C",'Riesgos de Gestión'!$V$70),"")</f>
        <v/>
      </c>
      <c r="Z55" s="54" t="str">
        <f>IF(AND('Riesgos de Gestión'!$AF$71="Muy Baja",'Riesgos de Gestión'!$AH$71="Moderado"),CONCATENATE("R10C",'Riesgos de Gestión'!$V$71),"")</f>
        <v/>
      </c>
      <c r="AA55" s="55" t="str">
        <f>IF(AND('Riesgos de Gestión'!$AF$72="Muy Baja",'Riesgos de Gestión'!$AH$72="Moderado"),CONCATENATE("R10C",'Riesgos de Gestión'!$V$72),"")</f>
        <v/>
      </c>
      <c r="AB55" s="41" t="str">
        <f>IF(AND('Riesgos de Gestión'!$AF$67="Muy Baja",'Riesgos de Gestión'!$AH$67="Mayor"),CONCATENATE("R10C",'Riesgos de Gestión'!$V$67),"")</f>
        <v/>
      </c>
      <c r="AC55" s="42" t="str">
        <f>IF(AND('Riesgos de Gestión'!$AF$68="Muy Baja",'Riesgos de Gestión'!$AH$68="Mayor"),CONCATENATE("R10C",'Riesgos de Gestión'!$V$68),"")</f>
        <v/>
      </c>
      <c r="AD55" s="42" t="str">
        <f>IF(AND('Riesgos de Gestión'!$AF$69="Muy Baja",'Riesgos de Gestión'!$AH$69="Mayor"),CONCATENATE("R10C",'Riesgos de Gestión'!$V$69),"")</f>
        <v/>
      </c>
      <c r="AE55" s="42" t="str">
        <f>IF(AND('Riesgos de Gestión'!$AF$70="Muy Baja",'Riesgos de Gestión'!$AH$70="Mayor"),CONCATENATE("R10C",'Riesgos de Gestión'!$V$70),"")</f>
        <v/>
      </c>
      <c r="AF55" s="42" t="str">
        <f>IF(AND('Riesgos de Gestión'!$AF$71="Muy Baja",'Riesgos de Gestión'!$AH$71="Mayor"),CONCATENATE("R10C",'Riesgos de Gestión'!$V$71),"")</f>
        <v/>
      </c>
      <c r="AG55" s="43" t="str">
        <f>IF(AND('Riesgos de Gestión'!$AF$72="Muy Baja",'Riesgos de Gestión'!$AH$72="Mayor"),CONCATENATE("R10C",'Riesgos de Gestión'!$V$72),"")</f>
        <v/>
      </c>
      <c r="AH55" s="44" t="str">
        <f>IF(AND('Riesgos de Gestión'!$AF$67="Muy Baja",'Riesgos de Gestión'!$AH$67="Catastrófico"),CONCATENATE("R10C",'Riesgos de Gestión'!$V$67),"")</f>
        <v/>
      </c>
      <c r="AI55" s="45" t="str">
        <f>IF(AND('Riesgos de Gestión'!$AF$68="Muy Baja",'Riesgos de Gestión'!$AH$68="Catastrófico"),CONCATENATE("R10C",'Riesgos de Gestión'!$V$68),"")</f>
        <v/>
      </c>
      <c r="AJ55" s="45" t="str">
        <f>IF(AND('Riesgos de Gestión'!$AF$69="Muy Baja",'Riesgos de Gestión'!$AH$69="Catastrófico"),CONCATENATE("R10C",'Riesgos de Gestión'!$V$69),"")</f>
        <v/>
      </c>
      <c r="AK55" s="45" t="str">
        <f>IF(AND('Riesgos de Gestión'!$AF$70="Muy Baja",'Riesgos de Gestión'!$AH$70="Catastrófico"),CONCATENATE("R10C",'Riesgos de Gestión'!$V$70),"")</f>
        <v/>
      </c>
      <c r="AL55" s="45" t="str">
        <f>IF(AND('Riesgos de Gestión'!$AF$71="Muy Baja",'Riesgos de Gestión'!$AH$71="Catastrófico"),CONCATENATE("R10C",'Riesgos de Gestión'!$V$71),"")</f>
        <v/>
      </c>
      <c r="AM55" s="46" t="str">
        <f>IF(AND('Riesgos de Gestión'!$AF$72="Muy Baja",'Riesgos de Gestión'!$AH$72="Catastrófico"),CONCATENATE("R10C",'Riesgos de Gestión'!$V$72),"")</f>
        <v/>
      </c>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row>
    <row r="56" spans="1:80" x14ac:dyDescent="0.25">
      <c r="A56" s="66"/>
      <c r="B56" s="66"/>
      <c r="C56" s="66"/>
      <c r="D56" s="66"/>
      <c r="E56" s="66"/>
      <c r="F56" s="66"/>
      <c r="G56" s="66"/>
      <c r="H56" s="66"/>
      <c r="I56" s="66"/>
      <c r="J56" s="484" t="s">
        <v>260</v>
      </c>
      <c r="K56" s="485"/>
      <c r="L56" s="485"/>
      <c r="M56" s="485"/>
      <c r="N56" s="485"/>
      <c r="O56" s="502"/>
      <c r="P56" s="484" t="s">
        <v>261</v>
      </c>
      <c r="Q56" s="485"/>
      <c r="R56" s="485"/>
      <c r="S56" s="485"/>
      <c r="T56" s="485"/>
      <c r="U56" s="502"/>
      <c r="V56" s="484" t="s">
        <v>262</v>
      </c>
      <c r="W56" s="485"/>
      <c r="X56" s="485"/>
      <c r="Y56" s="485"/>
      <c r="Z56" s="485"/>
      <c r="AA56" s="502"/>
      <c r="AB56" s="484" t="s">
        <v>263</v>
      </c>
      <c r="AC56" s="523"/>
      <c r="AD56" s="485"/>
      <c r="AE56" s="485"/>
      <c r="AF56" s="485"/>
      <c r="AG56" s="502"/>
      <c r="AH56" s="484" t="s">
        <v>264</v>
      </c>
      <c r="AI56" s="485"/>
      <c r="AJ56" s="485"/>
      <c r="AK56" s="485"/>
      <c r="AL56" s="485"/>
      <c r="AM56" s="502"/>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row>
    <row r="57" spans="1:80" x14ac:dyDescent="0.25">
      <c r="A57" s="66"/>
      <c r="B57" s="66"/>
      <c r="C57" s="66"/>
      <c r="D57" s="66"/>
      <c r="E57" s="66"/>
      <c r="F57" s="66"/>
      <c r="G57" s="66"/>
      <c r="H57" s="66"/>
      <c r="I57" s="66"/>
      <c r="J57" s="488"/>
      <c r="K57" s="487"/>
      <c r="L57" s="487"/>
      <c r="M57" s="487"/>
      <c r="N57" s="487"/>
      <c r="O57" s="503"/>
      <c r="P57" s="488"/>
      <c r="Q57" s="487"/>
      <c r="R57" s="487"/>
      <c r="S57" s="487"/>
      <c r="T57" s="487"/>
      <c r="U57" s="503"/>
      <c r="V57" s="488"/>
      <c r="W57" s="487"/>
      <c r="X57" s="487"/>
      <c r="Y57" s="487"/>
      <c r="Z57" s="487"/>
      <c r="AA57" s="503"/>
      <c r="AB57" s="488"/>
      <c r="AC57" s="487"/>
      <c r="AD57" s="487"/>
      <c r="AE57" s="487"/>
      <c r="AF57" s="487"/>
      <c r="AG57" s="503"/>
      <c r="AH57" s="488"/>
      <c r="AI57" s="487"/>
      <c r="AJ57" s="487"/>
      <c r="AK57" s="487"/>
      <c r="AL57" s="487"/>
      <c r="AM57" s="503"/>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row>
    <row r="58" spans="1:80" x14ac:dyDescent="0.25">
      <c r="A58" s="66"/>
      <c r="B58" s="66"/>
      <c r="C58" s="66"/>
      <c r="D58" s="66"/>
      <c r="E58" s="66"/>
      <c r="F58" s="66"/>
      <c r="G58" s="66"/>
      <c r="H58" s="66"/>
      <c r="I58" s="66"/>
      <c r="J58" s="488"/>
      <c r="K58" s="487"/>
      <c r="L58" s="487"/>
      <c r="M58" s="487"/>
      <c r="N58" s="487"/>
      <c r="O58" s="503"/>
      <c r="P58" s="488"/>
      <c r="Q58" s="487"/>
      <c r="R58" s="487"/>
      <c r="S58" s="487"/>
      <c r="T58" s="487"/>
      <c r="U58" s="503"/>
      <c r="V58" s="488"/>
      <c r="W58" s="487"/>
      <c r="X58" s="487"/>
      <c r="Y58" s="487"/>
      <c r="Z58" s="487"/>
      <c r="AA58" s="503"/>
      <c r="AB58" s="488"/>
      <c r="AC58" s="487"/>
      <c r="AD58" s="487"/>
      <c r="AE58" s="487"/>
      <c r="AF58" s="487"/>
      <c r="AG58" s="503"/>
      <c r="AH58" s="488"/>
      <c r="AI58" s="487"/>
      <c r="AJ58" s="487"/>
      <c r="AK58" s="487"/>
      <c r="AL58" s="487"/>
      <c r="AM58" s="503"/>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row>
    <row r="59" spans="1:80" x14ac:dyDescent="0.25">
      <c r="A59" s="66"/>
      <c r="B59" s="66"/>
      <c r="C59" s="66"/>
      <c r="D59" s="66"/>
      <c r="E59" s="66"/>
      <c r="F59" s="66"/>
      <c r="G59" s="66"/>
      <c r="H59" s="66"/>
      <c r="I59" s="66"/>
      <c r="J59" s="488"/>
      <c r="K59" s="487"/>
      <c r="L59" s="487"/>
      <c r="M59" s="487"/>
      <c r="N59" s="487"/>
      <c r="O59" s="503"/>
      <c r="P59" s="488"/>
      <c r="Q59" s="487"/>
      <c r="R59" s="487"/>
      <c r="S59" s="487"/>
      <c r="T59" s="487"/>
      <c r="U59" s="503"/>
      <c r="V59" s="488"/>
      <c r="W59" s="487"/>
      <c r="X59" s="487"/>
      <c r="Y59" s="487"/>
      <c r="Z59" s="487"/>
      <c r="AA59" s="503"/>
      <c r="AB59" s="488"/>
      <c r="AC59" s="487"/>
      <c r="AD59" s="487"/>
      <c r="AE59" s="487"/>
      <c r="AF59" s="487"/>
      <c r="AG59" s="503"/>
      <c r="AH59" s="488"/>
      <c r="AI59" s="487"/>
      <c r="AJ59" s="487"/>
      <c r="AK59" s="487"/>
      <c r="AL59" s="487"/>
      <c r="AM59" s="503"/>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row>
    <row r="60" spans="1:80" x14ac:dyDescent="0.25">
      <c r="A60" s="66"/>
      <c r="B60" s="66"/>
      <c r="C60" s="66"/>
      <c r="D60" s="66"/>
      <c r="E60" s="66"/>
      <c r="F60" s="66"/>
      <c r="G60" s="66"/>
      <c r="H60" s="66"/>
      <c r="I60" s="66"/>
      <c r="J60" s="488"/>
      <c r="K60" s="487"/>
      <c r="L60" s="487"/>
      <c r="M60" s="487"/>
      <c r="N60" s="487"/>
      <c r="O60" s="503"/>
      <c r="P60" s="488"/>
      <c r="Q60" s="487"/>
      <c r="R60" s="487"/>
      <c r="S60" s="487"/>
      <c r="T60" s="487"/>
      <c r="U60" s="503"/>
      <c r="V60" s="488"/>
      <c r="W60" s="487"/>
      <c r="X60" s="487"/>
      <c r="Y60" s="487"/>
      <c r="Z60" s="487"/>
      <c r="AA60" s="503"/>
      <c r="AB60" s="488"/>
      <c r="AC60" s="487"/>
      <c r="AD60" s="487"/>
      <c r="AE60" s="487"/>
      <c r="AF60" s="487"/>
      <c r="AG60" s="503"/>
      <c r="AH60" s="488"/>
      <c r="AI60" s="487"/>
      <c r="AJ60" s="487"/>
      <c r="AK60" s="487"/>
      <c r="AL60" s="487"/>
      <c r="AM60" s="503"/>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row>
    <row r="61" spans="1:80" ht="15.75" thickBot="1" x14ac:dyDescent="0.3">
      <c r="A61" s="66"/>
      <c r="B61" s="66"/>
      <c r="C61" s="66"/>
      <c r="D61" s="66"/>
      <c r="E61" s="66"/>
      <c r="F61" s="66"/>
      <c r="G61" s="66"/>
      <c r="H61" s="66"/>
      <c r="I61" s="66"/>
      <c r="J61" s="489"/>
      <c r="K61" s="490"/>
      <c r="L61" s="490"/>
      <c r="M61" s="490"/>
      <c r="N61" s="490"/>
      <c r="O61" s="504"/>
      <c r="P61" s="489"/>
      <c r="Q61" s="490"/>
      <c r="R61" s="490"/>
      <c r="S61" s="490"/>
      <c r="T61" s="490"/>
      <c r="U61" s="504"/>
      <c r="V61" s="489"/>
      <c r="W61" s="490"/>
      <c r="X61" s="490"/>
      <c r="Y61" s="490"/>
      <c r="Z61" s="490"/>
      <c r="AA61" s="504"/>
      <c r="AB61" s="489"/>
      <c r="AC61" s="490"/>
      <c r="AD61" s="490"/>
      <c r="AE61" s="490"/>
      <c r="AF61" s="490"/>
      <c r="AG61" s="504"/>
      <c r="AH61" s="489"/>
      <c r="AI61" s="490"/>
      <c r="AJ61" s="490"/>
      <c r="AK61" s="490"/>
      <c r="AL61" s="490"/>
      <c r="AM61" s="504"/>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row>
    <row r="62" spans="1:80" x14ac:dyDescent="0.2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row>
    <row r="63" spans="1:80" ht="15" customHeight="1" x14ac:dyDescent="0.25">
      <c r="A63" s="66"/>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66"/>
      <c r="AV63" s="66"/>
      <c r="AW63" s="66"/>
      <c r="AX63" s="66"/>
      <c r="AY63" s="66"/>
      <c r="AZ63" s="66"/>
      <c r="BA63" s="66"/>
      <c r="BB63" s="66"/>
      <c r="BC63" s="66"/>
      <c r="BD63" s="66"/>
      <c r="BE63" s="66"/>
      <c r="BF63" s="66"/>
      <c r="BG63" s="66"/>
      <c r="BH63" s="66"/>
    </row>
    <row r="64" spans="1:80" ht="15" customHeight="1" x14ac:dyDescent="0.25">
      <c r="A64" s="66"/>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66"/>
      <c r="AV64" s="66"/>
      <c r="AW64" s="66"/>
      <c r="AX64" s="66"/>
      <c r="AY64" s="66"/>
      <c r="AZ64" s="66"/>
      <c r="BA64" s="66"/>
      <c r="BB64" s="66"/>
      <c r="BC64" s="66"/>
      <c r="BD64" s="66"/>
      <c r="BE64" s="66"/>
      <c r="BF64" s="66"/>
      <c r="BG64" s="66"/>
      <c r="BH64" s="66"/>
    </row>
    <row r="65" spans="1:60" x14ac:dyDescent="0.2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row>
    <row r="66" spans="1:60" x14ac:dyDescent="0.2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row>
    <row r="67" spans="1:60" x14ac:dyDescent="0.2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row>
    <row r="68" spans="1:60" x14ac:dyDescent="0.2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row>
    <row r="69" spans="1:60" x14ac:dyDescent="0.2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row>
    <row r="70" spans="1:60" x14ac:dyDescent="0.2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row>
    <row r="71" spans="1:60" x14ac:dyDescent="0.2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row>
    <row r="72" spans="1:60" x14ac:dyDescent="0.2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row>
    <row r="73" spans="1:60"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row>
    <row r="74" spans="1:60" x14ac:dyDescent="0.2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row>
    <row r="75" spans="1:60"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row>
    <row r="76" spans="1:60" x14ac:dyDescent="0.2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row>
    <row r="77" spans="1:60" x14ac:dyDescent="0.2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row>
    <row r="78" spans="1:60" x14ac:dyDescent="0.2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row>
    <row r="79" spans="1:60" x14ac:dyDescent="0.2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row>
    <row r="80" spans="1:60" x14ac:dyDescent="0.2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row>
    <row r="81" spans="1:60" x14ac:dyDescent="0.2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row>
    <row r="82" spans="1:60" x14ac:dyDescent="0.2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row>
    <row r="83" spans="1:60" x14ac:dyDescent="0.2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row>
    <row r="84" spans="1:60" x14ac:dyDescent="0.2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row>
    <row r="85" spans="1:60" x14ac:dyDescent="0.2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row>
    <row r="86" spans="1:60"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row>
    <row r="87" spans="1:60" x14ac:dyDescent="0.2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row>
    <row r="88" spans="1:60" x14ac:dyDescent="0.2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row>
    <row r="89" spans="1:60" x14ac:dyDescent="0.2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row>
    <row r="90" spans="1:60" x14ac:dyDescent="0.2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row>
    <row r="91" spans="1:60" x14ac:dyDescent="0.2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row>
    <row r="92" spans="1:60" x14ac:dyDescent="0.2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row>
    <row r="93" spans="1:60" x14ac:dyDescent="0.2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row>
    <row r="94" spans="1:60" x14ac:dyDescent="0.25">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row>
    <row r="95" spans="1:60"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row>
    <row r="96" spans="1:60"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row>
    <row r="97" spans="1:60"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row>
    <row r="98" spans="1:60"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row>
    <row r="99" spans="1:60"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row>
    <row r="100" spans="1:60" x14ac:dyDescent="0.25">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row>
    <row r="101" spans="1:60" x14ac:dyDescent="0.25">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row>
    <row r="102" spans="1:60" x14ac:dyDescent="0.25">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row>
    <row r="103" spans="1:60" x14ac:dyDescent="0.25">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row>
    <row r="104" spans="1:60" x14ac:dyDescent="0.2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row>
    <row r="105" spans="1:60" x14ac:dyDescent="0.2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row>
    <row r="106" spans="1:60" x14ac:dyDescent="0.2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row>
    <row r="107" spans="1:60" x14ac:dyDescent="0.25">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row>
    <row r="108" spans="1:60" x14ac:dyDescent="0.25">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row>
    <row r="109" spans="1:60" x14ac:dyDescent="0.2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row>
    <row r="110" spans="1:60" x14ac:dyDescent="0.2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row>
    <row r="111" spans="1:60" x14ac:dyDescent="0.2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row>
    <row r="112" spans="1:60" x14ac:dyDescent="0.2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row>
    <row r="113" spans="1:60" x14ac:dyDescent="0.2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row>
    <row r="114" spans="1:60" x14ac:dyDescent="0.2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row>
    <row r="115" spans="1:60"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row>
    <row r="116" spans="1:60" x14ac:dyDescent="0.25">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row>
    <row r="117" spans="1:60" x14ac:dyDescent="0.2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row>
    <row r="118" spans="1:60" x14ac:dyDescent="0.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row>
    <row r="119" spans="1:60" x14ac:dyDescent="0.2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row>
    <row r="120" spans="1:60" x14ac:dyDescent="0.2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row>
    <row r="121" spans="1:60" x14ac:dyDescent="0.2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row>
    <row r="122" spans="1:60" x14ac:dyDescent="0.25">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row>
    <row r="123" spans="1:60" x14ac:dyDescent="0.25">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row>
    <row r="124" spans="1:60" x14ac:dyDescent="0.25">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row>
    <row r="125" spans="1:60" x14ac:dyDescent="0.25">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row>
    <row r="126" spans="1:60" x14ac:dyDescent="0.25">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row>
    <row r="127" spans="1:60" x14ac:dyDescent="0.25">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row>
    <row r="128" spans="1:60" x14ac:dyDescent="0.25">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row>
    <row r="129" spans="1:60" x14ac:dyDescent="0.25">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row>
    <row r="130" spans="1:60" x14ac:dyDescent="0.25">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row>
    <row r="131" spans="1:60" x14ac:dyDescent="0.25">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row>
    <row r="132" spans="1:60" x14ac:dyDescent="0.25">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row>
    <row r="133" spans="1:60" x14ac:dyDescent="0.25">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row>
    <row r="134" spans="1:60" x14ac:dyDescent="0.25">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row>
    <row r="135" spans="1:60" x14ac:dyDescent="0.25">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row>
    <row r="136" spans="1:60" x14ac:dyDescent="0.25">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row>
    <row r="137" spans="1:60" x14ac:dyDescent="0.25">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6"/>
    </row>
    <row r="138" spans="1:60" x14ac:dyDescent="0.25">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row>
    <row r="139" spans="1:60" x14ac:dyDescent="0.25">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row>
    <row r="140" spans="1:60" x14ac:dyDescent="0.25">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row>
    <row r="141" spans="1:60" x14ac:dyDescent="0.25">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row>
    <row r="142" spans="1:60" x14ac:dyDescent="0.25">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row>
    <row r="143" spans="1:60" x14ac:dyDescent="0.25">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row>
    <row r="144" spans="1:60" x14ac:dyDescent="0.25">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row>
    <row r="145" spans="1:60" x14ac:dyDescent="0.25">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row>
    <row r="146" spans="1:60" x14ac:dyDescent="0.25">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row>
    <row r="147" spans="1:60" x14ac:dyDescent="0.25">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c r="BG147" s="66"/>
      <c r="BH147" s="66"/>
    </row>
    <row r="148" spans="1:60" x14ac:dyDescent="0.25">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row>
    <row r="149" spans="1:60" x14ac:dyDescent="0.25">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c r="BG149" s="66"/>
      <c r="BH149" s="66"/>
    </row>
    <row r="150" spans="1:60" x14ac:dyDescent="0.25">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c r="BG150" s="66"/>
      <c r="BH150" s="66"/>
    </row>
    <row r="151" spans="1:60" x14ac:dyDescent="0.25">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row>
    <row r="152" spans="1:60" x14ac:dyDescent="0.25">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row>
    <row r="153" spans="1:60" x14ac:dyDescent="0.25">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6"/>
      <c r="BH153" s="66"/>
    </row>
    <row r="154" spans="1:60" x14ac:dyDescent="0.25">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row>
    <row r="155" spans="1:60" x14ac:dyDescent="0.25">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c r="BG155" s="66"/>
      <c r="BH155" s="66"/>
    </row>
    <row r="156" spans="1:60" x14ac:dyDescent="0.25">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row>
    <row r="157" spans="1:60" x14ac:dyDescent="0.25">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row>
    <row r="158" spans="1:60" x14ac:dyDescent="0.25">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c r="BG158" s="66"/>
      <c r="BH158" s="66"/>
    </row>
    <row r="159" spans="1:60" x14ac:dyDescent="0.25">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row>
    <row r="160" spans="1:60" x14ac:dyDescent="0.25">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row>
    <row r="161" spans="1:60" x14ac:dyDescent="0.25">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row>
    <row r="162" spans="1:60" x14ac:dyDescent="0.25">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row>
    <row r="163" spans="1:60" x14ac:dyDescent="0.25">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row>
    <row r="164" spans="1:60" x14ac:dyDescent="0.25">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row>
    <row r="165" spans="1:60" x14ac:dyDescent="0.25">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row>
    <row r="166" spans="1:60" x14ac:dyDescent="0.25">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row>
    <row r="167" spans="1:60" x14ac:dyDescent="0.25">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row>
    <row r="168" spans="1:60" x14ac:dyDescent="0.25">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row>
    <row r="169" spans="1:60" x14ac:dyDescent="0.25">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row>
    <row r="170" spans="1:60" x14ac:dyDescent="0.25">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row>
    <row r="171" spans="1:60" x14ac:dyDescent="0.25">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row>
    <row r="172" spans="1:60" x14ac:dyDescent="0.25">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row>
    <row r="173" spans="1:60" x14ac:dyDescent="0.25">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row>
    <row r="174" spans="1:60" x14ac:dyDescent="0.25">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row>
    <row r="175" spans="1:60" x14ac:dyDescent="0.25">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row>
    <row r="176" spans="1:60" x14ac:dyDescent="0.25">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row>
    <row r="177" spans="1:60" x14ac:dyDescent="0.25">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row>
    <row r="178" spans="1:60" x14ac:dyDescent="0.25">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row>
    <row r="179" spans="1:60" x14ac:dyDescent="0.25">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row>
    <row r="180" spans="1:60" x14ac:dyDescent="0.25">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row>
    <row r="181" spans="1:60" x14ac:dyDescent="0.25">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row>
    <row r="182" spans="1:60" x14ac:dyDescent="0.25">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row>
    <row r="183" spans="1:60" x14ac:dyDescent="0.25">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row>
    <row r="184" spans="1:60" x14ac:dyDescent="0.25">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66"/>
    </row>
    <row r="185" spans="1:60" x14ac:dyDescent="0.25">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row>
    <row r="186" spans="1:60" x14ac:dyDescent="0.25">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row>
    <row r="187" spans="1:60" x14ac:dyDescent="0.25">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c r="BG187" s="66"/>
      <c r="BH187" s="66"/>
    </row>
    <row r="188" spans="1:60" x14ac:dyDescent="0.25">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row>
    <row r="189" spans="1:60" x14ac:dyDescent="0.25">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row>
    <row r="190" spans="1:60" x14ac:dyDescent="0.25">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c r="BG190" s="66"/>
      <c r="BH190" s="66"/>
    </row>
    <row r="191" spans="1:60" x14ac:dyDescent="0.25">
      <c r="A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row>
    <row r="192" spans="1:60" x14ac:dyDescent="0.25">
      <c r="A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c r="BG192" s="66"/>
      <c r="BH192" s="66"/>
    </row>
    <row r="193" spans="1:60" x14ac:dyDescent="0.25">
      <c r="A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c r="BG193" s="66"/>
      <c r="BH193" s="66"/>
    </row>
    <row r="194" spans="1:60" x14ac:dyDescent="0.25">
      <c r="A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c r="BG194" s="66"/>
      <c r="BH194" s="66"/>
    </row>
    <row r="195" spans="1:60" x14ac:dyDescent="0.25">
      <c r="A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c r="BG195" s="66"/>
      <c r="BH195" s="66"/>
    </row>
    <row r="196" spans="1:60" x14ac:dyDescent="0.25">
      <c r="A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c r="BG196" s="66"/>
      <c r="BH196" s="66"/>
    </row>
    <row r="197" spans="1:60" x14ac:dyDescent="0.25">
      <c r="A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c r="BG197" s="66"/>
      <c r="BH197" s="66"/>
    </row>
    <row r="198" spans="1:60" x14ac:dyDescent="0.25">
      <c r="A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c r="BG198" s="66"/>
      <c r="BH198" s="66"/>
    </row>
    <row r="199" spans="1:60" x14ac:dyDescent="0.25">
      <c r="A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row>
    <row r="200" spans="1:60" x14ac:dyDescent="0.25">
      <c r="A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c r="BG200" s="66"/>
      <c r="BH200" s="66"/>
    </row>
    <row r="201" spans="1:60" x14ac:dyDescent="0.25">
      <c r="A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c r="BG201" s="66"/>
      <c r="BH201" s="66"/>
    </row>
    <row r="202" spans="1:60" x14ac:dyDescent="0.25">
      <c r="A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c r="BG202" s="66"/>
      <c r="BH202" s="66"/>
    </row>
    <row r="203" spans="1:60" x14ac:dyDescent="0.25">
      <c r="A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66"/>
      <c r="BG203" s="66"/>
      <c r="BH203" s="66"/>
    </row>
    <row r="204" spans="1:60" x14ac:dyDescent="0.25">
      <c r="A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c r="BG204" s="66"/>
      <c r="BH204" s="66"/>
    </row>
    <row r="205" spans="1:60" x14ac:dyDescent="0.25">
      <c r="A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c r="BG205" s="66"/>
      <c r="BH205" s="66"/>
    </row>
    <row r="206" spans="1:60" x14ac:dyDescent="0.25">
      <c r="A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c r="BG206" s="66"/>
      <c r="BH206" s="66"/>
    </row>
    <row r="207" spans="1:60" x14ac:dyDescent="0.25">
      <c r="A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66"/>
      <c r="BG207" s="66"/>
      <c r="BH207" s="66"/>
    </row>
    <row r="208" spans="1:60" x14ac:dyDescent="0.25">
      <c r="A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c r="BG208" s="66"/>
      <c r="BH208" s="66"/>
    </row>
    <row r="209" spans="1:60" x14ac:dyDescent="0.25">
      <c r="A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c r="BG209" s="66"/>
      <c r="BH209" s="66"/>
    </row>
    <row r="210" spans="1:60" x14ac:dyDescent="0.25">
      <c r="A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row>
    <row r="211" spans="1:60" x14ac:dyDescent="0.25">
      <c r="A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row>
    <row r="212" spans="1:60" x14ac:dyDescent="0.25">
      <c r="A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row>
    <row r="213" spans="1:60" x14ac:dyDescent="0.25">
      <c r="A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c r="AX213" s="66"/>
      <c r="AY213" s="66"/>
      <c r="AZ213" s="66"/>
      <c r="BA213" s="66"/>
      <c r="BB213" s="66"/>
      <c r="BC213" s="66"/>
      <c r="BD213" s="66"/>
      <c r="BE213" s="66"/>
      <c r="BF213" s="66"/>
      <c r="BG213" s="66"/>
      <c r="BH213" s="66"/>
    </row>
    <row r="214" spans="1:60" x14ac:dyDescent="0.25">
      <c r="A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6"/>
      <c r="BB214" s="66"/>
      <c r="BC214" s="66"/>
      <c r="BD214" s="66"/>
      <c r="BE214" s="66"/>
      <c r="BF214" s="66"/>
      <c r="BG214" s="66"/>
      <c r="BH214" s="66"/>
    </row>
    <row r="215" spans="1:60" x14ac:dyDescent="0.25">
      <c r="A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c r="AX215" s="66"/>
      <c r="AY215" s="66"/>
      <c r="AZ215" s="66"/>
      <c r="BA215" s="66"/>
      <c r="BB215" s="66"/>
      <c r="BC215" s="66"/>
      <c r="BD215" s="66"/>
      <c r="BE215" s="66"/>
      <c r="BF215" s="66"/>
      <c r="BG215" s="66"/>
      <c r="BH215" s="66"/>
    </row>
    <row r="216" spans="1:60" x14ac:dyDescent="0.25">
      <c r="A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B216" s="66"/>
      <c r="BC216" s="66"/>
      <c r="BD216" s="66"/>
      <c r="BE216" s="66"/>
      <c r="BF216" s="66"/>
      <c r="BG216" s="66"/>
      <c r="BH216" s="66"/>
    </row>
    <row r="217" spans="1:60" x14ac:dyDescent="0.25">
      <c r="A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c r="AX217" s="66"/>
      <c r="AY217" s="66"/>
      <c r="AZ217" s="66"/>
      <c r="BA217" s="66"/>
      <c r="BB217" s="66"/>
      <c r="BC217" s="66"/>
      <c r="BD217" s="66"/>
      <c r="BE217" s="66"/>
      <c r="BF217" s="66"/>
      <c r="BG217" s="66"/>
      <c r="BH217" s="66"/>
    </row>
    <row r="218" spans="1:60" x14ac:dyDescent="0.25">
      <c r="A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6"/>
      <c r="BG218" s="66"/>
      <c r="BH218" s="66"/>
    </row>
    <row r="219" spans="1:60" x14ac:dyDescent="0.25">
      <c r="A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6"/>
      <c r="BB219" s="66"/>
      <c r="BC219" s="66"/>
      <c r="BD219" s="66"/>
      <c r="BE219" s="66"/>
      <c r="BF219" s="66"/>
      <c r="BG219" s="66"/>
      <c r="BH219" s="66"/>
    </row>
    <row r="220" spans="1:60" x14ac:dyDescent="0.25">
      <c r="A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6"/>
      <c r="BC220" s="66"/>
      <c r="BD220" s="66"/>
      <c r="BE220" s="66"/>
      <c r="BF220" s="66"/>
      <c r="BG220" s="66"/>
      <c r="BH220" s="66"/>
    </row>
    <row r="221" spans="1:60" x14ac:dyDescent="0.25">
      <c r="A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66"/>
      <c r="BG221" s="66"/>
      <c r="BH221" s="66"/>
    </row>
    <row r="222" spans="1:60" x14ac:dyDescent="0.25">
      <c r="A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66"/>
      <c r="BG222" s="66"/>
      <c r="BH222" s="66"/>
    </row>
    <row r="223" spans="1:60" x14ac:dyDescent="0.25">
      <c r="A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c r="BG223" s="66"/>
      <c r="BH223" s="66"/>
    </row>
    <row r="224" spans="1:60" x14ac:dyDescent="0.25">
      <c r="A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6"/>
      <c r="BC224" s="66"/>
      <c r="BD224" s="66"/>
      <c r="BE224" s="66"/>
      <c r="BF224" s="66"/>
      <c r="BG224" s="66"/>
      <c r="BH224" s="66"/>
    </row>
    <row r="225" spans="1:60" x14ac:dyDescent="0.25">
      <c r="A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BD225" s="66"/>
      <c r="BE225" s="66"/>
      <c r="BF225" s="66"/>
      <c r="BG225" s="66"/>
      <c r="BH225" s="66"/>
    </row>
    <row r="226" spans="1:60" x14ac:dyDescent="0.25">
      <c r="A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66"/>
      <c r="BG226" s="66"/>
      <c r="BH226" s="66"/>
    </row>
    <row r="227" spans="1:60" x14ac:dyDescent="0.25">
      <c r="A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66"/>
      <c r="BG227" s="66"/>
      <c r="BH227" s="66"/>
    </row>
    <row r="228" spans="1:60" x14ac:dyDescent="0.25">
      <c r="A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66"/>
      <c r="BG228" s="66"/>
      <c r="BH228" s="66"/>
    </row>
    <row r="229" spans="1:60" x14ac:dyDescent="0.25">
      <c r="A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66"/>
      <c r="BG229" s="66"/>
      <c r="BH229" s="66"/>
    </row>
    <row r="230" spans="1:60" x14ac:dyDescent="0.25">
      <c r="A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c r="BG230" s="66"/>
      <c r="BH230" s="66"/>
    </row>
    <row r="231" spans="1:60" x14ac:dyDescent="0.25">
      <c r="A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row>
    <row r="232" spans="1:60" x14ac:dyDescent="0.25">
      <c r="A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row>
    <row r="233" spans="1:60" x14ac:dyDescent="0.25">
      <c r="A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c r="BG233" s="66"/>
      <c r="BH233" s="66"/>
    </row>
    <row r="234" spans="1:60" x14ac:dyDescent="0.25">
      <c r="A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66"/>
      <c r="BG234" s="66"/>
      <c r="BH234" s="66"/>
    </row>
    <row r="235" spans="1:60" x14ac:dyDescent="0.25">
      <c r="A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c r="BG235" s="66"/>
      <c r="BH235" s="66"/>
    </row>
    <row r="236" spans="1:60" x14ac:dyDescent="0.25">
      <c r="A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c r="AQ236" s="66"/>
      <c r="AR236" s="66"/>
      <c r="AS236" s="66"/>
      <c r="AT236" s="66"/>
      <c r="AU236" s="66"/>
      <c r="AV236" s="66"/>
      <c r="AW236" s="66"/>
      <c r="AX236" s="66"/>
      <c r="AY236" s="66"/>
      <c r="AZ236" s="66"/>
      <c r="BA236" s="66"/>
      <c r="BB236" s="66"/>
      <c r="BC236" s="66"/>
      <c r="BD236" s="66"/>
      <c r="BE236" s="66"/>
      <c r="BF236" s="66"/>
      <c r="BG236" s="66"/>
      <c r="BH236" s="66"/>
    </row>
    <row r="237" spans="1:60" x14ac:dyDescent="0.25">
      <c r="A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row>
    <row r="238" spans="1:60" x14ac:dyDescent="0.25">
      <c r="A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BD238" s="66"/>
      <c r="BE238" s="66"/>
      <c r="BF238" s="66"/>
      <c r="BG238" s="66"/>
      <c r="BH238" s="66"/>
    </row>
    <row r="239" spans="1:60" x14ac:dyDescent="0.25">
      <c r="A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c r="AS239" s="66"/>
      <c r="AT239" s="66"/>
      <c r="AU239" s="66"/>
      <c r="AV239" s="66"/>
      <c r="AW239" s="66"/>
      <c r="AX239" s="66"/>
      <c r="AY239" s="66"/>
      <c r="AZ239" s="66"/>
      <c r="BA239" s="66"/>
      <c r="BB239" s="66"/>
      <c r="BC239" s="66"/>
      <c r="BD239" s="66"/>
      <c r="BE239" s="66"/>
      <c r="BF239" s="66"/>
      <c r="BG239" s="66"/>
      <c r="BH239" s="66"/>
    </row>
    <row r="240" spans="1:60" x14ac:dyDescent="0.25">
      <c r="A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66"/>
      <c r="BG240" s="66"/>
      <c r="BH240" s="66"/>
    </row>
    <row r="241" spans="1:60" x14ac:dyDescent="0.25">
      <c r="A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c r="AR241" s="66"/>
      <c r="AS241" s="66"/>
      <c r="AT241" s="66"/>
      <c r="AU241" s="66"/>
      <c r="AV241" s="66"/>
      <c r="AW241" s="66"/>
      <c r="AX241" s="66"/>
      <c r="AY241" s="66"/>
      <c r="AZ241" s="66"/>
      <c r="BA241" s="66"/>
      <c r="BB241" s="66"/>
      <c r="BC241" s="66"/>
      <c r="BD241" s="66"/>
      <c r="BE241" s="66"/>
      <c r="BF241" s="66"/>
      <c r="BG241" s="66"/>
      <c r="BH241" s="66"/>
    </row>
    <row r="242" spans="1:60" x14ac:dyDescent="0.25">
      <c r="A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66"/>
      <c r="AR242" s="66"/>
      <c r="AS242" s="66"/>
      <c r="AT242" s="66"/>
      <c r="AU242" s="66"/>
      <c r="AV242" s="66"/>
      <c r="AW242" s="66"/>
      <c r="AX242" s="66"/>
      <c r="AY242" s="66"/>
      <c r="AZ242" s="66"/>
      <c r="BA242" s="66"/>
      <c r="BB242" s="66"/>
      <c r="BC242" s="66"/>
      <c r="BD242" s="66"/>
      <c r="BE242" s="66"/>
      <c r="BF242" s="66"/>
      <c r="BG242" s="66"/>
      <c r="BH242" s="66"/>
    </row>
    <row r="243" spans="1:60" x14ac:dyDescent="0.25">
      <c r="A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66"/>
      <c r="BG243" s="66"/>
      <c r="BH243" s="66"/>
    </row>
    <row r="244" spans="1:60" x14ac:dyDescent="0.25">
      <c r="A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66"/>
      <c r="BG244" s="66"/>
      <c r="BH244" s="66"/>
    </row>
    <row r="245" spans="1:60" x14ac:dyDescent="0.25">
      <c r="A245" s="66"/>
    </row>
    <row r="246" spans="1:60" x14ac:dyDescent="0.25">
      <c r="A246" s="66"/>
    </row>
    <row r="247" spans="1:60" x14ac:dyDescent="0.25">
      <c r="A247" s="66"/>
    </row>
    <row r="248" spans="1:60" x14ac:dyDescent="0.25">
      <c r="A248" s="66"/>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14D1F-9FDD-463F-84AD-24712E22B4F0}">
  <sheetPr>
    <tabColor rgb="FF002060"/>
  </sheetPr>
  <dimension ref="A1:JL75"/>
  <sheetViews>
    <sheetView zoomScale="70" zoomScaleNormal="70" zoomScaleSheetLayoutView="40" zoomScalePageLayoutView="60" workbookViewId="0">
      <selection activeCell="D11" sqref="D11:D12"/>
    </sheetView>
  </sheetViews>
  <sheetFormatPr baseColWidth="10" defaultColWidth="11.42578125" defaultRowHeight="15" x14ac:dyDescent="0.2"/>
  <cols>
    <col min="1" max="1" width="6.5703125" style="207" customWidth="1"/>
    <col min="2" max="2" width="16" style="207" customWidth="1"/>
    <col min="3" max="3" width="19.140625" style="207" customWidth="1"/>
    <col min="4" max="4" width="25.28515625" style="207" customWidth="1"/>
    <col min="5" max="5" width="40.140625" style="207" customWidth="1"/>
    <col min="6" max="6" width="17.7109375" style="187" customWidth="1"/>
    <col min="7" max="7" width="16" style="187" customWidth="1"/>
    <col min="8" max="8" width="24.28515625" style="187" customWidth="1"/>
    <col min="9" max="10" width="28.42578125" style="187" customWidth="1"/>
    <col min="11" max="11" width="24.28515625" style="187" customWidth="1"/>
    <col min="12" max="12" width="19.42578125" style="187" customWidth="1"/>
    <col min="13" max="13" width="20.5703125" style="187" customWidth="1"/>
    <col min="14" max="14" width="14.7109375" style="208" customWidth="1"/>
    <col min="15" max="15" width="16.7109375" style="187" customWidth="1"/>
    <col min="16" max="16" width="10.42578125" style="187" hidden="1" customWidth="1"/>
    <col min="17" max="17" width="12.85546875" style="187" customWidth="1"/>
    <col min="18" max="18" width="35.85546875" style="187" hidden="1" customWidth="1"/>
    <col min="19" max="19" width="17.140625" style="187" customWidth="1"/>
    <col min="20" max="20" width="17.5703125" style="187" hidden="1" customWidth="1"/>
    <col min="21" max="21" width="15" style="187" customWidth="1"/>
    <col min="22" max="22" width="16" style="187" customWidth="1"/>
    <col min="23" max="23" width="32.7109375" style="187" customWidth="1"/>
    <col min="24" max="24" width="26.85546875" style="187" hidden="1" customWidth="1"/>
    <col min="25" max="25" width="5.85546875" style="187" customWidth="1"/>
    <col min="26" max="26" width="6.85546875" style="187" customWidth="1"/>
    <col min="27" max="27" width="5" style="187" hidden="1" customWidth="1"/>
    <col min="28" max="28" width="5.5703125" style="187" customWidth="1"/>
    <col min="29" max="29" width="7.140625" style="187" customWidth="1"/>
    <col min="30" max="30" width="6.7109375" style="187" customWidth="1"/>
    <col min="31" max="31" width="7.5703125" style="187" hidden="1" customWidth="1"/>
    <col min="32" max="32" width="8.5703125" style="187" customWidth="1"/>
    <col min="33" max="37" width="10.85546875" style="187" customWidth="1"/>
    <col min="38" max="38" width="10.85546875" style="206" customWidth="1"/>
    <col min="39" max="39" width="23" style="187" customWidth="1"/>
    <col min="40" max="40" width="18.85546875" style="187" customWidth="1"/>
    <col min="41" max="41" width="21.5703125" style="187" customWidth="1"/>
    <col min="42" max="42" width="22.42578125" style="187" customWidth="1"/>
    <col min="43" max="43" width="16.42578125" style="187" customWidth="1"/>
    <col min="44" max="44" width="20.5703125" style="187" customWidth="1"/>
    <col min="45" max="16384" width="11.42578125" style="187"/>
  </cols>
  <sheetData>
    <row r="1" spans="1:272" s="190" customFormat="1" ht="20.25" x14ac:dyDescent="0.3">
      <c r="A1" s="330"/>
      <c r="B1" s="331"/>
      <c r="C1" s="332"/>
      <c r="D1" s="319" t="s">
        <v>194</v>
      </c>
      <c r="E1" s="320"/>
      <c r="F1" s="320"/>
      <c r="G1" s="320"/>
      <c r="H1" s="320"/>
      <c r="I1" s="320"/>
      <c r="J1" s="320"/>
      <c r="K1" s="320"/>
      <c r="L1" s="320"/>
      <c r="M1" s="320"/>
      <c r="N1" s="320"/>
      <c r="O1" s="320"/>
      <c r="P1" s="320"/>
      <c r="Q1" s="320"/>
      <c r="R1" s="320"/>
      <c r="S1" s="320"/>
      <c r="T1" s="321"/>
      <c r="U1" s="241"/>
      <c r="V1" s="241"/>
      <c r="W1" s="241"/>
      <c r="X1" s="346"/>
      <c r="Y1" s="346"/>
      <c r="Z1" s="346"/>
      <c r="AA1" s="346"/>
      <c r="AB1" s="346"/>
      <c r="AC1" s="346"/>
      <c r="AD1" s="346"/>
      <c r="AE1" s="346"/>
      <c r="AF1" s="346"/>
      <c r="AG1" s="346"/>
      <c r="AH1" s="346"/>
      <c r="AI1" s="346"/>
      <c r="AJ1" s="346"/>
      <c r="AK1" s="346"/>
      <c r="AL1" s="346"/>
      <c r="AM1" s="346"/>
      <c r="AN1" s="346"/>
      <c r="AO1" s="346"/>
      <c r="AP1" s="346"/>
      <c r="AQ1" s="346"/>
      <c r="AR1" s="346"/>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row>
    <row r="2" spans="1:272" s="190" customFormat="1" ht="21" thickBot="1" x14ac:dyDescent="0.35">
      <c r="A2" s="333"/>
      <c r="B2" s="334"/>
      <c r="C2" s="335"/>
      <c r="D2" s="322"/>
      <c r="E2" s="323"/>
      <c r="F2" s="323"/>
      <c r="G2" s="323"/>
      <c r="H2" s="323"/>
      <c r="I2" s="323"/>
      <c r="J2" s="323"/>
      <c r="K2" s="323"/>
      <c r="L2" s="323"/>
      <c r="M2" s="323"/>
      <c r="N2" s="323"/>
      <c r="O2" s="323"/>
      <c r="P2" s="323"/>
      <c r="Q2" s="323"/>
      <c r="R2" s="323"/>
      <c r="S2" s="323"/>
      <c r="T2" s="324"/>
      <c r="U2" s="241"/>
      <c r="V2" s="241"/>
      <c r="W2" s="241"/>
      <c r="X2" s="346"/>
      <c r="Y2" s="346"/>
      <c r="Z2" s="346"/>
      <c r="AA2" s="346"/>
      <c r="AB2" s="346"/>
      <c r="AC2" s="346"/>
      <c r="AD2" s="346"/>
      <c r="AE2" s="346"/>
      <c r="AF2" s="346"/>
      <c r="AG2" s="346"/>
      <c r="AH2" s="346"/>
      <c r="AI2" s="346"/>
      <c r="AJ2" s="346"/>
      <c r="AK2" s="346"/>
      <c r="AL2" s="346"/>
      <c r="AM2" s="346"/>
      <c r="AN2" s="346"/>
      <c r="AO2" s="346"/>
      <c r="AP2" s="346"/>
      <c r="AQ2" s="346"/>
      <c r="AR2" s="346"/>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row>
    <row r="3" spans="1:272" s="190" customFormat="1" ht="27.75" customHeight="1" thickBot="1" x14ac:dyDescent="0.35">
      <c r="A3" s="333"/>
      <c r="B3" s="334"/>
      <c r="C3" s="335"/>
      <c r="D3" s="325" t="s">
        <v>195</v>
      </c>
      <c r="E3" s="326"/>
      <c r="F3" s="326"/>
      <c r="G3" s="326"/>
      <c r="H3" s="326"/>
      <c r="I3" s="327"/>
      <c r="J3" s="325" t="s">
        <v>196</v>
      </c>
      <c r="K3" s="326"/>
      <c r="L3" s="326"/>
      <c r="M3" s="326"/>
      <c r="N3" s="326"/>
      <c r="O3" s="326"/>
      <c r="P3" s="326"/>
      <c r="Q3" s="326"/>
      <c r="R3" s="326"/>
      <c r="S3" s="326"/>
      <c r="T3" s="327"/>
      <c r="U3" s="242"/>
      <c r="V3" s="242"/>
      <c r="W3" s="241"/>
      <c r="X3" s="347"/>
      <c r="Y3" s="347"/>
      <c r="Z3" s="347"/>
      <c r="AA3" s="347"/>
      <c r="AB3" s="347"/>
      <c r="AC3" s="347"/>
      <c r="AD3" s="347"/>
      <c r="AE3" s="347"/>
      <c r="AF3" s="347"/>
      <c r="AG3" s="347"/>
      <c r="AH3" s="347"/>
      <c r="AI3" s="347"/>
      <c r="AJ3" s="347"/>
      <c r="AK3" s="347"/>
      <c r="AL3" s="347"/>
      <c r="AM3" s="347"/>
      <c r="AN3" s="347"/>
      <c r="AO3" s="347"/>
      <c r="AP3" s="347"/>
      <c r="AQ3" s="347"/>
      <c r="AR3" s="347"/>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row>
    <row r="4" spans="1:272" s="190" customFormat="1" ht="27.75" customHeight="1" thickBot="1" x14ac:dyDescent="0.35">
      <c r="A4" s="336"/>
      <c r="B4" s="337"/>
      <c r="C4" s="338"/>
      <c r="D4" s="325" t="s">
        <v>408</v>
      </c>
      <c r="E4" s="326"/>
      <c r="F4" s="326"/>
      <c r="G4" s="326"/>
      <c r="H4" s="326"/>
      <c r="I4" s="326"/>
      <c r="J4" s="326"/>
      <c r="K4" s="326"/>
      <c r="L4" s="326"/>
      <c r="M4" s="326"/>
      <c r="N4" s="326"/>
      <c r="O4" s="326"/>
      <c r="P4" s="326"/>
      <c r="Q4" s="326"/>
      <c r="R4" s="326"/>
      <c r="S4" s="326"/>
      <c r="T4" s="327"/>
      <c r="U4" s="241"/>
      <c r="V4" s="241"/>
      <c r="W4" s="241"/>
      <c r="X4" s="347"/>
      <c r="Y4" s="347"/>
      <c r="Z4" s="347"/>
      <c r="AA4" s="347"/>
      <c r="AB4" s="347"/>
      <c r="AC4" s="347"/>
      <c r="AD4" s="347"/>
      <c r="AE4" s="347"/>
      <c r="AF4" s="347"/>
      <c r="AG4" s="347"/>
      <c r="AH4" s="347"/>
      <c r="AI4" s="347"/>
      <c r="AJ4" s="347"/>
      <c r="AK4" s="347"/>
      <c r="AL4" s="347"/>
      <c r="AM4" s="347"/>
      <c r="AN4" s="347"/>
      <c r="AO4" s="347"/>
      <c r="AP4" s="347"/>
      <c r="AQ4" s="347"/>
      <c r="AR4" s="347"/>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row>
    <row r="5" spans="1:272" ht="15.75" thickBot="1" x14ac:dyDescent="0.25">
      <c r="A5" s="191"/>
      <c r="B5" s="192"/>
      <c r="C5" s="191"/>
      <c r="D5" s="191"/>
      <c r="E5" s="191"/>
      <c r="F5" s="193"/>
      <c r="G5" s="193"/>
      <c r="H5" s="193"/>
      <c r="I5" s="193"/>
      <c r="J5" s="193"/>
      <c r="K5" s="193"/>
      <c r="L5" s="193"/>
      <c r="M5" s="193"/>
      <c r="N5" s="194"/>
      <c r="O5" s="193"/>
      <c r="P5" s="193"/>
      <c r="Q5" s="193"/>
      <c r="R5" s="193"/>
      <c r="S5" s="193"/>
      <c r="T5" s="193"/>
      <c r="U5" s="193"/>
      <c r="V5" s="193"/>
      <c r="W5" s="193"/>
      <c r="X5" s="193"/>
      <c r="Y5" s="193"/>
      <c r="Z5" s="193"/>
      <c r="AA5" s="193"/>
      <c r="AB5" s="193"/>
      <c r="AC5" s="193"/>
      <c r="AD5" s="193"/>
      <c r="AE5" s="193"/>
      <c r="AF5" s="193"/>
      <c r="AG5" s="193"/>
      <c r="AH5" s="193"/>
      <c r="AI5" s="193"/>
      <c r="AJ5" s="193"/>
      <c r="AK5" s="193"/>
      <c r="AL5" s="24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row>
    <row r="6" spans="1:272" ht="27" customHeight="1" thickBot="1" x14ac:dyDescent="0.25">
      <c r="A6" s="348" t="s">
        <v>197</v>
      </c>
      <c r="B6" s="349"/>
      <c r="C6" s="355"/>
      <c r="D6" s="356"/>
      <c r="E6" s="356"/>
      <c r="F6" s="356"/>
      <c r="G6" s="356"/>
      <c r="H6" s="356"/>
      <c r="I6" s="356"/>
      <c r="J6" s="356"/>
      <c r="K6" s="356"/>
      <c r="L6" s="356"/>
      <c r="M6" s="356"/>
      <c r="N6" s="356"/>
      <c r="O6" s="356"/>
      <c r="P6" s="356"/>
      <c r="Q6" s="356"/>
      <c r="R6" s="356"/>
      <c r="S6" s="356"/>
      <c r="T6" s="357"/>
      <c r="U6" s="244"/>
      <c r="V6" s="244"/>
      <c r="W6" s="354"/>
      <c r="X6" s="354"/>
      <c r="Y6" s="354"/>
      <c r="Z6" s="345"/>
      <c r="AA6" s="345"/>
      <c r="AB6" s="345"/>
      <c r="AC6" s="345"/>
      <c r="AD6" s="345"/>
      <c r="AE6" s="345"/>
      <c r="AF6" s="345"/>
      <c r="AG6" s="345"/>
      <c r="AH6" s="345"/>
      <c r="AI6" s="345"/>
      <c r="AJ6" s="345"/>
      <c r="AK6" s="345"/>
      <c r="AL6" s="345"/>
      <c r="AM6" s="345"/>
      <c r="AN6" s="345"/>
      <c r="AO6" s="345"/>
      <c r="AP6" s="345"/>
      <c r="AQ6" s="345"/>
      <c r="AR6" s="345"/>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row>
    <row r="7" spans="1:272" ht="27" customHeight="1" thickBot="1" x14ac:dyDescent="0.3">
      <c r="A7" s="350" t="s">
        <v>198</v>
      </c>
      <c r="B7" s="351"/>
      <c r="C7" s="316"/>
      <c r="D7" s="317"/>
      <c r="E7" s="317"/>
      <c r="F7" s="317"/>
      <c r="G7" s="317"/>
      <c r="H7" s="317"/>
      <c r="I7" s="317"/>
      <c r="J7" s="317"/>
      <c r="K7" s="317"/>
      <c r="L7" s="317"/>
      <c r="M7" s="317"/>
      <c r="N7" s="317"/>
      <c r="O7" s="317"/>
      <c r="P7" s="317"/>
      <c r="Q7" s="317"/>
      <c r="R7" s="317"/>
      <c r="S7" s="317"/>
      <c r="T7" s="318"/>
      <c r="U7" s="245"/>
      <c r="V7" s="245"/>
      <c r="W7" s="246"/>
      <c r="X7" s="246"/>
      <c r="Y7" s="246"/>
      <c r="Z7" s="345"/>
      <c r="AA7" s="345"/>
      <c r="AB7" s="345"/>
      <c r="AC7" s="345"/>
      <c r="AD7" s="345"/>
      <c r="AE7" s="345"/>
      <c r="AF7" s="345"/>
      <c r="AG7" s="345"/>
      <c r="AH7" s="345"/>
      <c r="AI7" s="345"/>
      <c r="AJ7" s="345"/>
      <c r="AK7" s="345"/>
      <c r="AL7" s="345"/>
      <c r="AM7" s="345"/>
      <c r="AN7" s="345"/>
      <c r="AO7" s="345"/>
      <c r="AP7" s="345"/>
      <c r="AQ7" s="345"/>
      <c r="AR7" s="345"/>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row>
    <row r="8" spans="1:272" ht="27" customHeight="1" thickBot="1" x14ac:dyDescent="0.3">
      <c r="A8" s="352" t="s">
        <v>199</v>
      </c>
      <c r="B8" s="353"/>
      <c r="C8" s="316"/>
      <c r="D8" s="317"/>
      <c r="E8" s="317"/>
      <c r="F8" s="317"/>
      <c r="G8" s="317"/>
      <c r="H8" s="317"/>
      <c r="I8" s="317"/>
      <c r="J8" s="317"/>
      <c r="K8" s="317"/>
      <c r="L8" s="317"/>
      <c r="M8" s="317"/>
      <c r="N8" s="317"/>
      <c r="O8" s="317"/>
      <c r="P8" s="317"/>
      <c r="Q8" s="317"/>
      <c r="R8" s="317"/>
      <c r="S8" s="317"/>
      <c r="T8" s="318"/>
      <c r="U8" s="245"/>
      <c r="V8" s="245"/>
      <c r="W8" s="246"/>
      <c r="X8" s="246"/>
      <c r="Y8" s="246"/>
      <c r="Z8" s="345"/>
      <c r="AA8" s="345"/>
      <c r="AB8" s="345"/>
      <c r="AC8" s="345"/>
      <c r="AD8" s="345"/>
      <c r="AE8" s="345"/>
      <c r="AF8" s="345"/>
      <c r="AG8" s="345"/>
      <c r="AH8" s="345"/>
      <c r="AI8" s="345"/>
      <c r="AJ8" s="345"/>
      <c r="AK8" s="345"/>
      <c r="AL8" s="345"/>
      <c r="AM8" s="345"/>
      <c r="AN8" s="345"/>
      <c r="AO8" s="345"/>
      <c r="AP8" s="345"/>
      <c r="AQ8" s="345"/>
      <c r="AR8" s="345"/>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row>
    <row r="9" spans="1:272" ht="15.75" x14ac:dyDescent="0.25">
      <c r="A9" s="195"/>
      <c r="B9" s="195"/>
      <c r="C9" s="196"/>
      <c r="D9" s="196"/>
      <c r="E9" s="196"/>
      <c r="F9" s="196"/>
      <c r="G9" s="196"/>
      <c r="H9" s="196"/>
      <c r="I9" s="196"/>
      <c r="J9" s="196"/>
      <c r="K9" s="196"/>
      <c r="L9" s="196"/>
      <c r="M9" s="196"/>
      <c r="N9" s="196"/>
      <c r="O9" s="196"/>
      <c r="P9" s="196"/>
      <c r="Q9" s="196"/>
      <c r="R9" s="196"/>
      <c r="S9" s="196"/>
      <c r="T9" s="196"/>
      <c r="U9" s="196"/>
      <c r="V9" s="196"/>
      <c r="W9" s="197"/>
      <c r="X9" s="197"/>
      <c r="Y9" s="197"/>
      <c r="Z9" s="198"/>
      <c r="AA9" s="198"/>
      <c r="AB9" s="198"/>
      <c r="AC9" s="198"/>
      <c r="AD9" s="198"/>
      <c r="AE9" s="198"/>
      <c r="AF9" s="198"/>
      <c r="AG9" s="198"/>
      <c r="AH9" s="198"/>
      <c r="AI9" s="198"/>
      <c r="AJ9" s="198"/>
      <c r="AK9" s="198"/>
      <c r="AL9" s="198"/>
      <c r="AM9" s="198"/>
      <c r="AN9" s="198"/>
      <c r="AO9" s="198"/>
      <c r="AP9" s="198"/>
      <c r="AQ9" s="198"/>
      <c r="AR9" s="198"/>
    </row>
    <row r="10" spans="1:272" ht="39" customHeight="1" x14ac:dyDescent="0.2">
      <c r="A10" s="360" t="s">
        <v>200</v>
      </c>
      <c r="B10" s="361"/>
      <c r="C10" s="361"/>
      <c r="D10" s="361"/>
      <c r="E10" s="361"/>
      <c r="F10" s="362"/>
      <c r="G10" s="377" t="s">
        <v>201</v>
      </c>
      <c r="H10" s="378"/>
      <c r="I10" s="378"/>
      <c r="J10" s="378"/>
      <c r="K10" s="379"/>
      <c r="L10" s="386" t="s">
        <v>202</v>
      </c>
      <c r="M10" s="387"/>
      <c r="N10" s="213"/>
      <c r="O10" s="213"/>
      <c r="P10" s="388" t="s">
        <v>203</v>
      </c>
      <c r="Q10" s="388"/>
      <c r="R10" s="388"/>
      <c r="S10" s="388"/>
      <c r="T10" s="388"/>
      <c r="U10" s="388"/>
      <c r="V10" s="388"/>
      <c r="W10" s="388" t="s">
        <v>204</v>
      </c>
      <c r="X10" s="388"/>
      <c r="Y10" s="388"/>
      <c r="Z10" s="388"/>
      <c r="AA10" s="388"/>
      <c r="AB10" s="388"/>
      <c r="AC10" s="388"/>
      <c r="AD10" s="388"/>
      <c r="AE10" s="388"/>
      <c r="AF10" s="380" t="s">
        <v>205</v>
      </c>
      <c r="AG10" s="381"/>
      <c r="AH10" s="381"/>
      <c r="AI10" s="381"/>
      <c r="AJ10" s="382"/>
      <c r="AK10" s="380" t="s">
        <v>409</v>
      </c>
      <c r="AL10" s="381"/>
      <c r="AM10" s="381"/>
      <c r="AN10" s="381"/>
      <c r="AO10" s="382"/>
      <c r="AP10" s="380" t="s">
        <v>410</v>
      </c>
      <c r="AQ10" s="381"/>
      <c r="AR10" s="382"/>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row>
    <row r="11" spans="1:272" ht="26.25" customHeight="1" x14ac:dyDescent="0.2">
      <c r="A11" s="370" t="s">
        <v>208</v>
      </c>
      <c r="B11" s="371" t="s">
        <v>15</v>
      </c>
      <c r="C11" s="364" t="s">
        <v>17</v>
      </c>
      <c r="D11" s="364" t="s">
        <v>19</v>
      </c>
      <c r="E11" s="371" t="s">
        <v>21</v>
      </c>
      <c r="F11" s="364" t="s">
        <v>23</v>
      </c>
      <c r="G11" s="373" t="s">
        <v>110</v>
      </c>
      <c r="H11" s="373" t="s">
        <v>266</v>
      </c>
      <c r="I11" s="373" t="s">
        <v>210</v>
      </c>
      <c r="J11" s="373" t="s">
        <v>211</v>
      </c>
      <c r="K11" s="373" t="s">
        <v>212</v>
      </c>
      <c r="L11" s="386"/>
      <c r="M11" s="387"/>
      <c r="N11" s="375" t="s">
        <v>213</v>
      </c>
      <c r="O11" s="375" t="s">
        <v>214</v>
      </c>
      <c r="P11" s="363" t="s">
        <v>215</v>
      </c>
      <c r="Q11" s="375" t="s">
        <v>216</v>
      </c>
      <c r="R11" s="375" t="s">
        <v>217</v>
      </c>
      <c r="S11" s="375" t="s">
        <v>218</v>
      </c>
      <c r="T11" s="363" t="s">
        <v>215</v>
      </c>
      <c r="U11" s="375" t="s">
        <v>29</v>
      </c>
      <c r="V11" s="376" t="s">
        <v>219</v>
      </c>
      <c r="W11" s="375" t="s">
        <v>31</v>
      </c>
      <c r="X11" s="375" t="s">
        <v>33</v>
      </c>
      <c r="Y11" s="375" t="s">
        <v>220</v>
      </c>
      <c r="Z11" s="375"/>
      <c r="AA11" s="375"/>
      <c r="AB11" s="375"/>
      <c r="AC11" s="375"/>
      <c r="AD11" s="375"/>
      <c r="AE11" s="376" t="s">
        <v>221</v>
      </c>
      <c r="AF11" s="376" t="s">
        <v>222</v>
      </c>
      <c r="AG11" s="376" t="s">
        <v>215</v>
      </c>
      <c r="AH11" s="376" t="s">
        <v>223</v>
      </c>
      <c r="AI11" s="376" t="s">
        <v>215</v>
      </c>
      <c r="AJ11" s="376" t="s">
        <v>224</v>
      </c>
      <c r="AK11" s="376" t="s">
        <v>49</v>
      </c>
      <c r="AL11" s="375" t="s">
        <v>225</v>
      </c>
      <c r="AM11" s="375" t="s">
        <v>226</v>
      </c>
      <c r="AN11" s="375" t="s">
        <v>227</v>
      </c>
      <c r="AO11" s="375" t="s">
        <v>228</v>
      </c>
      <c r="AP11" s="375" t="s">
        <v>225</v>
      </c>
      <c r="AQ11" s="375" t="s">
        <v>227</v>
      </c>
      <c r="AR11" s="375" t="s">
        <v>226</v>
      </c>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row>
    <row r="12" spans="1:272" s="202" customFormat="1" ht="73.5" customHeight="1" x14ac:dyDescent="0.25">
      <c r="A12" s="370"/>
      <c r="B12" s="371"/>
      <c r="C12" s="364"/>
      <c r="D12" s="364"/>
      <c r="E12" s="371"/>
      <c r="F12" s="364"/>
      <c r="G12" s="374"/>
      <c r="H12" s="374"/>
      <c r="I12" s="374"/>
      <c r="J12" s="374"/>
      <c r="K12" s="374"/>
      <c r="L12" s="239" t="s">
        <v>411</v>
      </c>
      <c r="M12" s="239" t="s">
        <v>232</v>
      </c>
      <c r="N12" s="375"/>
      <c r="O12" s="375"/>
      <c r="P12" s="363"/>
      <c r="Q12" s="363"/>
      <c r="R12" s="375"/>
      <c r="S12" s="363"/>
      <c r="T12" s="363"/>
      <c r="U12" s="375"/>
      <c r="V12" s="376"/>
      <c r="W12" s="375"/>
      <c r="X12" s="375"/>
      <c r="Y12" s="199" t="s">
        <v>233</v>
      </c>
      <c r="Z12" s="199" t="s">
        <v>234</v>
      </c>
      <c r="AA12" s="199" t="s">
        <v>235</v>
      </c>
      <c r="AB12" s="199" t="s">
        <v>236</v>
      </c>
      <c r="AC12" s="199" t="s">
        <v>237</v>
      </c>
      <c r="AD12" s="199" t="s">
        <v>238</v>
      </c>
      <c r="AE12" s="376"/>
      <c r="AF12" s="376"/>
      <c r="AG12" s="376"/>
      <c r="AH12" s="376"/>
      <c r="AI12" s="376"/>
      <c r="AJ12" s="376"/>
      <c r="AK12" s="376"/>
      <c r="AL12" s="375"/>
      <c r="AM12" s="375"/>
      <c r="AN12" s="375"/>
      <c r="AO12" s="375"/>
      <c r="AP12" s="375"/>
      <c r="AQ12" s="375"/>
      <c r="AR12" s="375"/>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c r="FU12" s="201"/>
      <c r="FV12" s="201"/>
      <c r="FW12" s="201"/>
      <c r="FX12" s="201"/>
      <c r="FY12" s="201"/>
      <c r="FZ12" s="201"/>
      <c r="GA12" s="201"/>
      <c r="GB12" s="201"/>
      <c r="GC12" s="201"/>
      <c r="GD12" s="201"/>
      <c r="GE12" s="201"/>
      <c r="GF12" s="201"/>
      <c r="GG12" s="201"/>
      <c r="GH12" s="201"/>
      <c r="GI12" s="201"/>
      <c r="GJ12" s="201"/>
      <c r="GK12" s="201"/>
      <c r="GL12" s="201"/>
      <c r="GM12" s="201"/>
      <c r="GN12" s="201"/>
      <c r="GO12" s="201"/>
      <c r="GP12" s="201"/>
      <c r="GQ12" s="201"/>
      <c r="GR12" s="201"/>
      <c r="GS12" s="201"/>
      <c r="GT12" s="201"/>
      <c r="GU12" s="201"/>
      <c r="GV12" s="201"/>
      <c r="GW12" s="201"/>
      <c r="GX12" s="201"/>
      <c r="GY12" s="201"/>
      <c r="GZ12" s="201"/>
      <c r="HA12" s="201"/>
      <c r="HB12" s="201"/>
      <c r="HC12" s="201"/>
      <c r="HD12" s="201"/>
      <c r="HE12" s="201"/>
      <c r="HF12" s="201"/>
      <c r="HG12" s="201"/>
      <c r="HH12" s="201"/>
      <c r="HI12" s="201"/>
      <c r="HJ12" s="201"/>
      <c r="HK12" s="201"/>
      <c r="HL12" s="201"/>
      <c r="HM12" s="201"/>
      <c r="HN12" s="201"/>
      <c r="HO12" s="201"/>
      <c r="HP12" s="201"/>
      <c r="HQ12" s="201"/>
      <c r="HR12" s="201"/>
      <c r="HS12" s="201"/>
      <c r="HT12" s="201"/>
      <c r="HU12" s="201"/>
      <c r="HV12" s="201"/>
      <c r="HW12" s="201"/>
      <c r="HX12" s="201"/>
      <c r="HY12" s="201"/>
      <c r="HZ12" s="201"/>
      <c r="IA12" s="201"/>
      <c r="IB12" s="201"/>
      <c r="IC12" s="201"/>
      <c r="ID12" s="201"/>
      <c r="IE12" s="201"/>
      <c r="IF12" s="201"/>
      <c r="IG12" s="201"/>
      <c r="IH12" s="201"/>
      <c r="II12" s="201"/>
      <c r="IJ12" s="201"/>
      <c r="IK12" s="201"/>
      <c r="IL12" s="201"/>
      <c r="IM12" s="201"/>
      <c r="IN12" s="201"/>
      <c r="IO12" s="201"/>
      <c r="IP12" s="201"/>
      <c r="IQ12" s="201"/>
      <c r="IR12" s="201"/>
      <c r="IS12" s="201"/>
      <c r="IT12" s="201"/>
      <c r="IU12" s="201"/>
      <c r="IV12" s="201"/>
      <c r="IW12" s="201"/>
      <c r="IX12" s="201"/>
      <c r="IY12" s="201"/>
      <c r="IZ12" s="201"/>
      <c r="JA12" s="201"/>
      <c r="JB12" s="201"/>
      <c r="JC12" s="201"/>
      <c r="JD12" s="201"/>
      <c r="JE12" s="201"/>
      <c r="JF12" s="201"/>
      <c r="JG12" s="201"/>
      <c r="JH12" s="201"/>
      <c r="JI12" s="201"/>
      <c r="JJ12" s="201"/>
      <c r="JK12" s="201"/>
      <c r="JL12" s="201"/>
    </row>
    <row r="13" spans="1:272" s="204" customFormat="1" x14ac:dyDescent="0.25">
      <c r="A13" s="328">
        <v>1</v>
      </c>
      <c r="B13" s="329"/>
      <c r="C13" s="329"/>
      <c r="D13" s="329"/>
      <c r="E13" s="372"/>
      <c r="F13" s="329"/>
      <c r="G13" s="342"/>
      <c r="H13" s="342"/>
      <c r="I13" s="342"/>
      <c r="J13" s="342"/>
      <c r="K13" s="342"/>
      <c r="L13" s="342"/>
      <c r="M13" s="342"/>
      <c r="N13" s="339"/>
      <c r="O13" s="340" t="str">
        <f>IF(N13&lt;=0,"",IF(N13&lt;=2,"Muy Baja",IF(N13&lt;=24,"Baja",IF(N13&lt;=500,"Media",IF(N13&lt;=5000,"Alta","Muy Alta")))))</f>
        <v/>
      </c>
      <c r="P13" s="341" t="str">
        <f>IF(O13="","",IF(O13="Muy Baja",0.2,IF(O13="Baja",0.4,IF(O13="Media",0.6,IF(O13="Alta",0.8,IF(O13="Muy Alta",1,))))))</f>
        <v/>
      </c>
      <c r="Q13" s="359"/>
      <c r="R13" s="341">
        <f>IF(NOT(ISERROR(MATCH(Q13,'Tabla Impacto'!$B$222:$B$224,0))),'Tabla Impacto'!$F$224&amp;"Por favor no seleccionar los criterios de impacto(Afectación Económica o presupuestal y Pérdida Reputacional)",Q13)</f>
        <v>0</v>
      </c>
      <c r="S13" s="340" t="str">
        <f>IF(OR(R13='Tabla Impacto'!$C$12,R13='Tabla Impacto'!$D$12),"Leve",IF(OR(R13='Tabla Impacto'!$C$13,R13='Tabla Impacto'!$D$13),"Menor",IF(OR(R13='Tabla Impacto'!$C$14,R13='Tabla Impacto'!$D$14),"Moderado",IF(OR(R13='Tabla Impacto'!$C$15,R13='Tabla Impacto'!$D$15),"Mayor",IF(OR(R13='Tabla Impacto'!$C$16,R13='Tabla Impacto'!$D$16),"Catastrófico","")))))</f>
        <v/>
      </c>
      <c r="T13" s="341" t="str">
        <f>IF(S13="","",IF(S13="Leve",0.2,IF(S13="Menor",0.4,IF(S13="Moderado",0.6,IF(S13="Mayor",0.8,IF(S13="Catastrófico",1,))))))</f>
        <v/>
      </c>
      <c r="U13" s="358" t="str">
        <f>IF(OR(AND(O13="Muy Baja",S13="Leve"),AND(O13="Muy Baja",S13="Menor"),AND(O13="Baja",S13="Leve")),"Bajo",IF(OR(AND(O13="Muy baja",S13="Moderado"),AND(O13="Baja",S13="Menor"),AND(O13="Baja",S13="Moderado"),AND(O13="Media",S13="Leve"),AND(O13="Media",S13="Menor"),AND(O13="Media",S13="Moderado"),AND(O13="Alta",S13="Leve"),AND(O13="Alta",S13="Menor")),"Moderado",IF(OR(AND(O13="Muy Baja",S13="Mayor"),AND(O13="Baja",S13="Mayor"),AND(O13="Media",S13="Mayor"),AND(O13="Alta",S13="Moderado"),AND(O13="Alta",S13="Mayor"),AND(O13="Muy Alta",S13="Leve"),AND(O13="Muy Alta",S13="Menor"),AND(O13="Muy Alta",S13="Moderado"),AND(O13="Muy Alta",S13="Mayor")),"Alto",IF(OR(AND(O13="Muy Baja",S13="Catastrófico"),AND(O13="Baja",S13="Catastrófico"),AND(O13="Media",S13="Catastrófico"),AND(O13="Alta",S13="Catastrófico"),AND(O13="Muy Alta",S13="Catastrófico")),"Extremo",""))))</f>
        <v/>
      </c>
      <c r="V13" s="203">
        <v>1</v>
      </c>
      <c r="W13" s="229"/>
      <c r="X13" s="178" t="str">
        <f t="shared" ref="X13:X18" si="0">IF(OR(Y13="Preventivo",Y13="Detectivo"),"Probabilidad",IF(Y13="Correctivo","Impacto",""))</f>
        <v/>
      </c>
      <c r="Y13" s="179"/>
      <c r="Z13" s="179"/>
      <c r="AA13" s="180" t="str">
        <f>IF(AND(Y13="Preventivo",Z13="Automático"),"50%",IF(AND(Y13="Preventivo",Z13="Manual"),"40%",IF(AND(Y13="Detectivo",Z13="Automático"),"40%",IF(AND(Y13="Detectivo",Z13="Manual"),"30%",IF(AND(Y13="Correctivo",Z13="Automático"),"35%",IF(AND(Y13="Correctivo",Z13="Manual"),"25%",""))))))</f>
        <v/>
      </c>
      <c r="AB13" s="179"/>
      <c r="AC13" s="179"/>
      <c r="AD13" s="179"/>
      <c r="AE13" s="181" t="str">
        <f>IFERROR(IF(X13="Probabilidad",(P13-(+P13*AA13)),IF(X13="Impacto",P13,"")),"")</f>
        <v/>
      </c>
      <c r="AF13" s="182" t="str">
        <f>IFERROR(IF(AE13="","",IF(AE13&lt;=0.2,"Muy Baja",IF(AE13&lt;=0.4,"Baja",IF(AE13&lt;=0.6,"Media",IF(AE13&lt;=0.8,"Alta","Muy Alta"))))),"")</f>
        <v/>
      </c>
      <c r="AG13" s="180" t="str">
        <f>+AE13</f>
        <v/>
      </c>
      <c r="AH13" s="182" t="str">
        <f>IFERROR(IF(AI13="","",IF(AI13&lt;=0.2,"Leve",IF(AI13&lt;=0.4,"Menor",IF(AI13&lt;=0.6,"Moderado",IF(AI13&lt;=0.8,"Mayor","Catastrófico"))))),"")</f>
        <v/>
      </c>
      <c r="AI13" s="180" t="str">
        <f>IFERROR(IF(X13="Impacto",(T13-(+T13*AA13)),IF(X13="Probabilidad",T13,"")),"")</f>
        <v/>
      </c>
      <c r="AJ13" s="183" t="str">
        <f>IFERROR(IF(OR(AND(AF13="Muy Baja",AH13="Leve"),AND(AF13="Muy Baja",AH13="Menor"),AND(AF13="Baja",AH13="Leve")),"Bajo",IF(OR(AND(AF13="Muy baja",AH13="Moderado"),AND(AF13="Baja",AH13="Menor"),AND(AF13="Baja",AH13="Moderado"),AND(AF13="Media",AH13="Leve"),AND(AF13="Media",AH13="Menor"),AND(AF13="Media",AH13="Moderado"),AND(AF13="Alta",AH13="Leve"),AND(AF13="Alta",AH13="Menor")),"Moderado",IF(OR(AND(AF13="Muy Baja",AH13="Mayor"),AND(AF13="Baja",AH13="Mayor"),AND(AF13="Media",AH13="Mayor"),AND(AF13="Alta",AH13="Moderado"),AND(AF13="Alta",AH13="Mayor"),AND(AF13="Muy Alta",AH13="Leve"),AND(AF13="Muy Alta",AH13="Menor"),AND(AF13="Muy Alta",AH13="Moderado"),AND(AF13="Muy Alta",AH13="Mayor")),"Alto",IF(OR(AND(AF13="Muy Baja",AH13="Catastrófico"),AND(AF13="Baja",AH13="Catastrófico"),AND(AF13="Media",AH13="Catastrófico"),AND(AF13="Alta",AH13="Catastrófico"),AND(AF13="Muy Alta",AH13="Catastrófico")),"Extremo","")))),"")</f>
        <v/>
      </c>
      <c r="AK13" s="184"/>
      <c r="AL13" s="175"/>
      <c r="AM13" s="185"/>
      <c r="AN13" s="185"/>
      <c r="AO13" s="186"/>
      <c r="AP13" s="329"/>
      <c r="AQ13" s="329"/>
      <c r="AR13" s="329"/>
    </row>
    <row r="14" spans="1:272" x14ac:dyDescent="0.2">
      <c r="A14" s="328"/>
      <c r="B14" s="329"/>
      <c r="C14" s="329"/>
      <c r="D14" s="329"/>
      <c r="E14" s="372"/>
      <c r="F14" s="329"/>
      <c r="G14" s="343"/>
      <c r="H14" s="343"/>
      <c r="I14" s="343"/>
      <c r="J14" s="343"/>
      <c r="K14" s="343"/>
      <c r="L14" s="343"/>
      <c r="M14" s="343"/>
      <c r="N14" s="339"/>
      <c r="O14" s="340"/>
      <c r="P14" s="341"/>
      <c r="Q14" s="359"/>
      <c r="R14" s="341">
        <f>IF(NOT(ISERROR(MATCH(Q14,_xlfn.ANCHORARRAY(E25),0))),P27&amp;"Por favor no seleccionar los criterios de impacto",Q14)</f>
        <v>0</v>
      </c>
      <c r="S14" s="340"/>
      <c r="T14" s="341"/>
      <c r="U14" s="358"/>
      <c r="V14" s="203">
        <v>2</v>
      </c>
      <c r="W14" s="229"/>
      <c r="X14" s="178" t="str">
        <f t="shared" si="0"/>
        <v/>
      </c>
      <c r="Y14" s="179"/>
      <c r="Z14" s="179"/>
      <c r="AA14" s="180" t="str">
        <f t="shared" ref="AA14:AA18" si="1">IF(AND(Y14="Preventivo",Z14="Automático"),"50%",IF(AND(Y14="Preventivo",Z14="Manual"),"40%",IF(AND(Y14="Detectivo",Z14="Automático"),"40%",IF(AND(Y14="Detectivo",Z14="Manual"),"30%",IF(AND(Y14="Correctivo",Z14="Automático"),"35%",IF(AND(Y14="Correctivo",Z14="Manual"),"25%",""))))))</f>
        <v/>
      </c>
      <c r="AB14" s="179"/>
      <c r="AC14" s="179"/>
      <c r="AD14" s="179"/>
      <c r="AE14" s="181" t="str">
        <f>IFERROR(IF(AND(X13="Probabilidad",X14="Probabilidad"),(AG13-(+AG13*AA14)),IF(X14="Probabilidad",(P13-(+P13*AA14)),IF(X14="Impacto",AG13,""))),"")</f>
        <v/>
      </c>
      <c r="AF14" s="182" t="str">
        <f t="shared" ref="AF14:AF72" si="2">IFERROR(IF(AE14="","",IF(AE14&lt;=0.2,"Muy Baja",IF(AE14&lt;=0.4,"Baja",IF(AE14&lt;=0.6,"Media",IF(AE14&lt;=0.8,"Alta","Muy Alta"))))),"")</f>
        <v/>
      </c>
      <c r="AG14" s="180" t="str">
        <f t="shared" ref="AG14:AG18" si="3">+AE14</f>
        <v/>
      </c>
      <c r="AH14" s="182" t="str">
        <f t="shared" ref="AH14:AH72" si="4">IFERROR(IF(AI14="","",IF(AI14&lt;=0.2,"Leve",IF(AI14&lt;=0.4,"Menor",IF(AI14&lt;=0.6,"Moderado",IF(AI14&lt;=0.8,"Mayor","Catastrófico"))))),"")</f>
        <v/>
      </c>
      <c r="AI14" s="180" t="str">
        <f>IFERROR(IF(AND(X13="Impacto",X14="Impacto"),(AI13-(+AI13*AA14)),IF(X14="Impacto",($T$13-(+$T$13*AA14)),IF(X14="Probabilidad",AI13,""))),"")</f>
        <v/>
      </c>
      <c r="AJ14" s="183" t="str">
        <f t="shared" ref="AJ14:AJ18" si="5">IFERROR(IF(OR(AND(AF14="Muy Baja",AH14="Leve"),AND(AF14="Muy Baja",AH14="Menor"),AND(AF14="Baja",AH14="Leve")),"Bajo",IF(OR(AND(AF14="Muy baja",AH14="Moderado"),AND(AF14="Baja",AH14="Menor"),AND(AF14="Baja",AH14="Moderado"),AND(AF14="Media",AH14="Leve"),AND(AF14="Media",AH14="Menor"),AND(AF14="Media",AH14="Moderado"),AND(AF14="Alta",AH14="Leve"),AND(AF14="Alta",AH14="Menor")),"Moderado",IF(OR(AND(AF14="Muy Baja",AH14="Mayor"),AND(AF14="Baja",AH14="Mayor"),AND(AF14="Media",AH14="Mayor"),AND(AF14="Alta",AH14="Moderado"),AND(AF14="Alta",AH14="Mayor"),AND(AF14="Muy Alta",AH14="Leve"),AND(AF14="Muy Alta",AH14="Menor"),AND(AF14="Muy Alta",AH14="Moderado"),AND(AF14="Muy Alta",AH14="Mayor")),"Alto",IF(OR(AND(AF14="Muy Baja",AH14="Catastrófico"),AND(AF14="Baja",AH14="Catastrófico"),AND(AF14="Media",AH14="Catastrófico"),AND(AF14="Alta",AH14="Catastrófico"),AND(AF14="Muy Alta",AH14="Catastrófico")),"Extremo","")))),"")</f>
        <v/>
      </c>
      <c r="AK14" s="184"/>
      <c r="AL14" s="175"/>
      <c r="AM14" s="185"/>
      <c r="AN14" s="175"/>
      <c r="AO14" s="186"/>
      <c r="AP14" s="329"/>
      <c r="AQ14" s="329"/>
      <c r="AR14" s="329"/>
    </row>
    <row r="15" spans="1:272" x14ac:dyDescent="0.2">
      <c r="A15" s="328"/>
      <c r="B15" s="329"/>
      <c r="C15" s="329"/>
      <c r="D15" s="329"/>
      <c r="E15" s="372"/>
      <c r="F15" s="329"/>
      <c r="G15" s="343"/>
      <c r="H15" s="343"/>
      <c r="I15" s="343"/>
      <c r="J15" s="343"/>
      <c r="K15" s="343"/>
      <c r="L15" s="343"/>
      <c r="M15" s="343"/>
      <c r="N15" s="339"/>
      <c r="O15" s="340"/>
      <c r="P15" s="341"/>
      <c r="Q15" s="359"/>
      <c r="R15" s="341">
        <f>IF(NOT(ISERROR(MATCH(Q15,_xlfn.ANCHORARRAY(E26),0))),P28&amp;"Por favor no seleccionar los criterios de impacto",Q15)</f>
        <v>0</v>
      </c>
      <c r="S15" s="340"/>
      <c r="T15" s="341"/>
      <c r="U15" s="358"/>
      <c r="V15" s="203">
        <v>3</v>
      </c>
      <c r="W15" s="177"/>
      <c r="X15" s="178" t="str">
        <f t="shared" si="0"/>
        <v/>
      </c>
      <c r="Y15" s="179"/>
      <c r="Z15" s="179"/>
      <c r="AA15" s="180" t="str">
        <f t="shared" si="1"/>
        <v/>
      </c>
      <c r="AB15" s="179"/>
      <c r="AC15" s="179"/>
      <c r="AD15" s="179"/>
      <c r="AE15" s="181" t="str">
        <f>IFERROR(IF(AND(X14="Probabilidad",X15="Probabilidad"),(AG14-(+AG14*AA15)),IF(AND(X14="Impacto",X15="Probabilidad"),(AG13-(+AG13*AA15)),IF(X15="Impacto",AG14,""))),"")</f>
        <v/>
      </c>
      <c r="AF15" s="182" t="str">
        <f t="shared" si="2"/>
        <v/>
      </c>
      <c r="AG15" s="180" t="str">
        <f t="shared" si="3"/>
        <v/>
      </c>
      <c r="AH15" s="182" t="str">
        <f t="shared" si="4"/>
        <v/>
      </c>
      <c r="AI15" s="180" t="str">
        <f>IFERROR(IF(AND(X14="Impacto",X15="Impacto"),(AI14-(+AI14*AA15)),IF(AND(X14="Probabilidad",X15="Impacto"),(AI13-(+AI13*AA15)),IF(X15="Probabilidad",AI14,""))),"")</f>
        <v/>
      </c>
      <c r="AJ15" s="183" t="str">
        <f t="shared" si="5"/>
        <v/>
      </c>
      <c r="AK15" s="184"/>
      <c r="AL15" s="175"/>
      <c r="AM15" s="185"/>
      <c r="AN15" s="185"/>
      <c r="AO15" s="186"/>
      <c r="AP15" s="329"/>
      <c r="AQ15" s="329"/>
      <c r="AR15" s="329"/>
    </row>
    <row r="16" spans="1:272" x14ac:dyDescent="0.2">
      <c r="A16" s="328"/>
      <c r="B16" s="329"/>
      <c r="C16" s="329"/>
      <c r="D16" s="329"/>
      <c r="E16" s="372"/>
      <c r="F16" s="329"/>
      <c r="G16" s="343"/>
      <c r="H16" s="343"/>
      <c r="I16" s="343"/>
      <c r="J16" s="343"/>
      <c r="K16" s="343"/>
      <c r="L16" s="343"/>
      <c r="M16" s="343"/>
      <c r="N16" s="339"/>
      <c r="O16" s="340"/>
      <c r="P16" s="341"/>
      <c r="Q16" s="359"/>
      <c r="R16" s="341">
        <f>IF(NOT(ISERROR(MATCH(Q16,_xlfn.ANCHORARRAY(E27),0))),P29&amp;"Por favor no seleccionar los criterios de impacto",Q16)</f>
        <v>0</v>
      </c>
      <c r="S16" s="340"/>
      <c r="T16" s="341"/>
      <c r="U16" s="358"/>
      <c r="V16" s="203">
        <v>4</v>
      </c>
      <c r="W16" s="176"/>
      <c r="X16" s="178" t="str">
        <f t="shared" si="0"/>
        <v/>
      </c>
      <c r="Y16" s="179"/>
      <c r="Z16" s="179"/>
      <c r="AA16" s="180" t="str">
        <f t="shared" si="1"/>
        <v/>
      </c>
      <c r="AB16" s="179"/>
      <c r="AC16" s="179"/>
      <c r="AD16" s="179"/>
      <c r="AE16" s="181" t="str">
        <f t="shared" ref="AE16:AE18" si="6">IFERROR(IF(AND(X15="Probabilidad",X16="Probabilidad"),(AG15-(+AG15*AA16)),IF(AND(X15="Impacto",X16="Probabilidad"),(AG14-(+AG14*AA16)),IF(X16="Impacto",AG15,""))),"")</f>
        <v/>
      </c>
      <c r="AF16" s="182" t="str">
        <f t="shared" si="2"/>
        <v/>
      </c>
      <c r="AG16" s="180" t="str">
        <f t="shared" si="3"/>
        <v/>
      </c>
      <c r="AH16" s="182" t="str">
        <f t="shared" si="4"/>
        <v/>
      </c>
      <c r="AI16" s="180" t="str">
        <f t="shared" ref="AI16:AI18" si="7">IFERROR(IF(AND(X15="Impacto",X16="Impacto"),(AI15-(+AI15*AA16)),IF(AND(X15="Probabilidad",X16="Impacto"),(AI14-(+AI14*AA16)),IF(X16="Probabilidad",AI15,""))),"")</f>
        <v/>
      </c>
      <c r="AJ16" s="183" t="str">
        <f>IFERROR(IF(OR(AND(AF16="Muy Baja",AH16="Leve"),AND(AF16="Muy Baja",AH16="Menor"),AND(AF16="Baja",AH16="Leve")),"Bajo",IF(OR(AND(AF16="Muy baja",AH16="Moderado"),AND(AF16="Baja",AH16="Menor"),AND(AF16="Baja",AH16="Moderado"),AND(AF16="Media",AH16="Leve"),AND(AF16="Media",AH16="Menor"),AND(AF16="Media",AH16="Moderado"),AND(AF16="Alta",AH16="Leve"),AND(AF16="Alta",AH16="Menor")),"Moderado",IF(OR(AND(AF16="Muy Baja",AH16="Mayor"),AND(AF16="Baja",AH16="Mayor"),AND(AF16="Media",AH16="Mayor"),AND(AF16="Alta",AH16="Moderado"),AND(AF16="Alta",AH16="Mayor"),AND(AF16="Muy Alta",AH16="Leve"),AND(AF16="Muy Alta",AH16="Menor"),AND(AF16="Muy Alta",AH16="Moderado"),AND(AF16="Muy Alta",AH16="Mayor")),"Alto",IF(OR(AND(AF16="Muy Baja",AH16="Catastrófico"),AND(AF16="Baja",AH16="Catastrófico"),AND(AF16="Media",AH16="Catastrófico"),AND(AF16="Alta",AH16="Catastrófico"),AND(AF16="Muy Alta",AH16="Catastrófico")),"Extremo","")))),"")</f>
        <v/>
      </c>
      <c r="AK16" s="184"/>
      <c r="AL16" s="175"/>
      <c r="AM16" s="185"/>
      <c r="AN16" s="185"/>
      <c r="AO16" s="186"/>
      <c r="AP16" s="329"/>
      <c r="AQ16" s="329"/>
      <c r="AR16" s="329"/>
    </row>
    <row r="17" spans="1:44" x14ac:dyDescent="0.2">
      <c r="A17" s="328"/>
      <c r="B17" s="329"/>
      <c r="C17" s="329"/>
      <c r="D17" s="329"/>
      <c r="E17" s="372"/>
      <c r="F17" s="329"/>
      <c r="G17" s="343"/>
      <c r="H17" s="343"/>
      <c r="I17" s="343"/>
      <c r="J17" s="343"/>
      <c r="K17" s="343"/>
      <c r="L17" s="343"/>
      <c r="M17" s="343"/>
      <c r="N17" s="339"/>
      <c r="O17" s="340"/>
      <c r="P17" s="341"/>
      <c r="Q17" s="359"/>
      <c r="R17" s="341">
        <f>IF(NOT(ISERROR(MATCH(Q17,_xlfn.ANCHORARRAY(E28),0))),P30&amp;"Por favor no seleccionar los criterios de impacto",Q17)</f>
        <v>0</v>
      </c>
      <c r="S17" s="340"/>
      <c r="T17" s="341"/>
      <c r="U17" s="358"/>
      <c r="V17" s="203">
        <v>5</v>
      </c>
      <c r="W17" s="176"/>
      <c r="X17" s="178" t="str">
        <f t="shared" si="0"/>
        <v/>
      </c>
      <c r="Y17" s="179"/>
      <c r="Z17" s="179"/>
      <c r="AA17" s="180" t="str">
        <f t="shared" si="1"/>
        <v/>
      </c>
      <c r="AB17" s="179"/>
      <c r="AC17" s="179"/>
      <c r="AD17" s="179"/>
      <c r="AE17" s="181" t="str">
        <f t="shared" si="6"/>
        <v/>
      </c>
      <c r="AF17" s="182" t="str">
        <f t="shared" si="2"/>
        <v/>
      </c>
      <c r="AG17" s="180" t="str">
        <f t="shared" si="3"/>
        <v/>
      </c>
      <c r="AH17" s="182" t="str">
        <f t="shared" si="4"/>
        <v/>
      </c>
      <c r="AI17" s="180" t="str">
        <f t="shared" si="7"/>
        <v/>
      </c>
      <c r="AJ17" s="183" t="str">
        <f t="shared" si="5"/>
        <v/>
      </c>
      <c r="AK17" s="184"/>
      <c r="AL17" s="175"/>
      <c r="AM17" s="185"/>
      <c r="AN17" s="185"/>
      <c r="AO17" s="186"/>
      <c r="AP17" s="329"/>
      <c r="AQ17" s="329"/>
      <c r="AR17" s="329"/>
    </row>
    <row r="18" spans="1:44" ht="37.5" customHeight="1" x14ac:dyDescent="0.2">
      <c r="A18" s="328"/>
      <c r="B18" s="329"/>
      <c r="C18" s="329"/>
      <c r="D18" s="329"/>
      <c r="E18" s="372"/>
      <c r="F18" s="329"/>
      <c r="G18" s="344"/>
      <c r="H18" s="344"/>
      <c r="I18" s="344"/>
      <c r="J18" s="344"/>
      <c r="K18" s="344"/>
      <c r="L18" s="344"/>
      <c r="M18" s="344"/>
      <c r="N18" s="339"/>
      <c r="O18" s="340"/>
      <c r="P18" s="341"/>
      <c r="Q18" s="359"/>
      <c r="R18" s="341">
        <f>IF(NOT(ISERROR(MATCH(Q18,_xlfn.ANCHORARRAY(E29),0))),P31&amp;"Por favor no seleccionar los criterios de impacto",Q18)</f>
        <v>0</v>
      </c>
      <c r="S18" s="340"/>
      <c r="T18" s="341"/>
      <c r="U18" s="358"/>
      <c r="V18" s="203">
        <v>6</v>
      </c>
      <c r="W18" s="176"/>
      <c r="X18" s="178" t="str">
        <f t="shared" si="0"/>
        <v/>
      </c>
      <c r="Y18" s="179"/>
      <c r="Z18" s="179"/>
      <c r="AA18" s="180" t="str">
        <f t="shared" si="1"/>
        <v/>
      </c>
      <c r="AB18" s="179"/>
      <c r="AC18" s="179"/>
      <c r="AD18" s="179"/>
      <c r="AE18" s="181" t="str">
        <f t="shared" si="6"/>
        <v/>
      </c>
      <c r="AF18" s="182" t="str">
        <f t="shared" si="2"/>
        <v/>
      </c>
      <c r="AG18" s="180" t="str">
        <f t="shared" si="3"/>
        <v/>
      </c>
      <c r="AH18" s="182" t="str">
        <f t="shared" si="4"/>
        <v/>
      </c>
      <c r="AI18" s="180" t="str">
        <f t="shared" si="7"/>
        <v/>
      </c>
      <c r="AJ18" s="183" t="str">
        <f t="shared" si="5"/>
        <v/>
      </c>
      <c r="AK18" s="184"/>
      <c r="AL18" s="175"/>
      <c r="AM18" s="185"/>
      <c r="AN18" s="185"/>
      <c r="AO18" s="186"/>
      <c r="AP18" s="329"/>
      <c r="AQ18" s="329"/>
      <c r="AR18" s="329"/>
    </row>
    <row r="19" spans="1:44" ht="37.5" customHeight="1" x14ac:dyDescent="0.2">
      <c r="A19" s="328">
        <v>2</v>
      </c>
      <c r="B19" s="329"/>
      <c r="C19" s="329"/>
      <c r="D19" s="329"/>
      <c r="E19" s="372"/>
      <c r="F19" s="329"/>
      <c r="G19" s="342"/>
      <c r="H19" s="342"/>
      <c r="I19" s="342"/>
      <c r="J19" s="342"/>
      <c r="K19" s="342"/>
      <c r="L19" s="342"/>
      <c r="M19" s="342"/>
      <c r="N19" s="339"/>
      <c r="O19" s="340" t="str">
        <f>IF(N19&lt;=0,"",IF(N19&lt;=2,"Muy Baja",IF(N19&lt;=24,"Baja",IF(N19&lt;=500,"Media",IF(N19&lt;=5000,"Alta","Muy Alta")))))</f>
        <v/>
      </c>
      <c r="P19" s="341" t="str">
        <f>IF(O19="","",IF(O19="Muy Baja",0.2,IF(O19="Baja",0.4,IF(O19="Media",0.6,IF(O19="Alta",0.8,IF(O19="Muy Alta",1,))))))</f>
        <v/>
      </c>
      <c r="Q19" s="359"/>
      <c r="R19" s="341">
        <f>IF(NOT(ISERROR(MATCH(Q19,'Tabla Impacto'!$B$222:$B$224,0))),'Tabla Impacto'!$F$224&amp;"Por favor no seleccionar los criterios de impacto(Afectación Económica o presupuestal y Pérdida Reputacional)",Q19)</f>
        <v>0</v>
      </c>
      <c r="S19" s="340" t="str">
        <f>IF(OR(R19='Tabla Impacto'!$C$12,R19='Tabla Impacto'!$D$12),"Leve",IF(OR(R19='Tabla Impacto'!$C$13,R19='Tabla Impacto'!$D$13),"Menor",IF(OR(R19='Tabla Impacto'!$C$14,R19='Tabla Impacto'!$D$14),"Moderado",IF(OR(R19='Tabla Impacto'!$C$15,R19='Tabla Impacto'!$D$15),"Mayor",IF(OR(R19='Tabla Impacto'!$C$16,R19='Tabla Impacto'!$D$16),"Catastrófico","")))))</f>
        <v/>
      </c>
      <c r="T19" s="341" t="str">
        <f>IF(S19="","",IF(S19="Leve",0.2,IF(S19="Menor",0.4,IF(S19="Moderado",0.6,IF(S19="Mayor",0.8,IF(S19="Catastrófico",1,))))))</f>
        <v/>
      </c>
      <c r="U19" s="358" t="str">
        <f>IF(OR(AND(O19="Muy Baja",S19="Leve"),AND(O19="Muy Baja",S19="Menor"),AND(O19="Baja",S19="Leve")),"Bajo",IF(OR(AND(O19="Muy baja",S19="Moderado"),AND(O19="Baja",S19="Menor"),AND(O19="Baja",S19="Moderado"),AND(O19="Media",S19="Leve"),AND(O19="Media",S19="Menor"),AND(O19="Media",S19="Moderado"),AND(O19="Alta",S19="Leve"),AND(O19="Alta",S19="Menor")),"Moderado",IF(OR(AND(O19="Muy Baja",S19="Mayor"),AND(O19="Baja",S19="Mayor"),AND(O19="Media",S19="Mayor"),AND(O19="Alta",S19="Moderado"),AND(O19="Alta",S19="Mayor"),AND(O19="Muy Alta",S19="Leve"),AND(O19="Muy Alta",S19="Menor"),AND(O19="Muy Alta",S19="Moderado"),AND(O19="Muy Alta",S19="Mayor")),"Alto",IF(OR(AND(O19="Muy Baja",S19="Catastrófico"),AND(O19="Baja",S19="Catastrófico"),AND(O19="Media",S19="Catastrófico"),AND(O19="Alta",S19="Catastrófico"),AND(O19="Muy Alta",S19="Catastrófico")),"Extremo",""))))</f>
        <v/>
      </c>
      <c r="V19" s="203">
        <v>1</v>
      </c>
      <c r="W19" s="176"/>
      <c r="X19" s="178" t="str">
        <f>IF(OR(Y19="Preventivo",Y19="Detectivo"),"Probabilidad",IF(Y19="Correctivo","Impacto",""))</f>
        <v/>
      </c>
      <c r="Y19" s="179"/>
      <c r="Z19" s="179"/>
      <c r="AA19" s="180" t="str">
        <f>IF(AND(Y19="Preventivo",Z19="Automático"),"50%",IF(AND(Y19="Preventivo",Z19="Manual"),"40%",IF(AND(Y19="Detectivo",Z19="Automático"),"40%",IF(AND(Y19="Detectivo",Z19="Manual"),"30%",IF(AND(Y19="Correctivo",Z19="Automático"),"35%",IF(AND(Y19="Correctivo",Z19="Manual"),"25%",""))))))</f>
        <v/>
      </c>
      <c r="AB19" s="179"/>
      <c r="AC19" s="179"/>
      <c r="AD19" s="179"/>
      <c r="AE19" s="181" t="str">
        <f>IFERROR(IF(X19="Probabilidad",(P19-(+P19*AA19)),IF(X19="Impacto",P19,"")),"")</f>
        <v/>
      </c>
      <c r="AF19" s="182" t="str">
        <f>IFERROR(IF(AE19="","",IF(AE19&lt;=0.2,"Muy Baja",IF(AE19&lt;=0.4,"Baja",IF(AE19&lt;=0.6,"Media",IF(AE19&lt;=0.8,"Alta","Muy Alta"))))),"")</f>
        <v/>
      </c>
      <c r="AG19" s="180" t="str">
        <f>+AE19</f>
        <v/>
      </c>
      <c r="AH19" s="182" t="str">
        <f>IFERROR(IF(AI19="","",IF(AI19&lt;=0.2,"Leve",IF(AI19&lt;=0.4,"Menor",IF(AI19&lt;=0.6,"Moderado",IF(AI19&lt;=0.8,"Mayor","Catastrófico"))))),"")</f>
        <v/>
      </c>
      <c r="AI19" s="180" t="str">
        <f t="shared" ref="AI19" si="8">IFERROR(IF(X19="Impacto",(T19-(+T19*AA19)),IF(X19="Probabilidad",T19,"")),"")</f>
        <v/>
      </c>
      <c r="AJ19" s="183" t="str">
        <f>IFERROR(IF(OR(AND(AF19="Muy Baja",AH19="Leve"),AND(AF19="Muy Baja",AH19="Menor"),AND(AF19="Baja",AH19="Leve")),"Bajo",IF(OR(AND(AF19="Muy baja",AH19="Moderado"),AND(AF19="Baja",AH19="Menor"),AND(AF19="Baja",AH19="Moderado"),AND(AF19="Media",AH19="Leve"),AND(AF19="Media",AH19="Menor"),AND(AF19="Media",AH19="Moderado"),AND(AF19="Alta",AH19="Leve"),AND(AF19="Alta",AH19="Menor")),"Moderado",IF(OR(AND(AF19="Muy Baja",AH19="Mayor"),AND(AF19="Baja",AH19="Mayor"),AND(AF19="Media",AH19="Mayor"),AND(AF19="Alta",AH19="Moderado"),AND(AF19="Alta",AH19="Mayor"),AND(AF19="Muy Alta",AH19="Leve"),AND(AF19="Muy Alta",AH19="Menor"),AND(AF19="Muy Alta",AH19="Moderado"),AND(AF19="Muy Alta",AH19="Mayor")),"Alto",IF(OR(AND(AF19="Muy Baja",AH19="Catastrófico"),AND(AF19="Baja",AH19="Catastrófico"),AND(AF19="Media",AH19="Catastrófico"),AND(AF19="Alta",AH19="Catastrófico"),AND(AF19="Muy Alta",AH19="Catastrófico")),"Extremo","")))),"")</f>
        <v/>
      </c>
      <c r="AK19" s="184"/>
      <c r="AL19" s="175"/>
      <c r="AM19" s="185"/>
      <c r="AN19" s="185"/>
      <c r="AO19" s="186"/>
      <c r="AP19" s="339"/>
      <c r="AQ19" s="339"/>
      <c r="AR19" s="339"/>
    </row>
    <row r="20" spans="1:44" ht="37.5" customHeight="1" x14ac:dyDescent="0.2">
      <c r="A20" s="328"/>
      <c r="B20" s="329"/>
      <c r="C20" s="329"/>
      <c r="D20" s="329"/>
      <c r="E20" s="372"/>
      <c r="F20" s="329"/>
      <c r="G20" s="343"/>
      <c r="H20" s="343"/>
      <c r="I20" s="343"/>
      <c r="J20" s="343"/>
      <c r="K20" s="343"/>
      <c r="L20" s="343"/>
      <c r="M20" s="343"/>
      <c r="N20" s="339"/>
      <c r="O20" s="340"/>
      <c r="P20" s="341"/>
      <c r="Q20" s="359"/>
      <c r="R20" s="341">
        <f>IF(NOT(ISERROR(MATCH(Q20,_xlfn.ANCHORARRAY(E31),0))),P33&amp;"Por favor no seleccionar los criterios de impacto",Q20)</f>
        <v>0</v>
      </c>
      <c r="S20" s="340"/>
      <c r="T20" s="341"/>
      <c r="U20" s="358"/>
      <c r="V20" s="203">
        <v>2</v>
      </c>
      <c r="W20" s="176"/>
      <c r="X20" s="178" t="str">
        <f>IF(OR(Y20="Preventivo",Y20="Detectivo"),"Probabilidad",IF(Y20="Correctivo","Impacto",""))</f>
        <v/>
      </c>
      <c r="Y20" s="179"/>
      <c r="Z20" s="179"/>
      <c r="AA20" s="180" t="str">
        <f t="shared" ref="AA20:AA24" si="9">IF(AND(Y20="Preventivo",Z20="Automático"),"50%",IF(AND(Y20="Preventivo",Z20="Manual"),"40%",IF(AND(Y20="Detectivo",Z20="Automático"),"40%",IF(AND(Y20="Detectivo",Z20="Manual"),"30%",IF(AND(Y20="Correctivo",Z20="Automático"),"35%",IF(AND(Y20="Correctivo",Z20="Manual"),"25%",""))))))</f>
        <v/>
      </c>
      <c r="AB20" s="179"/>
      <c r="AC20" s="179"/>
      <c r="AD20" s="179"/>
      <c r="AE20" s="181" t="str">
        <f>IFERROR(IF(AND(X19="Probabilidad",X20="Probabilidad"),(AG19-(+AG19*AA20)),IF(X20="Probabilidad",(P19-(+P19*AA20)),IF(X20="Impacto",AG19,""))),"")</f>
        <v/>
      </c>
      <c r="AF20" s="182" t="str">
        <f t="shared" si="2"/>
        <v/>
      </c>
      <c r="AG20" s="180" t="str">
        <f t="shared" ref="AG20:AG24" si="10">+AE20</f>
        <v/>
      </c>
      <c r="AH20" s="182" t="str">
        <f t="shared" si="4"/>
        <v/>
      </c>
      <c r="AI20" s="180" t="str">
        <f t="shared" ref="AI20" si="11">IFERROR(IF(AND(X19="Impacto",X20="Impacto"),(AI19-(+AI19*AA20)),IF(X20="Impacto",($T$13-(+$T$13*AA20)),IF(X20="Probabilidad",AI19,""))),"")</f>
        <v/>
      </c>
      <c r="AJ20" s="183" t="str">
        <f t="shared" ref="AJ20:AJ21" si="12">IFERROR(IF(OR(AND(AF20="Muy Baja",AH20="Leve"),AND(AF20="Muy Baja",AH20="Menor"),AND(AF20="Baja",AH20="Leve")),"Bajo",IF(OR(AND(AF20="Muy baja",AH20="Moderado"),AND(AF20="Baja",AH20="Menor"),AND(AF20="Baja",AH20="Moderado"),AND(AF20="Media",AH20="Leve"),AND(AF20="Media",AH20="Menor"),AND(AF20="Media",AH20="Moderado"),AND(AF20="Alta",AH20="Leve"),AND(AF20="Alta",AH20="Menor")),"Moderado",IF(OR(AND(AF20="Muy Baja",AH20="Mayor"),AND(AF20="Baja",AH20="Mayor"),AND(AF20="Media",AH20="Mayor"),AND(AF20="Alta",AH20="Moderado"),AND(AF20="Alta",AH20="Mayor"),AND(AF20="Muy Alta",AH20="Leve"),AND(AF20="Muy Alta",AH20="Menor"),AND(AF20="Muy Alta",AH20="Moderado"),AND(AF20="Muy Alta",AH20="Mayor")),"Alto",IF(OR(AND(AF20="Muy Baja",AH20="Catastrófico"),AND(AF20="Baja",AH20="Catastrófico"),AND(AF20="Media",AH20="Catastrófico"),AND(AF20="Alta",AH20="Catastrófico"),AND(AF20="Muy Alta",AH20="Catastrófico")),"Extremo","")))),"")</f>
        <v/>
      </c>
      <c r="AK20" s="184"/>
      <c r="AL20" s="175"/>
      <c r="AM20" s="185"/>
      <c r="AN20" s="175"/>
      <c r="AO20" s="186"/>
      <c r="AP20" s="339"/>
      <c r="AQ20" s="339"/>
      <c r="AR20" s="339"/>
    </row>
    <row r="21" spans="1:44" ht="37.5" customHeight="1" x14ac:dyDescent="0.2">
      <c r="A21" s="328"/>
      <c r="B21" s="329"/>
      <c r="C21" s="329"/>
      <c r="D21" s="329"/>
      <c r="E21" s="372"/>
      <c r="F21" s="329"/>
      <c r="G21" s="343"/>
      <c r="H21" s="343"/>
      <c r="I21" s="343"/>
      <c r="J21" s="343"/>
      <c r="K21" s="343"/>
      <c r="L21" s="343"/>
      <c r="M21" s="343"/>
      <c r="N21" s="339"/>
      <c r="O21" s="340"/>
      <c r="P21" s="341"/>
      <c r="Q21" s="359"/>
      <c r="R21" s="341">
        <f>IF(NOT(ISERROR(MATCH(Q21,_xlfn.ANCHORARRAY(E32),0))),P34&amp;"Por favor no seleccionar los criterios de impacto",Q21)</f>
        <v>0</v>
      </c>
      <c r="S21" s="340"/>
      <c r="T21" s="341"/>
      <c r="U21" s="358"/>
      <c r="V21" s="203">
        <v>3</v>
      </c>
      <c r="W21" s="177"/>
      <c r="X21" s="178" t="str">
        <f>IF(OR(Y21="Preventivo",Y21="Detectivo"),"Probabilidad",IF(Y21="Correctivo","Impacto",""))</f>
        <v/>
      </c>
      <c r="Y21" s="179"/>
      <c r="Z21" s="179"/>
      <c r="AA21" s="180" t="str">
        <f t="shared" si="9"/>
        <v/>
      </c>
      <c r="AB21" s="179"/>
      <c r="AC21" s="179"/>
      <c r="AD21" s="179"/>
      <c r="AE21" s="181" t="str">
        <f>IFERROR(IF(AND(X20="Probabilidad",X21="Probabilidad"),(AG20-(+AG20*AA21)),IF(AND(X20="Impacto",X21="Probabilidad"),(AG19-(+AG19*AA21)),IF(X21="Impacto",AG20,""))),"")</f>
        <v/>
      </c>
      <c r="AF21" s="182" t="str">
        <f t="shared" si="2"/>
        <v/>
      </c>
      <c r="AG21" s="180" t="str">
        <f t="shared" si="10"/>
        <v/>
      </c>
      <c r="AH21" s="182" t="str">
        <f t="shared" si="4"/>
        <v/>
      </c>
      <c r="AI21" s="180" t="str">
        <f t="shared" ref="AI21:AI72" si="13">IFERROR(IF(AND(X20="Impacto",X21="Impacto"),(AI20-(+AI20*AA21)),IF(AND(X20="Probabilidad",X21="Impacto"),(AI19-(+AI19*AA21)),IF(X21="Probabilidad",AI20,""))),"")</f>
        <v/>
      </c>
      <c r="AJ21" s="183" t="str">
        <f t="shared" si="12"/>
        <v/>
      </c>
      <c r="AK21" s="184"/>
      <c r="AL21" s="175"/>
      <c r="AM21" s="185"/>
      <c r="AN21" s="185"/>
      <c r="AO21" s="186"/>
      <c r="AP21" s="339"/>
      <c r="AQ21" s="339"/>
      <c r="AR21" s="339"/>
    </row>
    <row r="22" spans="1:44" ht="37.5" customHeight="1" x14ac:dyDescent="0.2">
      <c r="A22" s="328"/>
      <c r="B22" s="329"/>
      <c r="C22" s="329"/>
      <c r="D22" s="329"/>
      <c r="E22" s="372"/>
      <c r="F22" s="329"/>
      <c r="G22" s="343"/>
      <c r="H22" s="343"/>
      <c r="I22" s="343"/>
      <c r="J22" s="343"/>
      <c r="K22" s="343"/>
      <c r="L22" s="343"/>
      <c r="M22" s="343"/>
      <c r="N22" s="339"/>
      <c r="O22" s="340"/>
      <c r="P22" s="341"/>
      <c r="Q22" s="359"/>
      <c r="R22" s="341">
        <f>IF(NOT(ISERROR(MATCH(Q22,_xlfn.ANCHORARRAY(E33),0))),P35&amp;"Por favor no seleccionar los criterios de impacto",Q22)</f>
        <v>0</v>
      </c>
      <c r="S22" s="340"/>
      <c r="T22" s="341"/>
      <c r="U22" s="358"/>
      <c r="V22" s="203">
        <v>4</v>
      </c>
      <c r="W22" s="176"/>
      <c r="X22" s="178" t="str">
        <f t="shared" ref="X22:X24" si="14">IF(OR(Y22="Preventivo",Y22="Detectivo"),"Probabilidad",IF(Y22="Correctivo","Impacto",""))</f>
        <v/>
      </c>
      <c r="Y22" s="179"/>
      <c r="Z22" s="179"/>
      <c r="AA22" s="180" t="str">
        <f t="shared" si="9"/>
        <v/>
      </c>
      <c r="AB22" s="179"/>
      <c r="AC22" s="179"/>
      <c r="AD22" s="179"/>
      <c r="AE22" s="181" t="str">
        <f t="shared" ref="AE22:AE24" si="15">IFERROR(IF(AND(X21="Probabilidad",X22="Probabilidad"),(AG21-(+AG21*AA22)),IF(AND(X21="Impacto",X22="Probabilidad"),(AG20-(+AG20*AA22)),IF(X22="Impacto",AG21,""))),"")</f>
        <v/>
      </c>
      <c r="AF22" s="182" t="str">
        <f t="shared" si="2"/>
        <v/>
      </c>
      <c r="AG22" s="180" t="str">
        <f t="shared" si="10"/>
        <v/>
      </c>
      <c r="AH22" s="182" t="str">
        <f t="shared" si="4"/>
        <v/>
      </c>
      <c r="AI22" s="180" t="str">
        <f t="shared" si="13"/>
        <v/>
      </c>
      <c r="AJ22" s="183" t="str">
        <f>IFERROR(IF(OR(AND(AF22="Muy Baja",AH22="Leve"),AND(AF22="Muy Baja",AH22="Menor"),AND(AF22="Baja",AH22="Leve")),"Bajo",IF(OR(AND(AF22="Muy baja",AH22="Moderado"),AND(AF22="Baja",AH22="Menor"),AND(AF22="Baja",AH22="Moderado"),AND(AF22="Media",AH22="Leve"),AND(AF22="Media",AH22="Menor"),AND(AF22="Media",AH22="Moderado"),AND(AF22="Alta",AH22="Leve"),AND(AF22="Alta",AH22="Menor")),"Moderado",IF(OR(AND(AF22="Muy Baja",AH22="Mayor"),AND(AF22="Baja",AH22="Mayor"),AND(AF22="Media",AH22="Mayor"),AND(AF22="Alta",AH22="Moderado"),AND(AF22="Alta",AH22="Mayor"),AND(AF22="Muy Alta",AH22="Leve"),AND(AF22="Muy Alta",AH22="Menor"),AND(AF22="Muy Alta",AH22="Moderado"),AND(AF22="Muy Alta",AH22="Mayor")),"Alto",IF(OR(AND(AF22="Muy Baja",AH22="Catastrófico"),AND(AF22="Baja",AH22="Catastrófico"),AND(AF22="Media",AH22="Catastrófico"),AND(AF22="Alta",AH22="Catastrófico"),AND(AF22="Muy Alta",AH22="Catastrófico")),"Extremo","")))),"")</f>
        <v/>
      </c>
      <c r="AK22" s="184"/>
      <c r="AL22" s="175"/>
      <c r="AM22" s="185"/>
      <c r="AN22" s="185"/>
      <c r="AO22" s="186"/>
      <c r="AP22" s="339"/>
      <c r="AQ22" s="339"/>
      <c r="AR22" s="339"/>
    </row>
    <row r="23" spans="1:44" ht="37.5" customHeight="1" x14ac:dyDescent="0.2">
      <c r="A23" s="328"/>
      <c r="B23" s="329"/>
      <c r="C23" s="329"/>
      <c r="D23" s="329"/>
      <c r="E23" s="372"/>
      <c r="F23" s="329"/>
      <c r="G23" s="343"/>
      <c r="H23" s="343"/>
      <c r="I23" s="343"/>
      <c r="J23" s="343"/>
      <c r="K23" s="343"/>
      <c r="L23" s="343"/>
      <c r="M23" s="343"/>
      <c r="N23" s="339"/>
      <c r="O23" s="340"/>
      <c r="P23" s="341"/>
      <c r="Q23" s="359"/>
      <c r="R23" s="341">
        <f>IF(NOT(ISERROR(MATCH(Q23,_xlfn.ANCHORARRAY(E34),0))),P36&amp;"Por favor no seleccionar los criterios de impacto",Q23)</f>
        <v>0</v>
      </c>
      <c r="S23" s="340"/>
      <c r="T23" s="341"/>
      <c r="U23" s="358"/>
      <c r="V23" s="203">
        <v>5</v>
      </c>
      <c r="W23" s="176"/>
      <c r="X23" s="178" t="str">
        <f t="shared" si="14"/>
        <v/>
      </c>
      <c r="Y23" s="179"/>
      <c r="Z23" s="179"/>
      <c r="AA23" s="180" t="str">
        <f t="shared" si="9"/>
        <v/>
      </c>
      <c r="AB23" s="179"/>
      <c r="AC23" s="179"/>
      <c r="AD23" s="179"/>
      <c r="AE23" s="181" t="str">
        <f t="shared" si="15"/>
        <v/>
      </c>
      <c r="AF23" s="182" t="str">
        <f t="shared" si="2"/>
        <v/>
      </c>
      <c r="AG23" s="180" t="str">
        <f t="shared" si="10"/>
        <v/>
      </c>
      <c r="AH23" s="182" t="str">
        <f t="shared" si="4"/>
        <v/>
      </c>
      <c r="AI23" s="180" t="str">
        <f t="shared" si="13"/>
        <v/>
      </c>
      <c r="AJ23" s="183" t="str">
        <f t="shared" ref="AJ23:AJ24" si="16">IFERROR(IF(OR(AND(AF23="Muy Baja",AH23="Leve"),AND(AF23="Muy Baja",AH23="Menor"),AND(AF23="Baja",AH23="Leve")),"Bajo",IF(OR(AND(AF23="Muy baja",AH23="Moderado"),AND(AF23="Baja",AH23="Menor"),AND(AF23="Baja",AH23="Moderado"),AND(AF23="Media",AH23="Leve"),AND(AF23="Media",AH23="Menor"),AND(AF23="Media",AH23="Moderado"),AND(AF23="Alta",AH23="Leve"),AND(AF23="Alta",AH23="Menor")),"Moderado",IF(OR(AND(AF23="Muy Baja",AH23="Mayor"),AND(AF23="Baja",AH23="Mayor"),AND(AF23="Media",AH23="Mayor"),AND(AF23="Alta",AH23="Moderado"),AND(AF23="Alta",AH23="Mayor"),AND(AF23="Muy Alta",AH23="Leve"),AND(AF23="Muy Alta",AH23="Menor"),AND(AF23="Muy Alta",AH23="Moderado"),AND(AF23="Muy Alta",AH23="Mayor")),"Alto",IF(OR(AND(AF23="Muy Baja",AH23="Catastrófico"),AND(AF23="Baja",AH23="Catastrófico"),AND(AF23="Media",AH23="Catastrófico"),AND(AF23="Alta",AH23="Catastrófico"),AND(AF23="Muy Alta",AH23="Catastrófico")),"Extremo","")))),"")</f>
        <v/>
      </c>
      <c r="AK23" s="184"/>
      <c r="AL23" s="175"/>
      <c r="AM23" s="185"/>
      <c r="AN23" s="185"/>
      <c r="AO23" s="186"/>
      <c r="AP23" s="339"/>
      <c r="AQ23" s="339"/>
      <c r="AR23" s="339"/>
    </row>
    <row r="24" spans="1:44" ht="37.5" customHeight="1" x14ac:dyDescent="0.2">
      <c r="A24" s="328"/>
      <c r="B24" s="329"/>
      <c r="C24" s="329"/>
      <c r="D24" s="329"/>
      <c r="E24" s="372"/>
      <c r="F24" s="329"/>
      <c r="G24" s="344"/>
      <c r="H24" s="344"/>
      <c r="I24" s="344"/>
      <c r="J24" s="344"/>
      <c r="K24" s="344"/>
      <c r="L24" s="344"/>
      <c r="M24" s="344"/>
      <c r="N24" s="339"/>
      <c r="O24" s="340"/>
      <c r="P24" s="341"/>
      <c r="Q24" s="359"/>
      <c r="R24" s="341">
        <f>IF(NOT(ISERROR(MATCH(Q24,_xlfn.ANCHORARRAY(E35),0))),P37&amp;"Por favor no seleccionar los criterios de impacto",Q24)</f>
        <v>0</v>
      </c>
      <c r="S24" s="340"/>
      <c r="T24" s="341"/>
      <c r="U24" s="358"/>
      <c r="V24" s="203">
        <v>6</v>
      </c>
      <c r="W24" s="176"/>
      <c r="X24" s="178" t="str">
        <f t="shared" si="14"/>
        <v/>
      </c>
      <c r="Y24" s="179"/>
      <c r="Z24" s="179"/>
      <c r="AA24" s="180" t="str">
        <f t="shared" si="9"/>
        <v/>
      </c>
      <c r="AB24" s="179"/>
      <c r="AC24" s="179"/>
      <c r="AD24" s="179"/>
      <c r="AE24" s="181" t="str">
        <f t="shared" si="15"/>
        <v/>
      </c>
      <c r="AF24" s="182" t="str">
        <f t="shared" si="2"/>
        <v/>
      </c>
      <c r="AG24" s="180" t="str">
        <f t="shared" si="10"/>
        <v/>
      </c>
      <c r="AH24" s="182" t="str">
        <f t="shared" si="4"/>
        <v/>
      </c>
      <c r="AI24" s="180" t="str">
        <f t="shared" si="13"/>
        <v/>
      </c>
      <c r="AJ24" s="183" t="str">
        <f t="shared" si="16"/>
        <v/>
      </c>
      <c r="AK24" s="184"/>
      <c r="AL24" s="175"/>
      <c r="AM24" s="185"/>
      <c r="AN24" s="185"/>
      <c r="AO24" s="186"/>
      <c r="AP24" s="339"/>
      <c r="AQ24" s="339"/>
      <c r="AR24" s="339"/>
    </row>
    <row r="25" spans="1:44" ht="37.5" customHeight="1" x14ac:dyDescent="0.2">
      <c r="A25" s="328">
        <v>3</v>
      </c>
      <c r="B25" s="329"/>
      <c r="C25" s="329"/>
      <c r="D25" s="329"/>
      <c r="E25" s="372"/>
      <c r="F25" s="329"/>
      <c r="G25" s="342"/>
      <c r="H25" s="342"/>
      <c r="I25" s="342"/>
      <c r="J25" s="342"/>
      <c r="K25" s="342"/>
      <c r="L25" s="342"/>
      <c r="M25" s="342"/>
      <c r="N25" s="339"/>
      <c r="O25" s="340" t="str">
        <f>IF(N25&lt;=0,"",IF(N25&lt;=2,"Muy Baja",IF(N25&lt;=24,"Baja",IF(N25&lt;=500,"Media",IF(N25&lt;=5000,"Alta","Muy Alta")))))</f>
        <v/>
      </c>
      <c r="P25" s="341" t="str">
        <f>IF(O25="","",IF(O25="Muy Baja",0.2,IF(O25="Baja",0.4,IF(O25="Media",0.6,IF(O25="Alta",0.8,IF(O25="Muy Alta",1,))))))</f>
        <v/>
      </c>
      <c r="Q25" s="359"/>
      <c r="R25" s="341">
        <f>IF(NOT(ISERROR(MATCH(Q25,'Tabla Impacto'!$B$222:$B$224,0))),'Tabla Impacto'!$F$224&amp;"Por favor no seleccionar los criterios de impacto(Afectación Económica o presupuestal y Pérdida Reputacional)",Q25)</f>
        <v>0</v>
      </c>
      <c r="S25" s="340" t="str">
        <f>IF(OR(R25='Tabla Impacto'!$C$12,R25='Tabla Impacto'!$D$12),"Leve",IF(OR(R25='Tabla Impacto'!$C$13,R25='Tabla Impacto'!$D$13),"Menor",IF(OR(R25='Tabla Impacto'!$C$14,R25='Tabla Impacto'!$D$14),"Moderado",IF(OR(R25='Tabla Impacto'!$C$15,R25='Tabla Impacto'!$D$15),"Mayor",IF(OR(R25='Tabla Impacto'!$C$16,R25='Tabla Impacto'!$D$16),"Catastrófico","")))))</f>
        <v/>
      </c>
      <c r="T25" s="341" t="str">
        <f>IF(S25="","",IF(S25="Leve",0.2,IF(S25="Menor",0.4,IF(S25="Moderado",0.6,IF(S25="Mayor",0.8,IF(S25="Catastrófico",1,))))))</f>
        <v/>
      </c>
      <c r="U25" s="358" t="str">
        <f>IF(OR(AND(O25="Muy Baja",S25="Leve"),AND(O25="Muy Baja",S25="Menor"),AND(O25="Baja",S25="Leve")),"Bajo",IF(OR(AND(O25="Muy baja",S25="Moderado"),AND(O25="Baja",S25="Menor"),AND(O25="Baja",S25="Moderado"),AND(O25="Media",S25="Leve"),AND(O25="Media",S25="Menor"),AND(O25="Media",S25="Moderado"),AND(O25="Alta",S25="Leve"),AND(O25="Alta",S25="Menor")),"Moderado",IF(OR(AND(O25="Muy Baja",S25="Mayor"),AND(O25="Baja",S25="Mayor"),AND(O25="Media",S25="Mayor"),AND(O25="Alta",S25="Moderado"),AND(O25="Alta",S25="Mayor"),AND(O25="Muy Alta",S25="Leve"),AND(O25="Muy Alta",S25="Menor"),AND(O25="Muy Alta",S25="Moderado"),AND(O25="Muy Alta",S25="Mayor")),"Alto",IF(OR(AND(O25="Muy Baja",S25="Catastrófico"),AND(O25="Baja",S25="Catastrófico"),AND(O25="Media",S25="Catastrófico"),AND(O25="Alta",S25="Catastrófico"),AND(O25="Muy Alta",S25="Catastrófico")),"Extremo",""))))</f>
        <v/>
      </c>
      <c r="V25" s="203">
        <v>1</v>
      </c>
      <c r="W25" s="176"/>
      <c r="X25" s="178" t="str">
        <f>IF(OR(Y25="Preventivo",Y25="Detectivo"),"Probabilidad",IF(Y25="Correctivo","Impacto",""))</f>
        <v/>
      </c>
      <c r="Y25" s="179"/>
      <c r="Z25" s="179"/>
      <c r="AA25" s="180" t="str">
        <f>IF(AND(Y25="Preventivo",Z25="Automático"),"50%",IF(AND(Y25="Preventivo",Z25="Manual"),"40%",IF(AND(Y25="Detectivo",Z25="Automático"),"40%",IF(AND(Y25="Detectivo",Z25="Manual"),"30%",IF(AND(Y25="Correctivo",Z25="Automático"),"35%",IF(AND(Y25="Correctivo",Z25="Manual"),"25%",""))))))</f>
        <v/>
      </c>
      <c r="AB25" s="179"/>
      <c r="AC25" s="179"/>
      <c r="AD25" s="179"/>
      <c r="AE25" s="181" t="str">
        <f>IFERROR(IF(X25="Probabilidad",(P25-(+P25*AA25)),IF(X25="Impacto",P25,"")),"")</f>
        <v/>
      </c>
      <c r="AF25" s="182" t="str">
        <f>IFERROR(IF(AE25="","",IF(AE25&lt;=0.2,"Muy Baja",IF(AE25&lt;=0.4,"Baja",IF(AE25&lt;=0.6,"Media",IF(AE25&lt;=0.8,"Alta","Muy Alta"))))),"")</f>
        <v/>
      </c>
      <c r="AG25" s="180" t="str">
        <f>+AE25</f>
        <v/>
      </c>
      <c r="AH25" s="182" t="str">
        <f>IFERROR(IF(AI25="","",IF(AI25&lt;=0.2,"Leve",IF(AI25&lt;=0.4,"Menor",IF(AI25&lt;=0.6,"Moderado",IF(AI25&lt;=0.8,"Mayor","Catastrófico"))))),"")</f>
        <v/>
      </c>
      <c r="AI25" s="180" t="str">
        <f t="shared" ref="AI25" si="17">IFERROR(IF(X25="Impacto",(T25-(+T25*AA25)),IF(X25="Probabilidad",T25,"")),"")</f>
        <v/>
      </c>
      <c r="AJ25" s="183" t="str">
        <f>IFERROR(IF(OR(AND(AF25="Muy Baja",AH25="Leve"),AND(AF25="Muy Baja",AH25="Menor"),AND(AF25="Baja",AH25="Leve")),"Bajo",IF(OR(AND(AF25="Muy baja",AH25="Moderado"),AND(AF25="Baja",AH25="Menor"),AND(AF25="Baja",AH25="Moderado"),AND(AF25="Media",AH25="Leve"),AND(AF25="Media",AH25="Menor"),AND(AF25="Media",AH25="Moderado"),AND(AF25="Alta",AH25="Leve"),AND(AF25="Alta",AH25="Menor")),"Moderado",IF(OR(AND(AF25="Muy Baja",AH25="Mayor"),AND(AF25="Baja",AH25="Mayor"),AND(AF25="Media",AH25="Mayor"),AND(AF25="Alta",AH25="Moderado"),AND(AF25="Alta",AH25="Mayor"),AND(AF25="Muy Alta",AH25="Leve"),AND(AF25="Muy Alta",AH25="Menor"),AND(AF25="Muy Alta",AH25="Moderado"),AND(AF25="Muy Alta",AH25="Mayor")),"Alto",IF(OR(AND(AF25="Muy Baja",AH25="Catastrófico"),AND(AF25="Baja",AH25="Catastrófico"),AND(AF25="Media",AH25="Catastrófico"),AND(AF25="Alta",AH25="Catastrófico"),AND(AF25="Muy Alta",AH25="Catastrófico")),"Extremo","")))),"")</f>
        <v/>
      </c>
      <c r="AK25" s="184"/>
      <c r="AL25" s="175"/>
      <c r="AM25" s="185"/>
      <c r="AN25" s="185"/>
      <c r="AO25" s="186"/>
      <c r="AP25" s="339"/>
      <c r="AQ25" s="339"/>
      <c r="AR25" s="339"/>
    </row>
    <row r="26" spans="1:44" ht="37.5" customHeight="1" x14ac:dyDescent="0.2">
      <c r="A26" s="328"/>
      <c r="B26" s="329"/>
      <c r="C26" s="329"/>
      <c r="D26" s="329"/>
      <c r="E26" s="372"/>
      <c r="F26" s="329"/>
      <c r="G26" s="343"/>
      <c r="H26" s="343"/>
      <c r="I26" s="343"/>
      <c r="J26" s="343"/>
      <c r="K26" s="343"/>
      <c r="L26" s="343"/>
      <c r="M26" s="343"/>
      <c r="N26" s="339"/>
      <c r="O26" s="340"/>
      <c r="P26" s="341"/>
      <c r="Q26" s="359"/>
      <c r="R26" s="341">
        <f>IF(NOT(ISERROR(MATCH(Q26,_xlfn.ANCHORARRAY(E37),0))),P39&amp;"Por favor no seleccionar los criterios de impacto",Q26)</f>
        <v>0</v>
      </c>
      <c r="S26" s="340"/>
      <c r="T26" s="341"/>
      <c r="U26" s="358"/>
      <c r="V26" s="203">
        <v>2</v>
      </c>
      <c r="W26" s="176"/>
      <c r="X26" s="178" t="str">
        <f>IF(OR(Y26="Preventivo",Y26="Detectivo"),"Probabilidad",IF(Y26="Correctivo","Impacto",""))</f>
        <v/>
      </c>
      <c r="Y26" s="179"/>
      <c r="Z26" s="179"/>
      <c r="AA26" s="180" t="str">
        <f t="shared" ref="AA26:AA30" si="18">IF(AND(Y26="Preventivo",Z26="Automático"),"50%",IF(AND(Y26="Preventivo",Z26="Manual"),"40%",IF(AND(Y26="Detectivo",Z26="Automático"),"40%",IF(AND(Y26="Detectivo",Z26="Manual"),"30%",IF(AND(Y26="Correctivo",Z26="Automático"),"35%",IF(AND(Y26="Correctivo",Z26="Manual"),"25%",""))))))</f>
        <v/>
      </c>
      <c r="AB26" s="179"/>
      <c r="AC26" s="179"/>
      <c r="AD26" s="179"/>
      <c r="AE26" s="181" t="str">
        <f>IFERROR(IF(AND(X25="Probabilidad",X26="Probabilidad"),(AG25-(+AG25*AA26)),IF(X26="Probabilidad",(P25-(+P25*AA26)),IF(X26="Impacto",AG25,""))),"")</f>
        <v/>
      </c>
      <c r="AF26" s="182" t="str">
        <f t="shared" si="2"/>
        <v/>
      </c>
      <c r="AG26" s="180" t="str">
        <f t="shared" ref="AG26:AG30" si="19">+AE26</f>
        <v/>
      </c>
      <c r="AH26" s="182" t="str">
        <f t="shared" si="4"/>
        <v/>
      </c>
      <c r="AI26" s="180" t="str">
        <f t="shared" ref="AI26" si="20">IFERROR(IF(AND(X25="Impacto",X26="Impacto"),(AI25-(+AI25*AA26)),IF(X26="Impacto",($T$13-(+$T$13*AA26)),IF(X26="Probabilidad",AI25,""))),"")</f>
        <v/>
      </c>
      <c r="AJ26" s="183" t="str">
        <f t="shared" ref="AJ26:AJ27" si="21">IFERROR(IF(OR(AND(AF26="Muy Baja",AH26="Leve"),AND(AF26="Muy Baja",AH26="Menor"),AND(AF26="Baja",AH26="Leve")),"Bajo",IF(OR(AND(AF26="Muy baja",AH26="Moderado"),AND(AF26="Baja",AH26="Menor"),AND(AF26="Baja",AH26="Moderado"),AND(AF26="Media",AH26="Leve"),AND(AF26="Media",AH26="Menor"),AND(AF26="Media",AH26="Moderado"),AND(AF26="Alta",AH26="Leve"),AND(AF26="Alta",AH26="Menor")),"Moderado",IF(OR(AND(AF26="Muy Baja",AH26="Mayor"),AND(AF26="Baja",AH26="Mayor"),AND(AF26="Media",AH26="Mayor"),AND(AF26="Alta",AH26="Moderado"),AND(AF26="Alta",AH26="Mayor"),AND(AF26="Muy Alta",AH26="Leve"),AND(AF26="Muy Alta",AH26="Menor"),AND(AF26="Muy Alta",AH26="Moderado"),AND(AF26="Muy Alta",AH26="Mayor")),"Alto",IF(OR(AND(AF26="Muy Baja",AH26="Catastrófico"),AND(AF26="Baja",AH26="Catastrófico"),AND(AF26="Media",AH26="Catastrófico"),AND(AF26="Alta",AH26="Catastrófico"),AND(AF26="Muy Alta",AH26="Catastrófico")),"Extremo","")))),"")</f>
        <v/>
      </c>
      <c r="AK26" s="184"/>
      <c r="AL26" s="175"/>
      <c r="AM26" s="185"/>
      <c r="AN26" s="185"/>
      <c r="AO26" s="186"/>
      <c r="AP26" s="339"/>
      <c r="AQ26" s="339"/>
      <c r="AR26" s="339"/>
    </row>
    <row r="27" spans="1:44" ht="37.5" customHeight="1" x14ac:dyDescent="0.2">
      <c r="A27" s="328"/>
      <c r="B27" s="329"/>
      <c r="C27" s="329"/>
      <c r="D27" s="329"/>
      <c r="E27" s="372"/>
      <c r="F27" s="329"/>
      <c r="G27" s="343"/>
      <c r="H27" s="343"/>
      <c r="I27" s="343"/>
      <c r="J27" s="343"/>
      <c r="K27" s="343"/>
      <c r="L27" s="343"/>
      <c r="M27" s="343"/>
      <c r="N27" s="339"/>
      <c r="O27" s="340"/>
      <c r="P27" s="341"/>
      <c r="Q27" s="359"/>
      <c r="R27" s="341">
        <f>IF(NOT(ISERROR(MATCH(Q27,_xlfn.ANCHORARRAY(E38),0))),P40&amp;"Por favor no seleccionar los criterios de impacto",Q27)</f>
        <v>0</v>
      </c>
      <c r="S27" s="340"/>
      <c r="T27" s="341"/>
      <c r="U27" s="358"/>
      <c r="V27" s="203">
        <v>3</v>
      </c>
      <c r="W27" s="176"/>
      <c r="X27" s="178" t="str">
        <f>IF(OR(Y27="Preventivo",Y27="Detectivo"),"Probabilidad",IF(Y27="Correctivo","Impacto",""))</f>
        <v/>
      </c>
      <c r="Y27" s="179"/>
      <c r="Z27" s="179"/>
      <c r="AA27" s="180" t="str">
        <f t="shared" si="18"/>
        <v/>
      </c>
      <c r="AB27" s="179"/>
      <c r="AC27" s="179"/>
      <c r="AD27" s="179"/>
      <c r="AE27" s="181" t="str">
        <f>IFERROR(IF(AND(X26="Probabilidad",X27="Probabilidad"),(AG26-(+AG26*AA27)),IF(AND(X26="Impacto",X27="Probabilidad"),(AG25-(+AG25*AA27)),IF(X27="Impacto",AG26,""))),"")</f>
        <v/>
      </c>
      <c r="AF27" s="182" t="str">
        <f t="shared" si="2"/>
        <v/>
      </c>
      <c r="AG27" s="180" t="str">
        <f t="shared" si="19"/>
        <v/>
      </c>
      <c r="AH27" s="182" t="str">
        <f t="shared" si="4"/>
        <v/>
      </c>
      <c r="AI27" s="180" t="str">
        <f t="shared" ref="AI27" si="22">IFERROR(IF(AND(X26="Impacto",X27="Impacto"),(AI26-(+AI26*AA27)),IF(AND(X26="Probabilidad",X27="Impacto"),(AI25-(+AI25*AA27)),IF(X27="Probabilidad",AI26,""))),"")</f>
        <v/>
      </c>
      <c r="AJ27" s="183" t="str">
        <f t="shared" si="21"/>
        <v/>
      </c>
      <c r="AK27" s="184"/>
      <c r="AL27" s="175"/>
      <c r="AM27" s="185"/>
      <c r="AN27" s="185"/>
      <c r="AO27" s="186"/>
      <c r="AP27" s="339"/>
      <c r="AQ27" s="339"/>
      <c r="AR27" s="339"/>
    </row>
    <row r="28" spans="1:44" ht="37.5" customHeight="1" x14ac:dyDescent="0.2">
      <c r="A28" s="328"/>
      <c r="B28" s="329"/>
      <c r="C28" s="329"/>
      <c r="D28" s="329"/>
      <c r="E28" s="372"/>
      <c r="F28" s="329"/>
      <c r="G28" s="343"/>
      <c r="H28" s="343"/>
      <c r="I28" s="343"/>
      <c r="J28" s="343"/>
      <c r="K28" s="343"/>
      <c r="L28" s="343"/>
      <c r="M28" s="343"/>
      <c r="N28" s="339"/>
      <c r="O28" s="340"/>
      <c r="P28" s="341"/>
      <c r="Q28" s="359"/>
      <c r="R28" s="341">
        <f>IF(NOT(ISERROR(MATCH(Q28,_xlfn.ANCHORARRAY(E39),0))),P41&amp;"Por favor no seleccionar los criterios de impacto",Q28)</f>
        <v>0</v>
      </c>
      <c r="S28" s="340"/>
      <c r="T28" s="341"/>
      <c r="U28" s="358"/>
      <c r="V28" s="203">
        <v>4</v>
      </c>
      <c r="W28" s="176"/>
      <c r="X28" s="178" t="str">
        <f t="shared" ref="X28:X30" si="23">IF(OR(Y28="Preventivo",Y28="Detectivo"),"Probabilidad",IF(Y28="Correctivo","Impacto",""))</f>
        <v/>
      </c>
      <c r="Y28" s="179"/>
      <c r="Z28" s="179"/>
      <c r="AA28" s="180" t="str">
        <f t="shared" si="18"/>
        <v/>
      </c>
      <c r="AB28" s="179"/>
      <c r="AC28" s="179"/>
      <c r="AD28" s="179"/>
      <c r="AE28" s="181" t="str">
        <f t="shared" ref="AE28:AE30" si="24">IFERROR(IF(AND(X27="Probabilidad",X28="Probabilidad"),(AG27-(+AG27*AA28)),IF(AND(X27="Impacto",X28="Probabilidad"),(AG26-(+AG26*AA28)),IF(X28="Impacto",AG27,""))),"")</f>
        <v/>
      </c>
      <c r="AF28" s="182" t="str">
        <f t="shared" si="2"/>
        <v/>
      </c>
      <c r="AG28" s="180" t="str">
        <f t="shared" si="19"/>
        <v/>
      </c>
      <c r="AH28" s="182" t="str">
        <f t="shared" si="4"/>
        <v/>
      </c>
      <c r="AI28" s="180" t="str">
        <f t="shared" si="13"/>
        <v/>
      </c>
      <c r="AJ28" s="183" t="str">
        <f>IFERROR(IF(OR(AND(AF28="Muy Baja",AH28="Leve"),AND(AF28="Muy Baja",AH28="Menor"),AND(AF28="Baja",AH28="Leve")),"Bajo",IF(OR(AND(AF28="Muy baja",AH28="Moderado"),AND(AF28="Baja",AH28="Menor"),AND(AF28="Baja",AH28="Moderado"),AND(AF28="Media",AH28="Leve"),AND(AF28="Media",AH28="Menor"),AND(AF28="Media",AH28="Moderado"),AND(AF28="Alta",AH28="Leve"),AND(AF28="Alta",AH28="Menor")),"Moderado",IF(OR(AND(AF28="Muy Baja",AH28="Mayor"),AND(AF28="Baja",AH28="Mayor"),AND(AF28="Media",AH28="Mayor"),AND(AF28="Alta",AH28="Moderado"),AND(AF28="Alta",AH28="Mayor"),AND(AF28="Muy Alta",AH28="Leve"),AND(AF28="Muy Alta",AH28="Menor"),AND(AF28="Muy Alta",AH28="Moderado"),AND(AF28="Muy Alta",AH28="Mayor")),"Alto",IF(OR(AND(AF28="Muy Baja",AH28="Catastrófico"),AND(AF28="Baja",AH28="Catastrófico"),AND(AF28="Media",AH28="Catastrófico"),AND(AF28="Alta",AH28="Catastrófico"),AND(AF28="Muy Alta",AH28="Catastrófico")),"Extremo","")))),"")</f>
        <v/>
      </c>
      <c r="AK28" s="184"/>
      <c r="AL28" s="175"/>
      <c r="AM28" s="185"/>
      <c r="AN28" s="185"/>
      <c r="AO28" s="186"/>
      <c r="AP28" s="339"/>
      <c r="AQ28" s="339"/>
      <c r="AR28" s="339"/>
    </row>
    <row r="29" spans="1:44" ht="37.5" customHeight="1" x14ac:dyDescent="0.2">
      <c r="A29" s="328"/>
      <c r="B29" s="329"/>
      <c r="C29" s="329"/>
      <c r="D29" s="329"/>
      <c r="E29" s="372"/>
      <c r="F29" s="329"/>
      <c r="G29" s="343"/>
      <c r="H29" s="343"/>
      <c r="I29" s="343"/>
      <c r="J29" s="343"/>
      <c r="K29" s="343"/>
      <c r="L29" s="343"/>
      <c r="M29" s="343"/>
      <c r="N29" s="339"/>
      <c r="O29" s="340"/>
      <c r="P29" s="341"/>
      <c r="Q29" s="359"/>
      <c r="R29" s="341">
        <f>IF(NOT(ISERROR(MATCH(Q29,_xlfn.ANCHORARRAY(E40),0))),P42&amp;"Por favor no seleccionar los criterios de impacto",Q29)</f>
        <v>0</v>
      </c>
      <c r="S29" s="340"/>
      <c r="T29" s="341"/>
      <c r="U29" s="358"/>
      <c r="V29" s="203">
        <v>5</v>
      </c>
      <c r="W29" s="176"/>
      <c r="X29" s="178" t="str">
        <f t="shared" si="23"/>
        <v/>
      </c>
      <c r="Y29" s="179"/>
      <c r="Z29" s="179"/>
      <c r="AA29" s="180" t="str">
        <f t="shared" si="18"/>
        <v/>
      </c>
      <c r="AB29" s="179"/>
      <c r="AC29" s="179"/>
      <c r="AD29" s="179"/>
      <c r="AE29" s="181" t="str">
        <f t="shared" si="24"/>
        <v/>
      </c>
      <c r="AF29" s="182" t="str">
        <f t="shared" si="2"/>
        <v/>
      </c>
      <c r="AG29" s="180" t="str">
        <f t="shared" si="19"/>
        <v/>
      </c>
      <c r="AH29" s="182" t="str">
        <f t="shared" si="4"/>
        <v/>
      </c>
      <c r="AI29" s="180" t="str">
        <f t="shared" si="13"/>
        <v/>
      </c>
      <c r="AJ29" s="183" t="str">
        <f t="shared" ref="AJ29:AJ30" si="25">IFERROR(IF(OR(AND(AF29="Muy Baja",AH29="Leve"),AND(AF29="Muy Baja",AH29="Menor"),AND(AF29="Baja",AH29="Leve")),"Bajo",IF(OR(AND(AF29="Muy baja",AH29="Moderado"),AND(AF29="Baja",AH29="Menor"),AND(AF29="Baja",AH29="Moderado"),AND(AF29="Media",AH29="Leve"),AND(AF29="Media",AH29="Menor"),AND(AF29="Media",AH29="Moderado"),AND(AF29="Alta",AH29="Leve"),AND(AF29="Alta",AH29="Menor")),"Moderado",IF(OR(AND(AF29="Muy Baja",AH29="Mayor"),AND(AF29="Baja",AH29="Mayor"),AND(AF29="Media",AH29="Mayor"),AND(AF29="Alta",AH29="Moderado"),AND(AF29="Alta",AH29="Mayor"),AND(AF29="Muy Alta",AH29="Leve"),AND(AF29="Muy Alta",AH29="Menor"),AND(AF29="Muy Alta",AH29="Moderado"),AND(AF29="Muy Alta",AH29="Mayor")),"Alto",IF(OR(AND(AF29="Muy Baja",AH29="Catastrófico"),AND(AF29="Baja",AH29="Catastrófico"),AND(AF29="Media",AH29="Catastrófico"),AND(AF29="Alta",AH29="Catastrófico"),AND(AF29="Muy Alta",AH29="Catastrófico")),"Extremo","")))),"")</f>
        <v/>
      </c>
      <c r="AK29" s="184"/>
      <c r="AL29" s="175"/>
      <c r="AM29" s="185"/>
      <c r="AN29" s="185"/>
      <c r="AO29" s="186"/>
      <c r="AP29" s="339"/>
      <c r="AQ29" s="339"/>
      <c r="AR29" s="339"/>
    </row>
    <row r="30" spans="1:44" ht="37.5" customHeight="1" x14ac:dyDescent="0.2">
      <c r="A30" s="328"/>
      <c r="B30" s="329"/>
      <c r="C30" s="329"/>
      <c r="D30" s="329"/>
      <c r="E30" s="372"/>
      <c r="F30" s="329"/>
      <c r="G30" s="344"/>
      <c r="H30" s="344"/>
      <c r="I30" s="344"/>
      <c r="J30" s="344"/>
      <c r="K30" s="344"/>
      <c r="L30" s="344"/>
      <c r="M30" s="344"/>
      <c r="N30" s="339"/>
      <c r="O30" s="340"/>
      <c r="P30" s="341"/>
      <c r="Q30" s="359"/>
      <c r="R30" s="341">
        <f>IF(NOT(ISERROR(MATCH(Q30,_xlfn.ANCHORARRAY(E41),0))),P43&amp;"Por favor no seleccionar los criterios de impacto",Q30)</f>
        <v>0</v>
      </c>
      <c r="S30" s="340"/>
      <c r="T30" s="341"/>
      <c r="U30" s="358"/>
      <c r="V30" s="203">
        <v>6</v>
      </c>
      <c r="W30" s="176"/>
      <c r="X30" s="178" t="str">
        <f t="shared" si="23"/>
        <v/>
      </c>
      <c r="Y30" s="179"/>
      <c r="Z30" s="179"/>
      <c r="AA30" s="180" t="str">
        <f t="shared" si="18"/>
        <v/>
      </c>
      <c r="AB30" s="179"/>
      <c r="AC30" s="179"/>
      <c r="AD30" s="179"/>
      <c r="AE30" s="181" t="str">
        <f t="shared" si="24"/>
        <v/>
      </c>
      <c r="AF30" s="182" t="str">
        <f t="shared" si="2"/>
        <v/>
      </c>
      <c r="AG30" s="180" t="str">
        <f t="shared" si="19"/>
        <v/>
      </c>
      <c r="AH30" s="182" t="str">
        <f t="shared" si="4"/>
        <v/>
      </c>
      <c r="AI30" s="180" t="str">
        <f t="shared" si="13"/>
        <v/>
      </c>
      <c r="AJ30" s="183" t="str">
        <f t="shared" si="25"/>
        <v/>
      </c>
      <c r="AK30" s="184"/>
      <c r="AL30" s="175"/>
      <c r="AM30" s="185"/>
      <c r="AN30" s="185"/>
      <c r="AO30" s="186"/>
      <c r="AP30" s="339"/>
      <c r="AQ30" s="339"/>
      <c r="AR30" s="339"/>
    </row>
    <row r="31" spans="1:44" ht="37.5" customHeight="1" x14ac:dyDescent="0.2">
      <c r="A31" s="328">
        <v>4</v>
      </c>
      <c r="B31" s="329"/>
      <c r="C31" s="329"/>
      <c r="D31" s="329"/>
      <c r="E31" s="329"/>
      <c r="F31" s="329"/>
      <c r="G31" s="342"/>
      <c r="H31" s="342"/>
      <c r="I31" s="342"/>
      <c r="J31" s="342"/>
      <c r="K31" s="342"/>
      <c r="L31" s="342"/>
      <c r="M31" s="342"/>
      <c r="N31" s="339"/>
      <c r="O31" s="340" t="str">
        <f>IF(N31&lt;=0,"",IF(N31&lt;=2,"Muy Baja",IF(N31&lt;=24,"Baja",IF(N31&lt;=500,"Media",IF(N31&lt;=5000,"Alta","Muy Alta")))))</f>
        <v/>
      </c>
      <c r="P31" s="341" t="str">
        <f>IF(O31="","",IF(O31="Muy Baja",0.2,IF(O31="Baja",0.4,IF(O31="Media",0.6,IF(O31="Alta",0.8,IF(O31="Muy Alta",1,))))))</f>
        <v/>
      </c>
      <c r="Q31" s="359"/>
      <c r="R31" s="341">
        <f>IF(NOT(ISERROR(MATCH(Q31,'Tabla Impacto'!$B$222:$B$224,0))),'Tabla Impacto'!$F$224&amp;"Por favor no seleccionar los criterios de impacto(Afectación Económica o presupuestal y Pérdida Reputacional)",Q31)</f>
        <v>0</v>
      </c>
      <c r="S31" s="340" t="str">
        <f>IF(OR(R31='Tabla Impacto'!$C$12,R31='Tabla Impacto'!$D$12),"Leve",IF(OR(R31='Tabla Impacto'!$C$13,R31='Tabla Impacto'!$D$13),"Menor",IF(OR(R31='Tabla Impacto'!$C$14,R31='Tabla Impacto'!$D$14),"Moderado",IF(OR(R31='Tabla Impacto'!$C$15,R31='Tabla Impacto'!$D$15),"Mayor",IF(OR(R31='Tabla Impacto'!$C$16,R31='Tabla Impacto'!$D$16),"Catastrófico","")))))</f>
        <v/>
      </c>
      <c r="T31" s="341" t="str">
        <f>IF(S31="","",IF(S31="Leve",0.2,IF(S31="Menor",0.4,IF(S31="Moderado",0.6,IF(S31="Mayor",0.8,IF(S31="Catastrófico",1,))))))</f>
        <v/>
      </c>
      <c r="U31" s="358" t="str">
        <f>IF(OR(AND(O31="Muy Baja",S31="Leve"),AND(O31="Muy Baja",S31="Menor"),AND(O31="Baja",S31="Leve")),"Bajo",IF(OR(AND(O31="Muy baja",S31="Moderado"),AND(O31="Baja",S31="Menor"),AND(O31="Baja",S31="Moderado"),AND(O31="Media",S31="Leve"),AND(O31="Media",S31="Menor"),AND(O31="Media",S31="Moderado"),AND(O31="Alta",S31="Leve"),AND(O31="Alta",S31="Menor")),"Moderado",IF(OR(AND(O31="Muy Baja",S31="Mayor"),AND(O31="Baja",S31="Mayor"),AND(O31="Media",S31="Mayor"),AND(O31="Alta",S31="Moderado"),AND(O31="Alta",S31="Mayor"),AND(O31="Muy Alta",S31="Leve"),AND(O31="Muy Alta",S31="Menor"),AND(O31="Muy Alta",S31="Moderado"),AND(O31="Muy Alta",S31="Mayor")),"Alto",IF(OR(AND(O31="Muy Baja",S31="Catastrófico"),AND(O31="Baja",S31="Catastrófico"),AND(O31="Media",S31="Catastrófico"),AND(O31="Alta",S31="Catastrófico"),AND(O31="Muy Alta",S31="Catastrófico")),"Extremo",""))))</f>
        <v/>
      </c>
      <c r="V31" s="203">
        <v>1</v>
      </c>
      <c r="W31" s="176"/>
      <c r="X31" s="178" t="str">
        <f>IF(OR(Y31="Preventivo",Y31="Detectivo"),"Probabilidad",IF(Y31="Correctivo","Impacto",""))</f>
        <v/>
      </c>
      <c r="Y31" s="179"/>
      <c r="Z31" s="179"/>
      <c r="AA31" s="180" t="str">
        <f>IF(AND(Y31="Preventivo",Z31="Automático"),"50%",IF(AND(Y31="Preventivo",Z31="Manual"),"40%",IF(AND(Y31="Detectivo",Z31="Automático"),"40%",IF(AND(Y31="Detectivo",Z31="Manual"),"30%",IF(AND(Y31="Correctivo",Z31="Automático"),"35%",IF(AND(Y31="Correctivo",Z31="Manual"),"25%",""))))))</f>
        <v/>
      </c>
      <c r="AB31" s="179"/>
      <c r="AC31" s="179"/>
      <c r="AD31" s="179"/>
      <c r="AE31" s="181" t="str">
        <f>IFERROR(IF(X31="Probabilidad",(P31-(+P31*AA31)),IF(X31="Impacto",P31,"")),"")</f>
        <v/>
      </c>
      <c r="AF31" s="182" t="str">
        <f>IFERROR(IF(AE31="","",IF(AE31&lt;=0.2,"Muy Baja",IF(AE31&lt;=0.4,"Baja",IF(AE31&lt;=0.6,"Media",IF(AE31&lt;=0.8,"Alta","Muy Alta"))))),"")</f>
        <v/>
      </c>
      <c r="AG31" s="180" t="str">
        <f>+AE31</f>
        <v/>
      </c>
      <c r="AH31" s="182" t="str">
        <f>IFERROR(IF(AI31="","",IF(AI31&lt;=0.2,"Leve",IF(AI31&lt;=0.4,"Menor",IF(AI31&lt;=0.6,"Moderado",IF(AI31&lt;=0.8,"Mayor","Catastrófico"))))),"")</f>
        <v/>
      </c>
      <c r="AI31" s="180" t="str">
        <f t="shared" ref="AI31" si="26">IFERROR(IF(X31="Impacto",(T31-(+T31*AA31)),IF(X31="Probabilidad",T31,"")),"")</f>
        <v/>
      </c>
      <c r="AJ31" s="183" t="str">
        <f>IFERROR(IF(OR(AND(AF31="Muy Baja",AH31="Leve"),AND(AF31="Muy Baja",AH31="Menor"),AND(AF31="Baja",AH31="Leve")),"Bajo",IF(OR(AND(AF31="Muy baja",AH31="Moderado"),AND(AF31="Baja",AH31="Menor"),AND(AF31="Baja",AH31="Moderado"),AND(AF31="Media",AH31="Leve"),AND(AF31="Media",AH31="Menor"),AND(AF31="Media",AH31="Moderado"),AND(AF31="Alta",AH31="Leve"),AND(AF31="Alta",AH31="Menor")),"Moderado",IF(OR(AND(AF31="Muy Baja",AH31="Mayor"),AND(AF31="Baja",AH31="Mayor"),AND(AF31="Media",AH31="Mayor"),AND(AF31="Alta",AH31="Moderado"),AND(AF31="Alta",AH31="Mayor"),AND(AF31="Muy Alta",AH31="Leve"),AND(AF31="Muy Alta",AH31="Menor"),AND(AF31="Muy Alta",AH31="Moderado"),AND(AF31="Muy Alta",AH31="Mayor")),"Alto",IF(OR(AND(AF31="Muy Baja",AH31="Catastrófico"),AND(AF31="Baja",AH31="Catastrófico"),AND(AF31="Media",AH31="Catastrófico"),AND(AF31="Alta",AH31="Catastrófico"),AND(AF31="Muy Alta",AH31="Catastrófico")),"Extremo","")))),"")</f>
        <v/>
      </c>
      <c r="AK31" s="184"/>
      <c r="AL31" s="175"/>
      <c r="AM31" s="185"/>
      <c r="AN31" s="185"/>
      <c r="AO31" s="186"/>
      <c r="AP31" s="339"/>
      <c r="AQ31" s="339"/>
      <c r="AR31" s="339"/>
    </row>
    <row r="32" spans="1:44" ht="37.5" customHeight="1" x14ac:dyDescent="0.2">
      <c r="A32" s="328"/>
      <c r="B32" s="329"/>
      <c r="C32" s="329"/>
      <c r="D32" s="329"/>
      <c r="E32" s="329"/>
      <c r="F32" s="329"/>
      <c r="G32" s="343"/>
      <c r="H32" s="343"/>
      <c r="I32" s="343"/>
      <c r="J32" s="343"/>
      <c r="K32" s="343"/>
      <c r="L32" s="343"/>
      <c r="M32" s="343"/>
      <c r="N32" s="339"/>
      <c r="O32" s="340"/>
      <c r="P32" s="341"/>
      <c r="Q32" s="359"/>
      <c r="R32" s="341">
        <f>IF(NOT(ISERROR(MATCH(Q32,_xlfn.ANCHORARRAY(E43),0))),P45&amp;"Por favor no seleccionar los criterios de impacto",Q32)</f>
        <v>0</v>
      </c>
      <c r="S32" s="340"/>
      <c r="T32" s="341"/>
      <c r="U32" s="358"/>
      <c r="V32" s="203">
        <v>2</v>
      </c>
      <c r="W32" s="176"/>
      <c r="X32" s="178" t="str">
        <f>IF(OR(Y32="Preventivo",Y32="Detectivo"),"Probabilidad",IF(Y32="Correctivo","Impacto",""))</f>
        <v/>
      </c>
      <c r="Y32" s="179"/>
      <c r="Z32" s="179"/>
      <c r="AA32" s="180" t="str">
        <f t="shared" ref="AA32:AA36" si="27">IF(AND(Y32="Preventivo",Z32="Automático"),"50%",IF(AND(Y32="Preventivo",Z32="Manual"),"40%",IF(AND(Y32="Detectivo",Z32="Automático"),"40%",IF(AND(Y32="Detectivo",Z32="Manual"),"30%",IF(AND(Y32="Correctivo",Z32="Automático"),"35%",IF(AND(Y32="Correctivo",Z32="Manual"),"25%",""))))))</f>
        <v/>
      </c>
      <c r="AB32" s="179"/>
      <c r="AC32" s="179"/>
      <c r="AD32" s="179"/>
      <c r="AE32" s="181" t="str">
        <f>IFERROR(IF(AND(X31="Probabilidad",X32="Probabilidad"),(AG31-(+AG31*AA32)),IF(X32="Probabilidad",(P31-(+P31*AA32)),IF(X32="Impacto",AG31,""))),"")</f>
        <v/>
      </c>
      <c r="AF32" s="182" t="str">
        <f t="shared" si="2"/>
        <v/>
      </c>
      <c r="AG32" s="180" t="str">
        <f t="shared" ref="AG32:AG36" si="28">+AE32</f>
        <v/>
      </c>
      <c r="AH32" s="182" t="str">
        <f t="shared" si="4"/>
        <v/>
      </c>
      <c r="AI32" s="180" t="str">
        <f t="shared" ref="AI32" si="29">IFERROR(IF(AND(X31="Impacto",X32="Impacto"),(AI31-(+AI31*AA32)),IF(X32="Impacto",($T$13-(+$T$13*AA32)),IF(X32="Probabilidad",AI31,""))),"")</f>
        <v/>
      </c>
      <c r="AJ32" s="183" t="str">
        <f t="shared" ref="AJ32:AJ33" si="30">IFERROR(IF(OR(AND(AF32="Muy Baja",AH32="Leve"),AND(AF32="Muy Baja",AH32="Menor"),AND(AF32="Baja",AH32="Leve")),"Bajo",IF(OR(AND(AF32="Muy baja",AH32="Moderado"),AND(AF32="Baja",AH32="Menor"),AND(AF32="Baja",AH32="Moderado"),AND(AF32="Media",AH32="Leve"),AND(AF32="Media",AH32="Menor"),AND(AF32="Media",AH32="Moderado"),AND(AF32="Alta",AH32="Leve"),AND(AF32="Alta",AH32="Menor")),"Moderado",IF(OR(AND(AF32="Muy Baja",AH32="Mayor"),AND(AF32="Baja",AH32="Mayor"),AND(AF32="Media",AH32="Mayor"),AND(AF32="Alta",AH32="Moderado"),AND(AF32="Alta",AH32="Mayor"),AND(AF32="Muy Alta",AH32="Leve"),AND(AF32="Muy Alta",AH32="Menor"),AND(AF32="Muy Alta",AH32="Moderado"),AND(AF32="Muy Alta",AH32="Mayor")),"Alto",IF(OR(AND(AF32="Muy Baja",AH32="Catastrófico"),AND(AF32="Baja",AH32="Catastrófico"),AND(AF32="Media",AH32="Catastrófico"),AND(AF32="Alta",AH32="Catastrófico"),AND(AF32="Muy Alta",AH32="Catastrófico")),"Extremo","")))),"")</f>
        <v/>
      </c>
      <c r="AK32" s="184"/>
      <c r="AL32" s="175"/>
      <c r="AM32" s="185"/>
      <c r="AN32" s="185"/>
      <c r="AO32" s="186"/>
      <c r="AP32" s="339"/>
      <c r="AQ32" s="339"/>
      <c r="AR32" s="339"/>
    </row>
    <row r="33" spans="1:44" ht="37.5" customHeight="1" x14ac:dyDescent="0.2">
      <c r="A33" s="328"/>
      <c r="B33" s="329"/>
      <c r="C33" s="329"/>
      <c r="D33" s="329"/>
      <c r="E33" s="329"/>
      <c r="F33" s="329"/>
      <c r="G33" s="343"/>
      <c r="H33" s="343"/>
      <c r="I33" s="343"/>
      <c r="J33" s="343"/>
      <c r="K33" s="343"/>
      <c r="L33" s="343"/>
      <c r="M33" s="343"/>
      <c r="N33" s="339"/>
      <c r="O33" s="340"/>
      <c r="P33" s="341"/>
      <c r="Q33" s="359"/>
      <c r="R33" s="341">
        <f>IF(NOT(ISERROR(MATCH(Q33,_xlfn.ANCHORARRAY(E44),0))),P46&amp;"Por favor no seleccionar los criterios de impacto",Q33)</f>
        <v>0</v>
      </c>
      <c r="S33" s="340"/>
      <c r="T33" s="341"/>
      <c r="U33" s="358"/>
      <c r="V33" s="203">
        <v>3</v>
      </c>
      <c r="W33" s="177"/>
      <c r="X33" s="178" t="str">
        <f>IF(OR(Y33="Preventivo",Y33="Detectivo"),"Probabilidad",IF(Y33="Correctivo","Impacto",""))</f>
        <v/>
      </c>
      <c r="Y33" s="179"/>
      <c r="Z33" s="179"/>
      <c r="AA33" s="180" t="str">
        <f t="shared" si="27"/>
        <v/>
      </c>
      <c r="AB33" s="179"/>
      <c r="AC33" s="179"/>
      <c r="AD33" s="179"/>
      <c r="AE33" s="181" t="str">
        <f>IFERROR(IF(AND(X32="Probabilidad",X33="Probabilidad"),(AG32-(+AG32*AA33)),IF(AND(X32="Impacto",X33="Probabilidad"),(AG31-(+AG31*AA33)),IF(X33="Impacto",AG32,""))),"")</f>
        <v/>
      </c>
      <c r="AF33" s="182" t="str">
        <f t="shared" si="2"/>
        <v/>
      </c>
      <c r="AG33" s="180" t="str">
        <f t="shared" si="28"/>
        <v/>
      </c>
      <c r="AH33" s="182" t="str">
        <f t="shared" si="4"/>
        <v/>
      </c>
      <c r="AI33" s="180" t="str">
        <f t="shared" ref="AI33" si="31">IFERROR(IF(AND(X32="Impacto",X33="Impacto"),(AI32-(+AI32*AA33)),IF(AND(X32="Probabilidad",X33="Impacto"),(AI31-(+AI31*AA33)),IF(X33="Probabilidad",AI32,""))),"")</f>
        <v/>
      </c>
      <c r="AJ33" s="183" t="str">
        <f t="shared" si="30"/>
        <v/>
      </c>
      <c r="AK33" s="184"/>
      <c r="AL33" s="175"/>
      <c r="AM33" s="185"/>
      <c r="AN33" s="185"/>
      <c r="AO33" s="186"/>
      <c r="AP33" s="339"/>
      <c r="AQ33" s="339"/>
      <c r="AR33" s="339"/>
    </row>
    <row r="34" spans="1:44" ht="37.5" customHeight="1" x14ac:dyDescent="0.2">
      <c r="A34" s="328"/>
      <c r="B34" s="329"/>
      <c r="C34" s="329"/>
      <c r="D34" s="329"/>
      <c r="E34" s="329"/>
      <c r="F34" s="329"/>
      <c r="G34" s="343"/>
      <c r="H34" s="343"/>
      <c r="I34" s="343"/>
      <c r="J34" s="343"/>
      <c r="K34" s="343"/>
      <c r="L34" s="343"/>
      <c r="M34" s="343"/>
      <c r="N34" s="339"/>
      <c r="O34" s="340"/>
      <c r="P34" s="341"/>
      <c r="Q34" s="359"/>
      <c r="R34" s="341">
        <f>IF(NOT(ISERROR(MATCH(Q34,_xlfn.ANCHORARRAY(E45),0))),P47&amp;"Por favor no seleccionar los criterios de impacto",Q34)</f>
        <v>0</v>
      </c>
      <c r="S34" s="340"/>
      <c r="T34" s="341"/>
      <c r="U34" s="358"/>
      <c r="V34" s="203">
        <v>4</v>
      </c>
      <c r="W34" s="176"/>
      <c r="X34" s="178" t="str">
        <f t="shared" ref="X34:X36" si="32">IF(OR(Y34="Preventivo",Y34="Detectivo"),"Probabilidad",IF(Y34="Correctivo","Impacto",""))</f>
        <v/>
      </c>
      <c r="Y34" s="179"/>
      <c r="Z34" s="179"/>
      <c r="AA34" s="180" t="str">
        <f t="shared" si="27"/>
        <v/>
      </c>
      <c r="AB34" s="179"/>
      <c r="AC34" s="179"/>
      <c r="AD34" s="179"/>
      <c r="AE34" s="181" t="str">
        <f t="shared" ref="AE34:AE36" si="33">IFERROR(IF(AND(X33="Probabilidad",X34="Probabilidad"),(AG33-(+AG33*AA34)),IF(AND(X33="Impacto",X34="Probabilidad"),(AG32-(+AG32*AA34)),IF(X34="Impacto",AG33,""))),"")</f>
        <v/>
      </c>
      <c r="AF34" s="182" t="str">
        <f t="shared" si="2"/>
        <v/>
      </c>
      <c r="AG34" s="180" t="str">
        <f t="shared" si="28"/>
        <v/>
      </c>
      <c r="AH34" s="182" t="str">
        <f t="shared" si="4"/>
        <v/>
      </c>
      <c r="AI34" s="180" t="str">
        <f t="shared" si="13"/>
        <v/>
      </c>
      <c r="AJ34" s="183" t="str">
        <f>IFERROR(IF(OR(AND(AF34="Muy Baja",AH34="Leve"),AND(AF34="Muy Baja",AH34="Menor"),AND(AF34="Baja",AH34="Leve")),"Bajo",IF(OR(AND(AF34="Muy baja",AH34="Moderado"),AND(AF34="Baja",AH34="Menor"),AND(AF34="Baja",AH34="Moderado"),AND(AF34="Media",AH34="Leve"),AND(AF34="Media",AH34="Menor"),AND(AF34="Media",AH34="Moderado"),AND(AF34="Alta",AH34="Leve"),AND(AF34="Alta",AH34="Menor")),"Moderado",IF(OR(AND(AF34="Muy Baja",AH34="Mayor"),AND(AF34="Baja",AH34="Mayor"),AND(AF34="Media",AH34="Mayor"),AND(AF34="Alta",AH34="Moderado"),AND(AF34="Alta",AH34="Mayor"),AND(AF34="Muy Alta",AH34="Leve"),AND(AF34="Muy Alta",AH34="Menor"),AND(AF34="Muy Alta",AH34="Moderado"),AND(AF34="Muy Alta",AH34="Mayor")),"Alto",IF(OR(AND(AF34="Muy Baja",AH34="Catastrófico"),AND(AF34="Baja",AH34="Catastrófico"),AND(AF34="Media",AH34="Catastrófico"),AND(AF34="Alta",AH34="Catastrófico"),AND(AF34="Muy Alta",AH34="Catastrófico")),"Extremo","")))),"")</f>
        <v/>
      </c>
      <c r="AK34" s="184"/>
      <c r="AL34" s="175"/>
      <c r="AM34" s="185"/>
      <c r="AN34" s="185"/>
      <c r="AO34" s="186"/>
      <c r="AP34" s="339"/>
      <c r="AQ34" s="339"/>
      <c r="AR34" s="339"/>
    </row>
    <row r="35" spans="1:44" ht="37.5" customHeight="1" x14ac:dyDescent="0.2">
      <c r="A35" s="328"/>
      <c r="B35" s="329"/>
      <c r="C35" s="329"/>
      <c r="D35" s="329"/>
      <c r="E35" s="329"/>
      <c r="F35" s="329"/>
      <c r="G35" s="343"/>
      <c r="H35" s="343"/>
      <c r="I35" s="343"/>
      <c r="J35" s="343"/>
      <c r="K35" s="343"/>
      <c r="L35" s="343"/>
      <c r="M35" s="343"/>
      <c r="N35" s="339"/>
      <c r="O35" s="340"/>
      <c r="P35" s="341"/>
      <c r="Q35" s="359"/>
      <c r="R35" s="341">
        <f>IF(NOT(ISERROR(MATCH(Q35,_xlfn.ANCHORARRAY(E46),0))),P48&amp;"Por favor no seleccionar los criterios de impacto",Q35)</f>
        <v>0</v>
      </c>
      <c r="S35" s="340"/>
      <c r="T35" s="341"/>
      <c r="U35" s="358"/>
      <c r="V35" s="203">
        <v>5</v>
      </c>
      <c r="W35" s="176"/>
      <c r="X35" s="178" t="str">
        <f t="shared" si="32"/>
        <v/>
      </c>
      <c r="Y35" s="179"/>
      <c r="Z35" s="179"/>
      <c r="AA35" s="180" t="str">
        <f t="shared" si="27"/>
        <v/>
      </c>
      <c r="AB35" s="179"/>
      <c r="AC35" s="179"/>
      <c r="AD35" s="179"/>
      <c r="AE35" s="181" t="str">
        <f t="shared" si="33"/>
        <v/>
      </c>
      <c r="AF35" s="182" t="str">
        <f>IFERROR(IF(AE35="","",IF(AE35&lt;=0.2,"Muy Baja",IF(AE35&lt;=0.4,"Baja",IF(AE35&lt;=0.6,"Media",IF(AE35&lt;=0.8,"Alta","Muy Alta"))))),"")</f>
        <v/>
      </c>
      <c r="AG35" s="180" t="str">
        <f t="shared" si="28"/>
        <v/>
      </c>
      <c r="AH35" s="182" t="str">
        <f t="shared" si="4"/>
        <v/>
      </c>
      <c r="AI35" s="180" t="str">
        <f t="shared" si="13"/>
        <v/>
      </c>
      <c r="AJ35" s="183" t="str">
        <f t="shared" ref="AJ35:AJ36" si="34">IFERROR(IF(OR(AND(AF35="Muy Baja",AH35="Leve"),AND(AF35="Muy Baja",AH35="Menor"),AND(AF35="Baja",AH35="Leve")),"Bajo",IF(OR(AND(AF35="Muy baja",AH35="Moderado"),AND(AF35="Baja",AH35="Menor"),AND(AF35="Baja",AH35="Moderado"),AND(AF35="Media",AH35="Leve"),AND(AF35="Media",AH35="Menor"),AND(AF35="Media",AH35="Moderado"),AND(AF35="Alta",AH35="Leve"),AND(AF35="Alta",AH35="Menor")),"Moderado",IF(OR(AND(AF35="Muy Baja",AH35="Mayor"),AND(AF35="Baja",AH35="Mayor"),AND(AF35="Media",AH35="Mayor"),AND(AF35="Alta",AH35="Moderado"),AND(AF35="Alta",AH35="Mayor"),AND(AF35="Muy Alta",AH35="Leve"),AND(AF35="Muy Alta",AH35="Menor"),AND(AF35="Muy Alta",AH35="Moderado"),AND(AF35="Muy Alta",AH35="Mayor")),"Alto",IF(OR(AND(AF35="Muy Baja",AH35="Catastrófico"),AND(AF35="Baja",AH35="Catastrófico"),AND(AF35="Media",AH35="Catastrófico"),AND(AF35="Alta",AH35="Catastrófico"),AND(AF35="Muy Alta",AH35="Catastrófico")),"Extremo","")))),"")</f>
        <v/>
      </c>
      <c r="AK35" s="184"/>
      <c r="AL35" s="175"/>
      <c r="AM35" s="185"/>
      <c r="AN35" s="185"/>
      <c r="AO35" s="186"/>
      <c r="AP35" s="339"/>
      <c r="AQ35" s="339"/>
      <c r="AR35" s="339"/>
    </row>
    <row r="36" spans="1:44" ht="37.5" customHeight="1" x14ac:dyDescent="0.2">
      <c r="A36" s="328"/>
      <c r="B36" s="329"/>
      <c r="C36" s="329"/>
      <c r="D36" s="329"/>
      <c r="E36" s="329"/>
      <c r="F36" s="329"/>
      <c r="G36" s="344"/>
      <c r="H36" s="344"/>
      <c r="I36" s="344"/>
      <c r="J36" s="344"/>
      <c r="K36" s="344"/>
      <c r="L36" s="344"/>
      <c r="M36" s="344"/>
      <c r="N36" s="339"/>
      <c r="O36" s="340"/>
      <c r="P36" s="341"/>
      <c r="Q36" s="359"/>
      <c r="R36" s="341">
        <f>IF(NOT(ISERROR(MATCH(Q36,_xlfn.ANCHORARRAY(E47),0))),P49&amp;"Por favor no seleccionar los criterios de impacto",Q36)</f>
        <v>0</v>
      </c>
      <c r="S36" s="340"/>
      <c r="T36" s="341"/>
      <c r="U36" s="358"/>
      <c r="V36" s="203">
        <v>6</v>
      </c>
      <c r="W36" s="176"/>
      <c r="X36" s="178" t="str">
        <f t="shared" si="32"/>
        <v/>
      </c>
      <c r="Y36" s="179"/>
      <c r="Z36" s="179"/>
      <c r="AA36" s="180" t="str">
        <f t="shared" si="27"/>
        <v/>
      </c>
      <c r="AB36" s="179"/>
      <c r="AC36" s="179"/>
      <c r="AD36" s="179"/>
      <c r="AE36" s="181" t="str">
        <f t="shared" si="33"/>
        <v/>
      </c>
      <c r="AF36" s="182" t="str">
        <f t="shared" si="2"/>
        <v/>
      </c>
      <c r="AG36" s="180" t="str">
        <f t="shared" si="28"/>
        <v/>
      </c>
      <c r="AH36" s="182" t="str">
        <f t="shared" si="4"/>
        <v/>
      </c>
      <c r="AI36" s="180" t="str">
        <f t="shared" si="13"/>
        <v/>
      </c>
      <c r="AJ36" s="183" t="str">
        <f t="shared" si="34"/>
        <v/>
      </c>
      <c r="AK36" s="184"/>
      <c r="AL36" s="175"/>
      <c r="AM36" s="185"/>
      <c r="AN36" s="185"/>
      <c r="AO36" s="186"/>
      <c r="AP36" s="339"/>
      <c r="AQ36" s="339"/>
      <c r="AR36" s="339"/>
    </row>
    <row r="37" spans="1:44" ht="37.5" customHeight="1" x14ac:dyDescent="0.2">
      <c r="A37" s="328">
        <v>5</v>
      </c>
      <c r="B37" s="329"/>
      <c r="C37" s="329"/>
      <c r="D37" s="329"/>
      <c r="E37" s="329"/>
      <c r="F37" s="329"/>
      <c r="G37" s="342"/>
      <c r="H37" s="342"/>
      <c r="I37" s="342"/>
      <c r="J37" s="342"/>
      <c r="K37" s="342"/>
      <c r="L37" s="342"/>
      <c r="M37" s="342"/>
      <c r="N37" s="339"/>
      <c r="O37" s="340" t="str">
        <f>IF(N37&lt;=0,"",IF(N37&lt;=2,"Muy Baja",IF(N37&lt;=24,"Baja",IF(N37&lt;=500,"Media",IF(N37&lt;=5000,"Alta","Muy Alta")))))</f>
        <v/>
      </c>
      <c r="P37" s="341" t="str">
        <f>IF(O37="","",IF(O37="Muy Baja",0.2,IF(O37="Baja",0.4,IF(O37="Media",0.6,IF(O37="Alta",0.8,IF(O37="Muy Alta",1,))))))</f>
        <v/>
      </c>
      <c r="Q37" s="359"/>
      <c r="R37" s="341">
        <f>IF(NOT(ISERROR(MATCH(Q37,'Tabla Impacto'!$B$222:$B$224,0))),'Tabla Impacto'!$F$224&amp;"Por favor no seleccionar los criterios de impacto(Afectación Económica o presupuestal y Pérdida Reputacional)",Q37)</f>
        <v>0</v>
      </c>
      <c r="S37" s="340" t="str">
        <f>IF(OR(R37='Tabla Impacto'!$C$12,R37='Tabla Impacto'!$D$12),"Leve",IF(OR(R37='Tabla Impacto'!$C$13,R37='Tabla Impacto'!$D$13),"Menor",IF(OR(R37='Tabla Impacto'!$C$14,R37='Tabla Impacto'!$D$14),"Moderado",IF(OR(R37='Tabla Impacto'!$C$15,R37='Tabla Impacto'!$D$15),"Mayor",IF(OR(R37='Tabla Impacto'!$C$16,R37='Tabla Impacto'!$D$16),"Catastrófico","")))))</f>
        <v/>
      </c>
      <c r="T37" s="341" t="str">
        <f>IF(S37="","",IF(S37="Leve",0.2,IF(S37="Menor",0.4,IF(S37="Moderado",0.6,IF(S37="Mayor",0.8,IF(S37="Catastrófico",1,))))))</f>
        <v/>
      </c>
      <c r="U37" s="358" t="str">
        <f>IF(OR(AND(O37="Muy Baja",S37="Leve"),AND(O37="Muy Baja",S37="Menor"),AND(O37="Baja",S37="Leve")),"Bajo",IF(OR(AND(O37="Muy baja",S37="Moderado"),AND(O37="Baja",S37="Menor"),AND(O37="Baja",S37="Moderado"),AND(O37="Media",S37="Leve"),AND(O37="Media",S37="Menor"),AND(O37="Media",S37="Moderado"),AND(O37="Alta",S37="Leve"),AND(O37="Alta",S37="Menor")),"Moderado",IF(OR(AND(O37="Muy Baja",S37="Mayor"),AND(O37="Baja",S37="Mayor"),AND(O37="Media",S37="Mayor"),AND(O37="Alta",S37="Moderado"),AND(O37="Alta",S37="Mayor"),AND(O37="Muy Alta",S37="Leve"),AND(O37="Muy Alta",S37="Menor"),AND(O37="Muy Alta",S37="Moderado"),AND(O37="Muy Alta",S37="Mayor")),"Alto",IF(OR(AND(O37="Muy Baja",S37="Catastrófico"),AND(O37="Baja",S37="Catastrófico"),AND(O37="Media",S37="Catastrófico"),AND(O37="Alta",S37="Catastrófico"),AND(O37="Muy Alta",S37="Catastrófico")),"Extremo",""))))</f>
        <v/>
      </c>
      <c r="V37" s="203">
        <v>1</v>
      </c>
      <c r="W37" s="176"/>
      <c r="X37" s="178" t="str">
        <f>IF(OR(Y37="Preventivo",Y37="Detectivo"),"Probabilidad",IF(Y37="Correctivo","Impacto",""))</f>
        <v/>
      </c>
      <c r="Y37" s="179"/>
      <c r="Z37" s="179"/>
      <c r="AA37" s="180" t="str">
        <f>IF(AND(Y37="Preventivo",Z37="Automático"),"50%",IF(AND(Y37="Preventivo",Z37="Manual"),"40%",IF(AND(Y37="Detectivo",Z37="Automático"),"40%",IF(AND(Y37="Detectivo",Z37="Manual"),"30%",IF(AND(Y37="Correctivo",Z37="Automático"),"35%",IF(AND(Y37="Correctivo",Z37="Manual"),"25%",""))))))</f>
        <v/>
      </c>
      <c r="AB37" s="179"/>
      <c r="AC37" s="179"/>
      <c r="AD37" s="179"/>
      <c r="AE37" s="181" t="str">
        <f>IFERROR(IF(X37="Probabilidad",(P37-(+P37*AA37)),IF(X37="Impacto",P37,"")),"")</f>
        <v/>
      </c>
      <c r="AF37" s="182" t="str">
        <f>IFERROR(IF(AE37="","",IF(AE37&lt;=0.2,"Muy Baja",IF(AE37&lt;=0.4,"Baja",IF(AE37&lt;=0.6,"Media",IF(AE37&lt;=0.8,"Alta","Muy Alta"))))),"")</f>
        <v/>
      </c>
      <c r="AG37" s="180" t="str">
        <f>+AE37</f>
        <v/>
      </c>
      <c r="AH37" s="182" t="str">
        <f>IFERROR(IF(AI37="","",IF(AI37&lt;=0.2,"Leve",IF(AI37&lt;=0.4,"Menor",IF(AI37&lt;=0.6,"Moderado",IF(AI37&lt;=0.8,"Mayor","Catastrófico"))))),"")</f>
        <v/>
      </c>
      <c r="AI37" s="180" t="str">
        <f t="shared" ref="AI37" si="35">IFERROR(IF(X37="Impacto",(T37-(+T37*AA37)),IF(X37="Probabilidad",T37,"")),"")</f>
        <v/>
      </c>
      <c r="AJ37" s="183" t="str">
        <f>IFERROR(IF(OR(AND(AF37="Muy Baja",AH37="Leve"),AND(AF37="Muy Baja",AH37="Menor"),AND(AF37="Baja",AH37="Leve")),"Bajo",IF(OR(AND(AF37="Muy baja",AH37="Moderado"),AND(AF37="Baja",AH37="Menor"),AND(AF37="Baja",AH37="Moderado"),AND(AF37="Media",AH37="Leve"),AND(AF37="Media",AH37="Menor"),AND(AF37="Media",AH37="Moderado"),AND(AF37="Alta",AH37="Leve"),AND(AF37="Alta",AH37="Menor")),"Moderado",IF(OR(AND(AF37="Muy Baja",AH37="Mayor"),AND(AF37="Baja",AH37="Mayor"),AND(AF37="Media",AH37="Mayor"),AND(AF37="Alta",AH37="Moderado"),AND(AF37="Alta",AH37="Mayor"),AND(AF37="Muy Alta",AH37="Leve"),AND(AF37="Muy Alta",AH37="Menor"),AND(AF37="Muy Alta",AH37="Moderado"),AND(AF37="Muy Alta",AH37="Mayor")),"Alto",IF(OR(AND(AF37="Muy Baja",AH37="Catastrófico"),AND(AF37="Baja",AH37="Catastrófico"),AND(AF37="Media",AH37="Catastrófico"),AND(AF37="Alta",AH37="Catastrófico"),AND(AF37="Muy Alta",AH37="Catastrófico")),"Extremo","")))),"")</f>
        <v/>
      </c>
      <c r="AK37" s="184"/>
      <c r="AL37" s="175"/>
      <c r="AM37" s="185"/>
      <c r="AN37" s="185"/>
      <c r="AO37" s="186"/>
      <c r="AP37" s="339"/>
      <c r="AQ37" s="339"/>
      <c r="AR37" s="339"/>
    </row>
    <row r="38" spans="1:44" ht="37.5" customHeight="1" x14ac:dyDescent="0.2">
      <c r="A38" s="328"/>
      <c r="B38" s="329"/>
      <c r="C38" s="329"/>
      <c r="D38" s="329"/>
      <c r="E38" s="329"/>
      <c r="F38" s="329"/>
      <c r="G38" s="343"/>
      <c r="H38" s="343"/>
      <c r="I38" s="343"/>
      <c r="J38" s="343"/>
      <c r="K38" s="343"/>
      <c r="L38" s="343"/>
      <c r="M38" s="343"/>
      <c r="N38" s="339"/>
      <c r="O38" s="340"/>
      <c r="P38" s="341"/>
      <c r="Q38" s="359"/>
      <c r="R38" s="341">
        <f>IF(NOT(ISERROR(MATCH(Q38,_xlfn.ANCHORARRAY(E49),0))),P51&amp;"Por favor no seleccionar los criterios de impacto",Q38)</f>
        <v>0</v>
      </c>
      <c r="S38" s="340"/>
      <c r="T38" s="341"/>
      <c r="U38" s="358"/>
      <c r="V38" s="203">
        <v>2</v>
      </c>
      <c r="W38" s="176"/>
      <c r="X38" s="178" t="str">
        <f>IF(OR(Y38="Preventivo",Y38="Detectivo"),"Probabilidad",IF(Y38="Correctivo","Impacto",""))</f>
        <v/>
      </c>
      <c r="Y38" s="179"/>
      <c r="Z38" s="179"/>
      <c r="AA38" s="180" t="str">
        <f t="shared" ref="AA38:AA42" si="36">IF(AND(Y38="Preventivo",Z38="Automático"),"50%",IF(AND(Y38="Preventivo",Z38="Manual"),"40%",IF(AND(Y38="Detectivo",Z38="Automático"),"40%",IF(AND(Y38="Detectivo",Z38="Manual"),"30%",IF(AND(Y38="Correctivo",Z38="Automático"),"35%",IF(AND(Y38="Correctivo",Z38="Manual"),"25%",""))))))</f>
        <v/>
      </c>
      <c r="AB38" s="179"/>
      <c r="AC38" s="179"/>
      <c r="AD38" s="179"/>
      <c r="AE38" s="181" t="str">
        <f>IFERROR(IF(AND(X37="Probabilidad",X38="Probabilidad"),(AG37-(+AG37*AA38)),IF(X38="Probabilidad",(P37-(+P37*AA38)),IF(X38="Impacto",AG37,""))),"")</f>
        <v/>
      </c>
      <c r="AF38" s="182" t="str">
        <f t="shared" si="2"/>
        <v/>
      </c>
      <c r="AG38" s="180" t="str">
        <f t="shared" ref="AG38:AG42" si="37">+AE38</f>
        <v/>
      </c>
      <c r="AH38" s="182" t="str">
        <f t="shared" si="4"/>
        <v/>
      </c>
      <c r="AI38" s="180" t="str">
        <f t="shared" ref="AI38" si="38">IFERROR(IF(AND(X37="Impacto",X38="Impacto"),(AI37-(+AI37*AA38)),IF(X38="Impacto",($T$13-(+$T$13*AA38)),IF(X38="Probabilidad",AI37,""))),"")</f>
        <v/>
      </c>
      <c r="AJ38" s="183" t="str">
        <f t="shared" ref="AJ38:AJ39" si="39">IFERROR(IF(OR(AND(AF38="Muy Baja",AH38="Leve"),AND(AF38="Muy Baja",AH38="Menor"),AND(AF38="Baja",AH38="Leve")),"Bajo",IF(OR(AND(AF38="Muy baja",AH38="Moderado"),AND(AF38="Baja",AH38="Menor"),AND(AF38="Baja",AH38="Moderado"),AND(AF38="Media",AH38="Leve"),AND(AF38="Media",AH38="Menor"),AND(AF38="Media",AH38="Moderado"),AND(AF38="Alta",AH38="Leve"),AND(AF38="Alta",AH38="Menor")),"Moderado",IF(OR(AND(AF38="Muy Baja",AH38="Mayor"),AND(AF38="Baja",AH38="Mayor"),AND(AF38="Media",AH38="Mayor"),AND(AF38="Alta",AH38="Moderado"),AND(AF38="Alta",AH38="Mayor"),AND(AF38="Muy Alta",AH38="Leve"),AND(AF38="Muy Alta",AH38="Menor"),AND(AF38="Muy Alta",AH38="Moderado"),AND(AF38="Muy Alta",AH38="Mayor")),"Alto",IF(OR(AND(AF38="Muy Baja",AH38="Catastrófico"),AND(AF38="Baja",AH38="Catastrófico"),AND(AF38="Media",AH38="Catastrófico"),AND(AF38="Alta",AH38="Catastrófico"),AND(AF38="Muy Alta",AH38="Catastrófico")),"Extremo","")))),"")</f>
        <v/>
      </c>
      <c r="AK38" s="184"/>
      <c r="AL38" s="175"/>
      <c r="AM38" s="185"/>
      <c r="AN38" s="185"/>
      <c r="AO38" s="186"/>
      <c r="AP38" s="339"/>
      <c r="AQ38" s="339"/>
      <c r="AR38" s="339"/>
    </row>
    <row r="39" spans="1:44" ht="37.5" customHeight="1" x14ac:dyDescent="0.2">
      <c r="A39" s="328"/>
      <c r="B39" s="329"/>
      <c r="C39" s="329"/>
      <c r="D39" s="329"/>
      <c r="E39" s="329"/>
      <c r="F39" s="329"/>
      <c r="G39" s="343"/>
      <c r="H39" s="343"/>
      <c r="I39" s="343"/>
      <c r="J39" s="343"/>
      <c r="K39" s="343"/>
      <c r="L39" s="343"/>
      <c r="M39" s="343"/>
      <c r="N39" s="339"/>
      <c r="O39" s="340"/>
      <c r="P39" s="341"/>
      <c r="Q39" s="359"/>
      <c r="R39" s="341">
        <f>IF(NOT(ISERROR(MATCH(Q39,_xlfn.ANCHORARRAY(E50),0))),P52&amp;"Por favor no seleccionar los criterios de impacto",Q39)</f>
        <v>0</v>
      </c>
      <c r="S39" s="340"/>
      <c r="T39" s="341"/>
      <c r="U39" s="358"/>
      <c r="V39" s="203">
        <v>3</v>
      </c>
      <c r="W39" s="177"/>
      <c r="X39" s="178" t="str">
        <f>IF(OR(Y39="Preventivo",Y39="Detectivo"),"Probabilidad",IF(Y39="Correctivo","Impacto",""))</f>
        <v/>
      </c>
      <c r="Y39" s="179"/>
      <c r="Z39" s="179"/>
      <c r="AA39" s="180" t="str">
        <f t="shared" si="36"/>
        <v/>
      </c>
      <c r="AB39" s="179"/>
      <c r="AC39" s="179"/>
      <c r="AD39" s="179"/>
      <c r="AE39" s="181" t="str">
        <f>IFERROR(IF(AND(X38="Probabilidad",X39="Probabilidad"),(AG38-(+AG38*AA39)),IF(AND(X38="Impacto",X39="Probabilidad"),(AG37-(+AG37*AA39)),IF(X39="Impacto",AG38,""))),"")</f>
        <v/>
      </c>
      <c r="AF39" s="182" t="str">
        <f t="shared" si="2"/>
        <v/>
      </c>
      <c r="AG39" s="180" t="str">
        <f t="shared" si="37"/>
        <v/>
      </c>
      <c r="AH39" s="182" t="str">
        <f t="shared" si="4"/>
        <v/>
      </c>
      <c r="AI39" s="180" t="str">
        <f t="shared" ref="AI39" si="40">IFERROR(IF(AND(X38="Impacto",X39="Impacto"),(AI38-(+AI38*AA39)),IF(AND(X38="Probabilidad",X39="Impacto"),(AI37-(+AI37*AA39)),IF(X39="Probabilidad",AI38,""))),"")</f>
        <v/>
      </c>
      <c r="AJ39" s="183" t="str">
        <f t="shared" si="39"/>
        <v/>
      </c>
      <c r="AK39" s="184"/>
      <c r="AL39" s="175"/>
      <c r="AM39" s="185"/>
      <c r="AN39" s="185"/>
      <c r="AO39" s="186"/>
      <c r="AP39" s="339"/>
      <c r="AQ39" s="339"/>
      <c r="AR39" s="339"/>
    </row>
    <row r="40" spans="1:44" ht="37.5" customHeight="1" x14ac:dyDescent="0.2">
      <c r="A40" s="328"/>
      <c r="B40" s="329"/>
      <c r="C40" s="329"/>
      <c r="D40" s="329"/>
      <c r="E40" s="329"/>
      <c r="F40" s="329"/>
      <c r="G40" s="343"/>
      <c r="H40" s="343"/>
      <c r="I40" s="343"/>
      <c r="J40" s="343"/>
      <c r="K40" s="343"/>
      <c r="L40" s="343"/>
      <c r="M40" s="343"/>
      <c r="N40" s="339"/>
      <c r="O40" s="340"/>
      <c r="P40" s="341"/>
      <c r="Q40" s="359"/>
      <c r="R40" s="341">
        <f>IF(NOT(ISERROR(MATCH(Q40,_xlfn.ANCHORARRAY(E51),0))),P53&amp;"Por favor no seleccionar los criterios de impacto",Q40)</f>
        <v>0</v>
      </c>
      <c r="S40" s="340"/>
      <c r="T40" s="341"/>
      <c r="U40" s="358"/>
      <c r="V40" s="203">
        <v>4</v>
      </c>
      <c r="W40" s="176"/>
      <c r="X40" s="178" t="str">
        <f t="shared" ref="X40:X42" si="41">IF(OR(Y40="Preventivo",Y40="Detectivo"),"Probabilidad",IF(Y40="Correctivo","Impacto",""))</f>
        <v/>
      </c>
      <c r="Y40" s="179"/>
      <c r="Z40" s="179"/>
      <c r="AA40" s="180" t="str">
        <f t="shared" si="36"/>
        <v/>
      </c>
      <c r="AB40" s="179"/>
      <c r="AC40" s="179"/>
      <c r="AD40" s="179"/>
      <c r="AE40" s="181" t="str">
        <f t="shared" ref="AE40:AE42" si="42">IFERROR(IF(AND(X39="Probabilidad",X40="Probabilidad"),(AG39-(+AG39*AA40)),IF(AND(X39="Impacto",X40="Probabilidad"),(AG38-(+AG38*AA40)),IF(X40="Impacto",AG39,""))),"")</f>
        <v/>
      </c>
      <c r="AF40" s="182" t="str">
        <f t="shared" si="2"/>
        <v/>
      </c>
      <c r="AG40" s="180" t="str">
        <f t="shared" si="37"/>
        <v/>
      </c>
      <c r="AH40" s="182" t="str">
        <f t="shared" si="4"/>
        <v/>
      </c>
      <c r="AI40" s="180" t="str">
        <f t="shared" si="13"/>
        <v/>
      </c>
      <c r="AJ40" s="183" t="str">
        <f>IFERROR(IF(OR(AND(AF40="Muy Baja",AH40="Leve"),AND(AF40="Muy Baja",AH40="Menor"),AND(AF40="Baja",AH40="Leve")),"Bajo",IF(OR(AND(AF40="Muy baja",AH40="Moderado"),AND(AF40="Baja",AH40="Menor"),AND(AF40="Baja",AH40="Moderado"),AND(AF40="Media",AH40="Leve"),AND(AF40="Media",AH40="Menor"),AND(AF40="Media",AH40="Moderado"),AND(AF40="Alta",AH40="Leve"),AND(AF40="Alta",AH40="Menor")),"Moderado",IF(OR(AND(AF40="Muy Baja",AH40="Mayor"),AND(AF40="Baja",AH40="Mayor"),AND(AF40="Media",AH40="Mayor"),AND(AF40="Alta",AH40="Moderado"),AND(AF40="Alta",AH40="Mayor"),AND(AF40="Muy Alta",AH40="Leve"),AND(AF40="Muy Alta",AH40="Menor"),AND(AF40="Muy Alta",AH40="Moderado"),AND(AF40="Muy Alta",AH40="Mayor")),"Alto",IF(OR(AND(AF40="Muy Baja",AH40="Catastrófico"),AND(AF40="Baja",AH40="Catastrófico"),AND(AF40="Media",AH40="Catastrófico"),AND(AF40="Alta",AH40="Catastrófico"),AND(AF40="Muy Alta",AH40="Catastrófico")),"Extremo","")))),"")</f>
        <v/>
      </c>
      <c r="AK40" s="184"/>
      <c r="AL40" s="175"/>
      <c r="AM40" s="185"/>
      <c r="AN40" s="185"/>
      <c r="AO40" s="186"/>
      <c r="AP40" s="339"/>
      <c r="AQ40" s="339"/>
      <c r="AR40" s="339"/>
    </row>
    <row r="41" spans="1:44" ht="37.5" customHeight="1" x14ac:dyDescent="0.2">
      <c r="A41" s="328"/>
      <c r="B41" s="329"/>
      <c r="C41" s="329"/>
      <c r="D41" s="329"/>
      <c r="E41" s="329"/>
      <c r="F41" s="329"/>
      <c r="G41" s="343"/>
      <c r="H41" s="343"/>
      <c r="I41" s="343"/>
      <c r="J41" s="343"/>
      <c r="K41" s="343"/>
      <c r="L41" s="343"/>
      <c r="M41" s="343"/>
      <c r="N41" s="339"/>
      <c r="O41" s="340"/>
      <c r="P41" s="341"/>
      <c r="Q41" s="359"/>
      <c r="R41" s="341">
        <f>IF(NOT(ISERROR(MATCH(Q41,_xlfn.ANCHORARRAY(E52),0))),P54&amp;"Por favor no seleccionar los criterios de impacto",Q41)</f>
        <v>0</v>
      </c>
      <c r="S41" s="340"/>
      <c r="T41" s="341"/>
      <c r="U41" s="358"/>
      <c r="V41" s="203">
        <v>5</v>
      </c>
      <c r="W41" s="176"/>
      <c r="X41" s="178" t="str">
        <f t="shared" si="41"/>
        <v/>
      </c>
      <c r="Y41" s="179"/>
      <c r="Z41" s="179"/>
      <c r="AA41" s="180" t="str">
        <f t="shared" si="36"/>
        <v/>
      </c>
      <c r="AB41" s="179"/>
      <c r="AC41" s="179"/>
      <c r="AD41" s="179"/>
      <c r="AE41" s="181" t="str">
        <f t="shared" si="42"/>
        <v/>
      </c>
      <c r="AF41" s="182" t="str">
        <f t="shared" si="2"/>
        <v/>
      </c>
      <c r="AG41" s="180" t="str">
        <f t="shared" si="37"/>
        <v/>
      </c>
      <c r="AH41" s="182" t="str">
        <f t="shared" si="4"/>
        <v/>
      </c>
      <c r="AI41" s="180" t="str">
        <f t="shared" si="13"/>
        <v/>
      </c>
      <c r="AJ41" s="183" t="str">
        <f t="shared" ref="AJ41:AJ42" si="43">IFERROR(IF(OR(AND(AF41="Muy Baja",AH41="Leve"),AND(AF41="Muy Baja",AH41="Menor"),AND(AF41="Baja",AH41="Leve")),"Bajo",IF(OR(AND(AF41="Muy baja",AH41="Moderado"),AND(AF41="Baja",AH41="Menor"),AND(AF41="Baja",AH41="Moderado"),AND(AF41="Media",AH41="Leve"),AND(AF41="Media",AH41="Menor"),AND(AF41="Media",AH41="Moderado"),AND(AF41="Alta",AH41="Leve"),AND(AF41="Alta",AH41="Menor")),"Moderado",IF(OR(AND(AF41="Muy Baja",AH41="Mayor"),AND(AF41="Baja",AH41="Mayor"),AND(AF41="Media",AH41="Mayor"),AND(AF41="Alta",AH41="Moderado"),AND(AF41="Alta",AH41="Mayor"),AND(AF41="Muy Alta",AH41="Leve"),AND(AF41="Muy Alta",AH41="Menor"),AND(AF41="Muy Alta",AH41="Moderado"),AND(AF41="Muy Alta",AH41="Mayor")),"Alto",IF(OR(AND(AF41="Muy Baja",AH41="Catastrófico"),AND(AF41="Baja",AH41="Catastrófico"),AND(AF41="Media",AH41="Catastrófico"),AND(AF41="Alta",AH41="Catastrófico"),AND(AF41="Muy Alta",AH41="Catastrófico")),"Extremo","")))),"")</f>
        <v/>
      </c>
      <c r="AK41" s="184"/>
      <c r="AL41" s="175"/>
      <c r="AM41" s="185"/>
      <c r="AN41" s="185"/>
      <c r="AO41" s="186"/>
      <c r="AP41" s="339"/>
      <c r="AQ41" s="339"/>
      <c r="AR41" s="339"/>
    </row>
    <row r="42" spans="1:44" ht="37.5" customHeight="1" x14ac:dyDescent="0.2">
      <c r="A42" s="328"/>
      <c r="B42" s="329"/>
      <c r="C42" s="329"/>
      <c r="D42" s="329"/>
      <c r="E42" s="329"/>
      <c r="F42" s="329"/>
      <c r="G42" s="344"/>
      <c r="H42" s="344"/>
      <c r="I42" s="344"/>
      <c r="J42" s="344"/>
      <c r="K42" s="344"/>
      <c r="L42" s="344"/>
      <c r="M42" s="344"/>
      <c r="N42" s="339"/>
      <c r="O42" s="340"/>
      <c r="P42" s="341"/>
      <c r="Q42" s="359"/>
      <c r="R42" s="341">
        <f>IF(NOT(ISERROR(MATCH(Q42,_xlfn.ANCHORARRAY(E53),0))),P55&amp;"Por favor no seleccionar los criterios de impacto",Q42)</f>
        <v>0</v>
      </c>
      <c r="S42" s="340"/>
      <c r="T42" s="341"/>
      <c r="U42" s="358"/>
      <c r="V42" s="203">
        <v>6</v>
      </c>
      <c r="W42" s="176"/>
      <c r="X42" s="178" t="str">
        <f t="shared" si="41"/>
        <v/>
      </c>
      <c r="Y42" s="179"/>
      <c r="Z42" s="179"/>
      <c r="AA42" s="180" t="str">
        <f t="shared" si="36"/>
        <v/>
      </c>
      <c r="AB42" s="179"/>
      <c r="AC42" s="179"/>
      <c r="AD42" s="179"/>
      <c r="AE42" s="181" t="str">
        <f t="shared" si="42"/>
        <v/>
      </c>
      <c r="AF42" s="182" t="str">
        <f t="shared" si="2"/>
        <v/>
      </c>
      <c r="AG42" s="180" t="str">
        <f t="shared" si="37"/>
        <v/>
      </c>
      <c r="AH42" s="182" t="str">
        <f t="shared" si="4"/>
        <v/>
      </c>
      <c r="AI42" s="180" t="str">
        <f t="shared" si="13"/>
        <v/>
      </c>
      <c r="AJ42" s="183" t="str">
        <f t="shared" si="43"/>
        <v/>
      </c>
      <c r="AK42" s="184"/>
      <c r="AL42" s="175"/>
      <c r="AM42" s="185"/>
      <c r="AN42" s="185"/>
      <c r="AO42" s="186"/>
      <c r="AP42" s="339"/>
      <c r="AQ42" s="339"/>
      <c r="AR42" s="339"/>
    </row>
    <row r="43" spans="1:44" ht="37.5" customHeight="1" x14ac:dyDescent="0.2">
      <c r="A43" s="328">
        <v>6</v>
      </c>
      <c r="B43" s="329"/>
      <c r="C43" s="329"/>
      <c r="D43" s="329"/>
      <c r="E43" s="342"/>
      <c r="F43" s="329"/>
      <c r="G43" s="342"/>
      <c r="H43" s="342"/>
      <c r="I43" s="342"/>
      <c r="J43" s="342"/>
      <c r="K43" s="342"/>
      <c r="L43" s="342"/>
      <c r="M43" s="342"/>
      <c r="N43" s="339"/>
      <c r="O43" s="340" t="str">
        <f>IF(N43&lt;=0,"",IF(N43&lt;=2,"Muy Baja",IF(N43&lt;=24,"Baja",IF(N43&lt;=500,"Media",IF(N43&lt;=5000,"Alta","Muy Alta")))))</f>
        <v/>
      </c>
      <c r="P43" s="341" t="str">
        <f>IF(O43="","",IF(O43="Muy Baja",0.2,IF(O43="Baja",0.4,IF(O43="Media",0.6,IF(O43="Alta",0.8,IF(O43="Muy Alta",1,))))))</f>
        <v/>
      </c>
      <c r="Q43" s="359"/>
      <c r="R43" s="341">
        <f>IF(NOT(ISERROR(MATCH(Q43,'Tabla Impacto'!$B$222:$B$224,0))),'Tabla Impacto'!$F$224&amp;"Por favor no seleccionar los criterios de impacto(Afectación Económica o presupuestal y Pérdida Reputacional)",Q43)</f>
        <v>0</v>
      </c>
      <c r="S43" s="340" t="str">
        <f>IF(OR(R43='Tabla Impacto'!$C$12,R43='Tabla Impacto'!$D$12),"Leve",IF(OR(R43='Tabla Impacto'!$C$13,R43='Tabla Impacto'!$D$13),"Menor",IF(OR(R43='Tabla Impacto'!$C$14,R43='Tabla Impacto'!$D$14),"Moderado",IF(OR(R43='Tabla Impacto'!$C$15,R43='Tabla Impacto'!$D$15),"Mayor",IF(OR(R43='Tabla Impacto'!$C$16,R43='Tabla Impacto'!$D$16),"Catastrófico","")))))</f>
        <v/>
      </c>
      <c r="T43" s="341" t="str">
        <f>IF(S43="","",IF(S43="Leve",0.2,IF(S43="Menor",0.4,IF(S43="Moderado",0.6,IF(S43="Mayor",0.8,IF(S43="Catastrófico",1,))))))</f>
        <v/>
      </c>
      <c r="U43" s="358" t="str">
        <f>IF(OR(AND(O43="Muy Baja",S43="Leve"),AND(O43="Muy Baja",S43="Menor"),AND(O43="Baja",S43="Leve")),"Bajo",IF(OR(AND(O43="Muy baja",S43="Moderado"),AND(O43="Baja",S43="Menor"),AND(O43="Baja",S43="Moderado"),AND(O43="Media",S43="Leve"),AND(O43="Media",S43="Menor"),AND(O43="Media",S43="Moderado"),AND(O43="Alta",S43="Leve"),AND(O43="Alta",S43="Menor")),"Moderado",IF(OR(AND(O43="Muy Baja",S43="Mayor"),AND(O43="Baja",S43="Mayor"),AND(O43="Media",S43="Mayor"),AND(O43="Alta",S43="Moderado"),AND(O43="Alta",S43="Mayor"),AND(O43="Muy Alta",S43="Leve"),AND(O43="Muy Alta",S43="Menor"),AND(O43="Muy Alta",S43="Moderado"),AND(O43="Muy Alta",S43="Mayor")),"Alto",IF(OR(AND(O43="Muy Baja",S43="Catastrófico"),AND(O43="Baja",S43="Catastrófico"),AND(O43="Media",S43="Catastrófico"),AND(O43="Alta",S43="Catastrófico"),AND(O43="Muy Alta",S43="Catastrófico")),"Extremo",""))))</f>
        <v/>
      </c>
      <c r="V43" s="203">
        <v>1</v>
      </c>
      <c r="W43" s="176"/>
      <c r="X43" s="178" t="str">
        <f>IF(OR(Y43="Preventivo",Y43="Detectivo"),"Probabilidad",IF(Y43="Correctivo","Impacto",""))</f>
        <v/>
      </c>
      <c r="Y43" s="179"/>
      <c r="Z43" s="179"/>
      <c r="AA43" s="180" t="str">
        <f>IF(AND(Y43="Preventivo",Z43="Automático"),"50%",IF(AND(Y43="Preventivo",Z43="Manual"),"40%",IF(AND(Y43="Detectivo",Z43="Automático"),"40%",IF(AND(Y43="Detectivo",Z43="Manual"),"30%",IF(AND(Y43="Correctivo",Z43="Automático"),"35%",IF(AND(Y43="Correctivo",Z43="Manual"),"25%",""))))))</f>
        <v/>
      </c>
      <c r="AB43" s="179"/>
      <c r="AC43" s="179"/>
      <c r="AD43" s="179"/>
      <c r="AE43" s="181" t="str">
        <f>IFERROR(IF(X43="Probabilidad",(P43-(+P43*AA43)),IF(X43="Impacto",P43,"")),"")</f>
        <v/>
      </c>
      <c r="AF43" s="182" t="str">
        <f>IFERROR(IF(AE43="","",IF(AE43&lt;=0.2,"Muy Baja",IF(AE43&lt;=0.4,"Baja",IF(AE43&lt;=0.6,"Media",IF(AE43&lt;=0.8,"Alta","Muy Alta"))))),"")</f>
        <v/>
      </c>
      <c r="AG43" s="180" t="str">
        <f>+AE43</f>
        <v/>
      </c>
      <c r="AH43" s="182" t="str">
        <f>IFERROR(IF(AI43="","",IF(AI43&lt;=0.2,"Leve",IF(AI43&lt;=0.4,"Menor",IF(AI43&lt;=0.6,"Moderado",IF(AI43&lt;=0.8,"Mayor","Catastrófico"))))),"")</f>
        <v/>
      </c>
      <c r="AI43" s="180" t="str">
        <f t="shared" ref="AI43" si="44">IFERROR(IF(X43="Impacto",(T43-(+T43*AA43)),IF(X43="Probabilidad",T43,"")),"")</f>
        <v/>
      </c>
      <c r="AJ43" s="183" t="str">
        <f>IFERROR(IF(OR(AND(AF43="Muy Baja",AH43="Leve"),AND(AF43="Muy Baja",AH43="Menor"),AND(AF43="Baja",AH43="Leve")),"Bajo",IF(OR(AND(AF43="Muy baja",AH43="Moderado"),AND(AF43="Baja",AH43="Menor"),AND(AF43="Baja",AH43="Moderado"),AND(AF43="Media",AH43="Leve"),AND(AF43="Media",AH43="Menor"),AND(AF43="Media",AH43="Moderado"),AND(AF43="Alta",AH43="Leve"),AND(AF43="Alta",AH43="Menor")),"Moderado",IF(OR(AND(AF43="Muy Baja",AH43="Mayor"),AND(AF43="Baja",AH43="Mayor"),AND(AF43="Media",AH43="Mayor"),AND(AF43="Alta",AH43="Moderado"),AND(AF43="Alta",AH43="Mayor"),AND(AF43="Muy Alta",AH43="Leve"),AND(AF43="Muy Alta",AH43="Menor"),AND(AF43="Muy Alta",AH43="Moderado"),AND(AF43="Muy Alta",AH43="Mayor")),"Alto",IF(OR(AND(AF43="Muy Baja",AH43="Catastrófico"),AND(AF43="Baja",AH43="Catastrófico"),AND(AF43="Media",AH43="Catastrófico"),AND(AF43="Alta",AH43="Catastrófico"),AND(AF43="Muy Alta",AH43="Catastrófico")),"Extremo","")))),"")</f>
        <v/>
      </c>
      <c r="AK43" s="179"/>
      <c r="AL43" s="175"/>
      <c r="AM43" s="185"/>
      <c r="AN43" s="185"/>
      <c r="AO43" s="186"/>
      <c r="AP43" s="339"/>
      <c r="AQ43" s="339"/>
      <c r="AR43" s="339"/>
    </row>
    <row r="44" spans="1:44" ht="37.5" customHeight="1" x14ac:dyDescent="0.2">
      <c r="A44" s="328"/>
      <c r="B44" s="329"/>
      <c r="C44" s="329"/>
      <c r="D44" s="329"/>
      <c r="E44" s="343"/>
      <c r="F44" s="329"/>
      <c r="G44" s="343"/>
      <c r="H44" s="343"/>
      <c r="I44" s="343"/>
      <c r="J44" s="343"/>
      <c r="K44" s="343"/>
      <c r="L44" s="343"/>
      <c r="M44" s="343"/>
      <c r="N44" s="339"/>
      <c r="O44" s="340"/>
      <c r="P44" s="341"/>
      <c r="Q44" s="359"/>
      <c r="R44" s="341">
        <f>IF(NOT(ISERROR(MATCH(Q44,_xlfn.ANCHORARRAY(E55),0))),P57&amp;"Por favor no seleccionar los criterios de impacto",Q44)</f>
        <v>0</v>
      </c>
      <c r="S44" s="340"/>
      <c r="T44" s="341"/>
      <c r="U44" s="358"/>
      <c r="V44" s="203">
        <v>2</v>
      </c>
      <c r="W44" s="176"/>
      <c r="X44" s="178" t="str">
        <f>IF(OR(Y44="Preventivo",Y44="Detectivo"),"Probabilidad",IF(Y44="Correctivo","Impacto",""))</f>
        <v/>
      </c>
      <c r="Y44" s="179"/>
      <c r="Z44" s="179"/>
      <c r="AA44" s="180" t="str">
        <f t="shared" ref="AA44:AA48" si="45">IF(AND(Y44="Preventivo",Z44="Automático"),"50%",IF(AND(Y44="Preventivo",Z44="Manual"),"40%",IF(AND(Y44="Detectivo",Z44="Automático"),"40%",IF(AND(Y44="Detectivo",Z44="Manual"),"30%",IF(AND(Y44="Correctivo",Z44="Automático"),"35%",IF(AND(Y44="Correctivo",Z44="Manual"),"25%",""))))))</f>
        <v/>
      </c>
      <c r="AB44" s="179"/>
      <c r="AC44" s="179"/>
      <c r="AD44" s="179"/>
      <c r="AE44" s="181" t="str">
        <f>IFERROR(IF(AND(X43="Probabilidad",X44="Probabilidad"),(AG43-(+AG43*AA44)),IF(X44="Probabilidad",(P43-(+P43*AA44)),IF(X44="Impacto",AG43,""))),"")</f>
        <v/>
      </c>
      <c r="AF44" s="182" t="str">
        <f t="shared" si="2"/>
        <v/>
      </c>
      <c r="AG44" s="180" t="str">
        <f t="shared" ref="AG44:AG48" si="46">+AE44</f>
        <v/>
      </c>
      <c r="AH44" s="182" t="str">
        <f t="shared" si="4"/>
        <v/>
      </c>
      <c r="AI44" s="180" t="str">
        <f t="shared" ref="AI44" si="47">IFERROR(IF(AND(X43="Impacto",X44="Impacto"),(AI43-(+AI43*AA44)),IF(X44="Impacto",($T$13-(+$T$13*AA44)),IF(X44="Probabilidad",AI43,""))),"")</f>
        <v/>
      </c>
      <c r="AJ44" s="183" t="str">
        <f t="shared" ref="AJ44:AJ45" si="48">IFERROR(IF(OR(AND(AF44="Muy Baja",AH44="Leve"),AND(AF44="Muy Baja",AH44="Menor"),AND(AF44="Baja",AH44="Leve")),"Bajo",IF(OR(AND(AF44="Muy baja",AH44="Moderado"),AND(AF44="Baja",AH44="Menor"),AND(AF44="Baja",AH44="Moderado"),AND(AF44="Media",AH44="Leve"),AND(AF44="Media",AH44="Menor"),AND(AF44="Media",AH44="Moderado"),AND(AF44="Alta",AH44="Leve"),AND(AF44="Alta",AH44="Menor")),"Moderado",IF(OR(AND(AF44="Muy Baja",AH44="Mayor"),AND(AF44="Baja",AH44="Mayor"),AND(AF44="Media",AH44="Mayor"),AND(AF44="Alta",AH44="Moderado"),AND(AF44="Alta",AH44="Mayor"),AND(AF44="Muy Alta",AH44="Leve"),AND(AF44="Muy Alta",AH44="Menor"),AND(AF44="Muy Alta",AH44="Moderado"),AND(AF44="Muy Alta",AH44="Mayor")),"Alto",IF(OR(AND(AF44="Muy Baja",AH44="Catastrófico"),AND(AF44="Baja",AH44="Catastrófico"),AND(AF44="Media",AH44="Catastrófico"),AND(AF44="Alta",AH44="Catastrófico"),AND(AF44="Muy Alta",AH44="Catastrófico")),"Extremo","")))),"")</f>
        <v/>
      </c>
      <c r="AK44" s="184"/>
      <c r="AL44" s="175"/>
      <c r="AM44" s="185"/>
      <c r="AN44" s="185"/>
      <c r="AO44" s="186"/>
      <c r="AP44" s="339"/>
      <c r="AQ44" s="339"/>
      <c r="AR44" s="339"/>
    </row>
    <row r="45" spans="1:44" ht="37.5" customHeight="1" x14ac:dyDescent="0.2">
      <c r="A45" s="328"/>
      <c r="B45" s="329"/>
      <c r="C45" s="329"/>
      <c r="D45" s="329"/>
      <c r="E45" s="343"/>
      <c r="F45" s="329"/>
      <c r="G45" s="343"/>
      <c r="H45" s="343"/>
      <c r="I45" s="343"/>
      <c r="J45" s="343"/>
      <c r="K45" s="343"/>
      <c r="L45" s="343"/>
      <c r="M45" s="343"/>
      <c r="N45" s="339"/>
      <c r="O45" s="340"/>
      <c r="P45" s="341"/>
      <c r="Q45" s="359"/>
      <c r="R45" s="341">
        <f>IF(NOT(ISERROR(MATCH(Q45,_xlfn.ANCHORARRAY(E56),0))),P58&amp;"Por favor no seleccionar los criterios de impacto",Q45)</f>
        <v>0</v>
      </c>
      <c r="S45" s="340"/>
      <c r="T45" s="341"/>
      <c r="U45" s="358"/>
      <c r="V45" s="203">
        <v>3</v>
      </c>
      <c r="W45" s="177"/>
      <c r="X45" s="178" t="str">
        <f>IF(OR(Y45="Preventivo",Y45="Detectivo"),"Probabilidad",IF(Y45="Correctivo","Impacto",""))</f>
        <v/>
      </c>
      <c r="Y45" s="179"/>
      <c r="Z45" s="179"/>
      <c r="AA45" s="180" t="str">
        <f t="shared" si="45"/>
        <v/>
      </c>
      <c r="AB45" s="179"/>
      <c r="AC45" s="179"/>
      <c r="AD45" s="179"/>
      <c r="AE45" s="181" t="str">
        <f>IFERROR(IF(AND(X44="Probabilidad",X45="Probabilidad"),(AG44-(+AG44*AA45)),IF(AND(X44="Impacto",X45="Probabilidad"),(AG43-(+AG43*AA45)),IF(X45="Impacto",AG44,""))),"")</f>
        <v/>
      </c>
      <c r="AF45" s="182" t="str">
        <f t="shared" si="2"/>
        <v/>
      </c>
      <c r="AG45" s="180" t="str">
        <f t="shared" si="46"/>
        <v/>
      </c>
      <c r="AH45" s="182" t="str">
        <f t="shared" si="4"/>
        <v/>
      </c>
      <c r="AI45" s="180" t="str">
        <f t="shared" ref="AI45" si="49">IFERROR(IF(AND(X44="Impacto",X45="Impacto"),(AI44-(+AI44*AA45)),IF(AND(X44="Probabilidad",X45="Impacto"),(AI43-(+AI43*AA45)),IF(X45="Probabilidad",AI44,""))),"")</f>
        <v/>
      </c>
      <c r="AJ45" s="183" t="str">
        <f t="shared" si="48"/>
        <v/>
      </c>
      <c r="AK45" s="184"/>
      <c r="AL45" s="175"/>
      <c r="AM45" s="185"/>
      <c r="AN45" s="185"/>
      <c r="AO45" s="186"/>
      <c r="AP45" s="339"/>
      <c r="AQ45" s="339"/>
      <c r="AR45" s="339"/>
    </row>
    <row r="46" spans="1:44" ht="37.5" customHeight="1" x14ac:dyDescent="0.2">
      <c r="A46" s="328"/>
      <c r="B46" s="329"/>
      <c r="C46" s="329"/>
      <c r="D46" s="329"/>
      <c r="E46" s="343"/>
      <c r="F46" s="329"/>
      <c r="G46" s="343"/>
      <c r="H46" s="343"/>
      <c r="I46" s="343"/>
      <c r="J46" s="343"/>
      <c r="K46" s="343"/>
      <c r="L46" s="343"/>
      <c r="M46" s="343"/>
      <c r="N46" s="339"/>
      <c r="O46" s="340"/>
      <c r="P46" s="341"/>
      <c r="Q46" s="359"/>
      <c r="R46" s="341">
        <f>IF(NOT(ISERROR(MATCH(Q46,_xlfn.ANCHORARRAY(E57),0))),P59&amp;"Por favor no seleccionar los criterios de impacto",Q46)</f>
        <v>0</v>
      </c>
      <c r="S46" s="340"/>
      <c r="T46" s="341"/>
      <c r="U46" s="358"/>
      <c r="V46" s="203">
        <v>4</v>
      </c>
      <c r="W46" s="176"/>
      <c r="X46" s="178" t="str">
        <f t="shared" ref="X46:X48" si="50">IF(OR(Y46="Preventivo",Y46="Detectivo"),"Probabilidad",IF(Y46="Correctivo","Impacto",""))</f>
        <v/>
      </c>
      <c r="Y46" s="179"/>
      <c r="Z46" s="179"/>
      <c r="AA46" s="180" t="str">
        <f t="shared" si="45"/>
        <v/>
      </c>
      <c r="AB46" s="179"/>
      <c r="AC46" s="179"/>
      <c r="AD46" s="179"/>
      <c r="AE46" s="181" t="str">
        <f t="shared" ref="AE46:AE48" si="51">IFERROR(IF(AND(X45="Probabilidad",X46="Probabilidad"),(AG45-(+AG45*AA46)),IF(AND(X45="Impacto",X46="Probabilidad"),(AG44-(+AG44*AA46)),IF(X46="Impacto",AG45,""))),"")</f>
        <v/>
      </c>
      <c r="AF46" s="182" t="str">
        <f t="shared" si="2"/>
        <v/>
      </c>
      <c r="AG46" s="180" t="str">
        <f t="shared" si="46"/>
        <v/>
      </c>
      <c r="AH46" s="182" t="str">
        <f t="shared" si="4"/>
        <v/>
      </c>
      <c r="AI46" s="180" t="str">
        <f t="shared" si="13"/>
        <v/>
      </c>
      <c r="AJ46" s="183" t="str">
        <f>IFERROR(IF(OR(AND(AF46="Muy Baja",AH46="Leve"),AND(AF46="Muy Baja",AH46="Menor"),AND(AF46="Baja",AH46="Leve")),"Bajo",IF(OR(AND(AF46="Muy baja",AH46="Moderado"),AND(AF46="Baja",AH46="Menor"),AND(AF46="Baja",AH46="Moderado"),AND(AF46="Media",AH46="Leve"),AND(AF46="Media",AH46="Menor"),AND(AF46="Media",AH46="Moderado"),AND(AF46="Alta",AH46="Leve"),AND(AF46="Alta",AH46="Menor")),"Moderado",IF(OR(AND(AF46="Muy Baja",AH46="Mayor"),AND(AF46="Baja",AH46="Mayor"),AND(AF46="Media",AH46="Mayor"),AND(AF46="Alta",AH46="Moderado"),AND(AF46="Alta",AH46="Mayor"),AND(AF46="Muy Alta",AH46="Leve"),AND(AF46="Muy Alta",AH46="Menor"),AND(AF46="Muy Alta",AH46="Moderado"),AND(AF46="Muy Alta",AH46="Mayor")),"Alto",IF(OR(AND(AF46="Muy Baja",AH46="Catastrófico"),AND(AF46="Baja",AH46="Catastrófico"),AND(AF46="Media",AH46="Catastrófico"),AND(AF46="Alta",AH46="Catastrófico"),AND(AF46="Muy Alta",AH46="Catastrófico")),"Extremo","")))),"")</f>
        <v/>
      </c>
      <c r="AK46" s="184"/>
      <c r="AL46" s="175"/>
      <c r="AM46" s="185"/>
      <c r="AN46" s="185"/>
      <c r="AO46" s="186"/>
      <c r="AP46" s="339"/>
      <c r="AQ46" s="339"/>
      <c r="AR46" s="339"/>
    </row>
    <row r="47" spans="1:44" ht="37.5" customHeight="1" x14ac:dyDescent="0.2">
      <c r="A47" s="328"/>
      <c r="B47" s="329"/>
      <c r="C47" s="329"/>
      <c r="D47" s="329"/>
      <c r="E47" s="343"/>
      <c r="F47" s="329"/>
      <c r="G47" s="343"/>
      <c r="H47" s="343"/>
      <c r="I47" s="343"/>
      <c r="J47" s="343"/>
      <c r="K47" s="343"/>
      <c r="L47" s="343"/>
      <c r="M47" s="343"/>
      <c r="N47" s="339"/>
      <c r="O47" s="340"/>
      <c r="P47" s="341"/>
      <c r="Q47" s="359"/>
      <c r="R47" s="341">
        <f>IF(NOT(ISERROR(MATCH(Q47,_xlfn.ANCHORARRAY(E58),0))),P60&amp;"Por favor no seleccionar los criterios de impacto",Q47)</f>
        <v>0</v>
      </c>
      <c r="S47" s="340"/>
      <c r="T47" s="341"/>
      <c r="U47" s="358"/>
      <c r="V47" s="203">
        <v>5</v>
      </c>
      <c r="W47" s="176"/>
      <c r="X47" s="178" t="str">
        <f t="shared" si="50"/>
        <v/>
      </c>
      <c r="Y47" s="179"/>
      <c r="Z47" s="179"/>
      <c r="AA47" s="180" t="str">
        <f t="shared" si="45"/>
        <v/>
      </c>
      <c r="AB47" s="179"/>
      <c r="AC47" s="179"/>
      <c r="AD47" s="179"/>
      <c r="AE47" s="181" t="str">
        <f t="shared" si="51"/>
        <v/>
      </c>
      <c r="AF47" s="182" t="str">
        <f t="shared" si="2"/>
        <v/>
      </c>
      <c r="AG47" s="180" t="str">
        <f t="shared" si="46"/>
        <v/>
      </c>
      <c r="AH47" s="182" t="str">
        <f t="shared" si="4"/>
        <v/>
      </c>
      <c r="AI47" s="180" t="str">
        <f t="shared" si="13"/>
        <v/>
      </c>
      <c r="AJ47" s="183" t="str">
        <f t="shared" ref="AJ47" si="52">IFERROR(IF(OR(AND(AF47="Muy Baja",AH47="Leve"),AND(AF47="Muy Baja",AH47="Menor"),AND(AF47="Baja",AH47="Leve")),"Bajo",IF(OR(AND(AF47="Muy baja",AH47="Moderado"),AND(AF47="Baja",AH47="Menor"),AND(AF47="Baja",AH47="Moderado"),AND(AF47="Media",AH47="Leve"),AND(AF47="Media",AH47="Menor"),AND(AF47="Media",AH47="Moderado"),AND(AF47="Alta",AH47="Leve"),AND(AF47="Alta",AH47="Menor")),"Moderado",IF(OR(AND(AF47="Muy Baja",AH47="Mayor"),AND(AF47="Baja",AH47="Mayor"),AND(AF47="Media",AH47="Mayor"),AND(AF47="Alta",AH47="Moderado"),AND(AF47="Alta",AH47="Mayor"),AND(AF47="Muy Alta",AH47="Leve"),AND(AF47="Muy Alta",AH47="Menor"),AND(AF47="Muy Alta",AH47="Moderado"),AND(AF47="Muy Alta",AH47="Mayor")),"Alto",IF(OR(AND(AF47="Muy Baja",AH47="Catastrófico"),AND(AF47="Baja",AH47="Catastrófico"),AND(AF47="Media",AH47="Catastrófico"),AND(AF47="Alta",AH47="Catastrófico"),AND(AF47="Muy Alta",AH47="Catastrófico")),"Extremo","")))),"")</f>
        <v/>
      </c>
      <c r="AK47" s="184"/>
      <c r="AL47" s="175"/>
      <c r="AM47" s="185"/>
      <c r="AN47" s="185"/>
      <c r="AO47" s="186"/>
      <c r="AP47" s="339"/>
      <c r="AQ47" s="339"/>
      <c r="AR47" s="339"/>
    </row>
    <row r="48" spans="1:44" ht="37.5" customHeight="1" x14ac:dyDescent="0.2">
      <c r="A48" s="328"/>
      <c r="B48" s="329"/>
      <c r="C48" s="329"/>
      <c r="D48" s="329"/>
      <c r="E48" s="344"/>
      <c r="F48" s="329"/>
      <c r="G48" s="344"/>
      <c r="H48" s="344"/>
      <c r="I48" s="344"/>
      <c r="J48" s="344"/>
      <c r="K48" s="344"/>
      <c r="L48" s="344"/>
      <c r="M48" s="344"/>
      <c r="N48" s="339"/>
      <c r="O48" s="340"/>
      <c r="P48" s="341"/>
      <c r="Q48" s="359"/>
      <c r="R48" s="341">
        <f>IF(NOT(ISERROR(MATCH(Q48,_xlfn.ANCHORARRAY(E59),0))),P61&amp;"Por favor no seleccionar los criterios de impacto",Q48)</f>
        <v>0</v>
      </c>
      <c r="S48" s="340"/>
      <c r="T48" s="341"/>
      <c r="U48" s="358"/>
      <c r="V48" s="203">
        <v>6</v>
      </c>
      <c r="W48" s="176"/>
      <c r="X48" s="178" t="str">
        <f t="shared" si="50"/>
        <v/>
      </c>
      <c r="Y48" s="179"/>
      <c r="Z48" s="179"/>
      <c r="AA48" s="180" t="str">
        <f t="shared" si="45"/>
        <v/>
      </c>
      <c r="AB48" s="179"/>
      <c r="AC48" s="179"/>
      <c r="AD48" s="179"/>
      <c r="AE48" s="181" t="str">
        <f t="shared" si="51"/>
        <v/>
      </c>
      <c r="AF48" s="182" t="str">
        <f t="shared" si="2"/>
        <v/>
      </c>
      <c r="AG48" s="180" t="str">
        <f t="shared" si="46"/>
        <v/>
      </c>
      <c r="AH48" s="182" t="str">
        <f>IFERROR(IF(AI48="","",IF(AI48&lt;=0.2,"Leve",IF(AI48&lt;=0.4,"Menor",IF(AI48&lt;=0.6,"Moderado",IF(AI48&lt;=0.8,"Mayor","Catastrófico"))))),"")</f>
        <v/>
      </c>
      <c r="AI48" s="180" t="str">
        <f t="shared" si="13"/>
        <v/>
      </c>
      <c r="AJ48" s="183" t="str">
        <f>IFERROR(IF(OR(AND(AF48="Muy Baja",AH48="Leve"),AND(AF48="Muy Baja",AH48="Menor"),AND(AF48="Baja",AH48="Leve")),"Bajo",IF(OR(AND(AF48="Muy baja",AH48="Moderado"),AND(AF48="Baja",AH48="Menor"),AND(AF48="Baja",AH48="Moderado"),AND(AF48="Media",AH48="Leve"),AND(AF48="Media",AH48="Menor"),AND(AF48="Media",AH48="Moderado"),AND(AF48="Alta",AH48="Leve"),AND(AF48="Alta",AH48="Menor")),"Moderado",IF(OR(AND(AF48="Muy Baja",AH48="Mayor"),AND(AF48="Baja",AH48="Mayor"),AND(AF48="Media",AH48="Mayor"),AND(AF48="Alta",AH48="Moderado"),AND(AF48="Alta",AH48="Mayor"),AND(AF48="Muy Alta",AH48="Leve"),AND(AF48="Muy Alta",AH48="Menor"),AND(AF48="Muy Alta",AH48="Moderado"),AND(AF48="Muy Alta",AH48="Mayor")),"Alto",IF(OR(AND(AF48="Muy Baja",AH48="Catastrófico"),AND(AF48="Baja",AH48="Catastrófico"),AND(AF48="Media",AH48="Catastrófico"),AND(AF48="Alta",AH48="Catastrófico"),AND(AF48="Muy Alta",AH48="Catastrófico")),"Extremo","")))),"")</f>
        <v/>
      </c>
      <c r="AK48" s="184"/>
      <c r="AL48" s="175"/>
      <c r="AM48" s="185"/>
      <c r="AN48" s="185"/>
      <c r="AO48" s="186"/>
      <c r="AP48" s="339"/>
      <c r="AQ48" s="339"/>
      <c r="AR48" s="339"/>
    </row>
    <row r="49" spans="1:44" ht="37.5" customHeight="1" x14ac:dyDescent="0.2">
      <c r="A49" s="328">
        <v>7</v>
      </c>
      <c r="B49" s="329"/>
      <c r="C49" s="329"/>
      <c r="D49" s="367"/>
      <c r="E49" s="329"/>
      <c r="F49" s="329"/>
      <c r="G49" s="342"/>
      <c r="H49" s="342"/>
      <c r="I49" s="342"/>
      <c r="J49" s="342"/>
      <c r="K49" s="342"/>
      <c r="L49" s="342"/>
      <c r="M49" s="342"/>
      <c r="N49" s="339"/>
      <c r="O49" s="340" t="str">
        <f>IF(N49&lt;=0,"",IF(N49&lt;=2,"Muy Baja",IF(N49&lt;=24,"Baja",IF(N49&lt;=500,"Media",IF(N49&lt;=5000,"Alta","Muy Alta")))))</f>
        <v/>
      </c>
      <c r="P49" s="341" t="str">
        <f>IF(O49="","",IF(O49="Muy Baja",0.2,IF(O49="Baja",0.4,IF(O49="Media",0.6,IF(O49="Alta",0.8,IF(O49="Muy Alta",1,))))))</f>
        <v/>
      </c>
      <c r="Q49" s="359"/>
      <c r="R49" s="341">
        <f>IF(NOT(ISERROR(MATCH(Q49,'Tabla Impacto'!$B$222:$B$224,0))),'Tabla Impacto'!$F$224&amp;"Por favor no seleccionar los criterios de impacto(Afectación Económica o presupuestal y Pérdida Reputacional)",Q49)</f>
        <v>0</v>
      </c>
      <c r="S49" s="340" t="str">
        <f>IF(OR(R49='Tabla Impacto'!$C$12,R49='Tabla Impacto'!$D$12),"Leve",IF(OR(R49='Tabla Impacto'!$C$13,R49='Tabla Impacto'!$D$13),"Menor",IF(OR(R49='Tabla Impacto'!$C$14,R49='Tabla Impacto'!$D$14),"Moderado",IF(OR(R49='Tabla Impacto'!$C$15,R49='Tabla Impacto'!$D$15),"Mayor",IF(OR(R49='Tabla Impacto'!$C$16,R49='Tabla Impacto'!$D$16),"Catastrófico","")))))</f>
        <v/>
      </c>
      <c r="T49" s="341" t="str">
        <f>IF(S49="","",IF(S49="Leve",0.2,IF(S49="Menor",0.4,IF(S49="Moderado",0.6,IF(S49="Mayor",0.8,IF(S49="Catastrófico",1,))))))</f>
        <v/>
      </c>
      <c r="U49" s="358" t="str">
        <f>IF(OR(AND(O49="Muy Baja",S49="Leve"),AND(O49="Muy Baja",S49="Menor"),AND(O49="Baja",S49="Leve")),"Bajo",IF(OR(AND(O49="Muy baja",S49="Moderado"),AND(O49="Baja",S49="Menor"),AND(O49="Baja",S49="Moderado"),AND(O49="Media",S49="Leve"),AND(O49="Media",S49="Menor"),AND(O49="Media",S49="Moderado"),AND(O49="Alta",S49="Leve"),AND(O49="Alta",S49="Menor")),"Moderado",IF(OR(AND(O49="Muy Baja",S49="Mayor"),AND(O49="Baja",S49="Mayor"),AND(O49="Media",S49="Mayor"),AND(O49="Alta",S49="Moderado"),AND(O49="Alta",S49="Mayor"),AND(O49="Muy Alta",S49="Leve"),AND(O49="Muy Alta",S49="Menor"),AND(O49="Muy Alta",S49="Moderado"),AND(O49="Muy Alta",S49="Mayor")),"Alto",IF(OR(AND(O49="Muy Baja",S49="Catastrófico"),AND(O49="Baja",S49="Catastrófico"),AND(O49="Media",S49="Catastrófico"),AND(O49="Alta",S49="Catastrófico"),AND(O49="Muy Alta",S49="Catastrófico")),"Extremo",""))))</f>
        <v/>
      </c>
      <c r="V49" s="203">
        <v>1</v>
      </c>
      <c r="W49" s="188"/>
      <c r="X49" s="178" t="str">
        <f>IF(OR(Y49="Preventivo",Y49="Detectivo"),"Probabilidad",IF(Y49="Correctivo","Impacto",""))</f>
        <v/>
      </c>
      <c r="Y49" s="179"/>
      <c r="Z49" s="179"/>
      <c r="AA49" s="180" t="str">
        <f>IF(AND(Y49="Preventivo",Z49="Automático"),"50%",IF(AND(Y49="Preventivo",Z49="Manual"),"40%",IF(AND(Y49="Detectivo",Z49="Automático"),"40%",IF(AND(Y49="Detectivo",Z49="Manual"),"30%",IF(AND(Y49="Correctivo",Z49="Automático"),"35%",IF(AND(Y49="Correctivo",Z49="Manual"),"25%",""))))))</f>
        <v/>
      </c>
      <c r="AB49" s="179"/>
      <c r="AC49" s="179"/>
      <c r="AD49" s="179"/>
      <c r="AE49" s="181" t="str">
        <f>IFERROR(IF(X49="Probabilidad",(P49-(+P49*AA49)),IF(X49="Impacto",P49,"")),"")</f>
        <v/>
      </c>
      <c r="AF49" s="182" t="str">
        <f>IFERROR(IF(AE49="","",IF(AE49&lt;=0.2,"Muy Baja",IF(AE49&lt;=0.4,"Baja",IF(AE49&lt;=0.6,"Media",IF(AE49&lt;=0.8,"Alta","Muy Alta"))))),"")</f>
        <v/>
      </c>
      <c r="AG49" s="180" t="str">
        <f>+AE49</f>
        <v/>
      </c>
      <c r="AH49" s="182" t="str">
        <f>IFERROR(IF(AI49="","",IF(AI49&lt;=0.2,"Leve",IF(AI49&lt;=0.4,"Menor",IF(AI49&lt;=0.6,"Moderado",IF(AI49&lt;=0.8,"Mayor","Catastrófico"))))),"")</f>
        <v/>
      </c>
      <c r="AI49" s="180" t="str">
        <f t="shared" ref="AI49" si="53">IFERROR(IF(X49="Impacto",(T49-(+T49*AA49)),IF(X49="Probabilidad",T49,"")),"")</f>
        <v/>
      </c>
      <c r="AJ49" s="183" t="str">
        <f>IFERROR(IF(OR(AND(AF49="Muy Baja",AH49="Leve"),AND(AF49="Muy Baja",AH49="Menor"),AND(AF49="Baja",AH49="Leve")),"Bajo",IF(OR(AND(AF49="Muy baja",AH49="Moderado"),AND(AF49="Baja",AH49="Menor"),AND(AF49="Baja",AH49="Moderado"),AND(AF49="Media",AH49="Leve"),AND(AF49="Media",AH49="Menor"),AND(AF49="Media",AH49="Moderado"),AND(AF49="Alta",AH49="Leve"),AND(AF49="Alta",AH49="Menor")),"Moderado",IF(OR(AND(AF49="Muy Baja",AH49="Mayor"),AND(AF49="Baja",AH49="Mayor"),AND(AF49="Media",AH49="Mayor"),AND(AF49="Alta",AH49="Moderado"),AND(AF49="Alta",AH49="Mayor"),AND(AF49="Muy Alta",AH49="Leve"),AND(AF49="Muy Alta",AH49="Menor"),AND(AF49="Muy Alta",AH49="Moderado"),AND(AF49="Muy Alta",AH49="Mayor")),"Alto",IF(OR(AND(AF49="Muy Baja",AH49="Catastrófico"),AND(AF49="Baja",AH49="Catastrófico"),AND(AF49="Media",AH49="Catastrófico"),AND(AF49="Alta",AH49="Catastrófico"),AND(AF49="Muy Alta",AH49="Catastrófico")),"Extremo","")))),"")</f>
        <v/>
      </c>
      <c r="AK49" s="184"/>
      <c r="AL49" s="175"/>
      <c r="AM49" s="185"/>
      <c r="AN49" s="185"/>
      <c r="AO49" s="186"/>
      <c r="AP49" s="339"/>
      <c r="AQ49" s="339"/>
      <c r="AR49" s="339"/>
    </row>
    <row r="50" spans="1:44" ht="37.5" customHeight="1" x14ac:dyDescent="0.2">
      <c r="A50" s="328"/>
      <c r="B50" s="329"/>
      <c r="C50" s="329"/>
      <c r="D50" s="367"/>
      <c r="E50" s="329"/>
      <c r="F50" s="329"/>
      <c r="G50" s="343"/>
      <c r="H50" s="343"/>
      <c r="I50" s="343"/>
      <c r="J50" s="343"/>
      <c r="K50" s="343"/>
      <c r="L50" s="343"/>
      <c r="M50" s="343"/>
      <c r="N50" s="339"/>
      <c r="O50" s="340"/>
      <c r="P50" s="341"/>
      <c r="Q50" s="359"/>
      <c r="R50" s="341">
        <f>IF(NOT(ISERROR(MATCH(Q50,_xlfn.ANCHORARRAY(E61),0))),P63&amp;"Por favor no seleccionar los criterios de impacto",Q50)</f>
        <v>0</v>
      </c>
      <c r="S50" s="340"/>
      <c r="T50" s="341"/>
      <c r="U50" s="358"/>
      <c r="V50" s="203">
        <v>2</v>
      </c>
      <c r="W50" s="176"/>
      <c r="X50" s="178" t="str">
        <f>IF(OR(Y50="Preventivo",Y50="Detectivo"),"Probabilidad",IF(Y50="Correctivo","Impacto",""))</f>
        <v/>
      </c>
      <c r="Y50" s="179"/>
      <c r="Z50" s="179"/>
      <c r="AA50" s="180" t="str">
        <f t="shared" ref="AA50:AA54" si="54">IF(AND(Y50="Preventivo",Z50="Automático"),"50%",IF(AND(Y50="Preventivo",Z50="Manual"),"40%",IF(AND(Y50="Detectivo",Z50="Automático"),"40%",IF(AND(Y50="Detectivo",Z50="Manual"),"30%",IF(AND(Y50="Correctivo",Z50="Automático"),"35%",IF(AND(Y50="Correctivo",Z50="Manual"),"25%",""))))))</f>
        <v/>
      </c>
      <c r="AB50" s="179"/>
      <c r="AC50" s="179"/>
      <c r="AD50" s="179"/>
      <c r="AE50" s="181" t="str">
        <f>IFERROR(IF(AND(X49="Probabilidad",X50="Probabilidad"),(AG49-(+AG49*AA50)),IF(X50="Probabilidad",(P49-(+P49*AA50)),IF(X50="Impacto",AG49,""))),"")</f>
        <v/>
      </c>
      <c r="AF50" s="182" t="str">
        <f t="shared" si="2"/>
        <v/>
      </c>
      <c r="AG50" s="180" t="str">
        <f t="shared" ref="AG50:AG54" si="55">+AE50</f>
        <v/>
      </c>
      <c r="AH50" s="182" t="str">
        <f t="shared" si="4"/>
        <v/>
      </c>
      <c r="AI50" s="180" t="str">
        <f t="shared" ref="AI50" si="56">IFERROR(IF(AND(X49="Impacto",X50="Impacto"),(AI49-(+AI49*AA50)),IF(X50="Impacto",($T$13-(+$T$13*AA50)),IF(X50="Probabilidad",AI49,""))),"")</f>
        <v/>
      </c>
      <c r="AJ50" s="183" t="str">
        <f t="shared" ref="AJ50:AJ51" si="57">IFERROR(IF(OR(AND(AF50="Muy Baja",AH50="Leve"),AND(AF50="Muy Baja",AH50="Menor"),AND(AF50="Baja",AH50="Leve")),"Bajo",IF(OR(AND(AF50="Muy baja",AH50="Moderado"),AND(AF50="Baja",AH50="Menor"),AND(AF50="Baja",AH50="Moderado"),AND(AF50="Media",AH50="Leve"),AND(AF50="Media",AH50="Menor"),AND(AF50="Media",AH50="Moderado"),AND(AF50="Alta",AH50="Leve"),AND(AF50="Alta",AH50="Menor")),"Moderado",IF(OR(AND(AF50="Muy Baja",AH50="Mayor"),AND(AF50="Baja",AH50="Mayor"),AND(AF50="Media",AH50="Mayor"),AND(AF50="Alta",AH50="Moderado"),AND(AF50="Alta",AH50="Mayor"),AND(AF50="Muy Alta",AH50="Leve"),AND(AF50="Muy Alta",AH50="Menor"),AND(AF50="Muy Alta",AH50="Moderado"),AND(AF50="Muy Alta",AH50="Mayor")),"Alto",IF(OR(AND(AF50="Muy Baja",AH50="Catastrófico"),AND(AF50="Baja",AH50="Catastrófico"),AND(AF50="Media",AH50="Catastrófico"),AND(AF50="Alta",AH50="Catastrófico"),AND(AF50="Muy Alta",AH50="Catastrófico")),"Extremo","")))),"")</f>
        <v/>
      </c>
      <c r="AK50" s="184"/>
      <c r="AL50" s="175"/>
      <c r="AM50" s="185"/>
      <c r="AN50" s="185"/>
      <c r="AO50" s="186"/>
      <c r="AP50" s="339"/>
      <c r="AQ50" s="339"/>
      <c r="AR50" s="339"/>
    </row>
    <row r="51" spans="1:44" ht="37.5" customHeight="1" x14ac:dyDescent="0.2">
      <c r="A51" s="328"/>
      <c r="B51" s="329"/>
      <c r="C51" s="329"/>
      <c r="D51" s="367"/>
      <c r="E51" s="329"/>
      <c r="F51" s="329"/>
      <c r="G51" s="343"/>
      <c r="H51" s="343"/>
      <c r="I51" s="343"/>
      <c r="J51" s="343"/>
      <c r="K51" s="343"/>
      <c r="L51" s="343"/>
      <c r="M51" s="343"/>
      <c r="N51" s="339"/>
      <c r="O51" s="340"/>
      <c r="P51" s="341"/>
      <c r="Q51" s="359"/>
      <c r="R51" s="341">
        <f>IF(NOT(ISERROR(MATCH(Q51,_xlfn.ANCHORARRAY(E62),0))),P64&amp;"Por favor no seleccionar los criterios de impacto",Q51)</f>
        <v>0</v>
      </c>
      <c r="S51" s="340"/>
      <c r="T51" s="341"/>
      <c r="U51" s="358"/>
      <c r="V51" s="203">
        <v>3</v>
      </c>
      <c r="W51" s="177"/>
      <c r="X51" s="178" t="str">
        <f>IF(OR(Y51="Preventivo",Y51="Detectivo"),"Probabilidad",IF(Y51="Correctivo","Impacto",""))</f>
        <v/>
      </c>
      <c r="Y51" s="179"/>
      <c r="Z51" s="179"/>
      <c r="AA51" s="180" t="str">
        <f t="shared" si="54"/>
        <v/>
      </c>
      <c r="AB51" s="179"/>
      <c r="AC51" s="179"/>
      <c r="AD51" s="179"/>
      <c r="AE51" s="181" t="str">
        <f>IFERROR(IF(AND(X50="Probabilidad",X51="Probabilidad"),(AG50-(+AG50*AA51)),IF(AND(X50="Impacto",X51="Probabilidad"),(AG49-(+AG49*AA51)),IF(X51="Impacto",AG50,""))),"")</f>
        <v/>
      </c>
      <c r="AF51" s="182" t="str">
        <f t="shared" si="2"/>
        <v/>
      </c>
      <c r="AG51" s="180" t="str">
        <f t="shared" si="55"/>
        <v/>
      </c>
      <c r="AH51" s="182" t="str">
        <f t="shared" si="4"/>
        <v/>
      </c>
      <c r="AI51" s="180" t="str">
        <f t="shared" ref="AI51" si="58">IFERROR(IF(AND(X50="Impacto",X51="Impacto"),(AI50-(+AI50*AA51)),IF(AND(X50="Probabilidad",X51="Impacto"),(AI49-(+AI49*AA51)),IF(X51="Probabilidad",AI50,""))),"")</f>
        <v/>
      </c>
      <c r="AJ51" s="183" t="str">
        <f t="shared" si="57"/>
        <v/>
      </c>
      <c r="AK51" s="184"/>
      <c r="AL51" s="175"/>
      <c r="AM51" s="185"/>
      <c r="AN51" s="185"/>
      <c r="AO51" s="186"/>
      <c r="AP51" s="339"/>
      <c r="AQ51" s="339"/>
      <c r="AR51" s="339"/>
    </row>
    <row r="52" spans="1:44" ht="37.5" customHeight="1" x14ac:dyDescent="0.2">
      <c r="A52" s="328"/>
      <c r="B52" s="329"/>
      <c r="C52" s="329"/>
      <c r="D52" s="367"/>
      <c r="E52" s="329"/>
      <c r="F52" s="329"/>
      <c r="G52" s="343"/>
      <c r="H52" s="343"/>
      <c r="I52" s="343"/>
      <c r="J52" s="343"/>
      <c r="K52" s="343"/>
      <c r="L52" s="343"/>
      <c r="M52" s="343"/>
      <c r="N52" s="339"/>
      <c r="O52" s="340"/>
      <c r="P52" s="341"/>
      <c r="Q52" s="359"/>
      <c r="R52" s="341">
        <f>IF(NOT(ISERROR(MATCH(Q52,_xlfn.ANCHORARRAY(E63),0))),P65&amp;"Por favor no seleccionar los criterios de impacto",Q52)</f>
        <v>0</v>
      </c>
      <c r="S52" s="340"/>
      <c r="T52" s="341"/>
      <c r="U52" s="358"/>
      <c r="V52" s="203">
        <v>4</v>
      </c>
      <c r="W52" s="176"/>
      <c r="X52" s="178" t="str">
        <f t="shared" ref="X52:X54" si="59">IF(OR(Y52="Preventivo",Y52="Detectivo"),"Probabilidad",IF(Y52="Correctivo","Impacto",""))</f>
        <v/>
      </c>
      <c r="Y52" s="179"/>
      <c r="Z52" s="179"/>
      <c r="AA52" s="180" t="str">
        <f t="shared" si="54"/>
        <v/>
      </c>
      <c r="AB52" s="179"/>
      <c r="AC52" s="179"/>
      <c r="AD52" s="179"/>
      <c r="AE52" s="181" t="str">
        <f t="shared" ref="AE52:AE54" si="60">IFERROR(IF(AND(X51="Probabilidad",X52="Probabilidad"),(AG51-(+AG51*AA52)),IF(AND(X51="Impacto",X52="Probabilidad"),(AG50-(+AG50*AA52)),IF(X52="Impacto",AG51,""))),"")</f>
        <v/>
      </c>
      <c r="AF52" s="182" t="str">
        <f t="shared" si="2"/>
        <v/>
      </c>
      <c r="AG52" s="180" t="str">
        <f t="shared" si="55"/>
        <v/>
      </c>
      <c r="AH52" s="182" t="str">
        <f t="shared" si="4"/>
        <v/>
      </c>
      <c r="AI52" s="180" t="str">
        <f t="shared" si="13"/>
        <v/>
      </c>
      <c r="AJ52" s="183" t="str">
        <f>IFERROR(IF(OR(AND(AF52="Muy Baja",AH52="Leve"),AND(AF52="Muy Baja",AH52="Menor"),AND(AF52="Baja",AH52="Leve")),"Bajo",IF(OR(AND(AF52="Muy baja",AH52="Moderado"),AND(AF52="Baja",AH52="Menor"),AND(AF52="Baja",AH52="Moderado"),AND(AF52="Media",AH52="Leve"),AND(AF52="Media",AH52="Menor"),AND(AF52="Media",AH52="Moderado"),AND(AF52="Alta",AH52="Leve"),AND(AF52="Alta",AH52="Menor")),"Moderado",IF(OR(AND(AF52="Muy Baja",AH52="Mayor"),AND(AF52="Baja",AH52="Mayor"),AND(AF52="Media",AH52="Mayor"),AND(AF52="Alta",AH52="Moderado"),AND(AF52="Alta",AH52="Mayor"),AND(AF52="Muy Alta",AH52="Leve"),AND(AF52="Muy Alta",AH52="Menor"),AND(AF52="Muy Alta",AH52="Moderado"),AND(AF52="Muy Alta",AH52="Mayor")),"Alto",IF(OR(AND(AF52="Muy Baja",AH52="Catastrófico"),AND(AF52="Baja",AH52="Catastrófico"),AND(AF52="Media",AH52="Catastrófico"),AND(AF52="Alta",AH52="Catastrófico"),AND(AF52="Muy Alta",AH52="Catastrófico")),"Extremo","")))),"")</f>
        <v/>
      </c>
      <c r="AK52" s="184"/>
      <c r="AL52" s="175"/>
      <c r="AM52" s="185"/>
      <c r="AN52" s="185"/>
      <c r="AO52" s="186"/>
      <c r="AP52" s="339"/>
      <c r="AQ52" s="339"/>
      <c r="AR52" s="339"/>
    </row>
    <row r="53" spans="1:44" ht="37.5" customHeight="1" x14ac:dyDescent="0.2">
      <c r="A53" s="328"/>
      <c r="B53" s="329"/>
      <c r="C53" s="329"/>
      <c r="D53" s="367"/>
      <c r="E53" s="329"/>
      <c r="F53" s="329"/>
      <c r="G53" s="343"/>
      <c r="H53" s="343"/>
      <c r="I53" s="343"/>
      <c r="J53" s="343"/>
      <c r="K53" s="343"/>
      <c r="L53" s="343"/>
      <c r="M53" s="343"/>
      <c r="N53" s="339"/>
      <c r="O53" s="340"/>
      <c r="P53" s="341"/>
      <c r="Q53" s="359"/>
      <c r="R53" s="341">
        <f>IF(NOT(ISERROR(MATCH(Q53,_xlfn.ANCHORARRAY(E64),0))),P66&amp;"Por favor no seleccionar los criterios de impacto",Q53)</f>
        <v>0</v>
      </c>
      <c r="S53" s="340"/>
      <c r="T53" s="341"/>
      <c r="U53" s="358"/>
      <c r="V53" s="203">
        <v>5</v>
      </c>
      <c r="W53" s="176"/>
      <c r="X53" s="178" t="str">
        <f t="shared" si="59"/>
        <v/>
      </c>
      <c r="Y53" s="179"/>
      <c r="Z53" s="179"/>
      <c r="AA53" s="180" t="str">
        <f t="shared" si="54"/>
        <v/>
      </c>
      <c r="AB53" s="179"/>
      <c r="AC53" s="179"/>
      <c r="AD53" s="179"/>
      <c r="AE53" s="181" t="str">
        <f t="shared" si="60"/>
        <v/>
      </c>
      <c r="AF53" s="182" t="str">
        <f t="shared" si="2"/>
        <v/>
      </c>
      <c r="AG53" s="180" t="str">
        <f t="shared" si="55"/>
        <v/>
      </c>
      <c r="AH53" s="182" t="str">
        <f t="shared" si="4"/>
        <v/>
      </c>
      <c r="AI53" s="180" t="str">
        <f t="shared" si="13"/>
        <v/>
      </c>
      <c r="AJ53" s="183" t="str">
        <f t="shared" ref="AJ53:AJ54" si="61">IFERROR(IF(OR(AND(AF53="Muy Baja",AH53="Leve"),AND(AF53="Muy Baja",AH53="Menor"),AND(AF53="Baja",AH53="Leve")),"Bajo",IF(OR(AND(AF53="Muy baja",AH53="Moderado"),AND(AF53="Baja",AH53="Menor"),AND(AF53="Baja",AH53="Moderado"),AND(AF53="Media",AH53="Leve"),AND(AF53="Media",AH53="Menor"),AND(AF53="Media",AH53="Moderado"),AND(AF53="Alta",AH53="Leve"),AND(AF53="Alta",AH53="Menor")),"Moderado",IF(OR(AND(AF53="Muy Baja",AH53="Mayor"),AND(AF53="Baja",AH53="Mayor"),AND(AF53="Media",AH53="Mayor"),AND(AF53="Alta",AH53="Moderado"),AND(AF53="Alta",AH53="Mayor"),AND(AF53="Muy Alta",AH53="Leve"),AND(AF53="Muy Alta",AH53="Menor"),AND(AF53="Muy Alta",AH53="Moderado"),AND(AF53="Muy Alta",AH53="Mayor")),"Alto",IF(OR(AND(AF53="Muy Baja",AH53="Catastrófico"),AND(AF53="Baja",AH53="Catastrófico"),AND(AF53="Media",AH53="Catastrófico"),AND(AF53="Alta",AH53="Catastrófico"),AND(AF53="Muy Alta",AH53="Catastrófico")),"Extremo","")))),"")</f>
        <v/>
      </c>
      <c r="AK53" s="184"/>
      <c r="AL53" s="175"/>
      <c r="AM53" s="185"/>
      <c r="AN53" s="185"/>
      <c r="AO53" s="186"/>
      <c r="AP53" s="339"/>
      <c r="AQ53" s="339"/>
      <c r="AR53" s="339"/>
    </row>
    <row r="54" spans="1:44" ht="37.5" customHeight="1" x14ac:dyDescent="0.2">
      <c r="A54" s="328"/>
      <c r="B54" s="329"/>
      <c r="C54" s="329"/>
      <c r="D54" s="367"/>
      <c r="E54" s="329"/>
      <c r="F54" s="329"/>
      <c r="G54" s="344"/>
      <c r="H54" s="344"/>
      <c r="I54" s="344"/>
      <c r="J54" s="344"/>
      <c r="K54" s="344"/>
      <c r="L54" s="344"/>
      <c r="M54" s="344"/>
      <c r="N54" s="339"/>
      <c r="O54" s="340"/>
      <c r="P54" s="341"/>
      <c r="Q54" s="359"/>
      <c r="R54" s="341">
        <f>IF(NOT(ISERROR(MATCH(Q54,_xlfn.ANCHORARRAY(E65),0))),P67&amp;"Por favor no seleccionar los criterios de impacto",Q54)</f>
        <v>0</v>
      </c>
      <c r="S54" s="340"/>
      <c r="T54" s="341"/>
      <c r="U54" s="358"/>
      <c r="V54" s="203">
        <v>6</v>
      </c>
      <c r="W54" s="176"/>
      <c r="X54" s="178" t="str">
        <f t="shared" si="59"/>
        <v/>
      </c>
      <c r="Y54" s="179"/>
      <c r="Z54" s="179"/>
      <c r="AA54" s="180" t="str">
        <f t="shared" si="54"/>
        <v/>
      </c>
      <c r="AB54" s="179"/>
      <c r="AC54" s="179"/>
      <c r="AD54" s="179"/>
      <c r="AE54" s="181" t="str">
        <f t="shared" si="60"/>
        <v/>
      </c>
      <c r="AF54" s="182" t="str">
        <f t="shared" si="2"/>
        <v/>
      </c>
      <c r="AG54" s="180" t="str">
        <f t="shared" si="55"/>
        <v/>
      </c>
      <c r="AH54" s="182" t="str">
        <f t="shared" si="4"/>
        <v/>
      </c>
      <c r="AI54" s="180" t="str">
        <f t="shared" si="13"/>
        <v/>
      </c>
      <c r="AJ54" s="183" t="str">
        <f t="shared" si="61"/>
        <v/>
      </c>
      <c r="AK54" s="184"/>
      <c r="AL54" s="175"/>
      <c r="AM54" s="185"/>
      <c r="AN54" s="185"/>
      <c r="AO54" s="186"/>
      <c r="AP54" s="339"/>
      <c r="AQ54" s="339"/>
      <c r="AR54" s="339"/>
    </row>
    <row r="55" spans="1:44" ht="37.5" customHeight="1" x14ac:dyDescent="0.2">
      <c r="A55" s="328">
        <v>8</v>
      </c>
      <c r="B55" s="329"/>
      <c r="C55" s="329"/>
      <c r="D55" s="329"/>
      <c r="E55" s="329"/>
      <c r="F55" s="329"/>
      <c r="G55" s="342"/>
      <c r="H55" s="342"/>
      <c r="I55" s="342"/>
      <c r="J55" s="342"/>
      <c r="K55" s="342"/>
      <c r="L55" s="342"/>
      <c r="M55" s="342"/>
      <c r="N55" s="339"/>
      <c r="O55" s="340" t="str">
        <f>IF(N55&lt;=0,"",IF(N55&lt;=2,"Muy Baja",IF(N55&lt;=24,"Baja",IF(N55&lt;=500,"Media",IF(N55&lt;=5000,"Alta","Muy Alta")))))</f>
        <v/>
      </c>
      <c r="P55" s="341" t="str">
        <f>IF(O55="","",IF(O55="Muy Baja",0.2,IF(O55="Baja",0.4,IF(O55="Media",0.6,IF(O55="Alta",0.8,IF(O55="Muy Alta",1,))))))</f>
        <v/>
      </c>
      <c r="Q55" s="359"/>
      <c r="R55" s="341">
        <f>IF(NOT(ISERROR(MATCH(Q55,'Tabla Impacto'!$B$222:$B$224,0))),'Tabla Impacto'!$F$224&amp;"Por favor no seleccionar los criterios de impacto(Afectación Económica o presupuestal y Pérdida Reputacional)",Q55)</f>
        <v>0</v>
      </c>
      <c r="S55" s="340" t="str">
        <f>IF(OR(R55='Tabla Impacto'!$C$12,R55='Tabla Impacto'!$D$12),"Leve",IF(OR(R55='Tabla Impacto'!$C$13,R55='Tabla Impacto'!$D$13),"Menor",IF(OR(R55='Tabla Impacto'!$C$14,R55='Tabla Impacto'!$D$14),"Moderado",IF(OR(R55='Tabla Impacto'!$C$15,R55='Tabla Impacto'!$D$15),"Mayor",IF(OR(R55='Tabla Impacto'!$C$16,R55='Tabla Impacto'!$D$16),"Catastrófico","")))))</f>
        <v/>
      </c>
      <c r="T55" s="341" t="str">
        <f>IF(S55="","",IF(S55="Leve",0.2,IF(S55="Menor",0.4,IF(S55="Moderado",0.6,IF(S55="Mayor",0.8,IF(S55="Catastrófico",1,))))))</f>
        <v/>
      </c>
      <c r="U55" s="358" t="str">
        <f>IF(OR(AND(O55="Muy Baja",S55="Leve"),AND(O55="Muy Baja",S55="Menor"),AND(O55="Baja",S55="Leve")),"Bajo",IF(OR(AND(O55="Muy baja",S55="Moderado"),AND(O55="Baja",S55="Menor"),AND(O55="Baja",S55="Moderado"),AND(O55="Media",S55="Leve"),AND(O55="Media",S55="Menor"),AND(O55="Media",S55="Moderado"),AND(O55="Alta",S55="Leve"),AND(O55="Alta",S55="Menor")),"Moderado",IF(OR(AND(O55="Muy Baja",S55="Mayor"),AND(O55="Baja",S55="Mayor"),AND(O55="Media",S55="Mayor"),AND(O55="Alta",S55="Moderado"),AND(O55="Alta",S55="Mayor"),AND(O55="Muy Alta",S55="Leve"),AND(O55="Muy Alta",S55="Menor"),AND(O55="Muy Alta",S55="Moderado"),AND(O55="Muy Alta",S55="Mayor")),"Alto",IF(OR(AND(O55="Muy Baja",S55="Catastrófico"),AND(O55="Baja",S55="Catastrófico"),AND(O55="Media",S55="Catastrófico"),AND(O55="Alta",S55="Catastrófico"),AND(O55="Muy Alta",S55="Catastrófico")),"Extremo",""))))</f>
        <v/>
      </c>
      <c r="V55" s="203">
        <v>1</v>
      </c>
      <c r="W55" s="176"/>
      <c r="X55" s="178" t="str">
        <f>IF(OR(Y55="Preventivo",Y55="Detectivo"),"Probabilidad",IF(Y55="Correctivo","Impacto",""))</f>
        <v/>
      </c>
      <c r="Y55" s="179"/>
      <c r="Z55" s="179"/>
      <c r="AA55" s="180" t="str">
        <f>IF(AND(Y55="Preventivo",Z55="Automático"),"50%",IF(AND(Y55="Preventivo",Z55="Manual"),"40%",IF(AND(Y55="Detectivo",Z55="Automático"),"40%",IF(AND(Y55="Detectivo",Z55="Manual"),"30%",IF(AND(Y55="Correctivo",Z55="Automático"),"35%",IF(AND(Y55="Correctivo",Z55="Manual"),"25%",""))))))</f>
        <v/>
      </c>
      <c r="AB55" s="179"/>
      <c r="AC55" s="179"/>
      <c r="AD55" s="179"/>
      <c r="AE55" s="181" t="str">
        <f>IFERROR(IF(X55="Probabilidad",(P55-(+P55*AA55)),IF(X55="Impacto",P55,"")),"")</f>
        <v/>
      </c>
      <c r="AF55" s="182" t="str">
        <f>IFERROR(IF(AE55="","",IF(AE55&lt;=0.2,"Muy Baja",IF(AE55&lt;=0.4,"Baja",IF(AE55&lt;=0.6,"Media",IF(AE55&lt;=0.8,"Alta","Muy Alta"))))),"")</f>
        <v/>
      </c>
      <c r="AG55" s="180" t="str">
        <f>+AE55</f>
        <v/>
      </c>
      <c r="AH55" s="182" t="str">
        <f>IFERROR(IF(AI55="","",IF(AI55&lt;=0.2,"Leve",IF(AI55&lt;=0.4,"Menor",IF(AI55&lt;=0.6,"Moderado",IF(AI55&lt;=0.8,"Mayor","Catastrófico"))))),"")</f>
        <v/>
      </c>
      <c r="AI55" s="180" t="str">
        <f t="shared" ref="AI55" si="62">IFERROR(IF(X55="Impacto",(T55-(+T55*AA55)),IF(X55="Probabilidad",T55,"")),"")</f>
        <v/>
      </c>
      <c r="AJ55" s="183" t="str">
        <f>IFERROR(IF(OR(AND(AF55="Muy Baja",AH55="Leve"),AND(AF55="Muy Baja",AH55="Menor"),AND(AF55="Baja",AH55="Leve")),"Bajo",IF(OR(AND(AF55="Muy baja",AH55="Moderado"),AND(AF55="Baja",AH55="Menor"),AND(AF55="Baja",AH55="Moderado"),AND(AF55="Media",AH55="Leve"),AND(AF55="Media",AH55="Menor"),AND(AF55="Media",AH55="Moderado"),AND(AF55="Alta",AH55="Leve"),AND(AF55="Alta",AH55="Menor")),"Moderado",IF(OR(AND(AF55="Muy Baja",AH55="Mayor"),AND(AF55="Baja",AH55="Mayor"),AND(AF55="Media",AH55="Mayor"),AND(AF55="Alta",AH55="Moderado"),AND(AF55="Alta",AH55="Mayor"),AND(AF55="Muy Alta",AH55="Leve"),AND(AF55="Muy Alta",AH55="Menor"),AND(AF55="Muy Alta",AH55="Moderado"),AND(AF55="Muy Alta",AH55="Mayor")),"Alto",IF(OR(AND(AF55="Muy Baja",AH55="Catastrófico"),AND(AF55="Baja",AH55="Catastrófico"),AND(AF55="Media",AH55="Catastrófico"),AND(AF55="Alta",AH55="Catastrófico"),AND(AF55="Muy Alta",AH55="Catastrófico")),"Extremo","")))),"")</f>
        <v/>
      </c>
      <c r="AK55" s="184"/>
      <c r="AL55" s="175"/>
      <c r="AM55" s="185"/>
      <c r="AN55" s="185"/>
      <c r="AO55" s="186"/>
      <c r="AP55" s="339"/>
      <c r="AQ55" s="339"/>
      <c r="AR55" s="339"/>
    </row>
    <row r="56" spans="1:44" ht="37.5" customHeight="1" x14ac:dyDescent="0.2">
      <c r="A56" s="328"/>
      <c r="B56" s="329"/>
      <c r="C56" s="329"/>
      <c r="D56" s="329"/>
      <c r="E56" s="329"/>
      <c r="F56" s="329"/>
      <c r="G56" s="343"/>
      <c r="H56" s="343"/>
      <c r="I56" s="343"/>
      <c r="J56" s="343"/>
      <c r="K56" s="343"/>
      <c r="L56" s="343"/>
      <c r="M56" s="343"/>
      <c r="N56" s="339"/>
      <c r="O56" s="340"/>
      <c r="P56" s="341"/>
      <c r="Q56" s="359"/>
      <c r="R56" s="341">
        <f>IF(NOT(ISERROR(MATCH(Q56,_xlfn.ANCHORARRAY(E67),0))),P69&amp;"Por favor no seleccionar los criterios de impacto",Q56)</f>
        <v>0</v>
      </c>
      <c r="S56" s="340"/>
      <c r="T56" s="341"/>
      <c r="U56" s="358"/>
      <c r="V56" s="203">
        <v>2</v>
      </c>
      <c r="W56" s="176"/>
      <c r="X56" s="178" t="str">
        <f>IF(OR(Y56="Preventivo",Y56="Detectivo"),"Probabilidad",IF(Y56="Correctivo","Impacto",""))</f>
        <v/>
      </c>
      <c r="Y56" s="179"/>
      <c r="Z56" s="179"/>
      <c r="AA56" s="180" t="str">
        <f t="shared" ref="AA56:AA60" si="63">IF(AND(Y56="Preventivo",Z56="Automático"),"50%",IF(AND(Y56="Preventivo",Z56="Manual"),"40%",IF(AND(Y56="Detectivo",Z56="Automático"),"40%",IF(AND(Y56="Detectivo",Z56="Manual"),"30%",IF(AND(Y56="Correctivo",Z56="Automático"),"35%",IF(AND(Y56="Correctivo",Z56="Manual"),"25%",""))))))</f>
        <v/>
      </c>
      <c r="AB56" s="179"/>
      <c r="AC56" s="179"/>
      <c r="AD56" s="179"/>
      <c r="AE56" s="181" t="str">
        <f>IFERROR(IF(AND(X55="Probabilidad",X56="Probabilidad"),(AG55-(+AG55*AA56)),IF(X56="Probabilidad",(P55-(+P55*AA56)),IF(X56="Impacto",AG55,""))),"")</f>
        <v/>
      </c>
      <c r="AF56" s="182" t="str">
        <f t="shared" si="2"/>
        <v/>
      </c>
      <c r="AG56" s="180" t="str">
        <f t="shared" ref="AG56:AG60" si="64">+AE56</f>
        <v/>
      </c>
      <c r="AH56" s="182" t="str">
        <f t="shared" si="4"/>
        <v/>
      </c>
      <c r="AI56" s="180" t="str">
        <f t="shared" ref="AI56" si="65">IFERROR(IF(AND(X55="Impacto",X56="Impacto"),(AI55-(+AI55*AA56)),IF(X56="Impacto",($T$13-(+$T$13*AA56)),IF(X56="Probabilidad",AI55,""))),"")</f>
        <v/>
      </c>
      <c r="AJ56" s="183" t="str">
        <f t="shared" ref="AJ56:AJ57" si="66">IFERROR(IF(OR(AND(AF56="Muy Baja",AH56="Leve"),AND(AF56="Muy Baja",AH56="Menor"),AND(AF56="Baja",AH56="Leve")),"Bajo",IF(OR(AND(AF56="Muy baja",AH56="Moderado"),AND(AF56="Baja",AH56="Menor"),AND(AF56="Baja",AH56="Moderado"),AND(AF56="Media",AH56="Leve"),AND(AF56="Media",AH56="Menor"),AND(AF56="Media",AH56="Moderado"),AND(AF56="Alta",AH56="Leve"),AND(AF56="Alta",AH56="Menor")),"Moderado",IF(OR(AND(AF56="Muy Baja",AH56="Mayor"),AND(AF56="Baja",AH56="Mayor"),AND(AF56="Media",AH56="Mayor"),AND(AF56="Alta",AH56="Moderado"),AND(AF56="Alta",AH56="Mayor"),AND(AF56="Muy Alta",AH56="Leve"),AND(AF56="Muy Alta",AH56="Menor"),AND(AF56="Muy Alta",AH56="Moderado"),AND(AF56="Muy Alta",AH56="Mayor")),"Alto",IF(OR(AND(AF56="Muy Baja",AH56="Catastrófico"),AND(AF56="Baja",AH56="Catastrófico"),AND(AF56="Media",AH56="Catastrófico"),AND(AF56="Alta",AH56="Catastrófico"),AND(AF56="Muy Alta",AH56="Catastrófico")),"Extremo","")))),"")</f>
        <v/>
      </c>
      <c r="AK56" s="184"/>
      <c r="AL56" s="175"/>
      <c r="AM56" s="185"/>
      <c r="AN56" s="185"/>
      <c r="AO56" s="186"/>
      <c r="AP56" s="339"/>
      <c r="AQ56" s="339"/>
      <c r="AR56" s="339"/>
    </row>
    <row r="57" spans="1:44" ht="37.5" customHeight="1" x14ac:dyDescent="0.2">
      <c r="A57" s="328"/>
      <c r="B57" s="329"/>
      <c r="C57" s="329"/>
      <c r="D57" s="329"/>
      <c r="E57" s="329"/>
      <c r="F57" s="329"/>
      <c r="G57" s="343"/>
      <c r="H57" s="343"/>
      <c r="I57" s="343"/>
      <c r="J57" s="343"/>
      <c r="K57" s="343"/>
      <c r="L57" s="343"/>
      <c r="M57" s="343"/>
      <c r="N57" s="339"/>
      <c r="O57" s="340"/>
      <c r="P57" s="341"/>
      <c r="Q57" s="359"/>
      <c r="R57" s="341">
        <f>IF(NOT(ISERROR(MATCH(Q57,_xlfn.ANCHORARRAY(E68),0))),P70&amp;"Por favor no seleccionar los criterios de impacto",Q57)</f>
        <v>0</v>
      </c>
      <c r="S57" s="340"/>
      <c r="T57" s="341"/>
      <c r="U57" s="358"/>
      <c r="V57" s="203">
        <v>3</v>
      </c>
      <c r="W57" s="177"/>
      <c r="X57" s="178" t="str">
        <f>IF(OR(Y57="Preventivo",Y57="Detectivo"),"Probabilidad",IF(Y57="Correctivo","Impacto",""))</f>
        <v/>
      </c>
      <c r="Y57" s="179"/>
      <c r="Z57" s="179"/>
      <c r="AA57" s="180" t="str">
        <f t="shared" si="63"/>
        <v/>
      </c>
      <c r="AB57" s="179"/>
      <c r="AC57" s="179"/>
      <c r="AD57" s="179"/>
      <c r="AE57" s="181" t="str">
        <f>IFERROR(IF(AND(X56="Probabilidad",X57="Probabilidad"),(AG56-(+AG56*AA57)),IF(AND(X56="Impacto",X57="Probabilidad"),(AG55-(+AG55*AA57)),IF(X57="Impacto",AG56,""))),"")</f>
        <v/>
      </c>
      <c r="AF57" s="182" t="str">
        <f t="shared" si="2"/>
        <v/>
      </c>
      <c r="AG57" s="180" t="str">
        <f t="shared" si="64"/>
        <v/>
      </c>
      <c r="AH57" s="182" t="str">
        <f t="shared" si="4"/>
        <v/>
      </c>
      <c r="AI57" s="180" t="str">
        <f t="shared" ref="AI57" si="67">IFERROR(IF(AND(X56="Impacto",X57="Impacto"),(AI56-(+AI56*AA57)),IF(AND(X56="Probabilidad",X57="Impacto"),(AI55-(+AI55*AA57)),IF(X57="Probabilidad",AI56,""))),"")</f>
        <v/>
      </c>
      <c r="AJ57" s="183" t="str">
        <f t="shared" si="66"/>
        <v/>
      </c>
      <c r="AK57" s="184"/>
      <c r="AL57" s="175"/>
      <c r="AM57" s="185"/>
      <c r="AN57" s="185"/>
      <c r="AO57" s="186"/>
      <c r="AP57" s="339"/>
      <c r="AQ57" s="339"/>
      <c r="AR57" s="339"/>
    </row>
    <row r="58" spans="1:44" ht="37.5" customHeight="1" x14ac:dyDescent="0.2">
      <c r="A58" s="328"/>
      <c r="B58" s="329"/>
      <c r="C58" s="329"/>
      <c r="D58" s="329"/>
      <c r="E58" s="329"/>
      <c r="F58" s="329"/>
      <c r="G58" s="343"/>
      <c r="H58" s="343"/>
      <c r="I58" s="343"/>
      <c r="J58" s="343"/>
      <c r="K58" s="343"/>
      <c r="L58" s="343"/>
      <c r="M58" s="343"/>
      <c r="N58" s="339"/>
      <c r="O58" s="340"/>
      <c r="P58" s="341"/>
      <c r="Q58" s="359"/>
      <c r="R58" s="341">
        <f>IF(NOT(ISERROR(MATCH(Q58,_xlfn.ANCHORARRAY(E69),0))),P71&amp;"Por favor no seleccionar los criterios de impacto",Q58)</f>
        <v>0</v>
      </c>
      <c r="S58" s="340"/>
      <c r="T58" s="341"/>
      <c r="U58" s="358"/>
      <c r="V58" s="203">
        <v>4</v>
      </c>
      <c r="W58" s="176"/>
      <c r="X58" s="178" t="str">
        <f t="shared" ref="X58:X60" si="68">IF(OR(Y58="Preventivo",Y58="Detectivo"),"Probabilidad",IF(Y58="Correctivo","Impacto",""))</f>
        <v/>
      </c>
      <c r="Y58" s="179"/>
      <c r="Z58" s="179"/>
      <c r="AA58" s="180" t="str">
        <f t="shared" si="63"/>
        <v/>
      </c>
      <c r="AB58" s="179"/>
      <c r="AC58" s="179"/>
      <c r="AD58" s="179"/>
      <c r="AE58" s="181" t="str">
        <f t="shared" ref="AE58:AE60" si="69">IFERROR(IF(AND(X57="Probabilidad",X58="Probabilidad"),(AG57-(+AG57*AA58)),IF(AND(X57="Impacto",X58="Probabilidad"),(AG56-(+AG56*AA58)),IF(X58="Impacto",AG57,""))),"")</f>
        <v/>
      </c>
      <c r="AF58" s="182" t="str">
        <f t="shared" si="2"/>
        <v/>
      </c>
      <c r="AG58" s="180" t="str">
        <f t="shared" si="64"/>
        <v/>
      </c>
      <c r="AH58" s="182" t="str">
        <f t="shared" si="4"/>
        <v/>
      </c>
      <c r="AI58" s="180" t="str">
        <f t="shared" si="13"/>
        <v/>
      </c>
      <c r="AJ58" s="183" t="str">
        <f>IFERROR(IF(OR(AND(AF58="Muy Baja",AH58="Leve"),AND(AF58="Muy Baja",AH58="Menor"),AND(AF58="Baja",AH58="Leve")),"Bajo",IF(OR(AND(AF58="Muy baja",AH58="Moderado"),AND(AF58="Baja",AH58="Menor"),AND(AF58="Baja",AH58="Moderado"),AND(AF58="Media",AH58="Leve"),AND(AF58="Media",AH58="Menor"),AND(AF58="Media",AH58="Moderado"),AND(AF58="Alta",AH58="Leve"),AND(AF58="Alta",AH58="Menor")),"Moderado",IF(OR(AND(AF58="Muy Baja",AH58="Mayor"),AND(AF58="Baja",AH58="Mayor"),AND(AF58="Media",AH58="Mayor"),AND(AF58="Alta",AH58="Moderado"),AND(AF58="Alta",AH58="Mayor"),AND(AF58="Muy Alta",AH58="Leve"),AND(AF58="Muy Alta",AH58="Menor"),AND(AF58="Muy Alta",AH58="Moderado"),AND(AF58="Muy Alta",AH58="Mayor")),"Alto",IF(OR(AND(AF58="Muy Baja",AH58="Catastrófico"),AND(AF58="Baja",AH58="Catastrófico"),AND(AF58="Media",AH58="Catastrófico"),AND(AF58="Alta",AH58="Catastrófico"),AND(AF58="Muy Alta",AH58="Catastrófico")),"Extremo","")))),"")</f>
        <v/>
      </c>
      <c r="AK58" s="184"/>
      <c r="AL58" s="175"/>
      <c r="AM58" s="185"/>
      <c r="AN58" s="185"/>
      <c r="AO58" s="186"/>
      <c r="AP58" s="339"/>
      <c r="AQ58" s="339"/>
      <c r="AR58" s="339"/>
    </row>
    <row r="59" spans="1:44" ht="37.5" customHeight="1" x14ac:dyDescent="0.2">
      <c r="A59" s="328"/>
      <c r="B59" s="329"/>
      <c r="C59" s="329"/>
      <c r="D59" s="329"/>
      <c r="E59" s="329"/>
      <c r="F59" s="329"/>
      <c r="G59" s="343"/>
      <c r="H59" s="343"/>
      <c r="I59" s="343"/>
      <c r="J59" s="343"/>
      <c r="K59" s="343"/>
      <c r="L59" s="343"/>
      <c r="M59" s="343"/>
      <c r="N59" s="339"/>
      <c r="O59" s="340"/>
      <c r="P59" s="341"/>
      <c r="Q59" s="359"/>
      <c r="R59" s="341">
        <f>IF(NOT(ISERROR(MATCH(Q59,_xlfn.ANCHORARRAY(E70),0))),P72&amp;"Por favor no seleccionar los criterios de impacto",Q59)</f>
        <v>0</v>
      </c>
      <c r="S59" s="340"/>
      <c r="T59" s="341"/>
      <c r="U59" s="358"/>
      <c r="V59" s="203">
        <v>5</v>
      </c>
      <c r="W59" s="176"/>
      <c r="X59" s="178" t="str">
        <f t="shared" si="68"/>
        <v/>
      </c>
      <c r="Y59" s="179"/>
      <c r="Z59" s="179"/>
      <c r="AA59" s="180" t="str">
        <f t="shared" si="63"/>
        <v/>
      </c>
      <c r="AB59" s="179"/>
      <c r="AC59" s="179"/>
      <c r="AD59" s="179"/>
      <c r="AE59" s="181" t="str">
        <f t="shared" si="69"/>
        <v/>
      </c>
      <c r="AF59" s="182" t="str">
        <f t="shared" si="2"/>
        <v/>
      </c>
      <c r="AG59" s="180" t="str">
        <f t="shared" si="64"/>
        <v/>
      </c>
      <c r="AH59" s="182" t="str">
        <f t="shared" si="4"/>
        <v/>
      </c>
      <c r="AI59" s="180" t="str">
        <f t="shared" si="13"/>
        <v/>
      </c>
      <c r="AJ59" s="183" t="str">
        <f t="shared" ref="AJ59:AJ60" si="70">IFERROR(IF(OR(AND(AF59="Muy Baja",AH59="Leve"),AND(AF59="Muy Baja",AH59="Menor"),AND(AF59="Baja",AH59="Leve")),"Bajo",IF(OR(AND(AF59="Muy baja",AH59="Moderado"),AND(AF59="Baja",AH59="Menor"),AND(AF59="Baja",AH59="Moderado"),AND(AF59="Media",AH59="Leve"),AND(AF59="Media",AH59="Menor"),AND(AF59="Media",AH59="Moderado"),AND(AF59="Alta",AH59="Leve"),AND(AF59="Alta",AH59="Menor")),"Moderado",IF(OR(AND(AF59="Muy Baja",AH59="Mayor"),AND(AF59="Baja",AH59="Mayor"),AND(AF59="Media",AH59="Mayor"),AND(AF59="Alta",AH59="Moderado"),AND(AF59="Alta",AH59="Mayor"),AND(AF59="Muy Alta",AH59="Leve"),AND(AF59="Muy Alta",AH59="Menor"),AND(AF59="Muy Alta",AH59="Moderado"),AND(AF59="Muy Alta",AH59="Mayor")),"Alto",IF(OR(AND(AF59="Muy Baja",AH59="Catastrófico"),AND(AF59="Baja",AH59="Catastrófico"),AND(AF59="Media",AH59="Catastrófico"),AND(AF59="Alta",AH59="Catastrófico"),AND(AF59="Muy Alta",AH59="Catastrófico")),"Extremo","")))),"")</f>
        <v/>
      </c>
      <c r="AK59" s="184"/>
      <c r="AL59" s="175"/>
      <c r="AM59" s="185"/>
      <c r="AN59" s="185"/>
      <c r="AO59" s="186"/>
      <c r="AP59" s="339"/>
      <c r="AQ59" s="339"/>
      <c r="AR59" s="339"/>
    </row>
    <row r="60" spans="1:44" ht="37.5" customHeight="1" x14ac:dyDescent="0.2">
      <c r="A60" s="328"/>
      <c r="B60" s="329"/>
      <c r="C60" s="329"/>
      <c r="D60" s="329"/>
      <c r="E60" s="329"/>
      <c r="F60" s="329"/>
      <c r="G60" s="344"/>
      <c r="H60" s="344"/>
      <c r="I60" s="344"/>
      <c r="J60" s="344"/>
      <c r="K60" s="344"/>
      <c r="L60" s="344"/>
      <c r="M60" s="344"/>
      <c r="N60" s="339"/>
      <c r="O60" s="340"/>
      <c r="P60" s="341"/>
      <c r="Q60" s="359"/>
      <c r="R60" s="341">
        <f>IF(NOT(ISERROR(MATCH(Q60,_xlfn.ANCHORARRAY(E71),0))),Q73&amp;"Por favor no seleccionar los criterios de impacto",Q60)</f>
        <v>0</v>
      </c>
      <c r="S60" s="340"/>
      <c r="T60" s="341"/>
      <c r="U60" s="358"/>
      <c r="V60" s="203">
        <v>6</v>
      </c>
      <c r="W60" s="176"/>
      <c r="X60" s="178" t="str">
        <f t="shared" si="68"/>
        <v/>
      </c>
      <c r="Y60" s="179"/>
      <c r="Z60" s="179"/>
      <c r="AA60" s="180" t="str">
        <f t="shared" si="63"/>
        <v/>
      </c>
      <c r="AB60" s="179"/>
      <c r="AC60" s="179"/>
      <c r="AD60" s="179"/>
      <c r="AE60" s="181" t="str">
        <f t="shared" si="69"/>
        <v/>
      </c>
      <c r="AF60" s="182" t="str">
        <f t="shared" si="2"/>
        <v/>
      </c>
      <c r="AG60" s="180" t="str">
        <f t="shared" si="64"/>
        <v/>
      </c>
      <c r="AH60" s="182" t="str">
        <f t="shared" si="4"/>
        <v/>
      </c>
      <c r="AI60" s="180" t="str">
        <f t="shared" si="13"/>
        <v/>
      </c>
      <c r="AJ60" s="183" t="str">
        <f t="shared" si="70"/>
        <v/>
      </c>
      <c r="AK60" s="184"/>
      <c r="AL60" s="175"/>
      <c r="AM60" s="185"/>
      <c r="AN60" s="185"/>
      <c r="AO60" s="186"/>
      <c r="AP60" s="339"/>
      <c r="AQ60" s="339"/>
      <c r="AR60" s="339"/>
    </row>
    <row r="61" spans="1:44" ht="37.5" customHeight="1" x14ac:dyDescent="0.2">
      <c r="A61" s="328">
        <v>9</v>
      </c>
      <c r="B61" s="329"/>
      <c r="C61" s="329"/>
      <c r="D61" s="329"/>
      <c r="E61" s="329"/>
      <c r="F61" s="329"/>
      <c r="G61" s="342"/>
      <c r="H61" s="342"/>
      <c r="I61" s="210"/>
      <c r="J61" s="210"/>
      <c r="K61" s="210"/>
      <c r="L61" s="342"/>
      <c r="M61" s="342"/>
      <c r="N61" s="339"/>
      <c r="O61" s="340" t="str">
        <f>IF(N61&lt;=0,"",IF(N61&lt;=2,"Muy Baja",IF(N61&lt;=24,"Baja",IF(N61&lt;=500,"Media",IF(N61&lt;=5000,"Alta","Muy Alta")))))</f>
        <v/>
      </c>
      <c r="P61" s="341" t="str">
        <f>IF(O61="","",IF(O61="Muy Baja",0.2,IF(O61="Baja",0.4,IF(O61="Media",0.6,IF(O61="Alta",0.8,IF(O61="Muy Alta",1,))))))</f>
        <v/>
      </c>
      <c r="Q61" s="359"/>
      <c r="R61" s="341">
        <f>IF(NOT(ISERROR(MATCH(Q61,'Tabla Impacto'!$B$222:$B$224,0))),'Tabla Impacto'!$F$224&amp;"Por favor no seleccionar los criterios de impacto(Afectación Económica o presupuestal y Pérdida Reputacional)",Q61)</f>
        <v>0</v>
      </c>
      <c r="S61" s="340" t="str">
        <f>IF(OR(R61='Tabla Impacto'!$C$12,R61='Tabla Impacto'!$D$12),"Leve",IF(OR(R61='Tabla Impacto'!$C$13,R61='Tabla Impacto'!$D$13),"Menor",IF(OR(R61='Tabla Impacto'!$C$14,R61='Tabla Impacto'!$D$14),"Moderado",IF(OR(R61='Tabla Impacto'!$C$15,R61='Tabla Impacto'!$D$15),"Mayor",IF(OR(R61='Tabla Impacto'!$C$16,R61='Tabla Impacto'!$D$16),"Catastrófico","")))))</f>
        <v/>
      </c>
      <c r="T61" s="341" t="str">
        <f>IF(S61="","",IF(S61="Leve",0.2,IF(S61="Menor",0.4,IF(S61="Moderado",0.6,IF(S61="Mayor",0.8,IF(S61="Catastrófico",1,))))))</f>
        <v/>
      </c>
      <c r="U61" s="358" t="str">
        <f>IF(OR(AND(O61="Muy Baja",S61="Leve"),AND(O61="Muy Baja",S61="Menor"),AND(O61="Baja",S61="Leve")),"Bajo",IF(OR(AND(O61="Muy baja",S61="Moderado"),AND(O61="Baja",S61="Menor"),AND(O61="Baja",S61="Moderado"),AND(O61="Media",S61="Leve"),AND(O61="Media",S61="Menor"),AND(O61="Media",S61="Moderado"),AND(O61="Alta",S61="Leve"),AND(O61="Alta",S61="Menor")),"Moderado",IF(OR(AND(O61="Muy Baja",S61="Mayor"),AND(O61="Baja",S61="Mayor"),AND(O61="Media",S61="Mayor"),AND(O61="Alta",S61="Moderado"),AND(O61="Alta",S61="Mayor"),AND(O61="Muy Alta",S61="Leve"),AND(O61="Muy Alta",S61="Menor"),AND(O61="Muy Alta",S61="Moderado"),AND(O61="Muy Alta",S61="Mayor")),"Alto",IF(OR(AND(O61="Muy Baja",S61="Catastrófico"),AND(O61="Baja",S61="Catastrófico"),AND(O61="Media",S61="Catastrófico"),AND(O61="Alta",S61="Catastrófico"),AND(O61="Muy Alta",S61="Catastrófico")),"Extremo",""))))</f>
        <v/>
      </c>
      <c r="V61" s="203">
        <v>1</v>
      </c>
      <c r="W61" s="176"/>
      <c r="X61" s="178" t="str">
        <f>IF(OR(Y61="Preventivo",Y61="Detectivo"),"Probabilidad",IF(Y61="Correctivo","Impacto",""))</f>
        <v/>
      </c>
      <c r="Y61" s="179"/>
      <c r="Z61" s="179"/>
      <c r="AA61" s="180" t="str">
        <f>IF(AND(Y61="Preventivo",Z61="Automático"),"50%",IF(AND(Y61="Preventivo",Z61="Manual"),"40%",IF(AND(Y61="Detectivo",Z61="Automático"),"40%",IF(AND(Y61="Detectivo",Z61="Manual"),"30%",IF(AND(Y61="Correctivo",Z61="Automático"),"35%",IF(AND(Y61="Correctivo",Z61="Manual"),"25%",""))))))</f>
        <v/>
      </c>
      <c r="AB61" s="179"/>
      <c r="AC61" s="179"/>
      <c r="AD61" s="179"/>
      <c r="AE61" s="181" t="str">
        <f>IFERROR(IF(X61="Probabilidad",(P61-(+P61*AA61)),IF(X61="Impacto",P61,"")),"")</f>
        <v/>
      </c>
      <c r="AF61" s="182" t="str">
        <f>IFERROR(IF(AE61="","",IF(AE61&lt;=0.2,"Muy Baja",IF(AE61&lt;=0.4,"Baja",IF(AE61&lt;=0.6,"Media",IF(AE61&lt;=0.8,"Alta","Muy Alta"))))),"")</f>
        <v/>
      </c>
      <c r="AG61" s="180" t="str">
        <f>+AE61</f>
        <v/>
      </c>
      <c r="AH61" s="182" t="str">
        <f>IFERROR(IF(AI61="","",IF(AI61&lt;=0.2,"Leve",IF(AI61&lt;=0.4,"Menor",IF(AI61&lt;=0.6,"Moderado",IF(AI61&lt;=0.8,"Mayor","Catastrófico"))))),"")</f>
        <v/>
      </c>
      <c r="AI61" s="180" t="str">
        <f t="shared" ref="AI61" si="71">IFERROR(IF(X61="Impacto",(T61-(+T61*AA61)),IF(X61="Probabilidad",T61,"")),"")</f>
        <v/>
      </c>
      <c r="AJ61" s="183" t="str">
        <f>IFERROR(IF(OR(AND(AF61="Muy Baja",AH61="Leve"),AND(AF61="Muy Baja",AH61="Menor"),AND(AF61="Baja",AH61="Leve")),"Bajo",IF(OR(AND(AF61="Muy baja",AH61="Moderado"),AND(AF61="Baja",AH61="Menor"),AND(AF61="Baja",AH61="Moderado"),AND(AF61="Media",AH61="Leve"),AND(AF61="Media",AH61="Menor"),AND(AF61="Media",AH61="Moderado"),AND(AF61="Alta",AH61="Leve"),AND(AF61="Alta",AH61="Menor")),"Moderado",IF(OR(AND(AF61="Muy Baja",AH61="Mayor"),AND(AF61="Baja",AH61="Mayor"),AND(AF61="Media",AH61="Mayor"),AND(AF61="Alta",AH61="Moderado"),AND(AF61="Alta",AH61="Mayor"),AND(AF61="Muy Alta",AH61="Leve"),AND(AF61="Muy Alta",AH61="Menor"),AND(AF61="Muy Alta",AH61="Moderado"),AND(AF61="Muy Alta",AH61="Mayor")),"Alto",IF(OR(AND(AF61="Muy Baja",AH61="Catastrófico"),AND(AF61="Baja",AH61="Catastrófico"),AND(AF61="Media",AH61="Catastrófico"),AND(AF61="Alta",AH61="Catastrófico"),AND(AF61="Muy Alta",AH61="Catastrófico")),"Extremo","")))),"")</f>
        <v/>
      </c>
      <c r="AK61" s="184"/>
      <c r="AL61" s="175"/>
      <c r="AM61" s="185"/>
      <c r="AN61" s="185"/>
      <c r="AO61" s="186"/>
      <c r="AP61" s="339"/>
      <c r="AQ61" s="339"/>
      <c r="AR61" s="339"/>
    </row>
    <row r="62" spans="1:44" ht="37.5" customHeight="1" x14ac:dyDescent="0.2">
      <c r="A62" s="328"/>
      <c r="B62" s="329"/>
      <c r="C62" s="329"/>
      <c r="D62" s="329"/>
      <c r="E62" s="329"/>
      <c r="F62" s="329"/>
      <c r="G62" s="343"/>
      <c r="H62" s="343"/>
      <c r="I62" s="211"/>
      <c r="J62" s="211"/>
      <c r="K62" s="211"/>
      <c r="L62" s="343"/>
      <c r="M62" s="343"/>
      <c r="N62" s="339"/>
      <c r="O62" s="340"/>
      <c r="P62" s="341"/>
      <c r="Q62" s="359"/>
      <c r="R62" s="341">
        <f>IF(NOT(ISERROR(MATCH(Q62,_xlfn.ANCHORARRAY(F73),0))),Q75&amp;"Por favor no seleccionar los criterios de impacto",Q62)</f>
        <v>0</v>
      </c>
      <c r="S62" s="340"/>
      <c r="T62" s="341"/>
      <c r="U62" s="358"/>
      <c r="V62" s="203">
        <v>2</v>
      </c>
      <c r="W62" s="176"/>
      <c r="X62" s="178" t="str">
        <f>IF(OR(Y62="Preventivo",Y62="Detectivo"),"Probabilidad",IF(Y62="Correctivo","Impacto",""))</f>
        <v/>
      </c>
      <c r="Y62" s="179"/>
      <c r="Z62" s="179"/>
      <c r="AA62" s="180" t="str">
        <f t="shared" ref="AA62:AA66" si="72">IF(AND(Y62="Preventivo",Z62="Automático"),"50%",IF(AND(Y62="Preventivo",Z62="Manual"),"40%",IF(AND(Y62="Detectivo",Z62="Automático"),"40%",IF(AND(Y62="Detectivo",Z62="Manual"),"30%",IF(AND(Y62="Correctivo",Z62="Automático"),"35%",IF(AND(Y62="Correctivo",Z62="Manual"),"25%",""))))))</f>
        <v/>
      </c>
      <c r="AB62" s="179"/>
      <c r="AC62" s="179"/>
      <c r="AD62" s="179"/>
      <c r="AE62" s="181" t="str">
        <f>IFERROR(IF(AND(X61="Probabilidad",X62="Probabilidad"),(AG61-(+AG61*AA62)),IF(X62="Probabilidad",(P61-(+P61*AA62)),IF(X62="Impacto",AG61,""))),"")</f>
        <v/>
      </c>
      <c r="AF62" s="182" t="str">
        <f t="shared" si="2"/>
        <v/>
      </c>
      <c r="AG62" s="180" t="str">
        <f t="shared" ref="AG62:AG66" si="73">+AE62</f>
        <v/>
      </c>
      <c r="AH62" s="182" t="str">
        <f t="shared" si="4"/>
        <v/>
      </c>
      <c r="AI62" s="180" t="str">
        <f t="shared" ref="AI62" si="74">IFERROR(IF(AND(X61="Impacto",X62="Impacto"),(AI61-(+AI61*AA62)),IF(X62="Impacto",($T$13-(+$T$13*AA62)),IF(X62="Probabilidad",AI61,""))),"")</f>
        <v/>
      </c>
      <c r="AJ62" s="183" t="str">
        <f t="shared" ref="AJ62:AJ63" si="75">IFERROR(IF(OR(AND(AF62="Muy Baja",AH62="Leve"),AND(AF62="Muy Baja",AH62="Menor"),AND(AF62="Baja",AH62="Leve")),"Bajo",IF(OR(AND(AF62="Muy baja",AH62="Moderado"),AND(AF62="Baja",AH62="Menor"),AND(AF62="Baja",AH62="Moderado"),AND(AF62="Media",AH62="Leve"),AND(AF62="Media",AH62="Menor"),AND(AF62="Media",AH62="Moderado"),AND(AF62="Alta",AH62="Leve"),AND(AF62="Alta",AH62="Menor")),"Moderado",IF(OR(AND(AF62="Muy Baja",AH62="Mayor"),AND(AF62="Baja",AH62="Mayor"),AND(AF62="Media",AH62="Mayor"),AND(AF62="Alta",AH62="Moderado"),AND(AF62="Alta",AH62="Mayor"),AND(AF62="Muy Alta",AH62="Leve"),AND(AF62="Muy Alta",AH62="Menor"),AND(AF62="Muy Alta",AH62="Moderado"),AND(AF62="Muy Alta",AH62="Mayor")),"Alto",IF(OR(AND(AF62="Muy Baja",AH62="Catastrófico"),AND(AF62="Baja",AH62="Catastrófico"),AND(AF62="Media",AH62="Catastrófico"),AND(AF62="Alta",AH62="Catastrófico"),AND(AF62="Muy Alta",AH62="Catastrófico")),"Extremo","")))),"")</f>
        <v/>
      </c>
      <c r="AK62" s="184"/>
      <c r="AL62" s="175"/>
      <c r="AM62" s="185"/>
      <c r="AN62" s="185"/>
      <c r="AO62" s="186"/>
      <c r="AP62" s="339"/>
      <c r="AQ62" s="339"/>
      <c r="AR62" s="339"/>
    </row>
    <row r="63" spans="1:44" ht="37.5" customHeight="1" x14ac:dyDescent="0.2">
      <c r="A63" s="328"/>
      <c r="B63" s="329"/>
      <c r="C63" s="329"/>
      <c r="D63" s="329"/>
      <c r="E63" s="329"/>
      <c r="F63" s="329"/>
      <c r="G63" s="343"/>
      <c r="H63" s="343"/>
      <c r="I63" s="211"/>
      <c r="J63" s="211"/>
      <c r="K63" s="211"/>
      <c r="L63" s="343"/>
      <c r="M63" s="343"/>
      <c r="N63" s="339"/>
      <c r="O63" s="340"/>
      <c r="P63" s="341"/>
      <c r="Q63" s="359"/>
      <c r="R63" s="341">
        <f>IF(NOT(ISERROR(MATCH(Q63,_xlfn.ANCHORARRAY(F74),0))),Q76&amp;"Por favor no seleccionar los criterios de impacto",Q63)</f>
        <v>0</v>
      </c>
      <c r="S63" s="340"/>
      <c r="T63" s="341"/>
      <c r="U63" s="358"/>
      <c r="V63" s="203">
        <v>3</v>
      </c>
      <c r="W63" s="176"/>
      <c r="X63" s="178" t="str">
        <f>IF(OR(Y63="Preventivo",Y63="Detectivo"),"Probabilidad",IF(Y63="Correctivo","Impacto",""))</f>
        <v/>
      </c>
      <c r="Y63" s="179"/>
      <c r="Z63" s="179"/>
      <c r="AA63" s="180" t="str">
        <f t="shared" si="72"/>
        <v/>
      </c>
      <c r="AB63" s="179"/>
      <c r="AC63" s="179"/>
      <c r="AD63" s="179"/>
      <c r="AE63" s="181" t="str">
        <f>IFERROR(IF(AND(X62="Probabilidad",X63="Probabilidad"),(AG62-(+AG62*AA63)),IF(AND(X62="Impacto",X63="Probabilidad"),(AG61-(+AG61*AA63)),IF(X63="Impacto",AG62,""))),"")</f>
        <v/>
      </c>
      <c r="AF63" s="182" t="str">
        <f t="shared" si="2"/>
        <v/>
      </c>
      <c r="AG63" s="180" t="str">
        <f t="shared" si="73"/>
        <v/>
      </c>
      <c r="AH63" s="182" t="str">
        <f t="shared" si="4"/>
        <v/>
      </c>
      <c r="AI63" s="180" t="str">
        <f t="shared" ref="AI63" si="76">IFERROR(IF(AND(X62="Impacto",X63="Impacto"),(AI62-(+AI62*AA63)),IF(AND(X62="Probabilidad",X63="Impacto"),(AI61-(+AI61*AA63)),IF(X63="Probabilidad",AI62,""))),"")</f>
        <v/>
      </c>
      <c r="AJ63" s="183" t="str">
        <f t="shared" si="75"/>
        <v/>
      </c>
      <c r="AK63" s="184"/>
      <c r="AL63" s="175"/>
      <c r="AM63" s="185"/>
      <c r="AN63" s="185"/>
      <c r="AO63" s="186"/>
      <c r="AP63" s="339"/>
      <c r="AQ63" s="339"/>
      <c r="AR63" s="339"/>
    </row>
    <row r="64" spans="1:44" ht="37.5" customHeight="1" x14ac:dyDescent="0.2">
      <c r="A64" s="328"/>
      <c r="B64" s="329"/>
      <c r="C64" s="329"/>
      <c r="D64" s="329"/>
      <c r="E64" s="329"/>
      <c r="F64" s="329"/>
      <c r="G64" s="343"/>
      <c r="H64" s="343"/>
      <c r="I64" s="211"/>
      <c r="J64" s="211"/>
      <c r="K64" s="211"/>
      <c r="L64" s="343"/>
      <c r="M64" s="343"/>
      <c r="N64" s="339"/>
      <c r="O64" s="340"/>
      <c r="P64" s="341"/>
      <c r="Q64" s="359"/>
      <c r="R64" s="341">
        <f>IF(NOT(ISERROR(MATCH(Q64,_xlfn.ANCHORARRAY(F75),0))),Q77&amp;"Por favor no seleccionar los criterios de impacto",Q64)</f>
        <v>0</v>
      </c>
      <c r="S64" s="340"/>
      <c r="T64" s="341"/>
      <c r="U64" s="358"/>
      <c r="V64" s="203">
        <v>4</v>
      </c>
      <c r="W64" s="176"/>
      <c r="X64" s="178" t="str">
        <f t="shared" ref="X64:X66" si="77">IF(OR(Y64="Preventivo",Y64="Detectivo"),"Probabilidad",IF(Y64="Correctivo","Impacto",""))</f>
        <v/>
      </c>
      <c r="Y64" s="179"/>
      <c r="Z64" s="179"/>
      <c r="AA64" s="180" t="str">
        <f t="shared" si="72"/>
        <v/>
      </c>
      <c r="AB64" s="179"/>
      <c r="AC64" s="179"/>
      <c r="AD64" s="179"/>
      <c r="AE64" s="181" t="str">
        <f t="shared" ref="AE64:AE66" si="78">IFERROR(IF(AND(X63="Probabilidad",X64="Probabilidad"),(AG63-(+AG63*AA64)),IF(AND(X63="Impacto",X64="Probabilidad"),(AG62-(+AG62*AA64)),IF(X64="Impacto",AG63,""))),"")</f>
        <v/>
      </c>
      <c r="AF64" s="182" t="str">
        <f t="shared" si="2"/>
        <v/>
      </c>
      <c r="AG64" s="180" t="str">
        <f t="shared" si="73"/>
        <v/>
      </c>
      <c r="AH64" s="182" t="str">
        <f t="shared" si="4"/>
        <v/>
      </c>
      <c r="AI64" s="180" t="str">
        <f t="shared" si="13"/>
        <v/>
      </c>
      <c r="AJ64" s="183" t="str">
        <f>IFERROR(IF(OR(AND(AF64="Muy Baja",AH64="Leve"),AND(AF64="Muy Baja",AH64="Menor"),AND(AF64="Baja",AH64="Leve")),"Bajo",IF(OR(AND(AF64="Muy baja",AH64="Moderado"),AND(AF64="Baja",AH64="Menor"),AND(AF64="Baja",AH64="Moderado"),AND(AF64="Media",AH64="Leve"),AND(AF64="Media",AH64="Menor"),AND(AF64="Media",AH64="Moderado"),AND(AF64="Alta",AH64="Leve"),AND(AF64="Alta",AH64="Menor")),"Moderado",IF(OR(AND(AF64="Muy Baja",AH64="Mayor"),AND(AF64="Baja",AH64="Mayor"),AND(AF64="Media",AH64="Mayor"),AND(AF64="Alta",AH64="Moderado"),AND(AF64="Alta",AH64="Mayor"),AND(AF64="Muy Alta",AH64="Leve"),AND(AF64="Muy Alta",AH64="Menor"),AND(AF64="Muy Alta",AH64="Moderado"),AND(AF64="Muy Alta",AH64="Mayor")),"Alto",IF(OR(AND(AF64="Muy Baja",AH64="Catastrófico"),AND(AF64="Baja",AH64="Catastrófico"),AND(AF64="Media",AH64="Catastrófico"),AND(AF64="Alta",AH64="Catastrófico"),AND(AF64="Muy Alta",AH64="Catastrófico")),"Extremo","")))),"")</f>
        <v/>
      </c>
      <c r="AK64" s="184"/>
      <c r="AL64" s="175"/>
      <c r="AM64" s="185"/>
      <c r="AN64" s="185"/>
      <c r="AO64" s="186"/>
      <c r="AP64" s="339"/>
      <c r="AQ64" s="339"/>
      <c r="AR64" s="339"/>
    </row>
    <row r="65" spans="1:44" ht="37.5" customHeight="1" x14ac:dyDescent="0.2">
      <c r="A65" s="328"/>
      <c r="B65" s="329"/>
      <c r="C65" s="329"/>
      <c r="D65" s="329"/>
      <c r="E65" s="329"/>
      <c r="F65" s="329"/>
      <c r="G65" s="343"/>
      <c r="H65" s="343"/>
      <c r="I65" s="211"/>
      <c r="J65" s="211"/>
      <c r="K65" s="211"/>
      <c r="L65" s="343"/>
      <c r="M65" s="343"/>
      <c r="N65" s="339"/>
      <c r="O65" s="340"/>
      <c r="P65" s="341"/>
      <c r="Q65" s="359"/>
      <c r="R65" s="341">
        <f>IF(NOT(ISERROR(MATCH(Q65,_xlfn.ANCHORARRAY(F76),0))),Q78&amp;"Por favor no seleccionar los criterios de impacto",Q65)</f>
        <v>0</v>
      </c>
      <c r="S65" s="340"/>
      <c r="T65" s="341"/>
      <c r="U65" s="358"/>
      <c r="V65" s="203">
        <v>5</v>
      </c>
      <c r="W65" s="176"/>
      <c r="X65" s="178" t="str">
        <f t="shared" si="77"/>
        <v/>
      </c>
      <c r="Y65" s="179"/>
      <c r="Z65" s="179"/>
      <c r="AA65" s="180" t="str">
        <f t="shared" si="72"/>
        <v/>
      </c>
      <c r="AB65" s="179"/>
      <c r="AC65" s="179"/>
      <c r="AD65" s="179"/>
      <c r="AE65" s="181" t="str">
        <f t="shared" si="78"/>
        <v/>
      </c>
      <c r="AF65" s="182" t="str">
        <f t="shared" si="2"/>
        <v/>
      </c>
      <c r="AG65" s="180" t="str">
        <f t="shared" si="73"/>
        <v/>
      </c>
      <c r="AH65" s="182" t="str">
        <f t="shared" si="4"/>
        <v/>
      </c>
      <c r="AI65" s="180" t="str">
        <f t="shared" si="13"/>
        <v/>
      </c>
      <c r="AJ65" s="183" t="str">
        <f t="shared" ref="AJ65:AJ66" si="79">IFERROR(IF(OR(AND(AF65="Muy Baja",AH65="Leve"),AND(AF65="Muy Baja",AH65="Menor"),AND(AF65="Baja",AH65="Leve")),"Bajo",IF(OR(AND(AF65="Muy baja",AH65="Moderado"),AND(AF65="Baja",AH65="Menor"),AND(AF65="Baja",AH65="Moderado"),AND(AF65="Media",AH65="Leve"),AND(AF65="Media",AH65="Menor"),AND(AF65="Media",AH65="Moderado"),AND(AF65="Alta",AH65="Leve"),AND(AF65="Alta",AH65="Menor")),"Moderado",IF(OR(AND(AF65="Muy Baja",AH65="Mayor"),AND(AF65="Baja",AH65="Mayor"),AND(AF65="Media",AH65="Mayor"),AND(AF65="Alta",AH65="Moderado"),AND(AF65="Alta",AH65="Mayor"),AND(AF65="Muy Alta",AH65="Leve"),AND(AF65="Muy Alta",AH65="Menor"),AND(AF65="Muy Alta",AH65="Moderado"),AND(AF65="Muy Alta",AH65="Mayor")),"Alto",IF(OR(AND(AF65="Muy Baja",AH65="Catastrófico"),AND(AF65="Baja",AH65="Catastrófico"),AND(AF65="Media",AH65="Catastrófico"),AND(AF65="Alta",AH65="Catastrófico"),AND(AF65="Muy Alta",AH65="Catastrófico")),"Extremo","")))),"")</f>
        <v/>
      </c>
      <c r="AK65" s="184"/>
      <c r="AL65" s="175"/>
      <c r="AM65" s="185"/>
      <c r="AN65" s="185"/>
      <c r="AO65" s="186"/>
      <c r="AP65" s="339"/>
      <c r="AQ65" s="339"/>
      <c r="AR65" s="339"/>
    </row>
    <row r="66" spans="1:44" ht="37.5" customHeight="1" x14ac:dyDescent="0.2">
      <c r="A66" s="328"/>
      <c r="B66" s="329"/>
      <c r="C66" s="329"/>
      <c r="D66" s="329"/>
      <c r="E66" s="329"/>
      <c r="F66" s="329"/>
      <c r="G66" s="344"/>
      <c r="H66" s="344"/>
      <c r="I66" s="212"/>
      <c r="J66" s="212"/>
      <c r="K66" s="212"/>
      <c r="L66" s="344"/>
      <c r="M66" s="344"/>
      <c r="N66" s="339"/>
      <c r="O66" s="340"/>
      <c r="P66" s="341"/>
      <c r="Q66" s="359"/>
      <c r="R66" s="341">
        <f>IF(NOT(ISERROR(MATCH(Q66,_xlfn.ANCHORARRAY(F77),0))),Q79&amp;"Por favor no seleccionar los criterios de impacto",Q66)</f>
        <v>0</v>
      </c>
      <c r="S66" s="340"/>
      <c r="T66" s="341"/>
      <c r="U66" s="358"/>
      <c r="V66" s="203">
        <v>6</v>
      </c>
      <c r="W66" s="176"/>
      <c r="X66" s="178" t="str">
        <f t="shared" si="77"/>
        <v/>
      </c>
      <c r="Y66" s="179"/>
      <c r="Z66" s="179"/>
      <c r="AA66" s="180" t="str">
        <f t="shared" si="72"/>
        <v/>
      </c>
      <c r="AB66" s="179"/>
      <c r="AC66" s="179"/>
      <c r="AD66" s="179"/>
      <c r="AE66" s="181" t="str">
        <f t="shared" si="78"/>
        <v/>
      </c>
      <c r="AF66" s="182" t="str">
        <f t="shared" si="2"/>
        <v/>
      </c>
      <c r="AG66" s="180" t="str">
        <f t="shared" si="73"/>
        <v/>
      </c>
      <c r="AH66" s="182" t="str">
        <f t="shared" si="4"/>
        <v/>
      </c>
      <c r="AI66" s="180" t="str">
        <f t="shared" si="13"/>
        <v/>
      </c>
      <c r="AJ66" s="183" t="str">
        <f t="shared" si="79"/>
        <v/>
      </c>
      <c r="AK66" s="184"/>
      <c r="AL66" s="175"/>
      <c r="AM66" s="185"/>
      <c r="AN66" s="185"/>
      <c r="AO66" s="186"/>
      <c r="AP66" s="339"/>
      <c r="AQ66" s="339"/>
      <c r="AR66" s="339"/>
    </row>
    <row r="67" spans="1:44" ht="37.5" customHeight="1" x14ac:dyDescent="0.2">
      <c r="A67" s="328">
        <v>10</v>
      </c>
      <c r="B67" s="329"/>
      <c r="C67" s="329"/>
      <c r="D67" s="329"/>
      <c r="E67" s="329"/>
      <c r="F67" s="329"/>
      <c r="G67" s="342"/>
      <c r="H67" s="342"/>
      <c r="I67" s="210"/>
      <c r="J67" s="210"/>
      <c r="K67" s="210"/>
      <c r="L67" s="342"/>
      <c r="M67" s="342"/>
      <c r="N67" s="339"/>
      <c r="O67" s="340" t="str">
        <f>IF(N67&lt;=0,"",IF(N67&lt;=2,"Muy Baja",IF(N67&lt;=24,"Baja",IF(N67&lt;=500,"Media",IF(N67&lt;=5000,"Alta","Muy Alta")))))</f>
        <v/>
      </c>
      <c r="P67" s="341" t="str">
        <f>IF(O67="","",IF(O67="Muy Baja",0.2,IF(O67="Baja",0.4,IF(O67="Media",0.6,IF(O67="Alta",0.8,IF(O67="Muy Alta",1,))))))</f>
        <v/>
      </c>
      <c r="Q67" s="359"/>
      <c r="R67" s="341">
        <f>IF(NOT(ISERROR(MATCH(Q67,'Tabla Impacto'!$B$222:$B$224,0))),'Tabla Impacto'!$F$224&amp;"Por favor no seleccionar los criterios de impacto(Afectación Económica o presupuestal y Pérdida Reputacional)",Q67)</f>
        <v>0</v>
      </c>
      <c r="S67" s="340" t="str">
        <f>IF(OR(R67='Tabla Impacto'!$C$12,R67='Tabla Impacto'!$D$12),"Leve",IF(OR(R67='Tabla Impacto'!$C$13,R67='Tabla Impacto'!$D$13),"Menor",IF(OR(R67='Tabla Impacto'!$C$14,R67='Tabla Impacto'!$D$14),"Moderado",IF(OR(R67='Tabla Impacto'!$C$15,R67='Tabla Impacto'!$D$15),"Mayor",IF(OR(R67='Tabla Impacto'!$C$16,R67='Tabla Impacto'!$D$16),"Catastrófico","")))))</f>
        <v/>
      </c>
      <c r="T67" s="341" t="str">
        <f>IF(S67="","",IF(S67="Leve",0.2,IF(S67="Menor",0.4,IF(S67="Moderado",0.6,IF(S67="Mayor",0.8,IF(S67="Catastrófico",1,))))))</f>
        <v/>
      </c>
      <c r="U67" s="358" t="str">
        <f>IF(OR(AND(O67="Muy Baja",S67="Leve"),AND(O67="Muy Baja",S67="Menor"),AND(O67="Baja",S67="Leve")),"Bajo",IF(OR(AND(O67="Muy baja",S67="Moderado"),AND(O67="Baja",S67="Menor"),AND(O67="Baja",S67="Moderado"),AND(O67="Media",S67="Leve"),AND(O67="Media",S67="Menor"),AND(O67="Media",S67="Moderado"),AND(O67="Alta",S67="Leve"),AND(O67="Alta",S67="Menor")),"Moderado",IF(OR(AND(O67="Muy Baja",S67="Mayor"),AND(O67="Baja",S67="Mayor"),AND(O67="Media",S67="Mayor"),AND(O67="Alta",S67="Moderado"),AND(O67="Alta",S67="Mayor"),AND(O67="Muy Alta",S67="Leve"),AND(O67="Muy Alta",S67="Menor"),AND(O67="Muy Alta",S67="Moderado"),AND(O67="Muy Alta",S67="Mayor")),"Alto",IF(OR(AND(O67="Muy Baja",S67="Catastrófico"),AND(O67="Baja",S67="Catastrófico"),AND(O67="Media",S67="Catastrófico"),AND(O67="Alta",S67="Catastrófico"),AND(O67="Muy Alta",S67="Catastrófico")),"Extremo",""))))</f>
        <v/>
      </c>
      <c r="V67" s="203">
        <v>1</v>
      </c>
      <c r="W67" s="176"/>
      <c r="X67" s="178" t="str">
        <f>IF(OR(Y67="Preventivo",Y67="Detectivo"),"Probabilidad",IF(Y67="Correctivo","Impacto",""))</f>
        <v/>
      </c>
      <c r="Y67" s="179"/>
      <c r="Z67" s="179"/>
      <c r="AA67" s="180" t="str">
        <f>IF(AND(Y67="Preventivo",Z67="Automático"),"50%",IF(AND(Y67="Preventivo",Z67="Manual"),"40%",IF(AND(Y67="Detectivo",Z67="Automático"),"40%",IF(AND(Y67="Detectivo",Z67="Manual"),"30%",IF(AND(Y67="Correctivo",Z67="Automático"),"35%",IF(AND(Y67="Correctivo",Z67="Manual"),"25%",""))))))</f>
        <v/>
      </c>
      <c r="AB67" s="179"/>
      <c r="AC67" s="179"/>
      <c r="AD67" s="179"/>
      <c r="AE67" s="181" t="str">
        <f>IFERROR(IF(X67="Probabilidad",(P67-(+P67*AA67)),IF(X67="Impacto",P67,"")),"")</f>
        <v/>
      </c>
      <c r="AF67" s="182" t="str">
        <f>IFERROR(IF(AE67="","",IF(AE67&lt;=0.2,"Muy Baja",IF(AE67&lt;=0.4,"Baja",IF(AE67&lt;=0.6,"Media",IF(AE67&lt;=0.8,"Alta","Muy Alta"))))),"")</f>
        <v/>
      </c>
      <c r="AG67" s="180" t="str">
        <f>+AE67</f>
        <v/>
      </c>
      <c r="AH67" s="182" t="str">
        <f>IFERROR(IF(AI67="","",IF(AI67&lt;=0.2,"Leve",IF(AI67&lt;=0.4,"Menor",IF(AI67&lt;=0.6,"Moderado",IF(AI67&lt;=0.8,"Mayor","Catastrófico"))))),"")</f>
        <v/>
      </c>
      <c r="AI67" s="180" t="str">
        <f t="shared" ref="AI67" si="80">IFERROR(IF(X67="Impacto",(T67-(+T67*AA67)),IF(X67="Probabilidad",T67,"")),"")</f>
        <v/>
      </c>
      <c r="AJ67" s="183" t="str">
        <f>IFERROR(IF(OR(AND(AF67="Muy Baja",AH67="Leve"),AND(AF67="Muy Baja",AH67="Menor"),AND(AF67="Baja",AH67="Leve")),"Bajo",IF(OR(AND(AF67="Muy baja",AH67="Moderado"),AND(AF67="Baja",AH67="Menor"),AND(AF67="Baja",AH67="Moderado"),AND(AF67="Media",AH67="Leve"),AND(AF67="Media",AH67="Menor"),AND(AF67="Media",AH67="Moderado"),AND(AF67="Alta",AH67="Leve"),AND(AF67="Alta",AH67="Menor")),"Moderado",IF(OR(AND(AF67="Muy Baja",AH67="Mayor"),AND(AF67="Baja",AH67="Mayor"),AND(AF67="Media",AH67="Mayor"),AND(AF67="Alta",AH67="Moderado"),AND(AF67="Alta",AH67="Mayor"),AND(AF67="Muy Alta",AH67="Leve"),AND(AF67="Muy Alta",AH67="Menor"),AND(AF67="Muy Alta",AH67="Moderado"),AND(AF67="Muy Alta",AH67="Mayor")),"Alto",IF(OR(AND(AF67="Muy Baja",AH67="Catastrófico"),AND(AF67="Baja",AH67="Catastrófico"),AND(AF67="Media",AH67="Catastrófico"),AND(AF67="Alta",AH67="Catastrófico"),AND(AF67="Muy Alta",AH67="Catastrófico")),"Extremo","")))),"")</f>
        <v/>
      </c>
      <c r="AK67" s="184"/>
      <c r="AL67" s="175"/>
      <c r="AM67" s="185"/>
      <c r="AN67" s="185"/>
      <c r="AO67" s="186"/>
      <c r="AP67" s="339"/>
      <c r="AQ67" s="339"/>
      <c r="AR67" s="339"/>
    </row>
    <row r="68" spans="1:44" ht="37.5" customHeight="1" x14ac:dyDescent="0.2">
      <c r="A68" s="328"/>
      <c r="B68" s="329"/>
      <c r="C68" s="329"/>
      <c r="D68" s="329"/>
      <c r="E68" s="329"/>
      <c r="F68" s="329"/>
      <c r="G68" s="343"/>
      <c r="H68" s="343"/>
      <c r="I68" s="211"/>
      <c r="J68" s="211"/>
      <c r="K68" s="211"/>
      <c r="L68" s="343"/>
      <c r="M68" s="343"/>
      <c r="N68" s="339"/>
      <c r="O68" s="340"/>
      <c r="P68" s="341"/>
      <c r="Q68" s="359"/>
      <c r="R68" s="341">
        <f>IF(NOT(ISERROR(MATCH(Q68,_xlfn.ANCHORARRAY(F79),0))),Q81&amp;"Por favor no seleccionar los criterios de impacto",Q68)</f>
        <v>0</v>
      </c>
      <c r="S68" s="340"/>
      <c r="T68" s="341"/>
      <c r="U68" s="358"/>
      <c r="V68" s="203">
        <v>2</v>
      </c>
      <c r="W68" s="176"/>
      <c r="X68" s="178" t="str">
        <f>IF(OR(Y68="Preventivo",Y68="Detectivo"),"Probabilidad",IF(Y68="Correctivo","Impacto",""))</f>
        <v/>
      </c>
      <c r="Y68" s="179"/>
      <c r="Z68" s="179"/>
      <c r="AA68" s="180" t="str">
        <f t="shared" ref="AA68:AA72" si="81">IF(AND(Y68="Preventivo",Z68="Automático"),"50%",IF(AND(Y68="Preventivo",Z68="Manual"),"40%",IF(AND(Y68="Detectivo",Z68="Automático"),"40%",IF(AND(Y68="Detectivo",Z68="Manual"),"30%",IF(AND(Y68="Correctivo",Z68="Automático"),"35%",IF(AND(Y68="Correctivo",Z68="Manual"),"25%",""))))))</f>
        <v/>
      </c>
      <c r="AB68" s="179"/>
      <c r="AC68" s="179"/>
      <c r="AD68" s="179"/>
      <c r="AE68" s="181" t="str">
        <f>IFERROR(IF(AND(X67="Probabilidad",X68="Probabilidad"),(AG67-(+AG67*AA68)),IF(X68="Probabilidad",(P67-(+P67*AA68)),IF(X68="Impacto",AG67,""))),"")</f>
        <v/>
      </c>
      <c r="AF68" s="182" t="str">
        <f t="shared" si="2"/>
        <v/>
      </c>
      <c r="AG68" s="180" t="str">
        <f t="shared" ref="AG68:AG72" si="82">+AE68</f>
        <v/>
      </c>
      <c r="AH68" s="182" t="str">
        <f t="shared" si="4"/>
        <v/>
      </c>
      <c r="AI68" s="180" t="str">
        <f t="shared" ref="AI68" si="83">IFERROR(IF(AND(X67="Impacto",X68="Impacto"),(AI67-(+AI67*AA68)),IF(X68="Impacto",($T$13-(+$T$13*AA68)),IF(X68="Probabilidad",AI67,""))),"")</f>
        <v/>
      </c>
      <c r="AJ68" s="183" t="str">
        <f t="shared" ref="AJ68:AJ69" si="84">IFERROR(IF(OR(AND(AF68="Muy Baja",AH68="Leve"),AND(AF68="Muy Baja",AH68="Menor"),AND(AF68="Baja",AH68="Leve")),"Bajo",IF(OR(AND(AF68="Muy baja",AH68="Moderado"),AND(AF68="Baja",AH68="Menor"),AND(AF68="Baja",AH68="Moderado"),AND(AF68="Media",AH68="Leve"),AND(AF68="Media",AH68="Menor"),AND(AF68="Media",AH68="Moderado"),AND(AF68="Alta",AH68="Leve"),AND(AF68="Alta",AH68="Menor")),"Moderado",IF(OR(AND(AF68="Muy Baja",AH68="Mayor"),AND(AF68="Baja",AH68="Mayor"),AND(AF68="Media",AH68="Mayor"),AND(AF68="Alta",AH68="Moderado"),AND(AF68="Alta",AH68="Mayor"),AND(AF68="Muy Alta",AH68="Leve"),AND(AF68="Muy Alta",AH68="Menor"),AND(AF68="Muy Alta",AH68="Moderado"),AND(AF68="Muy Alta",AH68="Mayor")),"Alto",IF(OR(AND(AF68="Muy Baja",AH68="Catastrófico"),AND(AF68="Baja",AH68="Catastrófico"),AND(AF68="Media",AH68="Catastrófico"),AND(AF68="Alta",AH68="Catastrófico"),AND(AF68="Muy Alta",AH68="Catastrófico")),"Extremo","")))),"")</f>
        <v/>
      </c>
      <c r="AK68" s="184"/>
      <c r="AL68" s="175"/>
      <c r="AM68" s="185"/>
      <c r="AN68" s="185"/>
      <c r="AO68" s="186"/>
      <c r="AP68" s="339"/>
      <c r="AQ68" s="339"/>
      <c r="AR68" s="339"/>
    </row>
    <row r="69" spans="1:44" ht="37.5" customHeight="1" x14ac:dyDescent="0.2">
      <c r="A69" s="328"/>
      <c r="B69" s="329"/>
      <c r="C69" s="329"/>
      <c r="D69" s="329"/>
      <c r="E69" s="329"/>
      <c r="F69" s="329"/>
      <c r="G69" s="343"/>
      <c r="H69" s="343"/>
      <c r="I69" s="211"/>
      <c r="J69" s="211"/>
      <c r="K69" s="211"/>
      <c r="L69" s="343"/>
      <c r="M69" s="343"/>
      <c r="N69" s="339"/>
      <c r="O69" s="340"/>
      <c r="P69" s="341"/>
      <c r="Q69" s="359"/>
      <c r="R69" s="341">
        <f>IF(NOT(ISERROR(MATCH(Q69,_xlfn.ANCHORARRAY(F80),0))),Q82&amp;"Por favor no seleccionar los criterios de impacto",Q69)</f>
        <v>0</v>
      </c>
      <c r="S69" s="340"/>
      <c r="T69" s="341"/>
      <c r="U69" s="358"/>
      <c r="V69" s="203">
        <v>3</v>
      </c>
      <c r="W69" s="176"/>
      <c r="X69" s="178" t="str">
        <f>IF(OR(Y69="Preventivo",Y69="Detectivo"),"Probabilidad",IF(Y69="Correctivo","Impacto",""))</f>
        <v/>
      </c>
      <c r="Y69" s="179"/>
      <c r="Z69" s="179"/>
      <c r="AA69" s="180" t="str">
        <f t="shared" si="81"/>
        <v/>
      </c>
      <c r="AB69" s="179"/>
      <c r="AC69" s="179"/>
      <c r="AD69" s="179"/>
      <c r="AE69" s="181" t="str">
        <f>IFERROR(IF(AND(X68="Probabilidad",X69="Probabilidad"),(AG68-(+AG68*AA69)),IF(AND(X68="Impacto",X69="Probabilidad"),(AG67-(+AG67*AA69)),IF(X69="Impacto",AG68,""))),"")</f>
        <v/>
      </c>
      <c r="AF69" s="182" t="str">
        <f t="shared" si="2"/>
        <v/>
      </c>
      <c r="AG69" s="180" t="str">
        <f t="shared" si="82"/>
        <v/>
      </c>
      <c r="AH69" s="182" t="str">
        <f t="shared" si="4"/>
        <v/>
      </c>
      <c r="AI69" s="180" t="str">
        <f t="shared" ref="AI69" si="85">IFERROR(IF(AND(X68="Impacto",X69="Impacto"),(AI68-(+AI68*AA69)),IF(AND(X68="Probabilidad",X69="Impacto"),(AI67-(+AI67*AA69)),IF(X69="Probabilidad",AI68,""))),"")</f>
        <v/>
      </c>
      <c r="AJ69" s="183" t="str">
        <f t="shared" si="84"/>
        <v/>
      </c>
      <c r="AK69" s="184"/>
      <c r="AL69" s="175"/>
      <c r="AM69" s="185"/>
      <c r="AN69" s="185"/>
      <c r="AO69" s="186"/>
      <c r="AP69" s="339"/>
      <c r="AQ69" s="339"/>
      <c r="AR69" s="339"/>
    </row>
    <row r="70" spans="1:44" ht="37.5" customHeight="1" x14ac:dyDescent="0.2">
      <c r="A70" s="328"/>
      <c r="B70" s="329"/>
      <c r="C70" s="329"/>
      <c r="D70" s="329"/>
      <c r="E70" s="329"/>
      <c r="F70" s="329"/>
      <c r="G70" s="343"/>
      <c r="H70" s="343"/>
      <c r="I70" s="211"/>
      <c r="J70" s="211"/>
      <c r="K70" s="211"/>
      <c r="L70" s="343"/>
      <c r="M70" s="343"/>
      <c r="N70" s="339"/>
      <c r="O70" s="340"/>
      <c r="P70" s="341"/>
      <c r="Q70" s="359"/>
      <c r="R70" s="341">
        <f>IF(NOT(ISERROR(MATCH(Q70,_xlfn.ANCHORARRAY(F81),0))),Q83&amp;"Por favor no seleccionar los criterios de impacto",Q70)</f>
        <v>0</v>
      </c>
      <c r="S70" s="340"/>
      <c r="T70" s="341"/>
      <c r="U70" s="358"/>
      <c r="V70" s="203">
        <v>4</v>
      </c>
      <c r="W70" s="176"/>
      <c r="X70" s="178" t="str">
        <f t="shared" ref="X70:X72" si="86">IF(OR(Y70="Preventivo",Y70="Detectivo"),"Probabilidad",IF(Y70="Correctivo","Impacto",""))</f>
        <v/>
      </c>
      <c r="Y70" s="179"/>
      <c r="Z70" s="179"/>
      <c r="AA70" s="180" t="str">
        <f t="shared" si="81"/>
        <v/>
      </c>
      <c r="AB70" s="179"/>
      <c r="AC70" s="179"/>
      <c r="AD70" s="179"/>
      <c r="AE70" s="181" t="str">
        <f t="shared" ref="AE70:AE72" si="87">IFERROR(IF(AND(X69="Probabilidad",X70="Probabilidad"),(AG69-(+AG69*AA70)),IF(AND(X69="Impacto",X70="Probabilidad"),(AG68-(+AG68*AA70)),IF(X70="Impacto",AG69,""))),"")</f>
        <v/>
      </c>
      <c r="AF70" s="182" t="str">
        <f t="shared" si="2"/>
        <v/>
      </c>
      <c r="AG70" s="180" t="str">
        <f t="shared" si="82"/>
        <v/>
      </c>
      <c r="AH70" s="182" t="str">
        <f t="shared" si="4"/>
        <v/>
      </c>
      <c r="AI70" s="180" t="str">
        <f t="shared" si="13"/>
        <v/>
      </c>
      <c r="AJ70" s="183" t="str">
        <f>IFERROR(IF(OR(AND(AF70="Muy Baja",AH70="Leve"),AND(AF70="Muy Baja",AH70="Menor"),AND(AF70="Baja",AH70="Leve")),"Bajo",IF(OR(AND(AF70="Muy baja",AH70="Moderado"),AND(AF70="Baja",AH70="Menor"),AND(AF70="Baja",AH70="Moderado"),AND(AF70="Media",AH70="Leve"),AND(AF70="Media",AH70="Menor"),AND(AF70="Media",AH70="Moderado"),AND(AF70="Alta",AH70="Leve"),AND(AF70="Alta",AH70="Menor")),"Moderado",IF(OR(AND(AF70="Muy Baja",AH70="Mayor"),AND(AF70="Baja",AH70="Mayor"),AND(AF70="Media",AH70="Mayor"),AND(AF70="Alta",AH70="Moderado"),AND(AF70="Alta",AH70="Mayor"),AND(AF70="Muy Alta",AH70="Leve"),AND(AF70="Muy Alta",AH70="Menor"),AND(AF70="Muy Alta",AH70="Moderado"),AND(AF70="Muy Alta",AH70="Mayor")),"Alto",IF(OR(AND(AF70="Muy Baja",AH70="Catastrófico"),AND(AF70="Baja",AH70="Catastrófico"),AND(AF70="Media",AH70="Catastrófico"),AND(AF70="Alta",AH70="Catastrófico"),AND(AF70="Muy Alta",AH70="Catastrófico")),"Extremo","")))),"")</f>
        <v/>
      </c>
      <c r="AK70" s="184"/>
      <c r="AL70" s="175"/>
      <c r="AM70" s="185"/>
      <c r="AN70" s="185"/>
      <c r="AO70" s="186"/>
      <c r="AP70" s="339"/>
      <c r="AQ70" s="339"/>
      <c r="AR70" s="339"/>
    </row>
    <row r="71" spans="1:44" ht="37.5" customHeight="1" x14ac:dyDescent="0.2">
      <c r="A71" s="328"/>
      <c r="B71" s="329"/>
      <c r="C71" s="329"/>
      <c r="D71" s="329"/>
      <c r="E71" s="329"/>
      <c r="F71" s="329"/>
      <c r="G71" s="343"/>
      <c r="H71" s="343"/>
      <c r="I71" s="211"/>
      <c r="J71" s="211"/>
      <c r="K71" s="211"/>
      <c r="L71" s="343"/>
      <c r="M71" s="343"/>
      <c r="N71" s="339"/>
      <c r="O71" s="340"/>
      <c r="P71" s="341"/>
      <c r="Q71" s="359"/>
      <c r="R71" s="341">
        <f>IF(NOT(ISERROR(MATCH(Q71,_xlfn.ANCHORARRAY(F82),0))),Q84&amp;"Por favor no seleccionar los criterios de impacto",Q71)</f>
        <v>0</v>
      </c>
      <c r="S71" s="340"/>
      <c r="T71" s="341"/>
      <c r="U71" s="358"/>
      <c r="V71" s="203">
        <v>5</v>
      </c>
      <c r="W71" s="176"/>
      <c r="X71" s="178" t="str">
        <f t="shared" si="86"/>
        <v/>
      </c>
      <c r="Y71" s="179"/>
      <c r="Z71" s="179"/>
      <c r="AA71" s="180" t="str">
        <f t="shared" si="81"/>
        <v/>
      </c>
      <c r="AB71" s="179"/>
      <c r="AC71" s="179"/>
      <c r="AD71" s="179"/>
      <c r="AE71" s="181" t="str">
        <f t="shared" si="87"/>
        <v/>
      </c>
      <c r="AF71" s="182" t="str">
        <f t="shared" si="2"/>
        <v/>
      </c>
      <c r="AG71" s="180" t="str">
        <f t="shared" si="82"/>
        <v/>
      </c>
      <c r="AH71" s="182" t="str">
        <f t="shared" si="4"/>
        <v/>
      </c>
      <c r="AI71" s="180" t="str">
        <f t="shared" si="13"/>
        <v/>
      </c>
      <c r="AJ71" s="183" t="str">
        <f t="shared" ref="AJ71:AJ72" si="88">IFERROR(IF(OR(AND(AF71="Muy Baja",AH71="Leve"),AND(AF71="Muy Baja",AH71="Menor"),AND(AF71="Baja",AH71="Leve")),"Bajo",IF(OR(AND(AF71="Muy baja",AH71="Moderado"),AND(AF71="Baja",AH71="Menor"),AND(AF71="Baja",AH71="Moderado"),AND(AF71="Media",AH71="Leve"),AND(AF71="Media",AH71="Menor"),AND(AF71="Media",AH71="Moderado"),AND(AF71="Alta",AH71="Leve"),AND(AF71="Alta",AH71="Menor")),"Moderado",IF(OR(AND(AF71="Muy Baja",AH71="Mayor"),AND(AF71="Baja",AH71="Mayor"),AND(AF71="Media",AH71="Mayor"),AND(AF71="Alta",AH71="Moderado"),AND(AF71="Alta",AH71="Mayor"),AND(AF71="Muy Alta",AH71="Leve"),AND(AF71="Muy Alta",AH71="Menor"),AND(AF71="Muy Alta",AH71="Moderado"),AND(AF71="Muy Alta",AH71="Mayor")),"Alto",IF(OR(AND(AF71="Muy Baja",AH71="Catastrófico"),AND(AF71="Baja",AH71="Catastrófico"),AND(AF71="Media",AH71="Catastrófico"),AND(AF71="Alta",AH71="Catastrófico"),AND(AF71="Muy Alta",AH71="Catastrófico")),"Extremo","")))),"")</f>
        <v/>
      </c>
      <c r="AK71" s="184"/>
      <c r="AL71" s="175"/>
      <c r="AM71" s="185"/>
      <c r="AN71" s="185"/>
      <c r="AO71" s="186"/>
      <c r="AP71" s="339"/>
      <c r="AQ71" s="339"/>
      <c r="AR71" s="339"/>
    </row>
    <row r="72" spans="1:44" ht="37.5" customHeight="1" x14ac:dyDescent="0.2">
      <c r="A72" s="328"/>
      <c r="B72" s="329"/>
      <c r="C72" s="329"/>
      <c r="D72" s="329"/>
      <c r="E72" s="329"/>
      <c r="F72" s="329"/>
      <c r="G72" s="344"/>
      <c r="H72" s="344"/>
      <c r="I72" s="212"/>
      <c r="J72" s="212"/>
      <c r="K72" s="212"/>
      <c r="L72" s="344"/>
      <c r="M72" s="344"/>
      <c r="N72" s="339"/>
      <c r="O72" s="340"/>
      <c r="P72" s="341"/>
      <c r="Q72" s="359"/>
      <c r="R72" s="341">
        <f>IF(NOT(ISERROR(MATCH(Q72,_xlfn.ANCHORARRAY(F83),0))),Q85&amp;"Por favor no seleccionar los criterios de impacto",Q72)</f>
        <v>0</v>
      </c>
      <c r="S72" s="340"/>
      <c r="T72" s="341"/>
      <c r="U72" s="358"/>
      <c r="V72" s="203">
        <v>6</v>
      </c>
      <c r="W72" s="176"/>
      <c r="X72" s="178" t="str">
        <f t="shared" si="86"/>
        <v/>
      </c>
      <c r="Y72" s="179"/>
      <c r="Z72" s="179"/>
      <c r="AA72" s="180" t="str">
        <f t="shared" si="81"/>
        <v/>
      </c>
      <c r="AB72" s="179"/>
      <c r="AC72" s="179"/>
      <c r="AD72" s="179"/>
      <c r="AE72" s="181" t="str">
        <f t="shared" si="87"/>
        <v/>
      </c>
      <c r="AF72" s="182" t="str">
        <f t="shared" si="2"/>
        <v/>
      </c>
      <c r="AG72" s="180" t="str">
        <f t="shared" si="82"/>
        <v/>
      </c>
      <c r="AH72" s="182" t="str">
        <f t="shared" si="4"/>
        <v/>
      </c>
      <c r="AI72" s="180" t="str">
        <f t="shared" si="13"/>
        <v/>
      </c>
      <c r="AJ72" s="183" t="str">
        <f t="shared" si="88"/>
        <v/>
      </c>
      <c r="AK72" s="184"/>
      <c r="AL72" s="175"/>
      <c r="AM72" s="185"/>
      <c r="AN72" s="185"/>
      <c r="AO72" s="186"/>
      <c r="AP72" s="339"/>
      <c r="AQ72" s="339"/>
      <c r="AR72" s="339"/>
    </row>
    <row r="73" spans="1:44" ht="49.5" customHeight="1" x14ac:dyDescent="0.2">
      <c r="A73" s="205"/>
      <c r="B73" s="365" t="s">
        <v>247</v>
      </c>
      <c r="C73" s="366"/>
      <c r="D73" s="366"/>
      <c r="E73" s="366"/>
      <c r="F73" s="366"/>
      <c r="G73" s="366"/>
      <c r="H73" s="366"/>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c r="AH73" s="366"/>
      <c r="AI73" s="366"/>
      <c r="AJ73" s="366"/>
      <c r="AK73" s="366"/>
      <c r="AL73" s="366"/>
      <c r="AM73" s="366"/>
      <c r="AN73" s="366"/>
      <c r="AO73" s="366"/>
      <c r="AP73" s="366"/>
    </row>
    <row r="75" spans="1:44" ht="15.75" x14ac:dyDescent="0.2">
      <c r="A75" s="187"/>
      <c r="B75" s="195" t="s">
        <v>248</v>
      </c>
      <c r="C75" s="187"/>
      <c r="D75" s="187"/>
      <c r="E75" s="187"/>
      <c r="N75" s="187"/>
    </row>
  </sheetData>
  <dataConsolidate/>
  <mergeCells count="299">
    <mergeCell ref="AQ67:AQ72"/>
    <mergeCell ref="AR67:AR72"/>
    <mergeCell ref="B73:AP73"/>
    <mergeCell ref="L10:M11"/>
    <mergeCell ref="Q67:Q72"/>
    <mergeCell ref="R67:R72"/>
    <mergeCell ref="S67:S72"/>
    <mergeCell ref="T67:T72"/>
    <mergeCell ref="U67:U72"/>
    <mergeCell ref="AP67:AP72"/>
    <mergeCell ref="H67:H72"/>
    <mergeCell ref="L67:L72"/>
    <mergeCell ref="M67:M72"/>
    <mergeCell ref="N67:N72"/>
    <mergeCell ref="O67:O72"/>
    <mergeCell ref="P67:P72"/>
    <mergeCell ref="AP61:AP66"/>
    <mergeCell ref="AQ61:AQ66"/>
    <mergeCell ref="AR61:AR66"/>
    <mergeCell ref="R61:R66"/>
    <mergeCell ref="S61:S66"/>
    <mergeCell ref="T61:T66"/>
    <mergeCell ref="U61:U66"/>
    <mergeCell ref="S55:S60"/>
    <mergeCell ref="A67:A72"/>
    <mergeCell ref="B67:B72"/>
    <mergeCell ref="C67:C72"/>
    <mergeCell ref="D67:D72"/>
    <mergeCell ref="E67:E72"/>
    <mergeCell ref="F67:F72"/>
    <mergeCell ref="G67:G72"/>
    <mergeCell ref="P61:P66"/>
    <mergeCell ref="Q61:Q66"/>
    <mergeCell ref="G61:G66"/>
    <mergeCell ref="H61:H66"/>
    <mergeCell ref="L61:L66"/>
    <mergeCell ref="M61:M66"/>
    <mergeCell ref="N61:N66"/>
    <mergeCell ref="O61:O66"/>
    <mergeCell ref="A61:A66"/>
    <mergeCell ref="B61:B66"/>
    <mergeCell ref="C61:C66"/>
    <mergeCell ref="D61:D66"/>
    <mergeCell ref="E61:E66"/>
    <mergeCell ref="F61:F66"/>
    <mergeCell ref="T55:T60"/>
    <mergeCell ref="U55:U60"/>
    <mergeCell ref="AP55:AP60"/>
    <mergeCell ref="AQ55:AQ60"/>
    <mergeCell ref="AR55:AR60"/>
    <mergeCell ref="M55:M60"/>
    <mergeCell ref="N55:N60"/>
    <mergeCell ref="O55:O60"/>
    <mergeCell ref="P55:P60"/>
    <mergeCell ref="Q55:Q60"/>
    <mergeCell ref="R55:R60"/>
    <mergeCell ref="G55:G60"/>
    <mergeCell ref="H55:H60"/>
    <mergeCell ref="I55:I60"/>
    <mergeCell ref="J55:J60"/>
    <mergeCell ref="K55:K60"/>
    <mergeCell ref="L55:L60"/>
    <mergeCell ref="A55:A60"/>
    <mergeCell ref="B55:B60"/>
    <mergeCell ref="C55:C60"/>
    <mergeCell ref="D55:D60"/>
    <mergeCell ref="E55:E60"/>
    <mergeCell ref="F55:F60"/>
    <mergeCell ref="S49:S54"/>
    <mergeCell ref="T49:T54"/>
    <mergeCell ref="U49:U54"/>
    <mergeCell ref="AP49:AP54"/>
    <mergeCell ref="AQ49:AQ54"/>
    <mergeCell ref="AR49:AR54"/>
    <mergeCell ref="M49:M54"/>
    <mergeCell ref="N49:N54"/>
    <mergeCell ref="O49:O54"/>
    <mergeCell ref="P49:P54"/>
    <mergeCell ref="Q49:Q54"/>
    <mergeCell ref="R49:R54"/>
    <mergeCell ref="G49:G54"/>
    <mergeCell ref="H49:H54"/>
    <mergeCell ref="I49:I54"/>
    <mergeCell ref="J49:J54"/>
    <mergeCell ref="K49:K54"/>
    <mergeCell ref="L49:L54"/>
    <mergeCell ref="A49:A54"/>
    <mergeCell ref="B49:B54"/>
    <mergeCell ref="C49:C54"/>
    <mergeCell ref="D49:D54"/>
    <mergeCell ref="E49:E54"/>
    <mergeCell ref="F49:F54"/>
    <mergeCell ref="S43:S48"/>
    <mergeCell ref="T43:T48"/>
    <mergeCell ref="U43:U48"/>
    <mergeCell ref="AP43:AP48"/>
    <mergeCell ref="AQ43:AQ48"/>
    <mergeCell ref="AR43:AR48"/>
    <mergeCell ref="M43:M48"/>
    <mergeCell ref="N43:N48"/>
    <mergeCell ref="O43:O48"/>
    <mergeCell ref="P43:P48"/>
    <mergeCell ref="Q43:Q48"/>
    <mergeCell ref="R43:R48"/>
    <mergeCell ref="G43:G48"/>
    <mergeCell ref="H43:H48"/>
    <mergeCell ref="I43:I48"/>
    <mergeCell ref="J43:J48"/>
    <mergeCell ref="K43:K48"/>
    <mergeCell ref="L43:L48"/>
    <mergeCell ref="A43:A48"/>
    <mergeCell ref="B43:B48"/>
    <mergeCell ref="C43:C48"/>
    <mergeCell ref="D43:D48"/>
    <mergeCell ref="E43:E48"/>
    <mergeCell ref="F43:F48"/>
    <mergeCell ref="S37:S42"/>
    <mergeCell ref="T37:T42"/>
    <mergeCell ref="U37:U42"/>
    <mergeCell ref="AP37:AP42"/>
    <mergeCell ref="AQ37:AQ42"/>
    <mergeCell ref="AR37:AR42"/>
    <mergeCell ref="M37:M42"/>
    <mergeCell ref="N37:N42"/>
    <mergeCell ref="O37:O42"/>
    <mergeCell ref="P37:P42"/>
    <mergeCell ref="Q37:Q42"/>
    <mergeCell ref="R37:R42"/>
    <mergeCell ref="G37:G42"/>
    <mergeCell ref="H37:H42"/>
    <mergeCell ref="I37:I42"/>
    <mergeCell ref="J37:J42"/>
    <mergeCell ref="K37:K42"/>
    <mergeCell ref="L37:L42"/>
    <mergeCell ref="A37:A42"/>
    <mergeCell ref="B37:B42"/>
    <mergeCell ref="C37:C42"/>
    <mergeCell ref="D37:D42"/>
    <mergeCell ref="E37:E42"/>
    <mergeCell ref="F37:F42"/>
    <mergeCell ref="S31:S36"/>
    <mergeCell ref="T31:T36"/>
    <mergeCell ref="U31:U36"/>
    <mergeCell ref="AP31:AP36"/>
    <mergeCell ref="AQ31:AQ36"/>
    <mergeCell ref="AR31:AR36"/>
    <mergeCell ref="M31:M36"/>
    <mergeCell ref="N31:N36"/>
    <mergeCell ref="O31:O36"/>
    <mergeCell ref="P31:P36"/>
    <mergeCell ref="Q31:Q36"/>
    <mergeCell ref="R31:R36"/>
    <mergeCell ref="G31:G36"/>
    <mergeCell ref="H31:H36"/>
    <mergeCell ref="I31:I36"/>
    <mergeCell ref="J31:J36"/>
    <mergeCell ref="K31:K36"/>
    <mergeCell ref="L31:L36"/>
    <mergeCell ref="A31:A36"/>
    <mergeCell ref="B31:B36"/>
    <mergeCell ref="C31:C36"/>
    <mergeCell ref="D31:D36"/>
    <mergeCell ref="E31:E36"/>
    <mergeCell ref="F31:F36"/>
    <mergeCell ref="S25:S30"/>
    <mergeCell ref="T25:T30"/>
    <mergeCell ref="U25:U30"/>
    <mergeCell ref="AP25:AP30"/>
    <mergeCell ref="AQ25:AQ30"/>
    <mergeCell ref="AR25:AR30"/>
    <mergeCell ref="M25:M30"/>
    <mergeCell ref="N25:N30"/>
    <mergeCell ref="O25:O30"/>
    <mergeCell ref="P25:P30"/>
    <mergeCell ref="Q25:Q30"/>
    <mergeCell ref="R25:R30"/>
    <mergeCell ref="G25:G30"/>
    <mergeCell ref="H25:H30"/>
    <mergeCell ref="I25:I30"/>
    <mergeCell ref="J25:J30"/>
    <mergeCell ref="K25:K30"/>
    <mergeCell ref="L25:L30"/>
    <mergeCell ref="A25:A30"/>
    <mergeCell ref="B25:B30"/>
    <mergeCell ref="C25:C30"/>
    <mergeCell ref="D25:D30"/>
    <mergeCell ref="E25:E30"/>
    <mergeCell ref="F25:F30"/>
    <mergeCell ref="A19:A24"/>
    <mergeCell ref="B19:B24"/>
    <mergeCell ref="C19:C24"/>
    <mergeCell ref="D19:D24"/>
    <mergeCell ref="E19:E24"/>
    <mergeCell ref="F19:F24"/>
    <mergeCell ref="S19:S24"/>
    <mergeCell ref="T19:T24"/>
    <mergeCell ref="U19:U24"/>
    <mergeCell ref="M19:M24"/>
    <mergeCell ref="N19:N24"/>
    <mergeCell ref="O19:O24"/>
    <mergeCell ref="P19:P24"/>
    <mergeCell ref="Q19:Q24"/>
    <mergeCell ref="R19:R24"/>
    <mergeCell ref="AR13:AR18"/>
    <mergeCell ref="M13:M18"/>
    <mergeCell ref="N13:N18"/>
    <mergeCell ref="O13:O18"/>
    <mergeCell ref="P13:P18"/>
    <mergeCell ref="Q13:Q18"/>
    <mergeCell ref="R13:R18"/>
    <mergeCell ref="G19:G24"/>
    <mergeCell ref="H19:H24"/>
    <mergeCell ref="I19:I24"/>
    <mergeCell ref="J19:J24"/>
    <mergeCell ref="K19:K24"/>
    <mergeCell ref="L19:L24"/>
    <mergeCell ref="AP19:AP24"/>
    <mergeCell ref="AQ19:AQ24"/>
    <mergeCell ref="AR19:AR24"/>
    <mergeCell ref="G13:G18"/>
    <mergeCell ref="H13:H18"/>
    <mergeCell ref="I13:I18"/>
    <mergeCell ref="J13:J18"/>
    <mergeCell ref="K13:K18"/>
    <mergeCell ref="L13:L18"/>
    <mergeCell ref="S13:S18"/>
    <mergeCell ref="T13:T18"/>
    <mergeCell ref="AO11:AO12"/>
    <mergeCell ref="AP11:AP12"/>
    <mergeCell ref="AQ11:AQ12"/>
    <mergeCell ref="W11:W12"/>
    <mergeCell ref="J11:J12"/>
    <mergeCell ref="K11:K12"/>
    <mergeCell ref="N11:N12"/>
    <mergeCell ref="O11:O12"/>
    <mergeCell ref="P11:P12"/>
    <mergeCell ref="Q11:Q12"/>
    <mergeCell ref="T11:T12"/>
    <mergeCell ref="U11:U12"/>
    <mergeCell ref="V11:V12"/>
    <mergeCell ref="U13:U18"/>
    <mergeCell ref="AP13:AP18"/>
    <mergeCell ref="AQ13:AQ18"/>
    <mergeCell ref="AR11:AR12"/>
    <mergeCell ref="A13:A18"/>
    <mergeCell ref="B13:B18"/>
    <mergeCell ref="C13:C18"/>
    <mergeCell ref="D13:D18"/>
    <mergeCell ref="E13:E18"/>
    <mergeCell ref="F13:F18"/>
    <mergeCell ref="AI11:AI12"/>
    <mergeCell ref="AJ11:AJ12"/>
    <mergeCell ref="AK11:AK12"/>
    <mergeCell ref="AL11:AL12"/>
    <mergeCell ref="AM11:AM12"/>
    <mergeCell ref="AN11:AN12"/>
    <mergeCell ref="X11:X12"/>
    <mergeCell ref="Y11:AD11"/>
    <mergeCell ref="AE11:AE12"/>
    <mergeCell ref="AF11:AF12"/>
    <mergeCell ref="AG11:AG12"/>
    <mergeCell ref="AH11:AH12"/>
    <mergeCell ref="R11:R12"/>
    <mergeCell ref="S11:S12"/>
    <mergeCell ref="A11:A12"/>
    <mergeCell ref="B11:B12"/>
    <mergeCell ref="C11:C12"/>
    <mergeCell ref="D11:D12"/>
    <mergeCell ref="E11:E12"/>
    <mergeCell ref="F11:F12"/>
    <mergeCell ref="G11:G12"/>
    <mergeCell ref="H11:H12"/>
    <mergeCell ref="I11:I12"/>
    <mergeCell ref="A8:B8"/>
    <mergeCell ref="Z8:AR8"/>
    <mergeCell ref="A10:F10"/>
    <mergeCell ref="G10:K10"/>
    <mergeCell ref="P10:V10"/>
    <mergeCell ref="W10:AE10"/>
    <mergeCell ref="AF10:AJ10"/>
    <mergeCell ref="AK10:AO10"/>
    <mergeCell ref="AP10:AR10"/>
    <mergeCell ref="C8:T8"/>
    <mergeCell ref="A6:B6"/>
    <mergeCell ref="W6:Y6"/>
    <mergeCell ref="Z6:AR6"/>
    <mergeCell ref="A7:B7"/>
    <mergeCell ref="Z7:AR7"/>
    <mergeCell ref="A1:C4"/>
    <mergeCell ref="X1:AR2"/>
    <mergeCell ref="X3:AL3"/>
    <mergeCell ref="AM3:AR3"/>
    <mergeCell ref="X4:AR4"/>
    <mergeCell ref="D3:I3"/>
    <mergeCell ref="D1:T2"/>
    <mergeCell ref="J3:T3"/>
    <mergeCell ref="D4:T4"/>
    <mergeCell ref="C6:T6"/>
    <mergeCell ref="C7:T7"/>
  </mergeCells>
  <conditionalFormatting sqref="O13 O19">
    <cfRule type="cellIs" dxfId="469" priority="227" operator="equal">
      <formula>"Muy Alta"</formula>
    </cfRule>
    <cfRule type="cellIs" dxfId="468" priority="228" operator="equal">
      <formula>"Alta"</formula>
    </cfRule>
    <cfRule type="cellIs" dxfId="467" priority="229" operator="equal">
      <formula>"Media"</formula>
    </cfRule>
    <cfRule type="cellIs" dxfId="466" priority="230" operator="equal">
      <formula>"Baja"</formula>
    </cfRule>
    <cfRule type="cellIs" dxfId="465" priority="231" operator="equal">
      <formula>"Muy Baja"</formula>
    </cfRule>
  </conditionalFormatting>
  <conditionalFormatting sqref="S13 S19 S25 S31 S37 S43 S49 S55 S61 S67">
    <cfRule type="cellIs" dxfId="464" priority="222" operator="equal">
      <formula>"Catastrófico"</formula>
    </cfRule>
    <cfRule type="cellIs" dxfId="463" priority="223" operator="equal">
      <formula>"Mayor"</formula>
    </cfRule>
    <cfRule type="cellIs" dxfId="462" priority="224" operator="equal">
      <formula>"Moderado"</formula>
    </cfRule>
    <cfRule type="cellIs" dxfId="461" priority="225" operator="equal">
      <formula>"Menor"</formula>
    </cfRule>
    <cfRule type="cellIs" dxfId="460" priority="226" operator="equal">
      <formula>"Leve"</formula>
    </cfRule>
  </conditionalFormatting>
  <conditionalFormatting sqref="U13">
    <cfRule type="cellIs" dxfId="459" priority="218" operator="equal">
      <formula>"Extremo"</formula>
    </cfRule>
    <cfRule type="cellIs" dxfId="458" priority="219" operator="equal">
      <formula>"Alto"</formula>
    </cfRule>
    <cfRule type="cellIs" dxfId="457" priority="220" operator="equal">
      <formula>"Moderado"</formula>
    </cfRule>
    <cfRule type="cellIs" dxfId="456" priority="221" operator="equal">
      <formula>"Bajo"</formula>
    </cfRule>
  </conditionalFormatting>
  <conditionalFormatting sqref="AF13:AF18">
    <cfRule type="cellIs" dxfId="455" priority="213" operator="equal">
      <formula>"Muy Alta"</formula>
    </cfRule>
    <cfRule type="cellIs" dxfId="454" priority="214" operator="equal">
      <formula>"Alta"</formula>
    </cfRule>
    <cfRule type="cellIs" dxfId="453" priority="215" operator="equal">
      <formula>"Media"</formula>
    </cfRule>
    <cfRule type="cellIs" dxfId="452" priority="216" operator="equal">
      <formula>"Baja"</formula>
    </cfRule>
    <cfRule type="cellIs" dxfId="451" priority="217" operator="equal">
      <formula>"Muy Baja"</formula>
    </cfRule>
  </conditionalFormatting>
  <conditionalFormatting sqref="AH13:AH18">
    <cfRule type="cellIs" dxfId="450" priority="208" operator="equal">
      <formula>"Catastrófico"</formula>
    </cfRule>
    <cfRule type="cellIs" dxfId="449" priority="209" operator="equal">
      <formula>"Mayor"</formula>
    </cfRule>
    <cfRule type="cellIs" dxfId="448" priority="210" operator="equal">
      <formula>"Moderado"</formula>
    </cfRule>
    <cfRule type="cellIs" dxfId="447" priority="211" operator="equal">
      <formula>"Menor"</formula>
    </cfRule>
    <cfRule type="cellIs" dxfId="446" priority="212" operator="equal">
      <formula>"Leve"</formula>
    </cfRule>
  </conditionalFormatting>
  <conditionalFormatting sqref="AJ13:AJ18">
    <cfRule type="cellIs" dxfId="445" priority="204" operator="equal">
      <formula>"Extremo"</formula>
    </cfRule>
    <cfRule type="cellIs" dxfId="444" priority="205" operator="equal">
      <formula>"Alto"</formula>
    </cfRule>
    <cfRule type="cellIs" dxfId="443" priority="206" operator="equal">
      <formula>"Moderado"</formula>
    </cfRule>
    <cfRule type="cellIs" dxfId="442" priority="207" operator="equal">
      <formula>"Bajo"</formula>
    </cfRule>
  </conditionalFormatting>
  <conditionalFormatting sqref="O61">
    <cfRule type="cellIs" dxfId="441" priority="48" operator="equal">
      <formula>"Muy Alta"</formula>
    </cfRule>
    <cfRule type="cellIs" dxfId="440" priority="49" operator="equal">
      <formula>"Alta"</formula>
    </cfRule>
    <cfRule type="cellIs" dxfId="439" priority="50" operator="equal">
      <formula>"Media"</formula>
    </cfRule>
    <cfRule type="cellIs" dxfId="438" priority="51" operator="equal">
      <formula>"Baja"</formula>
    </cfRule>
    <cfRule type="cellIs" dxfId="437" priority="52" operator="equal">
      <formula>"Muy Baja"</formula>
    </cfRule>
  </conditionalFormatting>
  <conditionalFormatting sqref="U19">
    <cfRule type="cellIs" dxfId="436" priority="200" operator="equal">
      <formula>"Extremo"</formula>
    </cfRule>
    <cfRule type="cellIs" dxfId="435" priority="201" operator="equal">
      <formula>"Alto"</formula>
    </cfRule>
    <cfRule type="cellIs" dxfId="434" priority="202" operator="equal">
      <formula>"Moderado"</formula>
    </cfRule>
    <cfRule type="cellIs" dxfId="433" priority="203" operator="equal">
      <formula>"Bajo"</formula>
    </cfRule>
  </conditionalFormatting>
  <conditionalFormatting sqref="AF19:AF24">
    <cfRule type="cellIs" dxfId="432" priority="195" operator="equal">
      <formula>"Muy Alta"</formula>
    </cfRule>
    <cfRule type="cellIs" dxfId="431" priority="196" operator="equal">
      <formula>"Alta"</formula>
    </cfRule>
    <cfRule type="cellIs" dxfId="430" priority="197" operator="equal">
      <formula>"Media"</formula>
    </cfRule>
    <cfRule type="cellIs" dxfId="429" priority="198" operator="equal">
      <formula>"Baja"</formula>
    </cfRule>
    <cfRule type="cellIs" dxfId="428" priority="199" operator="equal">
      <formula>"Muy Baja"</formula>
    </cfRule>
  </conditionalFormatting>
  <conditionalFormatting sqref="AH19:AH24">
    <cfRule type="cellIs" dxfId="427" priority="190" operator="equal">
      <formula>"Catastrófico"</formula>
    </cfRule>
    <cfRule type="cellIs" dxfId="426" priority="191" operator="equal">
      <formula>"Mayor"</formula>
    </cfRule>
    <cfRule type="cellIs" dxfId="425" priority="192" operator="equal">
      <formula>"Moderado"</formula>
    </cfRule>
    <cfRule type="cellIs" dxfId="424" priority="193" operator="equal">
      <formula>"Menor"</formula>
    </cfRule>
    <cfRule type="cellIs" dxfId="423" priority="194" operator="equal">
      <formula>"Leve"</formula>
    </cfRule>
  </conditionalFormatting>
  <conditionalFormatting sqref="AJ19:AJ24">
    <cfRule type="cellIs" dxfId="422" priority="186" operator="equal">
      <formula>"Extremo"</formula>
    </cfRule>
    <cfRule type="cellIs" dxfId="421" priority="187" operator="equal">
      <formula>"Alto"</formula>
    </cfRule>
    <cfRule type="cellIs" dxfId="420" priority="188" operator="equal">
      <formula>"Moderado"</formula>
    </cfRule>
    <cfRule type="cellIs" dxfId="419" priority="189" operator="equal">
      <formula>"Bajo"</formula>
    </cfRule>
  </conditionalFormatting>
  <conditionalFormatting sqref="O25">
    <cfRule type="cellIs" dxfId="418" priority="181" operator="equal">
      <formula>"Muy Alta"</formula>
    </cfRule>
    <cfRule type="cellIs" dxfId="417" priority="182" operator="equal">
      <formula>"Alta"</formula>
    </cfRule>
    <cfRule type="cellIs" dxfId="416" priority="183" operator="equal">
      <formula>"Media"</formula>
    </cfRule>
    <cfRule type="cellIs" dxfId="415" priority="184" operator="equal">
      <formula>"Baja"</formula>
    </cfRule>
    <cfRule type="cellIs" dxfId="414" priority="185" operator="equal">
      <formula>"Muy Baja"</formula>
    </cfRule>
  </conditionalFormatting>
  <conditionalFormatting sqref="U25">
    <cfRule type="cellIs" dxfId="413" priority="177" operator="equal">
      <formula>"Extremo"</formula>
    </cfRule>
    <cfRule type="cellIs" dxfId="412" priority="178" operator="equal">
      <formula>"Alto"</formula>
    </cfRule>
    <cfRule type="cellIs" dxfId="411" priority="179" operator="equal">
      <formula>"Moderado"</formula>
    </cfRule>
    <cfRule type="cellIs" dxfId="410" priority="180" operator="equal">
      <formula>"Bajo"</formula>
    </cfRule>
  </conditionalFormatting>
  <conditionalFormatting sqref="AF25:AF30">
    <cfRule type="cellIs" dxfId="409" priority="172" operator="equal">
      <formula>"Muy Alta"</formula>
    </cfRule>
    <cfRule type="cellIs" dxfId="408" priority="173" operator="equal">
      <formula>"Alta"</formula>
    </cfRule>
    <cfRule type="cellIs" dxfId="407" priority="174" operator="equal">
      <formula>"Media"</formula>
    </cfRule>
    <cfRule type="cellIs" dxfId="406" priority="175" operator="equal">
      <formula>"Baja"</formula>
    </cfRule>
    <cfRule type="cellIs" dxfId="405" priority="176" operator="equal">
      <formula>"Muy Baja"</formula>
    </cfRule>
  </conditionalFormatting>
  <conditionalFormatting sqref="AH25:AH30">
    <cfRule type="cellIs" dxfId="404" priority="167" operator="equal">
      <formula>"Catastrófico"</formula>
    </cfRule>
    <cfRule type="cellIs" dxfId="403" priority="168" operator="equal">
      <formula>"Mayor"</formula>
    </cfRule>
    <cfRule type="cellIs" dxfId="402" priority="169" operator="equal">
      <formula>"Moderado"</formula>
    </cfRule>
    <cfRule type="cellIs" dxfId="401" priority="170" operator="equal">
      <formula>"Menor"</formula>
    </cfRule>
    <cfRule type="cellIs" dxfId="400" priority="171" operator="equal">
      <formula>"Leve"</formula>
    </cfRule>
  </conditionalFormatting>
  <conditionalFormatting sqref="AJ25:AJ30">
    <cfRule type="cellIs" dxfId="399" priority="163" operator="equal">
      <formula>"Extremo"</formula>
    </cfRule>
    <cfRule type="cellIs" dxfId="398" priority="164" operator="equal">
      <formula>"Alto"</formula>
    </cfRule>
    <cfRule type="cellIs" dxfId="397" priority="165" operator="equal">
      <formula>"Moderado"</formula>
    </cfRule>
    <cfRule type="cellIs" dxfId="396" priority="166" operator="equal">
      <formula>"Bajo"</formula>
    </cfRule>
  </conditionalFormatting>
  <conditionalFormatting sqref="O31">
    <cfRule type="cellIs" dxfId="395" priority="158" operator="equal">
      <formula>"Muy Alta"</formula>
    </cfRule>
    <cfRule type="cellIs" dxfId="394" priority="159" operator="equal">
      <formula>"Alta"</formula>
    </cfRule>
    <cfRule type="cellIs" dxfId="393" priority="160" operator="equal">
      <formula>"Media"</formula>
    </cfRule>
    <cfRule type="cellIs" dxfId="392" priority="161" operator="equal">
      <formula>"Baja"</formula>
    </cfRule>
    <cfRule type="cellIs" dxfId="391" priority="162" operator="equal">
      <formula>"Muy Baja"</formula>
    </cfRule>
  </conditionalFormatting>
  <conditionalFormatting sqref="U31">
    <cfRule type="cellIs" dxfId="390" priority="154" operator="equal">
      <formula>"Extremo"</formula>
    </cfRule>
    <cfRule type="cellIs" dxfId="389" priority="155" operator="equal">
      <formula>"Alto"</formula>
    </cfRule>
    <cfRule type="cellIs" dxfId="388" priority="156" operator="equal">
      <formula>"Moderado"</formula>
    </cfRule>
    <cfRule type="cellIs" dxfId="387" priority="157" operator="equal">
      <formula>"Bajo"</formula>
    </cfRule>
  </conditionalFormatting>
  <conditionalFormatting sqref="AF31:AF36">
    <cfRule type="cellIs" dxfId="386" priority="149" operator="equal">
      <formula>"Muy Alta"</formula>
    </cfRule>
    <cfRule type="cellIs" dxfId="385" priority="150" operator="equal">
      <formula>"Alta"</formula>
    </cfRule>
    <cfRule type="cellIs" dxfId="384" priority="151" operator="equal">
      <formula>"Media"</formula>
    </cfRule>
    <cfRule type="cellIs" dxfId="383" priority="152" operator="equal">
      <formula>"Baja"</formula>
    </cfRule>
    <cfRule type="cellIs" dxfId="382" priority="153" operator="equal">
      <formula>"Muy Baja"</formula>
    </cfRule>
  </conditionalFormatting>
  <conditionalFormatting sqref="AH31:AH36">
    <cfRule type="cellIs" dxfId="381" priority="144" operator="equal">
      <formula>"Catastrófico"</formula>
    </cfRule>
    <cfRule type="cellIs" dxfId="380" priority="145" operator="equal">
      <formula>"Mayor"</formula>
    </cfRule>
    <cfRule type="cellIs" dxfId="379" priority="146" operator="equal">
      <formula>"Moderado"</formula>
    </cfRule>
    <cfRule type="cellIs" dxfId="378" priority="147" operator="equal">
      <formula>"Menor"</formula>
    </cfRule>
    <cfRule type="cellIs" dxfId="377" priority="148" operator="equal">
      <formula>"Leve"</formula>
    </cfRule>
  </conditionalFormatting>
  <conditionalFormatting sqref="AJ31:AJ36">
    <cfRule type="cellIs" dxfId="376" priority="140" operator="equal">
      <formula>"Extremo"</formula>
    </cfRule>
    <cfRule type="cellIs" dxfId="375" priority="141" operator="equal">
      <formula>"Alto"</formula>
    </cfRule>
    <cfRule type="cellIs" dxfId="374" priority="142" operator="equal">
      <formula>"Moderado"</formula>
    </cfRule>
    <cfRule type="cellIs" dxfId="373" priority="143" operator="equal">
      <formula>"Bajo"</formula>
    </cfRule>
  </conditionalFormatting>
  <conditionalFormatting sqref="O37">
    <cfRule type="cellIs" dxfId="372" priority="135" operator="equal">
      <formula>"Muy Alta"</formula>
    </cfRule>
    <cfRule type="cellIs" dxfId="371" priority="136" operator="equal">
      <formula>"Alta"</formula>
    </cfRule>
    <cfRule type="cellIs" dxfId="370" priority="137" operator="equal">
      <formula>"Media"</formula>
    </cfRule>
    <cfRule type="cellIs" dxfId="369" priority="138" operator="equal">
      <formula>"Baja"</formula>
    </cfRule>
    <cfRule type="cellIs" dxfId="368" priority="139" operator="equal">
      <formula>"Muy Baja"</formula>
    </cfRule>
  </conditionalFormatting>
  <conditionalFormatting sqref="U37">
    <cfRule type="cellIs" dxfId="367" priority="131" operator="equal">
      <formula>"Extremo"</formula>
    </cfRule>
    <cfRule type="cellIs" dxfId="366" priority="132" operator="equal">
      <formula>"Alto"</formula>
    </cfRule>
    <cfRule type="cellIs" dxfId="365" priority="133" operator="equal">
      <formula>"Moderado"</formula>
    </cfRule>
    <cfRule type="cellIs" dxfId="364" priority="134" operator="equal">
      <formula>"Bajo"</formula>
    </cfRule>
  </conditionalFormatting>
  <conditionalFormatting sqref="AF37:AF42">
    <cfRule type="cellIs" dxfId="363" priority="126" operator="equal">
      <formula>"Muy Alta"</formula>
    </cfRule>
    <cfRule type="cellIs" dxfId="362" priority="127" operator="equal">
      <formula>"Alta"</formula>
    </cfRule>
    <cfRule type="cellIs" dxfId="361" priority="128" operator="equal">
      <formula>"Media"</formula>
    </cfRule>
    <cfRule type="cellIs" dxfId="360" priority="129" operator="equal">
      <formula>"Baja"</formula>
    </cfRule>
    <cfRule type="cellIs" dxfId="359" priority="130" operator="equal">
      <formula>"Muy Baja"</formula>
    </cfRule>
  </conditionalFormatting>
  <conditionalFormatting sqref="AH37:AH42">
    <cfRule type="cellIs" dxfId="358" priority="121" operator="equal">
      <formula>"Catastrófico"</formula>
    </cfRule>
    <cfRule type="cellIs" dxfId="357" priority="122" operator="equal">
      <formula>"Mayor"</formula>
    </cfRule>
    <cfRule type="cellIs" dxfId="356" priority="123" operator="equal">
      <formula>"Moderado"</formula>
    </cfRule>
    <cfRule type="cellIs" dxfId="355" priority="124" operator="equal">
      <formula>"Menor"</formula>
    </cfRule>
    <cfRule type="cellIs" dxfId="354" priority="125" operator="equal">
      <formula>"Leve"</formula>
    </cfRule>
  </conditionalFormatting>
  <conditionalFormatting sqref="AJ37:AJ42">
    <cfRule type="cellIs" dxfId="353" priority="117" operator="equal">
      <formula>"Extremo"</formula>
    </cfRule>
    <cfRule type="cellIs" dxfId="352" priority="118" operator="equal">
      <formula>"Alto"</formula>
    </cfRule>
    <cfRule type="cellIs" dxfId="351" priority="119" operator="equal">
      <formula>"Moderado"</formula>
    </cfRule>
    <cfRule type="cellIs" dxfId="350" priority="120" operator="equal">
      <formula>"Bajo"</formula>
    </cfRule>
  </conditionalFormatting>
  <conditionalFormatting sqref="O43">
    <cfRule type="cellIs" dxfId="349" priority="112" operator="equal">
      <formula>"Muy Alta"</formula>
    </cfRule>
    <cfRule type="cellIs" dxfId="348" priority="113" operator="equal">
      <formula>"Alta"</formula>
    </cfRule>
    <cfRule type="cellIs" dxfId="347" priority="114" operator="equal">
      <formula>"Media"</formula>
    </cfRule>
    <cfRule type="cellIs" dxfId="346" priority="115" operator="equal">
      <formula>"Baja"</formula>
    </cfRule>
    <cfRule type="cellIs" dxfId="345" priority="116" operator="equal">
      <formula>"Muy Baja"</formula>
    </cfRule>
  </conditionalFormatting>
  <conditionalFormatting sqref="U43">
    <cfRule type="cellIs" dxfId="344" priority="108" operator="equal">
      <formula>"Extremo"</formula>
    </cfRule>
    <cfRule type="cellIs" dxfId="343" priority="109" operator="equal">
      <formula>"Alto"</formula>
    </cfRule>
    <cfRule type="cellIs" dxfId="342" priority="110" operator="equal">
      <formula>"Moderado"</formula>
    </cfRule>
    <cfRule type="cellIs" dxfId="341" priority="111" operator="equal">
      <formula>"Bajo"</formula>
    </cfRule>
  </conditionalFormatting>
  <conditionalFormatting sqref="AF43:AF48">
    <cfRule type="cellIs" dxfId="340" priority="103" operator="equal">
      <formula>"Muy Alta"</formula>
    </cfRule>
    <cfRule type="cellIs" dxfId="339" priority="104" operator="equal">
      <formula>"Alta"</formula>
    </cfRule>
    <cfRule type="cellIs" dxfId="338" priority="105" operator="equal">
      <formula>"Media"</formula>
    </cfRule>
    <cfRule type="cellIs" dxfId="337" priority="106" operator="equal">
      <formula>"Baja"</formula>
    </cfRule>
    <cfRule type="cellIs" dxfId="336" priority="107" operator="equal">
      <formula>"Muy Baja"</formula>
    </cfRule>
  </conditionalFormatting>
  <conditionalFormatting sqref="AH43:AH48">
    <cfRule type="cellIs" dxfId="335" priority="98" operator="equal">
      <formula>"Catastrófico"</formula>
    </cfRule>
    <cfRule type="cellIs" dxfId="334" priority="99" operator="equal">
      <formula>"Mayor"</formula>
    </cfRule>
    <cfRule type="cellIs" dxfId="333" priority="100" operator="equal">
      <formula>"Moderado"</formula>
    </cfRule>
    <cfRule type="cellIs" dxfId="332" priority="101" operator="equal">
      <formula>"Menor"</formula>
    </cfRule>
    <cfRule type="cellIs" dxfId="331" priority="102" operator="equal">
      <formula>"Leve"</formula>
    </cfRule>
  </conditionalFormatting>
  <conditionalFormatting sqref="AJ43:AJ48">
    <cfRule type="cellIs" dxfId="330" priority="94" operator="equal">
      <formula>"Extremo"</formula>
    </cfRule>
    <cfRule type="cellIs" dxfId="329" priority="95" operator="equal">
      <formula>"Alto"</formula>
    </cfRule>
    <cfRule type="cellIs" dxfId="328" priority="96" operator="equal">
      <formula>"Moderado"</formula>
    </cfRule>
    <cfRule type="cellIs" dxfId="327" priority="97" operator="equal">
      <formula>"Bajo"</formula>
    </cfRule>
  </conditionalFormatting>
  <conditionalFormatting sqref="O49">
    <cfRule type="cellIs" dxfId="326" priority="89" operator="equal">
      <formula>"Muy Alta"</formula>
    </cfRule>
    <cfRule type="cellIs" dxfId="325" priority="90" operator="equal">
      <formula>"Alta"</formula>
    </cfRule>
    <cfRule type="cellIs" dxfId="324" priority="91" operator="equal">
      <formula>"Media"</formula>
    </cfRule>
    <cfRule type="cellIs" dxfId="323" priority="92" operator="equal">
      <formula>"Baja"</formula>
    </cfRule>
    <cfRule type="cellIs" dxfId="322" priority="93" operator="equal">
      <formula>"Muy Baja"</formula>
    </cfRule>
  </conditionalFormatting>
  <conditionalFormatting sqref="U49">
    <cfRule type="cellIs" dxfId="321" priority="85" operator="equal">
      <formula>"Extremo"</formula>
    </cfRule>
    <cfRule type="cellIs" dxfId="320" priority="86" operator="equal">
      <formula>"Alto"</formula>
    </cfRule>
    <cfRule type="cellIs" dxfId="319" priority="87" operator="equal">
      <formula>"Moderado"</formula>
    </cfRule>
    <cfRule type="cellIs" dxfId="318" priority="88" operator="equal">
      <formula>"Bajo"</formula>
    </cfRule>
  </conditionalFormatting>
  <conditionalFormatting sqref="AF49:AF54">
    <cfRule type="cellIs" dxfId="317" priority="80" operator="equal">
      <formula>"Muy Alta"</formula>
    </cfRule>
    <cfRule type="cellIs" dxfId="316" priority="81" operator="equal">
      <formula>"Alta"</formula>
    </cfRule>
    <cfRule type="cellIs" dxfId="315" priority="82" operator="equal">
      <formula>"Media"</formula>
    </cfRule>
    <cfRule type="cellIs" dxfId="314" priority="83" operator="equal">
      <formula>"Baja"</formula>
    </cfRule>
    <cfRule type="cellIs" dxfId="313" priority="84" operator="equal">
      <formula>"Muy Baja"</formula>
    </cfRule>
  </conditionalFormatting>
  <conditionalFormatting sqref="AH49:AH54">
    <cfRule type="cellIs" dxfId="312" priority="75" operator="equal">
      <formula>"Catastrófico"</formula>
    </cfRule>
    <cfRule type="cellIs" dxfId="311" priority="76" operator="equal">
      <formula>"Mayor"</formula>
    </cfRule>
    <cfRule type="cellIs" dxfId="310" priority="77" operator="equal">
      <formula>"Moderado"</formula>
    </cfRule>
    <cfRule type="cellIs" dxfId="309" priority="78" operator="equal">
      <formula>"Menor"</formula>
    </cfRule>
    <cfRule type="cellIs" dxfId="308" priority="79" operator="equal">
      <formula>"Leve"</formula>
    </cfRule>
  </conditionalFormatting>
  <conditionalFormatting sqref="AJ49:AJ54">
    <cfRule type="cellIs" dxfId="307" priority="71" operator="equal">
      <formula>"Extremo"</formula>
    </cfRule>
    <cfRule type="cellIs" dxfId="306" priority="72" operator="equal">
      <formula>"Alto"</formula>
    </cfRule>
    <cfRule type="cellIs" dxfId="305" priority="73" operator="equal">
      <formula>"Moderado"</formula>
    </cfRule>
    <cfRule type="cellIs" dxfId="304" priority="74" operator="equal">
      <formula>"Bajo"</formula>
    </cfRule>
  </conditionalFormatting>
  <conditionalFormatting sqref="U55">
    <cfRule type="cellIs" dxfId="303" priority="67" operator="equal">
      <formula>"Extremo"</formula>
    </cfRule>
    <cfRule type="cellIs" dxfId="302" priority="68" operator="equal">
      <formula>"Alto"</formula>
    </cfRule>
    <cfRule type="cellIs" dxfId="301" priority="69" operator="equal">
      <formula>"Moderado"</formula>
    </cfRule>
    <cfRule type="cellIs" dxfId="300" priority="70" operator="equal">
      <formula>"Bajo"</formula>
    </cfRule>
  </conditionalFormatting>
  <conditionalFormatting sqref="AF55:AF60">
    <cfRule type="cellIs" dxfId="299" priority="62" operator="equal">
      <formula>"Muy Alta"</formula>
    </cfRule>
    <cfRule type="cellIs" dxfId="298" priority="63" operator="equal">
      <formula>"Alta"</formula>
    </cfRule>
    <cfRule type="cellIs" dxfId="297" priority="64" operator="equal">
      <formula>"Media"</formula>
    </cfRule>
    <cfRule type="cellIs" dxfId="296" priority="65" operator="equal">
      <formula>"Baja"</formula>
    </cfRule>
    <cfRule type="cellIs" dxfId="295" priority="66" operator="equal">
      <formula>"Muy Baja"</formula>
    </cfRule>
  </conditionalFormatting>
  <conditionalFormatting sqref="AH55:AH60">
    <cfRule type="cellIs" dxfId="294" priority="57" operator="equal">
      <formula>"Catastrófico"</formula>
    </cfRule>
    <cfRule type="cellIs" dxfId="293" priority="58" operator="equal">
      <formula>"Mayor"</formula>
    </cfRule>
    <cfRule type="cellIs" dxfId="292" priority="59" operator="equal">
      <formula>"Moderado"</formula>
    </cfRule>
    <cfRule type="cellIs" dxfId="291" priority="60" operator="equal">
      <formula>"Menor"</formula>
    </cfRule>
    <cfRule type="cellIs" dxfId="290" priority="61" operator="equal">
      <formula>"Leve"</formula>
    </cfRule>
  </conditionalFormatting>
  <conditionalFormatting sqref="AJ55:AJ60">
    <cfRule type="cellIs" dxfId="289" priority="53" operator="equal">
      <formula>"Extremo"</formula>
    </cfRule>
    <cfRule type="cellIs" dxfId="288" priority="54" operator="equal">
      <formula>"Alto"</formula>
    </cfRule>
    <cfRule type="cellIs" dxfId="287" priority="55" operator="equal">
      <formula>"Moderado"</formula>
    </cfRule>
    <cfRule type="cellIs" dxfId="286" priority="56" operator="equal">
      <formula>"Bajo"</formula>
    </cfRule>
  </conditionalFormatting>
  <conditionalFormatting sqref="U61">
    <cfRule type="cellIs" dxfId="285" priority="44" operator="equal">
      <formula>"Extremo"</formula>
    </cfRule>
    <cfRule type="cellIs" dxfId="284" priority="45" operator="equal">
      <formula>"Alto"</formula>
    </cfRule>
    <cfRule type="cellIs" dxfId="283" priority="46" operator="equal">
      <formula>"Moderado"</formula>
    </cfRule>
    <cfRule type="cellIs" dxfId="282" priority="47" operator="equal">
      <formula>"Bajo"</formula>
    </cfRule>
  </conditionalFormatting>
  <conditionalFormatting sqref="AF61:AF66">
    <cfRule type="cellIs" dxfId="281" priority="39" operator="equal">
      <formula>"Muy Alta"</formula>
    </cfRule>
    <cfRule type="cellIs" dxfId="280" priority="40" operator="equal">
      <formula>"Alta"</formula>
    </cfRule>
    <cfRule type="cellIs" dxfId="279" priority="41" operator="equal">
      <formula>"Media"</formula>
    </cfRule>
    <cfRule type="cellIs" dxfId="278" priority="42" operator="equal">
      <formula>"Baja"</formula>
    </cfRule>
    <cfRule type="cellIs" dxfId="277" priority="43" operator="equal">
      <formula>"Muy Baja"</formula>
    </cfRule>
  </conditionalFormatting>
  <conditionalFormatting sqref="AH61:AH66">
    <cfRule type="cellIs" dxfId="276" priority="34" operator="equal">
      <formula>"Catastrófico"</formula>
    </cfRule>
    <cfRule type="cellIs" dxfId="275" priority="35" operator="equal">
      <formula>"Mayor"</formula>
    </cfRule>
    <cfRule type="cellIs" dxfId="274" priority="36" operator="equal">
      <formula>"Moderado"</formula>
    </cfRule>
    <cfRule type="cellIs" dxfId="273" priority="37" operator="equal">
      <formula>"Menor"</formula>
    </cfRule>
    <cfRule type="cellIs" dxfId="272" priority="38" operator="equal">
      <formula>"Leve"</formula>
    </cfRule>
  </conditionalFormatting>
  <conditionalFormatting sqref="AJ61:AJ66">
    <cfRule type="cellIs" dxfId="271" priority="30" operator="equal">
      <formula>"Extremo"</formula>
    </cfRule>
    <cfRule type="cellIs" dxfId="270" priority="31" operator="equal">
      <formula>"Alto"</formula>
    </cfRule>
    <cfRule type="cellIs" dxfId="269" priority="32" operator="equal">
      <formula>"Moderado"</formula>
    </cfRule>
    <cfRule type="cellIs" dxfId="268" priority="33" operator="equal">
      <formula>"Bajo"</formula>
    </cfRule>
  </conditionalFormatting>
  <conditionalFormatting sqref="O67">
    <cfRule type="cellIs" dxfId="267" priority="25" operator="equal">
      <formula>"Muy Alta"</formula>
    </cfRule>
    <cfRule type="cellIs" dxfId="266" priority="26" operator="equal">
      <formula>"Alta"</formula>
    </cfRule>
    <cfRule type="cellIs" dxfId="265" priority="27" operator="equal">
      <formula>"Media"</formula>
    </cfRule>
    <cfRule type="cellIs" dxfId="264" priority="28" operator="equal">
      <formula>"Baja"</formula>
    </cfRule>
    <cfRule type="cellIs" dxfId="263" priority="29" operator="equal">
      <formula>"Muy Baja"</formula>
    </cfRule>
  </conditionalFormatting>
  <conditionalFormatting sqref="U67">
    <cfRule type="cellIs" dxfId="262" priority="21" operator="equal">
      <formula>"Extremo"</formula>
    </cfRule>
    <cfRule type="cellIs" dxfId="261" priority="22" operator="equal">
      <formula>"Alto"</formula>
    </cfRule>
    <cfRule type="cellIs" dxfId="260" priority="23" operator="equal">
      <formula>"Moderado"</formula>
    </cfRule>
    <cfRule type="cellIs" dxfId="259" priority="24" operator="equal">
      <formula>"Bajo"</formula>
    </cfRule>
  </conditionalFormatting>
  <conditionalFormatting sqref="AF67:AF72">
    <cfRule type="cellIs" dxfId="258" priority="16" operator="equal">
      <formula>"Muy Alta"</formula>
    </cfRule>
    <cfRule type="cellIs" dxfId="257" priority="17" operator="equal">
      <formula>"Alta"</formula>
    </cfRule>
    <cfRule type="cellIs" dxfId="256" priority="18" operator="equal">
      <formula>"Media"</formula>
    </cfRule>
    <cfRule type="cellIs" dxfId="255" priority="19" operator="equal">
      <formula>"Baja"</formula>
    </cfRule>
    <cfRule type="cellIs" dxfId="254" priority="20" operator="equal">
      <formula>"Muy Baja"</formula>
    </cfRule>
  </conditionalFormatting>
  <conditionalFormatting sqref="AH67:AH72">
    <cfRule type="cellIs" dxfId="253" priority="11" operator="equal">
      <formula>"Catastrófico"</formula>
    </cfRule>
    <cfRule type="cellIs" dxfId="252" priority="12" operator="equal">
      <formula>"Mayor"</formula>
    </cfRule>
    <cfRule type="cellIs" dxfId="251" priority="13" operator="equal">
      <formula>"Moderado"</formula>
    </cfRule>
    <cfRule type="cellIs" dxfId="250" priority="14" operator="equal">
      <formula>"Menor"</formula>
    </cfRule>
    <cfRule type="cellIs" dxfId="249" priority="15" operator="equal">
      <formula>"Leve"</formula>
    </cfRule>
  </conditionalFormatting>
  <conditionalFormatting sqref="AJ67:AJ72">
    <cfRule type="cellIs" dxfId="248" priority="7" operator="equal">
      <formula>"Extremo"</formula>
    </cfRule>
    <cfRule type="cellIs" dxfId="247" priority="8" operator="equal">
      <formula>"Alto"</formula>
    </cfRule>
    <cfRule type="cellIs" dxfId="246" priority="9" operator="equal">
      <formula>"Moderado"</formula>
    </cfRule>
    <cfRule type="cellIs" dxfId="245" priority="10" operator="equal">
      <formula>"Bajo"</formula>
    </cfRule>
  </conditionalFormatting>
  <conditionalFormatting sqref="R13:R72">
    <cfRule type="containsText" dxfId="244" priority="6" operator="containsText" text="❌">
      <formula>NOT(ISERROR(SEARCH("❌",R13)))</formula>
    </cfRule>
  </conditionalFormatting>
  <conditionalFormatting sqref="O55">
    <cfRule type="cellIs" dxfId="243" priority="1" operator="equal">
      <formula>"Muy Alta"</formula>
    </cfRule>
    <cfRule type="cellIs" dxfId="242" priority="2" operator="equal">
      <formula>"Alta"</formula>
    </cfRule>
    <cfRule type="cellIs" dxfId="241" priority="3" operator="equal">
      <formula>"Media"</formula>
    </cfRule>
    <cfRule type="cellIs" dxfId="240" priority="4" operator="equal">
      <formula>"Baja"</formula>
    </cfRule>
    <cfRule type="cellIs" dxfId="239" priority="5" operator="equal">
      <formula>"Muy Baja"</formula>
    </cfRule>
  </conditionalFormatting>
  <pageMargins left="0.70866141732283472" right="0.70866141732283472" top="0.74803149606299213" bottom="0.74803149606299213" header="0.31496062992125984" footer="0.31496062992125984"/>
  <pageSetup scale="31" orientation="landscape" r:id="rId1"/>
  <headerFooter>
    <oddFooter>&amp;LAvenida Calle 26 No. 69-76,Edificio Elemento ,   Torre Aire , Piso 3, CP-111071
PBX:(+57) 601-3779555 - Información: Línea 195
Sede Operativa - Atención al Ciudadano: Calle 22D No. 120-40 
www.umv.gov.co&amp;CDESI-FM-018
Página &amp;P de &amp;N</oddFooter>
  </headerFooter>
  <rowBreaks count="1" manualBreakCount="1">
    <brk id="30" max="43" man="1"/>
  </rowBreaks>
  <colBreaks count="1" manualBreakCount="1">
    <brk id="20" min="3" max="65" man="1"/>
  </col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F658C02B-993D-424E-BB84-44117E492661}">
          <x14:formula1>
            <xm:f>Listas!$H$14:$H$18</xm:f>
          </x14:formula1>
          <xm:sqref>M13:M72</xm:sqref>
        </x14:dataValidation>
        <x14:dataValidation type="list" allowBlank="1" showInputMessage="1" showErrorMessage="1" xr:uid="{40312BE1-7798-450E-AF3E-05C67AC8BF93}">
          <x14:formula1>
            <xm:f>Listas!$H$8:$H$12</xm:f>
          </x14:formula1>
          <xm:sqref>L13:L72</xm:sqref>
        </x14:dataValidation>
        <x14:dataValidation type="list" allowBlank="1" showInputMessage="1" showErrorMessage="1" xr:uid="{AA2E5EA3-1692-46F4-901A-D93807733420}">
          <x14:formula1>
            <xm:f>Intructivo!$C$300:$C$316</xm:f>
          </x14:formula1>
          <xm:sqref>C6 T6:V6</xm:sqref>
        </x14:dataValidation>
        <x14:dataValidation type="list" allowBlank="1" showInputMessage="1" showErrorMessage="1" xr:uid="{03DE59EA-53B5-45A4-8E26-599EB4253647}">
          <x14:formula1>
            <xm:f>Listas!$F$8:$F$9</xm:f>
          </x14:formula1>
          <xm:sqref>G13:G72</xm:sqref>
        </x14:dataValidation>
        <x14:dataValidation type="list" allowBlank="1" showInputMessage="1" showErrorMessage="1" xr:uid="{4606DDEB-9F54-40BD-9BAC-47E32FED934C}">
          <x14:formula1>
            <xm:f>Listas!$B$17:$B$19</xm:f>
          </x14:formula1>
          <xm:sqref>F13:F72</xm:sqref>
        </x14:dataValidation>
        <x14:dataValidation type="custom" allowBlank="1" showInputMessage="1" showErrorMessage="1" error="Recuerde que las acciones se generan bajo la medida de mitigar el riesgo" xr:uid="{3A1535EF-A4E0-4446-B8FF-E932552AAE11}">
          <x14:formula1>
            <xm:f>IF(OR(#REF!=Listas!$B$2,#REF!=Listas!$B$3,#REF!=Listas!$B$4),ISBLANK(#REF!),ISTEXT(#REF!))</xm:f>
          </x14:formula1>
          <xm:sqref>AP19:AR19 AP67:AR67 AP61:AR61 AP55:AR55 AP49:AR49 AP43:AR43 AP37:AR37 AP31:AR31 AP25:AR25</xm:sqref>
        </x14:dataValidation>
        <x14:dataValidation type="list" allowBlank="1" showInputMessage="1" showErrorMessage="1" xr:uid="{BA3C577B-DF51-41B8-800C-3C49B635B328}">
          <x14:formula1>
            <xm:f>Listas!$B$2:$B$5</xm:f>
          </x14:formula1>
          <xm:sqref>AK13:AK72</xm:sqref>
        </x14:dataValidation>
        <x14:dataValidation type="list" allowBlank="1" showInputMessage="1" showErrorMessage="1" xr:uid="{A7E97360-E878-482D-944B-FEFCE41EF2DD}">
          <x14:formula1>
            <xm:f>Listas!$E$2:$E$4</xm:f>
          </x14:formula1>
          <xm:sqref>B13:B72</xm:sqref>
        </x14:dataValidation>
        <x14:dataValidation type="list" allowBlank="1" showInputMessage="1" showErrorMessage="1" xr:uid="{81C7FE65-3E9A-49D2-8D53-7625D18167FA}">
          <x14:formula1>
            <xm:f>'Tabla Valoración controles'!$D$13:$D$14</xm:f>
          </x14:formula1>
          <xm:sqref>AD13:AD72</xm:sqref>
        </x14:dataValidation>
        <x14:dataValidation type="list" allowBlank="1" showInputMessage="1" showErrorMessage="1" xr:uid="{75D2C17F-7073-40C7-BC59-5A01C7A822CF}">
          <x14:formula1>
            <xm:f>'Tabla Valoración controles'!$D$11:$D$12</xm:f>
          </x14:formula1>
          <xm:sqref>AC13:AC72</xm:sqref>
        </x14:dataValidation>
        <x14:dataValidation type="list" allowBlank="1" showInputMessage="1" showErrorMessage="1" xr:uid="{015BB405-A86D-4571-9891-19202338A1E6}">
          <x14:formula1>
            <xm:f>'Tabla Valoración controles'!$D$9:$D$10</xm:f>
          </x14:formula1>
          <xm:sqref>AB13:AB72</xm:sqref>
        </x14:dataValidation>
        <x14:dataValidation type="list" allowBlank="1" showInputMessage="1" showErrorMessage="1" xr:uid="{64B71EBA-5AD1-4DF5-9300-D6F7874916B7}">
          <x14:formula1>
            <xm:f>'Tabla Valoración controles'!$D$7:$D$8</xm:f>
          </x14:formula1>
          <xm:sqref>Z13:Z72</xm:sqref>
        </x14:dataValidation>
        <x14:dataValidation type="list" allowBlank="1" showInputMessage="1" showErrorMessage="1" xr:uid="{EBBABF09-1E74-4DDE-947E-E544CB741FC0}">
          <x14:formula1>
            <xm:f>'Tabla Valoración controles'!$D$4:$D$6</xm:f>
          </x14:formula1>
          <xm:sqref>Y13:Y72</xm:sqref>
        </x14:dataValidation>
        <x14:dataValidation type="list" allowBlank="1" showInputMessage="1" showErrorMessage="1" xr:uid="{D541873E-5750-49B0-B960-2521B212E76B}">
          <x14:formula1>
            <xm:f>'Tabla Impacto'!$F$220:$F$222</xm:f>
          </x14:formula1>
          <xm:sqref>Q13:Q72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F29"/>
  <sheetViews>
    <sheetView zoomScaleNormal="100" zoomScaleSheetLayoutView="90" workbookViewId="0">
      <selection activeCell="B25" sqref="B25:F25"/>
    </sheetView>
  </sheetViews>
  <sheetFormatPr baseColWidth="10" defaultColWidth="11.42578125" defaultRowHeight="14.25" x14ac:dyDescent="0.25"/>
  <cols>
    <col min="1" max="1" width="2.140625" style="144" customWidth="1"/>
    <col min="2" max="2" width="11.42578125" style="144"/>
    <col min="3" max="3" width="34.28515625" style="144" customWidth="1"/>
    <col min="4" max="4" width="36.42578125" style="144" customWidth="1"/>
    <col min="5" max="6" width="13.85546875" style="144" customWidth="1"/>
    <col min="7" max="7" width="1.28515625" style="144" customWidth="1"/>
    <col min="8" max="16384" width="11.42578125" style="144"/>
  </cols>
  <sheetData>
    <row r="1" spans="2:6" ht="11.25" customHeight="1" thickBot="1" x14ac:dyDescent="0.3"/>
    <row r="2" spans="2:6" ht="18.75" customHeight="1" thickBot="1" x14ac:dyDescent="0.3">
      <c r="B2" s="531" t="s">
        <v>268</v>
      </c>
      <c r="C2" s="532"/>
      <c r="D2" s="532"/>
      <c r="E2" s="532"/>
      <c r="F2" s="533"/>
    </row>
    <row r="3" spans="2:6" ht="31.9" customHeight="1" x14ac:dyDescent="0.25">
      <c r="B3" s="534" t="s">
        <v>269</v>
      </c>
      <c r="C3" s="536" t="s">
        <v>270</v>
      </c>
      <c r="D3" s="536"/>
      <c r="E3" s="536" t="s">
        <v>271</v>
      </c>
      <c r="F3" s="538"/>
    </row>
    <row r="4" spans="2:6" ht="28.15" customHeight="1" thickBot="1" x14ac:dyDescent="0.3">
      <c r="B4" s="535"/>
      <c r="C4" s="537"/>
      <c r="D4" s="537"/>
      <c r="E4" s="154" t="s">
        <v>272</v>
      </c>
      <c r="F4" s="155" t="s">
        <v>273</v>
      </c>
    </row>
    <row r="5" spans="2:6" ht="23.25" customHeight="1" x14ac:dyDescent="0.25">
      <c r="B5" s="145">
        <v>1</v>
      </c>
      <c r="C5" s="539" t="s">
        <v>274</v>
      </c>
      <c r="D5" s="539"/>
      <c r="E5" s="167"/>
      <c r="F5" s="168"/>
    </row>
    <row r="6" spans="2:6" ht="33" customHeight="1" x14ac:dyDescent="0.25">
      <c r="B6" s="146">
        <v>2</v>
      </c>
      <c r="C6" s="528" t="s">
        <v>275</v>
      </c>
      <c r="D6" s="528"/>
      <c r="E6" s="169"/>
      <c r="F6" s="170"/>
    </row>
    <row r="7" spans="2:6" ht="39" customHeight="1" x14ac:dyDescent="0.25">
      <c r="B7" s="146">
        <v>3</v>
      </c>
      <c r="C7" s="528" t="s">
        <v>276</v>
      </c>
      <c r="D7" s="528"/>
      <c r="E7" s="169"/>
      <c r="F7" s="170"/>
    </row>
    <row r="8" spans="2:6" ht="24.75" customHeight="1" x14ac:dyDescent="0.25">
      <c r="B8" s="146">
        <v>4</v>
      </c>
      <c r="C8" s="528" t="s">
        <v>277</v>
      </c>
      <c r="D8" s="528"/>
      <c r="E8" s="169"/>
      <c r="F8" s="170"/>
    </row>
    <row r="9" spans="2:6" ht="23.25" customHeight="1" x14ac:dyDescent="0.25">
      <c r="B9" s="146">
        <v>5</v>
      </c>
      <c r="C9" s="528" t="s">
        <v>278</v>
      </c>
      <c r="D9" s="528"/>
      <c r="E9" s="169"/>
      <c r="F9" s="170"/>
    </row>
    <row r="10" spans="2:6" ht="23.25" customHeight="1" x14ac:dyDescent="0.25">
      <c r="B10" s="146">
        <v>6</v>
      </c>
      <c r="C10" s="528" t="s">
        <v>279</v>
      </c>
      <c r="D10" s="528"/>
      <c r="E10" s="169"/>
      <c r="F10" s="170"/>
    </row>
    <row r="11" spans="2:6" ht="23.25" customHeight="1" x14ac:dyDescent="0.25">
      <c r="B11" s="146">
        <v>7</v>
      </c>
      <c r="C11" s="528" t="s">
        <v>280</v>
      </c>
      <c r="D11" s="528"/>
      <c r="E11" s="169"/>
      <c r="F11" s="170"/>
    </row>
    <row r="12" spans="2:6" ht="25.5" customHeight="1" x14ac:dyDescent="0.25">
      <c r="B12" s="146">
        <v>8</v>
      </c>
      <c r="C12" s="528" t="s">
        <v>281</v>
      </c>
      <c r="D12" s="528"/>
      <c r="E12" s="147"/>
      <c r="F12" s="148"/>
    </row>
    <row r="13" spans="2:6" ht="23.25" customHeight="1" x14ac:dyDescent="0.25">
      <c r="B13" s="146">
        <v>9</v>
      </c>
      <c r="C13" s="528" t="s">
        <v>282</v>
      </c>
      <c r="D13" s="528"/>
      <c r="E13" s="147"/>
      <c r="F13" s="148"/>
    </row>
    <row r="14" spans="2:6" ht="23.25" customHeight="1" x14ac:dyDescent="0.25">
      <c r="B14" s="146">
        <v>10</v>
      </c>
      <c r="C14" s="528" t="s">
        <v>283</v>
      </c>
      <c r="D14" s="528"/>
      <c r="E14" s="147"/>
      <c r="F14" s="148"/>
    </row>
    <row r="15" spans="2:6" ht="23.25" customHeight="1" x14ac:dyDescent="0.25">
      <c r="B15" s="146">
        <v>11</v>
      </c>
      <c r="C15" s="528" t="s">
        <v>284</v>
      </c>
      <c r="D15" s="528"/>
      <c r="E15" s="147"/>
      <c r="F15" s="148"/>
    </row>
    <row r="16" spans="2:6" ht="23.25" customHeight="1" x14ac:dyDescent="0.25">
      <c r="B16" s="146">
        <v>12</v>
      </c>
      <c r="C16" s="528" t="s">
        <v>285</v>
      </c>
      <c r="D16" s="528"/>
      <c r="E16" s="147"/>
      <c r="F16" s="148"/>
    </row>
    <row r="17" spans="2:6" ht="23.25" customHeight="1" x14ac:dyDescent="0.25">
      <c r="B17" s="146">
        <v>13</v>
      </c>
      <c r="C17" s="528" t="s">
        <v>286</v>
      </c>
      <c r="D17" s="528"/>
      <c r="E17" s="147"/>
      <c r="F17" s="148"/>
    </row>
    <row r="18" spans="2:6" ht="23.25" customHeight="1" x14ac:dyDescent="0.25">
      <c r="B18" s="146">
        <v>14</v>
      </c>
      <c r="C18" s="528" t="s">
        <v>287</v>
      </c>
      <c r="D18" s="528"/>
      <c r="E18" s="147"/>
      <c r="F18" s="148"/>
    </row>
    <row r="19" spans="2:6" ht="23.25" customHeight="1" x14ac:dyDescent="0.25">
      <c r="B19" s="146">
        <v>15</v>
      </c>
      <c r="C19" s="528" t="s">
        <v>288</v>
      </c>
      <c r="D19" s="528"/>
      <c r="E19" s="147"/>
      <c r="F19" s="148"/>
    </row>
    <row r="20" spans="2:6" ht="23.25" customHeight="1" x14ac:dyDescent="0.25">
      <c r="B20" s="146">
        <v>16</v>
      </c>
      <c r="C20" s="528" t="s">
        <v>289</v>
      </c>
      <c r="D20" s="528"/>
      <c r="E20" s="147"/>
      <c r="F20" s="148"/>
    </row>
    <row r="21" spans="2:6" ht="23.25" customHeight="1" x14ac:dyDescent="0.25">
      <c r="B21" s="146">
        <v>17</v>
      </c>
      <c r="C21" s="528" t="s">
        <v>290</v>
      </c>
      <c r="D21" s="528"/>
      <c r="E21" s="147"/>
      <c r="F21" s="148"/>
    </row>
    <row r="22" spans="2:6" ht="23.25" customHeight="1" x14ac:dyDescent="0.25">
      <c r="B22" s="146">
        <v>18</v>
      </c>
      <c r="C22" s="529" t="s">
        <v>291</v>
      </c>
      <c r="D22" s="529"/>
      <c r="E22" s="147"/>
      <c r="F22" s="148"/>
    </row>
    <row r="23" spans="2:6" ht="23.25" customHeight="1" thickBot="1" x14ac:dyDescent="0.3">
      <c r="B23" s="146">
        <v>19</v>
      </c>
      <c r="C23" s="528" t="s">
        <v>292</v>
      </c>
      <c r="D23" s="528"/>
      <c r="E23" s="147"/>
      <c r="F23" s="148"/>
    </row>
    <row r="24" spans="2:6" ht="15.75" customHeight="1" thickBot="1" x14ac:dyDescent="0.3">
      <c r="B24" s="530" t="s">
        <v>293</v>
      </c>
      <c r="C24" s="524"/>
      <c r="D24" s="524"/>
      <c r="E24" s="524">
        <f>COUNTIF(E5:E23,"X")</f>
        <v>0</v>
      </c>
      <c r="F24" s="525"/>
    </row>
    <row r="25" spans="2:6" ht="45.75" customHeight="1" x14ac:dyDescent="0.25">
      <c r="B25" s="526" t="s">
        <v>294</v>
      </c>
      <c r="C25" s="526"/>
      <c r="D25" s="526"/>
      <c r="E25" s="526"/>
      <c r="F25" s="526"/>
    </row>
    <row r="26" spans="2:6" ht="9.75" customHeight="1" x14ac:dyDescent="0.25">
      <c r="B26" s="527"/>
      <c r="C26" s="527"/>
      <c r="D26" s="527"/>
      <c r="E26" s="527"/>
      <c r="F26" s="527"/>
    </row>
    <row r="27" spans="2:6" x14ac:dyDescent="0.25">
      <c r="B27" s="236"/>
    </row>
    <row r="28" spans="2:6" x14ac:dyDescent="0.25">
      <c r="B28" s="236"/>
    </row>
    <row r="29" spans="2:6" x14ac:dyDescent="0.25">
      <c r="B29" s="236"/>
    </row>
  </sheetData>
  <mergeCells count="27">
    <mergeCell ref="C6:D6"/>
    <mergeCell ref="B2:F2"/>
    <mergeCell ref="B3:B4"/>
    <mergeCell ref="C3:D4"/>
    <mergeCell ref="E3:F3"/>
    <mergeCell ref="C5:D5"/>
    <mergeCell ref="C18:D18"/>
    <mergeCell ref="C7:D7"/>
    <mergeCell ref="C8:D8"/>
    <mergeCell ref="C9:D9"/>
    <mergeCell ref="C10:D10"/>
    <mergeCell ref="C11:D11"/>
    <mergeCell ref="C12:D12"/>
    <mergeCell ref="C13:D13"/>
    <mergeCell ref="C14:D14"/>
    <mergeCell ref="C15:D15"/>
    <mergeCell ref="C16:D16"/>
    <mergeCell ref="C17:D17"/>
    <mergeCell ref="E24:F24"/>
    <mergeCell ref="B25:F25"/>
    <mergeCell ref="B26:F26"/>
    <mergeCell ref="C19:D19"/>
    <mergeCell ref="C20:D20"/>
    <mergeCell ref="C21:D21"/>
    <mergeCell ref="C22:D22"/>
    <mergeCell ref="C23:D23"/>
    <mergeCell ref="B24:D24"/>
  </mergeCells>
  <dataValidations count="1">
    <dataValidation type="list" allowBlank="1" showInputMessage="1" showErrorMessage="1" sqref="E5:F23" xr:uid="{00000000-0002-0000-0800-000000000000}">
      <formula1>"X"</formula1>
    </dataValidation>
  </dataValidations>
  <printOptions horizontalCentered="1"/>
  <pageMargins left="0.25" right="0.25" top="0.75" bottom="0.75" header="0.3" footer="0.3"/>
  <pageSetup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11E0E-4360-4EE4-8FCE-3C26F04C9F2C}">
  <sheetPr>
    <tabColor rgb="FF002060"/>
  </sheetPr>
  <dimension ref="A1:JP75"/>
  <sheetViews>
    <sheetView tabSelected="1" topLeftCell="B23" zoomScale="20" zoomScaleNormal="20" zoomScaleSheetLayoutView="50" zoomScalePageLayoutView="60" workbookViewId="0">
      <selection activeCell="AP47" sqref="AP47"/>
    </sheetView>
  </sheetViews>
  <sheetFormatPr baseColWidth="10" defaultColWidth="11.42578125" defaultRowHeight="15" x14ac:dyDescent="0.2"/>
  <cols>
    <col min="1" max="1" width="6.5703125" style="207" customWidth="1"/>
    <col min="2" max="2" width="16" style="207" customWidth="1"/>
    <col min="3" max="3" width="19.140625" style="207" customWidth="1"/>
    <col min="4" max="4" width="44.7109375" style="207" customWidth="1"/>
    <col min="5" max="5" width="57.85546875" style="207" customWidth="1"/>
    <col min="6" max="10" width="17.7109375" style="187" customWidth="1"/>
    <col min="11" max="11" width="16" style="187" customWidth="1"/>
    <col min="12" max="12" width="24.28515625" style="187" customWidth="1"/>
    <col min="13" max="14" width="29.42578125" style="187" customWidth="1"/>
    <col min="15" max="15" width="24.28515625" style="187" customWidth="1"/>
    <col min="16" max="16" width="19.42578125" style="187" customWidth="1"/>
    <col min="17" max="17" width="20.5703125" style="187" customWidth="1"/>
    <col min="18" max="18" width="16.7109375" style="208" customWidth="1"/>
    <col min="19" max="19" width="16.7109375" style="187" customWidth="1"/>
    <col min="20" max="20" width="20.42578125" style="187" customWidth="1"/>
    <col min="21" max="21" width="25.140625" style="187" customWidth="1"/>
    <col min="22" max="22" width="35.85546875" style="187" customWidth="1"/>
    <col min="23" max="23" width="12.85546875" style="187" bestFit="1" customWidth="1"/>
    <col min="24" max="24" width="17.5703125" style="187" customWidth="1"/>
    <col min="25" max="25" width="15" style="187" customWidth="1"/>
    <col min="26" max="26" width="16" style="187" customWidth="1"/>
    <col min="27" max="27" width="64" style="187" customWidth="1"/>
    <col min="28" max="28" width="26.85546875" style="187" customWidth="1"/>
    <col min="29" max="29" width="5.85546875" style="187" customWidth="1"/>
    <col min="30" max="30" width="6.85546875" style="187" customWidth="1"/>
    <col min="31" max="31" width="5" style="187" customWidth="1"/>
    <col min="32" max="32" width="5.5703125" style="187" customWidth="1"/>
    <col min="33" max="33" width="7.140625" style="187" customWidth="1"/>
    <col min="34" max="34" width="6.7109375" style="187" customWidth="1"/>
    <col min="35" max="35" width="25.7109375" style="187" customWidth="1"/>
    <col min="36" max="36" width="8.5703125" style="187" customWidth="1"/>
    <col min="37" max="41" width="10.85546875" style="187" customWidth="1"/>
    <col min="42" max="42" width="25.42578125" style="206" customWidth="1"/>
    <col min="43" max="43" width="20.28515625" style="206" customWidth="1"/>
    <col min="44" max="44" width="18.85546875" style="206" customWidth="1"/>
    <col min="45" max="45" width="21.5703125" style="206" customWidth="1"/>
    <col min="46" max="46" width="22.42578125" style="187" customWidth="1"/>
    <col min="47" max="47" width="16.42578125" style="206" customWidth="1"/>
    <col min="48" max="48" width="20.5703125" style="206" customWidth="1"/>
    <col min="49" max="16384" width="11.42578125" style="187"/>
  </cols>
  <sheetData>
    <row r="1" spans="1:276" s="190" customFormat="1" ht="20.25" x14ac:dyDescent="0.3">
      <c r="A1" s="330"/>
      <c r="B1" s="331"/>
      <c r="C1" s="332"/>
      <c r="D1" s="319" t="s">
        <v>194</v>
      </c>
      <c r="E1" s="320"/>
      <c r="F1" s="320"/>
      <c r="G1" s="320"/>
      <c r="H1" s="320"/>
      <c r="I1" s="320"/>
      <c r="J1" s="320"/>
      <c r="K1" s="320"/>
      <c r="L1" s="320"/>
      <c r="M1" s="320"/>
      <c r="N1" s="320"/>
      <c r="O1" s="320"/>
      <c r="P1" s="320"/>
      <c r="Q1" s="320"/>
      <c r="R1" s="320"/>
      <c r="S1" s="320"/>
      <c r="T1" s="321"/>
      <c r="U1" s="241"/>
      <c r="V1" s="241"/>
      <c r="W1" s="241"/>
      <c r="X1" s="346"/>
      <c r="Y1" s="346"/>
      <c r="Z1" s="346"/>
      <c r="AA1" s="346"/>
      <c r="AB1" s="346"/>
      <c r="AC1" s="346"/>
      <c r="AD1" s="346"/>
      <c r="AE1" s="346"/>
      <c r="AF1" s="346"/>
      <c r="AG1" s="346"/>
      <c r="AH1" s="346"/>
      <c r="AI1" s="346"/>
      <c r="AJ1" s="346"/>
      <c r="AK1" s="346"/>
      <c r="AL1" s="346"/>
      <c r="AM1" s="346"/>
      <c r="AN1" s="346"/>
      <c r="AO1" s="346"/>
      <c r="AP1" s="346"/>
      <c r="AQ1" s="346"/>
      <c r="AR1" s="346"/>
      <c r="AS1" s="252"/>
      <c r="AT1" s="189"/>
      <c r="AU1" s="252"/>
      <c r="AV1" s="252"/>
      <c r="AW1" s="189"/>
      <c r="AX1" s="189"/>
      <c r="AY1" s="189"/>
      <c r="AZ1" s="189"/>
      <c r="BA1" s="189"/>
      <c r="BB1" s="189"/>
      <c r="BC1" s="189"/>
      <c r="BD1" s="189"/>
      <c r="BE1" s="189"/>
      <c r="BF1" s="189"/>
      <c r="BG1" s="189"/>
      <c r="BH1" s="189"/>
      <c r="BI1" s="189"/>
      <c r="BJ1" s="189"/>
      <c r="BK1" s="189"/>
      <c r="BL1" s="189"/>
      <c r="BM1" s="189"/>
      <c r="BN1" s="189"/>
      <c r="BO1" s="189"/>
      <c r="BP1" s="189"/>
    </row>
    <row r="2" spans="1:276" s="190" customFormat="1" ht="21" thickBot="1" x14ac:dyDescent="0.35">
      <c r="A2" s="333"/>
      <c r="B2" s="334"/>
      <c r="C2" s="335"/>
      <c r="D2" s="322"/>
      <c r="E2" s="323"/>
      <c r="F2" s="323"/>
      <c r="G2" s="323"/>
      <c r="H2" s="323"/>
      <c r="I2" s="323"/>
      <c r="J2" s="323"/>
      <c r="K2" s="323"/>
      <c r="L2" s="323"/>
      <c r="M2" s="323"/>
      <c r="N2" s="323"/>
      <c r="O2" s="323"/>
      <c r="P2" s="323"/>
      <c r="Q2" s="323"/>
      <c r="R2" s="323"/>
      <c r="S2" s="323"/>
      <c r="T2" s="324"/>
      <c r="U2" s="241"/>
      <c r="V2" s="241"/>
      <c r="W2" s="241"/>
      <c r="X2" s="346"/>
      <c r="Y2" s="346"/>
      <c r="Z2" s="346"/>
      <c r="AA2" s="346"/>
      <c r="AB2" s="346"/>
      <c r="AC2" s="346"/>
      <c r="AD2" s="346"/>
      <c r="AE2" s="346"/>
      <c r="AF2" s="346"/>
      <c r="AG2" s="346"/>
      <c r="AH2" s="346"/>
      <c r="AI2" s="346"/>
      <c r="AJ2" s="346"/>
      <c r="AK2" s="346"/>
      <c r="AL2" s="346"/>
      <c r="AM2" s="346"/>
      <c r="AN2" s="346"/>
      <c r="AO2" s="346"/>
      <c r="AP2" s="346"/>
      <c r="AQ2" s="346"/>
      <c r="AR2" s="346"/>
      <c r="AS2" s="252"/>
      <c r="AT2" s="189"/>
      <c r="AU2" s="252"/>
      <c r="AV2" s="252"/>
      <c r="AW2" s="189"/>
      <c r="AX2" s="189"/>
      <c r="AY2" s="189"/>
      <c r="AZ2" s="189"/>
      <c r="BA2" s="189"/>
      <c r="BB2" s="189"/>
      <c r="BC2" s="189"/>
      <c r="BD2" s="189"/>
      <c r="BE2" s="189"/>
      <c r="BF2" s="189"/>
      <c r="BG2" s="189"/>
      <c r="BH2" s="189"/>
      <c r="BI2" s="189"/>
      <c r="BJ2" s="189"/>
      <c r="BK2" s="189"/>
      <c r="BL2" s="189"/>
      <c r="BM2" s="189"/>
      <c r="BN2" s="189"/>
      <c r="BO2" s="189"/>
      <c r="BP2" s="189"/>
    </row>
    <row r="3" spans="1:276" s="190" customFormat="1" ht="27.75" customHeight="1" thickBot="1" x14ac:dyDescent="0.35">
      <c r="A3" s="333"/>
      <c r="B3" s="334"/>
      <c r="C3" s="335"/>
      <c r="D3" s="325" t="s">
        <v>195</v>
      </c>
      <c r="E3" s="326"/>
      <c r="F3" s="326"/>
      <c r="G3" s="326"/>
      <c r="H3" s="326"/>
      <c r="I3" s="327"/>
      <c r="J3" s="325"/>
      <c r="K3" s="326"/>
      <c r="L3" s="326"/>
      <c r="M3" s="326"/>
      <c r="N3" s="326"/>
      <c r="O3" s="326"/>
      <c r="P3" s="326"/>
      <c r="Q3" s="326"/>
      <c r="R3" s="326"/>
      <c r="S3" s="326" t="s">
        <v>196</v>
      </c>
      <c r="T3" s="327"/>
      <c r="U3" s="242"/>
      <c r="V3" s="242"/>
      <c r="W3" s="241"/>
      <c r="X3" s="347"/>
      <c r="Y3" s="347"/>
      <c r="Z3" s="347"/>
      <c r="AA3" s="347"/>
      <c r="AB3" s="347"/>
      <c r="AC3" s="347"/>
      <c r="AD3" s="347"/>
      <c r="AE3" s="347"/>
      <c r="AF3" s="347"/>
      <c r="AG3" s="347"/>
      <c r="AH3" s="347"/>
      <c r="AI3" s="347"/>
      <c r="AJ3" s="347"/>
      <c r="AK3" s="347"/>
      <c r="AL3" s="347"/>
      <c r="AM3" s="347"/>
      <c r="AN3" s="347"/>
      <c r="AO3" s="347"/>
      <c r="AP3" s="347"/>
      <c r="AQ3" s="347"/>
      <c r="AR3" s="347"/>
      <c r="AS3" s="252"/>
      <c r="AT3" s="189"/>
      <c r="AU3" s="252"/>
      <c r="AV3" s="252"/>
      <c r="AW3" s="189"/>
      <c r="AX3" s="189"/>
      <c r="AY3" s="189"/>
      <c r="AZ3" s="189"/>
      <c r="BA3" s="189"/>
      <c r="BB3" s="189"/>
      <c r="BC3" s="189"/>
      <c r="BD3" s="189"/>
      <c r="BE3" s="189"/>
      <c r="BF3" s="189"/>
      <c r="BG3" s="189"/>
      <c r="BH3" s="189"/>
      <c r="BI3" s="189"/>
      <c r="BJ3" s="189"/>
      <c r="BK3" s="189"/>
      <c r="BL3" s="189"/>
      <c r="BM3" s="189"/>
      <c r="BN3" s="189"/>
      <c r="BO3" s="189"/>
      <c r="BP3" s="189"/>
    </row>
    <row r="4" spans="1:276" s="190" customFormat="1" ht="21" thickBot="1" x14ac:dyDescent="0.35">
      <c r="A4" s="336"/>
      <c r="B4" s="337"/>
      <c r="C4" s="338"/>
      <c r="D4" s="325" t="s">
        <v>408</v>
      </c>
      <c r="E4" s="326"/>
      <c r="F4" s="326"/>
      <c r="G4" s="326"/>
      <c r="H4" s="326"/>
      <c r="I4" s="326"/>
      <c r="J4" s="326"/>
      <c r="K4" s="326"/>
      <c r="L4" s="326"/>
      <c r="M4" s="326"/>
      <c r="N4" s="326"/>
      <c r="O4" s="326"/>
      <c r="P4" s="326"/>
      <c r="Q4" s="326"/>
      <c r="R4" s="326"/>
      <c r="S4" s="326"/>
      <c r="T4" s="327"/>
      <c r="U4" s="241"/>
      <c r="V4" s="241"/>
      <c r="W4" s="241"/>
      <c r="X4" s="347"/>
      <c r="Y4" s="347"/>
      <c r="Z4" s="347"/>
      <c r="AA4" s="347"/>
      <c r="AB4" s="347"/>
      <c r="AC4" s="347"/>
      <c r="AD4" s="347"/>
      <c r="AE4" s="347"/>
      <c r="AF4" s="347"/>
      <c r="AG4" s="347"/>
      <c r="AH4" s="347"/>
      <c r="AI4" s="347"/>
      <c r="AJ4" s="347"/>
      <c r="AK4" s="347"/>
      <c r="AL4" s="347"/>
      <c r="AM4" s="347"/>
      <c r="AN4" s="347"/>
      <c r="AO4" s="347"/>
      <c r="AP4" s="347"/>
      <c r="AQ4" s="347"/>
      <c r="AR4" s="347"/>
      <c r="AS4" s="252"/>
      <c r="AT4" s="189"/>
      <c r="AU4" s="252"/>
      <c r="AV4" s="252"/>
      <c r="AW4" s="189"/>
      <c r="AX4" s="189"/>
      <c r="AY4" s="189"/>
      <c r="AZ4" s="189"/>
      <c r="BA4" s="189"/>
      <c r="BB4" s="189"/>
      <c r="BC4" s="189"/>
      <c r="BD4" s="189"/>
      <c r="BE4" s="189"/>
      <c r="BF4" s="189"/>
      <c r="BG4" s="189"/>
      <c r="BH4" s="189"/>
      <c r="BI4" s="189"/>
      <c r="BJ4" s="189"/>
      <c r="BK4" s="189"/>
      <c r="BL4" s="189"/>
      <c r="BM4" s="189"/>
      <c r="BN4" s="189"/>
      <c r="BO4" s="189"/>
      <c r="BP4" s="189"/>
    </row>
    <row r="5" spans="1:276" ht="15.75" thickBot="1" x14ac:dyDescent="0.25">
      <c r="A5" s="191"/>
      <c r="B5" s="192"/>
      <c r="C5" s="191"/>
      <c r="D5" s="191"/>
      <c r="E5" s="191"/>
      <c r="F5" s="193"/>
      <c r="G5" s="193"/>
      <c r="H5" s="193"/>
      <c r="I5" s="193"/>
      <c r="J5" s="193"/>
      <c r="K5" s="193"/>
      <c r="L5" s="193"/>
      <c r="M5" s="193"/>
      <c r="N5" s="194"/>
      <c r="O5" s="193"/>
      <c r="P5" s="193"/>
      <c r="Q5" s="193"/>
      <c r="R5" s="193"/>
      <c r="S5" s="193"/>
      <c r="T5" s="193"/>
      <c r="U5" s="193"/>
      <c r="V5" s="193"/>
      <c r="W5" s="193"/>
      <c r="X5" s="193"/>
      <c r="Y5" s="193"/>
      <c r="Z5" s="193"/>
      <c r="AA5" s="193"/>
      <c r="AB5" s="193"/>
      <c r="AC5" s="193"/>
      <c r="AD5" s="193"/>
      <c r="AE5" s="193"/>
      <c r="AF5" s="193"/>
      <c r="AG5" s="193"/>
      <c r="AH5" s="193"/>
      <c r="AI5" s="193"/>
      <c r="AJ5" s="193"/>
      <c r="AK5" s="193"/>
      <c r="AL5" s="243"/>
      <c r="AM5" s="193"/>
      <c r="AN5" s="193"/>
      <c r="AO5" s="193"/>
      <c r="AP5" s="193"/>
      <c r="AQ5" s="243"/>
      <c r="AR5" s="243"/>
      <c r="AS5" s="243"/>
      <c r="AT5" s="193"/>
      <c r="AU5" s="243"/>
      <c r="AV5" s="243"/>
      <c r="AW5" s="193"/>
      <c r="AX5" s="193"/>
      <c r="AY5" s="193"/>
      <c r="AZ5" s="193"/>
      <c r="BA5" s="193"/>
      <c r="BB5" s="193"/>
      <c r="BC5" s="193"/>
      <c r="BD5" s="193"/>
      <c r="BE5" s="193"/>
      <c r="BF5" s="193"/>
      <c r="BG5" s="193"/>
      <c r="BH5" s="193"/>
      <c r="BI5" s="193"/>
      <c r="BJ5" s="193"/>
      <c r="BK5" s="193"/>
      <c r="BL5" s="193"/>
      <c r="BM5" s="193"/>
      <c r="BN5" s="193"/>
      <c r="BO5" s="193"/>
      <c r="BP5" s="193"/>
    </row>
    <row r="6" spans="1:276" ht="17.25" thickBot="1" x14ac:dyDescent="0.25">
      <c r="A6" s="348" t="s">
        <v>197</v>
      </c>
      <c r="B6" s="349"/>
      <c r="C6" s="355" t="s">
        <v>79</v>
      </c>
      <c r="D6" s="356"/>
      <c r="E6" s="356"/>
      <c r="F6" s="356"/>
      <c r="G6" s="356"/>
      <c r="H6" s="356"/>
      <c r="I6" s="356"/>
      <c r="J6" s="356"/>
      <c r="K6" s="356"/>
      <c r="L6" s="356"/>
      <c r="M6" s="356"/>
      <c r="N6" s="356"/>
      <c r="O6" s="356"/>
      <c r="P6" s="356"/>
      <c r="Q6" s="356"/>
      <c r="R6" s="356"/>
      <c r="S6" s="356"/>
      <c r="T6" s="357"/>
      <c r="U6" s="244"/>
      <c r="V6" s="244"/>
      <c r="W6" s="354"/>
      <c r="X6" s="354"/>
      <c r="Y6" s="354"/>
      <c r="Z6" s="345"/>
      <c r="AA6" s="345"/>
      <c r="AB6" s="345"/>
      <c r="AC6" s="345"/>
      <c r="AD6" s="345"/>
      <c r="AE6" s="345"/>
      <c r="AF6" s="345"/>
      <c r="AG6" s="345"/>
      <c r="AH6" s="345"/>
      <c r="AI6" s="345"/>
      <c r="AJ6" s="345"/>
      <c r="AK6" s="345"/>
      <c r="AL6" s="345"/>
      <c r="AM6" s="345"/>
      <c r="AN6" s="345"/>
      <c r="AO6" s="345"/>
      <c r="AP6" s="345"/>
      <c r="AQ6" s="345"/>
      <c r="AR6" s="345"/>
      <c r="AS6" s="243"/>
      <c r="AT6" s="193"/>
      <c r="AU6" s="243"/>
      <c r="AV6" s="243"/>
      <c r="AW6" s="193"/>
      <c r="AX6" s="193"/>
      <c r="AY6" s="193"/>
      <c r="AZ6" s="193"/>
      <c r="BA6" s="193"/>
      <c r="BB6" s="193"/>
      <c r="BC6" s="193"/>
      <c r="BD6" s="193"/>
      <c r="BE6" s="193"/>
      <c r="BF6" s="193"/>
      <c r="BG6" s="193"/>
      <c r="BH6" s="193"/>
      <c r="BI6" s="193"/>
      <c r="BJ6" s="193"/>
      <c r="BK6" s="193"/>
      <c r="BL6" s="193"/>
      <c r="BM6" s="193"/>
      <c r="BN6" s="193"/>
      <c r="BO6" s="193"/>
      <c r="BP6" s="193"/>
    </row>
    <row r="7" spans="1:276" ht="16.5" thickBot="1" x14ac:dyDescent="0.3">
      <c r="A7" s="350" t="s">
        <v>198</v>
      </c>
      <c r="B7" s="351"/>
      <c r="C7" s="316" t="s">
        <v>562</v>
      </c>
      <c r="D7" s="317"/>
      <c r="E7" s="317"/>
      <c r="F7" s="317"/>
      <c r="G7" s="317"/>
      <c r="H7" s="317"/>
      <c r="I7" s="317"/>
      <c r="J7" s="317"/>
      <c r="K7" s="317"/>
      <c r="L7" s="317"/>
      <c r="M7" s="317"/>
      <c r="N7" s="317"/>
      <c r="O7" s="317"/>
      <c r="P7" s="317"/>
      <c r="Q7" s="317"/>
      <c r="R7" s="317"/>
      <c r="S7" s="317"/>
      <c r="T7" s="318"/>
      <c r="U7" s="245"/>
      <c r="V7" s="245"/>
      <c r="W7" s="246"/>
      <c r="X7" s="246"/>
      <c r="Y7" s="246"/>
      <c r="Z7" s="345"/>
      <c r="AA7" s="345"/>
      <c r="AB7" s="345"/>
      <c r="AC7" s="345"/>
      <c r="AD7" s="345"/>
      <c r="AE7" s="345"/>
      <c r="AF7" s="345"/>
      <c r="AG7" s="345"/>
      <c r="AH7" s="345"/>
      <c r="AI7" s="345"/>
      <c r="AJ7" s="345"/>
      <c r="AK7" s="345"/>
      <c r="AL7" s="345"/>
      <c r="AM7" s="345"/>
      <c r="AN7" s="345"/>
      <c r="AO7" s="345"/>
      <c r="AP7" s="345"/>
      <c r="AQ7" s="345"/>
      <c r="AR7" s="345"/>
      <c r="AS7" s="243"/>
      <c r="AT7" s="193"/>
      <c r="AU7" s="243"/>
      <c r="AV7" s="243"/>
      <c r="AW7" s="193"/>
      <c r="AX7" s="193"/>
      <c r="AY7" s="193"/>
      <c r="AZ7" s="193"/>
      <c r="BA7" s="193"/>
      <c r="BB7" s="193"/>
      <c r="BC7" s="193"/>
      <c r="BD7" s="193"/>
      <c r="BE7" s="193"/>
      <c r="BF7" s="193"/>
      <c r="BG7" s="193"/>
      <c r="BH7" s="193"/>
      <c r="BI7" s="193"/>
      <c r="BJ7" s="193"/>
      <c r="BK7" s="193"/>
      <c r="BL7" s="193"/>
      <c r="BM7" s="193"/>
      <c r="BN7" s="193"/>
      <c r="BO7" s="193"/>
      <c r="BP7" s="193"/>
    </row>
    <row r="8" spans="1:276" ht="16.5" thickBot="1" x14ac:dyDescent="0.3">
      <c r="A8" s="352" t="s">
        <v>199</v>
      </c>
      <c r="B8" s="353"/>
      <c r="C8" s="316" t="s">
        <v>563</v>
      </c>
      <c r="D8" s="317"/>
      <c r="E8" s="317"/>
      <c r="F8" s="317"/>
      <c r="G8" s="317"/>
      <c r="H8" s="317"/>
      <c r="I8" s="317"/>
      <c r="J8" s="317"/>
      <c r="K8" s="317"/>
      <c r="L8" s="317"/>
      <c r="M8" s="317"/>
      <c r="N8" s="317"/>
      <c r="O8" s="317"/>
      <c r="P8" s="317"/>
      <c r="Q8" s="317"/>
      <c r="R8" s="317"/>
      <c r="S8" s="317"/>
      <c r="T8" s="318"/>
      <c r="U8" s="245"/>
      <c r="V8" s="245"/>
      <c r="W8" s="246"/>
      <c r="X8" s="246"/>
      <c r="Y8" s="246"/>
      <c r="Z8" s="345"/>
      <c r="AA8" s="345"/>
      <c r="AB8" s="345"/>
      <c r="AC8" s="345"/>
      <c r="AD8" s="345"/>
      <c r="AE8" s="345"/>
      <c r="AF8" s="345"/>
      <c r="AG8" s="345"/>
      <c r="AH8" s="345"/>
      <c r="AI8" s="345"/>
      <c r="AJ8" s="345"/>
      <c r="AK8" s="345"/>
      <c r="AL8" s="345"/>
      <c r="AM8" s="345"/>
      <c r="AN8" s="345"/>
      <c r="AO8" s="345"/>
      <c r="AP8" s="345"/>
      <c r="AQ8" s="345"/>
      <c r="AR8" s="345"/>
      <c r="AS8" s="243"/>
      <c r="AT8" s="193"/>
      <c r="AU8" s="243"/>
      <c r="AV8" s="243"/>
      <c r="AW8" s="193"/>
      <c r="AX8" s="193"/>
      <c r="AY8" s="193"/>
      <c r="AZ8" s="193"/>
      <c r="BA8" s="193"/>
      <c r="BB8" s="193"/>
      <c r="BC8" s="193"/>
      <c r="BD8" s="193"/>
      <c r="BE8" s="193"/>
      <c r="BF8" s="193"/>
      <c r="BG8" s="193"/>
      <c r="BH8" s="193"/>
      <c r="BI8" s="193"/>
      <c r="BJ8" s="193"/>
      <c r="BK8" s="193"/>
      <c r="BL8" s="193"/>
      <c r="BM8" s="193"/>
      <c r="BN8" s="193"/>
      <c r="BO8" s="193"/>
      <c r="BP8" s="193"/>
    </row>
    <row r="9" spans="1:276" ht="15.75" x14ac:dyDescent="0.25">
      <c r="A9" s="195"/>
      <c r="B9" s="195"/>
      <c r="C9" s="196"/>
      <c r="D9" s="196"/>
      <c r="E9" s="196"/>
      <c r="F9" s="196"/>
      <c r="G9" s="196"/>
      <c r="H9" s="196"/>
      <c r="I9" s="196"/>
      <c r="J9" s="196"/>
      <c r="K9" s="196"/>
      <c r="L9" s="196"/>
      <c r="M9" s="196"/>
      <c r="N9" s="196"/>
      <c r="O9" s="196"/>
      <c r="P9" s="196"/>
      <c r="Q9" s="196"/>
      <c r="R9" s="196"/>
      <c r="S9" s="196"/>
      <c r="T9" s="196"/>
      <c r="U9" s="196"/>
      <c r="V9" s="196"/>
      <c r="W9" s="197"/>
      <c r="X9" s="197"/>
      <c r="Y9" s="197"/>
      <c r="Z9" s="198"/>
      <c r="AA9" s="198"/>
      <c r="AB9" s="198"/>
      <c r="AC9" s="198"/>
      <c r="AD9" s="198"/>
      <c r="AE9" s="198"/>
      <c r="AF9" s="198"/>
      <c r="AG9" s="198"/>
      <c r="AH9" s="198"/>
      <c r="AI9" s="198"/>
      <c r="AJ9" s="198"/>
      <c r="AK9" s="198"/>
      <c r="AL9" s="198"/>
      <c r="AM9" s="198"/>
      <c r="AN9" s="198"/>
      <c r="AO9" s="198"/>
      <c r="AP9" s="198"/>
      <c r="AQ9" s="198"/>
      <c r="AR9" s="198"/>
    </row>
    <row r="10" spans="1:276" ht="15.75" x14ac:dyDescent="0.2">
      <c r="A10" s="360" t="s">
        <v>200</v>
      </c>
      <c r="B10" s="361"/>
      <c r="C10" s="361"/>
      <c r="D10" s="361"/>
      <c r="E10" s="361"/>
      <c r="F10" s="361"/>
      <c r="G10" s="361"/>
      <c r="H10" s="361"/>
      <c r="I10" s="361"/>
      <c r="J10" s="362"/>
      <c r="K10" s="377" t="s">
        <v>201</v>
      </c>
      <c r="L10" s="378"/>
      <c r="M10" s="378"/>
      <c r="N10" s="378"/>
      <c r="O10" s="379"/>
      <c r="P10" s="540" t="s">
        <v>202</v>
      </c>
      <c r="Q10" s="541"/>
      <c r="R10" s="213"/>
      <c r="S10" s="213"/>
      <c r="T10" s="388" t="s">
        <v>203</v>
      </c>
      <c r="U10" s="388"/>
      <c r="V10" s="388"/>
      <c r="W10" s="388"/>
      <c r="X10" s="388"/>
      <c r="Y10" s="388"/>
      <c r="Z10" s="388"/>
      <c r="AA10" s="388" t="s">
        <v>204</v>
      </c>
      <c r="AB10" s="388"/>
      <c r="AC10" s="388"/>
      <c r="AD10" s="388"/>
      <c r="AE10" s="388"/>
      <c r="AF10" s="388"/>
      <c r="AG10" s="388"/>
      <c r="AH10" s="388"/>
      <c r="AI10" s="388"/>
      <c r="AJ10" s="380" t="s">
        <v>205</v>
      </c>
      <c r="AK10" s="381"/>
      <c r="AL10" s="381"/>
      <c r="AM10" s="381"/>
      <c r="AN10" s="382"/>
      <c r="AO10" s="380" t="s">
        <v>206</v>
      </c>
      <c r="AP10" s="381"/>
      <c r="AQ10" s="381"/>
      <c r="AR10" s="381"/>
      <c r="AS10" s="382"/>
      <c r="AT10" s="380" t="s">
        <v>207</v>
      </c>
      <c r="AU10" s="381"/>
      <c r="AV10" s="382"/>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row>
    <row r="11" spans="1:276" ht="15.75" x14ac:dyDescent="0.2">
      <c r="A11" s="370" t="s">
        <v>208</v>
      </c>
      <c r="B11" s="371" t="s">
        <v>15</v>
      </c>
      <c r="C11" s="364" t="s">
        <v>17</v>
      </c>
      <c r="D11" s="364" t="s">
        <v>19</v>
      </c>
      <c r="E11" s="371" t="s">
        <v>21</v>
      </c>
      <c r="F11" s="364" t="s">
        <v>23</v>
      </c>
      <c r="G11" s="543" t="s">
        <v>295</v>
      </c>
      <c r="H11" s="542" t="s">
        <v>296</v>
      </c>
      <c r="I11" s="542" t="s">
        <v>297</v>
      </c>
      <c r="J11" s="542" t="s">
        <v>298</v>
      </c>
      <c r="K11" s="373" t="s">
        <v>110</v>
      </c>
      <c r="L11" s="373" t="s">
        <v>266</v>
      </c>
      <c r="M11" s="373" t="s">
        <v>210</v>
      </c>
      <c r="N11" s="373" t="s">
        <v>211</v>
      </c>
      <c r="O11" s="373" t="s">
        <v>212</v>
      </c>
      <c r="P11" s="240"/>
      <c r="Q11" s="240"/>
      <c r="R11" s="375" t="s">
        <v>213</v>
      </c>
      <c r="S11" s="375" t="s">
        <v>214</v>
      </c>
      <c r="T11" s="363" t="s">
        <v>215</v>
      </c>
      <c r="U11" s="375" t="s">
        <v>216</v>
      </c>
      <c r="V11" s="375" t="s">
        <v>217</v>
      </c>
      <c r="W11" s="375" t="s">
        <v>218</v>
      </c>
      <c r="X11" s="363" t="s">
        <v>215</v>
      </c>
      <c r="Y11" s="375" t="s">
        <v>29</v>
      </c>
      <c r="Z11" s="376" t="s">
        <v>219</v>
      </c>
      <c r="AA11" s="375" t="s">
        <v>31</v>
      </c>
      <c r="AB11" s="375" t="s">
        <v>33</v>
      </c>
      <c r="AC11" s="375" t="s">
        <v>220</v>
      </c>
      <c r="AD11" s="375"/>
      <c r="AE11" s="375"/>
      <c r="AF11" s="375"/>
      <c r="AG11" s="375"/>
      <c r="AH11" s="375"/>
      <c r="AI11" s="376" t="s">
        <v>221</v>
      </c>
      <c r="AJ11" s="376" t="s">
        <v>222</v>
      </c>
      <c r="AK11" s="376" t="s">
        <v>215</v>
      </c>
      <c r="AL11" s="376" t="s">
        <v>223</v>
      </c>
      <c r="AM11" s="376" t="s">
        <v>215</v>
      </c>
      <c r="AN11" s="376" t="s">
        <v>224</v>
      </c>
      <c r="AO11" s="376" t="s">
        <v>49</v>
      </c>
      <c r="AP11" s="375" t="s">
        <v>225</v>
      </c>
      <c r="AQ11" s="375" t="s">
        <v>226</v>
      </c>
      <c r="AR11" s="375" t="s">
        <v>227</v>
      </c>
      <c r="AS11" s="375" t="s">
        <v>228</v>
      </c>
      <c r="AT11" s="375" t="s">
        <v>229</v>
      </c>
      <c r="AU11" s="375" t="s">
        <v>230</v>
      </c>
      <c r="AV11" s="375" t="s">
        <v>231</v>
      </c>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row>
    <row r="12" spans="1:276" s="202" customFormat="1" ht="73.5" customHeight="1" x14ac:dyDescent="0.25">
      <c r="A12" s="370"/>
      <c r="B12" s="371"/>
      <c r="C12" s="364"/>
      <c r="D12" s="364"/>
      <c r="E12" s="371"/>
      <c r="F12" s="364"/>
      <c r="G12" s="544"/>
      <c r="H12" s="542"/>
      <c r="I12" s="542"/>
      <c r="J12" s="542"/>
      <c r="K12" s="374"/>
      <c r="L12" s="374"/>
      <c r="M12" s="374"/>
      <c r="N12" s="374"/>
      <c r="O12" s="374"/>
      <c r="P12" s="239" t="s">
        <v>411</v>
      </c>
      <c r="Q12" s="239" t="s">
        <v>232</v>
      </c>
      <c r="R12" s="375"/>
      <c r="S12" s="375"/>
      <c r="T12" s="363"/>
      <c r="U12" s="375"/>
      <c r="V12" s="375"/>
      <c r="W12" s="363"/>
      <c r="X12" s="363"/>
      <c r="Y12" s="375"/>
      <c r="Z12" s="376"/>
      <c r="AA12" s="375"/>
      <c r="AB12" s="375"/>
      <c r="AC12" s="199" t="s">
        <v>233</v>
      </c>
      <c r="AD12" s="199" t="s">
        <v>234</v>
      </c>
      <c r="AE12" s="199" t="s">
        <v>235</v>
      </c>
      <c r="AF12" s="199" t="s">
        <v>236</v>
      </c>
      <c r="AG12" s="199" t="s">
        <v>237</v>
      </c>
      <c r="AH12" s="199" t="s">
        <v>238</v>
      </c>
      <c r="AI12" s="376"/>
      <c r="AJ12" s="376"/>
      <c r="AK12" s="376"/>
      <c r="AL12" s="376"/>
      <c r="AM12" s="376"/>
      <c r="AN12" s="376"/>
      <c r="AO12" s="376"/>
      <c r="AP12" s="375"/>
      <c r="AQ12" s="375"/>
      <c r="AR12" s="375"/>
      <c r="AS12" s="375"/>
      <c r="AT12" s="375"/>
      <c r="AU12" s="375"/>
      <c r="AV12" s="375"/>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c r="FU12" s="201"/>
      <c r="FV12" s="201"/>
      <c r="FW12" s="201"/>
      <c r="FX12" s="201"/>
      <c r="FY12" s="201"/>
      <c r="FZ12" s="201"/>
      <c r="GA12" s="201"/>
      <c r="GB12" s="201"/>
      <c r="GC12" s="201"/>
      <c r="GD12" s="201"/>
      <c r="GE12" s="201"/>
      <c r="GF12" s="201"/>
      <c r="GG12" s="201"/>
      <c r="GH12" s="201"/>
      <c r="GI12" s="201"/>
      <c r="GJ12" s="201"/>
      <c r="GK12" s="201"/>
      <c r="GL12" s="201"/>
      <c r="GM12" s="201"/>
      <c r="GN12" s="201"/>
      <c r="GO12" s="201"/>
      <c r="GP12" s="201"/>
      <c r="GQ12" s="201"/>
      <c r="GR12" s="201"/>
      <c r="GS12" s="201"/>
      <c r="GT12" s="201"/>
      <c r="GU12" s="201"/>
      <c r="GV12" s="201"/>
      <c r="GW12" s="201"/>
      <c r="GX12" s="201"/>
      <c r="GY12" s="201"/>
      <c r="GZ12" s="201"/>
      <c r="HA12" s="201"/>
      <c r="HB12" s="201"/>
      <c r="HC12" s="201"/>
      <c r="HD12" s="201"/>
      <c r="HE12" s="201"/>
      <c r="HF12" s="201"/>
      <c r="HG12" s="201"/>
      <c r="HH12" s="201"/>
      <c r="HI12" s="201"/>
      <c r="HJ12" s="201"/>
      <c r="HK12" s="201"/>
      <c r="HL12" s="201"/>
      <c r="HM12" s="201"/>
      <c r="HN12" s="201"/>
      <c r="HO12" s="201"/>
      <c r="HP12" s="201"/>
      <c r="HQ12" s="201"/>
      <c r="HR12" s="201"/>
      <c r="HS12" s="201"/>
      <c r="HT12" s="201"/>
      <c r="HU12" s="201"/>
      <c r="HV12" s="201"/>
      <c r="HW12" s="201"/>
      <c r="HX12" s="201"/>
      <c r="HY12" s="201"/>
      <c r="HZ12" s="201"/>
      <c r="IA12" s="201"/>
      <c r="IB12" s="201"/>
      <c r="IC12" s="201"/>
      <c r="ID12" s="201"/>
      <c r="IE12" s="201"/>
      <c r="IF12" s="201"/>
      <c r="IG12" s="201"/>
      <c r="IH12" s="201"/>
      <c r="II12" s="201"/>
      <c r="IJ12" s="201"/>
      <c r="IK12" s="201"/>
      <c r="IL12" s="201"/>
      <c r="IM12" s="201"/>
      <c r="IN12" s="201"/>
      <c r="IO12" s="201"/>
      <c r="IP12" s="201"/>
      <c r="IQ12" s="201"/>
      <c r="IR12" s="201"/>
      <c r="IS12" s="201"/>
      <c r="IT12" s="201"/>
      <c r="IU12" s="201"/>
      <c r="IV12" s="201"/>
      <c r="IW12" s="201"/>
      <c r="IX12" s="201"/>
      <c r="IY12" s="201"/>
      <c r="IZ12" s="201"/>
      <c r="JA12" s="201"/>
      <c r="JB12" s="201"/>
      <c r="JC12" s="201"/>
      <c r="JD12" s="201"/>
      <c r="JE12" s="201"/>
      <c r="JF12" s="201"/>
      <c r="JG12" s="201"/>
      <c r="JH12" s="201"/>
      <c r="JI12" s="201"/>
      <c r="JJ12" s="201"/>
      <c r="JK12" s="201"/>
      <c r="JL12" s="201"/>
      <c r="JM12" s="201"/>
      <c r="JN12" s="201"/>
      <c r="JO12" s="201"/>
      <c r="JP12" s="201"/>
    </row>
    <row r="13" spans="1:276" s="204" customFormat="1" ht="405" x14ac:dyDescent="0.25">
      <c r="A13" s="328">
        <v>1</v>
      </c>
      <c r="B13" s="329" t="s">
        <v>108</v>
      </c>
      <c r="C13" s="329" t="s">
        <v>412</v>
      </c>
      <c r="D13" s="329" t="s">
        <v>413</v>
      </c>
      <c r="E13" s="372" t="s">
        <v>414</v>
      </c>
      <c r="F13" s="329" t="s">
        <v>140</v>
      </c>
      <c r="G13" s="342" t="s">
        <v>379</v>
      </c>
      <c r="H13" s="342" t="s">
        <v>415</v>
      </c>
      <c r="I13" s="342" t="s">
        <v>147</v>
      </c>
      <c r="J13" s="342" t="s">
        <v>416</v>
      </c>
      <c r="K13" s="342" t="s">
        <v>113</v>
      </c>
      <c r="L13" s="342" t="s">
        <v>538</v>
      </c>
      <c r="M13" s="342" t="s">
        <v>539</v>
      </c>
      <c r="N13" s="342" t="s">
        <v>540</v>
      </c>
      <c r="O13" s="342" t="s">
        <v>541</v>
      </c>
      <c r="P13" s="342" t="s">
        <v>117</v>
      </c>
      <c r="Q13" s="342" t="s">
        <v>131</v>
      </c>
      <c r="R13" s="339">
        <v>500</v>
      </c>
      <c r="S13" s="340" t="str">
        <f>IF(R13&lt;=0,"",IF(R13&lt;=2,"Muy Baja",IF(R13&lt;=24,"Baja",IF(R13&lt;=500,"Media",IF(R13&lt;=5000,"Alta","Muy Alta")))))</f>
        <v>Media</v>
      </c>
      <c r="T13" s="341">
        <f>IF(S13="","",IF(S13="Muy Baja",0.2,IF(S13="Baja",0.4,IF(S13="Media",0.6,IF(S13="Alta",0.8,IF(S13="Muy Alta",1,))))))</f>
        <v>0.6</v>
      </c>
      <c r="U13" s="359" t="s">
        <v>239</v>
      </c>
      <c r="V13" s="341" t="str">
        <f>IF(NOT(ISERROR(MATCH(U13,'Tabla Impacto'!$B$222:$B$224,0))),'Tabla Impacto'!$F$224&amp;"Por favor no seleccionar los criterios de impacto(Afectación Económica o presupuestal y Pérdida Reputacional)",U13)</f>
        <v xml:space="preserve">     El riesgo afecta la imagen de la entidad con algunos usuarios de relevancia frente al logro de los objetivos</v>
      </c>
      <c r="W13" s="340" t="str">
        <f>IF(OR(V13='Tabla Impacto'!$C$12,V13='Tabla Impacto'!$D$12),"Leve",IF(OR(V13='Tabla Impacto'!$C$13,V13='Tabla Impacto'!$D$13),"Menor",IF(OR(V13='Tabla Impacto'!$C$14,V13='Tabla Impacto'!$D$14),"Moderado",IF(OR(V13='Tabla Impacto'!$C$15,V13='Tabla Impacto'!$D$15),"Mayor",IF(OR(V13='Tabla Impacto'!$C$16,V13='Tabla Impacto'!$D$16),"Catastrófico","")))))</f>
        <v>Moderado</v>
      </c>
      <c r="X13" s="341">
        <f>IF(W13="","",IF(W13="Leve",0.2,IF(W13="Menor",0.4,IF(W13="Moderado",0.6,IF(W13="Mayor",0.8,IF(W13="Catastrófico",1,))))))</f>
        <v>0.6</v>
      </c>
      <c r="Y13" s="358" t="str">
        <f>IF(OR(AND(S13="Muy Baja",W13="Leve"),AND(S13="Muy Baja",W13="Menor"),AND(S13="Baja",W13="Leve")),"Bajo",IF(OR(AND(S13="Muy baja",W13="Moderado"),AND(S13="Baja",W13="Menor"),AND(S13="Baja",W13="Moderado"),AND(S13="Media",W13="Leve"),AND(S13="Media",W13="Menor"),AND(S13="Media",W13="Moderado"),AND(S13="Alta",W13="Leve"),AND(S13="Alta",W13="Menor")),"Moderado",IF(OR(AND(S13="Muy Baja",W13="Mayor"),AND(S13="Baja",W13="Mayor"),AND(S13="Media",W13="Mayor"),AND(S13="Alta",W13="Moderado"),AND(S13="Alta",W13="Mayor"),AND(S13="Muy Alta",W13="Leve"),AND(S13="Muy Alta",W13="Menor"),AND(S13="Muy Alta",W13="Moderado"),AND(S13="Muy Alta",W13="Mayor")),"Alto",IF(OR(AND(S13="Muy Baja",W13="Catastrófico"),AND(S13="Baja",W13="Catastrófico"),AND(S13="Media",W13="Catastrófico"),AND(S13="Alta",W13="Catastrófico"),AND(S13="Muy Alta",W13="Catastrófico")),"Extremo",""))))</f>
        <v>Moderado</v>
      </c>
      <c r="Z13" s="203">
        <v>1</v>
      </c>
      <c r="AA13" s="229" t="s">
        <v>417</v>
      </c>
      <c r="AB13" s="178" t="str">
        <f t="shared" ref="AB13:AB18" si="0">IF(OR(AC13="Preventivo",AC13="Detectivo"),"Probabilidad",IF(AC13="Correctivo","Impacto",""))</f>
        <v>Probabilidad</v>
      </c>
      <c r="AC13" s="179" t="s">
        <v>240</v>
      </c>
      <c r="AD13" s="179" t="s">
        <v>241</v>
      </c>
      <c r="AE13" s="180" t="str">
        <f>IF(AND(AC13="Preventivo",AD13="Automático"),"50%",IF(AND(AC13="Preventivo",AD13="Manual"),"40%",IF(AND(AC13="Detectivo",AD13="Automático"),"40%",IF(AND(AC13="Detectivo",AD13="Manual"),"30%",IF(AND(AC13="Correctivo",AD13="Automático"),"35%",IF(AND(AC13="Correctivo",AD13="Manual"),"25%",""))))))</f>
        <v>40%</v>
      </c>
      <c r="AF13" s="179" t="s">
        <v>246</v>
      </c>
      <c r="AG13" s="179" t="s">
        <v>243</v>
      </c>
      <c r="AH13" s="179" t="s">
        <v>244</v>
      </c>
      <c r="AI13" s="253">
        <f>IFERROR(IF(AB13="Probabilidad",(T13-(+T13*AE13)),IF(AB13="Impacto",T13,"")),"")</f>
        <v>0.36</v>
      </c>
      <c r="AJ13" s="182" t="str">
        <f>IFERROR(IF(AI13="","",IF(AI13&lt;=0.2,"Muy Baja",IF(AI13&lt;=0.4,"Baja",IF(AI13&lt;=0.6,"Media",IF(AI13&lt;=0.8,"Alta","Muy Alta"))))),"")</f>
        <v>Baja</v>
      </c>
      <c r="AK13" s="180">
        <f>+AI13</f>
        <v>0.36</v>
      </c>
      <c r="AL13" s="182" t="str">
        <f>IFERROR(IF(AM13="","",IF(AM13&lt;=0.2,"Leve",IF(AM13&lt;=0.4,"Menor",IF(AM13&lt;=0.6,"Moderado",IF(AM13&lt;=0.8,"Mayor","Catastrófico"))))),"")</f>
        <v>Moderado</v>
      </c>
      <c r="AM13" s="180">
        <f>IFERROR(IF(AB13="Impacto",(X13-(+X13*AE13)),IF(AB13="Probabilidad",X13,"")),"")</f>
        <v>0.6</v>
      </c>
      <c r="AN13" s="183" t="str">
        <f>IFERROR(IF(OR(AND(AJ13="Muy Baja",AL13="Leve"),AND(AJ13="Muy Baja",AL13="Menor"),AND(AJ13="Baja",AL13="Leve")),"Bajo",IF(OR(AND(AJ13="Muy baja",AL13="Moderado"),AND(AJ13="Baja",AL13="Menor"),AND(AJ13="Baja",AL13="Moderado"),AND(AJ13="Media",AL13="Leve"),AND(AJ13="Media",AL13="Menor"),AND(AJ13="Media",AL13="Moderado"),AND(AJ13="Alta",AL13="Leve"),AND(AJ13="Alta",AL13="Menor")),"Moderado",IF(OR(AND(AJ13="Muy Baja",AL13="Mayor"),AND(AJ13="Baja",AL13="Mayor"),AND(AJ13="Media",AL13="Mayor"),AND(AJ13="Alta",AL13="Moderado"),AND(AJ13="Alta",AL13="Mayor"),AND(AJ13="Muy Alta",AL13="Leve"),AND(AJ13="Muy Alta",AL13="Menor"),AND(AJ13="Muy Alta",AL13="Moderado"),AND(AJ13="Muy Alta",AL13="Mayor")),"Alto",IF(OR(AND(AJ13="Muy Baja",AL13="Catastrófico"),AND(AJ13="Baja",AL13="Catastrófico"),AND(AJ13="Media",AL13="Catastrófico"),AND(AJ13="Alta",AL13="Catastrófico"),AND(AJ13="Muy Alta",AL13="Catastrófico")),"Extremo","")))),"")</f>
        <v>Moderado</v>
      </c>
      <c r="AO13" s="184" t="s">
        <v>109</v>
      </c>
      <c r="AP13" s="175" t="s">
        <v>419</v>
      </c>
      <c r="AQ13" s="175" t="s">
        <v>420</v>
      </c>
      <c r="AR13" s="175" t="s">
        <v>421</v>
      </c>
      <c r="AS13" s="251" t="s">
        <v>424</v>
      </c>
      <c r="AT13" s="329" t="s">
        <v>422</v>
      </c>
      <c r="AU13" s="329" t="s">
        <v>421</v>
      </c>
      <c r="AV13" s="329" t="s">
        <v>423</v>
      </c>
    </row>
    <row r="14" spans="1:276" ht="210" x14ac:dyDescent="0.2">
      <c r="A14" s="328"/>
      <c r="B14" s="329"/>
      <c r="C14" s="329"/>
      <c r="D14" s="329"/>
      <c r="E14" s="372"/>
      <c r="F14" s="329"/>
      <c r="G14" s="343"/>
      <c r="H14" s="343"/>
      <c r="I14" s="343"/>
      <c r="J14" s="343"/>
      <c r="K14" s="343"/>
      <c r="L14" s="343"/>
      <c r="M14" s="343"/>
      <c r="N14" s="343"/>
      <c r="O14" s="343"/>
      <c r="P14" s="343"/>
      <c r="Q14" s="343"/>
      <c r="R14" s="339"/>
      <c r="S14" s="340"/>
      <c r="T14" s="341"/>
      <c r="U14" s="359"/>
      <c r="V14" s="341">
        <f>IF(NOT(ISERROR(MATCH(U14,_xlfn.ANCHORARRAY(E25),0))),T27&amp;"Por favor no seleccionar los criterios de impacto",U14)</f>
        <v>0</v>
      </c>
      <c r="W14" s="340"/>
      <c r="X14" s="341"/>
      <c r="Y14" s="358"/>
      <c r="Z14" s="203">
        <v>2</v>
      </c>
      <c r="AA14" s="229" t="s">
        <v>418</v>
      </c>
      <c r="AB14" s="178" t="str">
        <f t="shared" si="0"/>
        <v>Probabilidad</v>
      </c>
      <c r="AC14" s="179" t="s">
        <v>245</v>
      </c>
      <c r="AD14" s="179" t="s">
        <v>241</v>
      </c>
      <c r="AE14" s="180" t="str">
        <f t="shared" ref="AE14:AE18" si="1">IF(AND(AC14="Preventivo",AD14="Automático"),"50%",IF(AND(AC14="Preventivo",AD14="Manual"),"40%",IF(AND(AC14="Detectivo",AD14="Automático"),"40%",IF(AND(AC14="Detectivo",AD14="Manual"),"30%",IF(AND(AC14="Correctivo",AD14="Automático"),"35%",IF(AND(AC14="Correctivo",AD14="Manual"),"25%",""))))))</f>
        <v>30%</v>
      </c>
      <c r="AF14" s="179" t="s">
        <v>246</v>
      </c>
      <c r="AG14" s="179" t="s">
        <v>243</v>
      </c>
      <c r="AH14" s="179"/>
      <c r="AI14" s="253">
        <f>IFERROR(IF(AND(AB13="Probabilidad",AB14="Probabilidad"),(AK13-(+AK13*AE14)),IF(AB14="Probabilidad",(T13-(+T13*AE14)),IF(AB14="Impacto",AK13,""))),"")</f>
        <v>0.252</v>
      </c>
      <c r="AJ14" s="182" t="str">
        <f t="shared" ref="AJ14:AJ72" si="2">IFERROR(IF(AI14="","",IF(AI14&lt;=0.2,"Muy Baja",IF(AI14&lt;=0.4,"Baja",IF(AI14&lt;=0.6,"Media",IF(AI14&lt;=0.8,"Alta","Muy Alta"))))),"")</f>
        <v>Baja</v>
      </c>
      <c r="AK14" s="180">
        <f t="shared" ref="AK14:AK18" si="3">+AI14</f>
        <v>0.252</v>
      </c>
      <c r="AL14" s="182" t="str">
        <f t="shared" ref="AL14:AL72" si="4">IFERROR(IF(AM14="","",IF(AM14&lt;=0.2,"Leve",IF(AM14&lt;=0.4,"Menor",IF(AM14&lt;=0.6,"Moderado",IF(AM14&lt;=0.8,"Mayor","Catastrófico"))))),"")</f>
        <v>Moderado</v>
      </c>
      <c r="AM14" s="180">
        <f>IFERROR(IF(AND(AB13="Impacto",AB14="Impacto"),(AM13-(+AM13*AE14)),IF(AB14="Impacto",($X$13-(+$X$13*AE14)),IF(AB14="Probabilidad",AM13,""))),"")</f>
        <v>0.6</v>
      </c>
      <c r="AN14" s="183" t="str">
        <f t="shared" ref="AN14:AN18" si="5">IFERROR(IF(OR(AND(AJ14="Muy Baja",AL14="Leve"),AND(AJ14="Muy Baja",AL14="Menor"),AND(AJ14="Baja",AL14="Leve")),"Bajo",IF(OR(AND(AJ14="Muy baja",AL14="Moderado"),AND(AJ14="Baja",AL14="Menor"),AND(AJ14="Baja",AL14="Moderado"),AND(AJ14="Media",AL14="Leve"),AND(AJ14="Media",AL14="Menor"),AND(AJ14="Media",AL14="Moderado"),AND(AJ14="Alta",AL14="Leve"),AND(AJ14="Alta",AL14="Menor")),"Moderado",IF(OR(AND(AJ14="Muy Baja",AL14="Mayor"),AND(AJ14="Baja",AL14="Mayor"),AND(AJ14="Media",AL14="Mayor"),AND(AJ14="Alta",AL14="Moderado"),AND(AJ14="Alta",AL14="Mayor"),AND(AJ14="Muy Alta",AL14="Leve"),AND(AJ14="Muy Alta",AL14="Menor"),AND(AJ14="Muy Alta",AL14="Moderado"),AND(AJ14="Muy Alta",AL14="Mayor")),"Alto",IF(OR(AND(AJ14="Muy Baja",AL14="Catastrófico"),AND(AJ14="Baja",AL14="Catastrófico"),AND(AJ14="Media",AL14="Catastrófico"),AND(AJ14="Alta",AL14="Catastrófico"),AND(AJ14="Muy Alta",AL14="Catastrófico")),"Extremo","")))),"")</f>
        <v>Moderado</v>
      </c>
      <c r="AO14" s="184" t="s">
        <v>109</v>
      </c>
      <c r="AP14" s="175" t="s">
        <v>504</v>
      </c>
      <c r="AQ14" s="175" t="s">
        <v>420</v>
      </c>
      <c r="AR14" s="175" t="s">
        <v>421</v>
      </c>
      <c r="AS14" s="251" t="s">
        <v>424</v>
      </c>
      <c r="AT14" s="329"/>
      <c r="AU14" s="329"/>
      <c r="AV14" s="329"/>
    </row>
    <row r="15" spans="1:276" ht="37.5" customHeight="1" x14ac:dyDescent="0.2">
      <c r="A15" s="328"/>
      <c r="B15" s="329"/>
      <c r="C15" s="329"/>
      <c r="D15" s="329"/>
      <c r="E15" s="372"/>
      <c r="F15" s="329"/>
      <c r="G15" s="343"/>
      <c r="H15" s="343"/>
      <c r="I15" s="343"/>
      <c r="J15" s="343"/>
      <c r="K15" s="343"/>
      <c r="L15" s="343"/>
      <c r="M15" s="343"/>
      <c r="N15" s="343"/>
      <c r="O15" s="343"/>
      <c r="P15" s="343"/>
      <c r="Q15" s="343"/>
      <c r="R15" s="339"/>
      <c r="S15" s="340"/>
      <c r="T15" s="341"/>
      <c r="U15" s="359"/>
      <c r="V15" s="341">
        <f>IF(NOT(ISERROR(MATCH(U15,_xlfn.ANCHORARRAY(E26),0))),T28&amp;"Por favor no seleccionar los criterios de impacto",U15)</f>
        <v>0</v>
      </c>
      <c r="W15" s="340"/>
      <c r="X15" s="341"/>
      <c r="Y15" s="358"/>
      <c r="Z15" s="203">
        <v>3</v>
      </c>
      <c r="AA15" s="177"/>
      <c r="AB15" s="178" t="str">
        <f t="shared" si="0"/>
        <v/>
      </c>
      <c r="AC15" s="179"/>
      <c r="AD15" s="179"/>
      <c r="AE15" s="180" t="str">
        <f t="shared" si="1"/>
        <v/>
      </c>
      <c r="AF15" s="179"/>
      <c r="AG15" s="179"/>
      <c r="AH15" s="179"/>
      <c r="AI15" s="253" t="str">
        <f>IFERROR(IF(AND(AB14="Probabilidad",AB15="Probabilidad"),(AK14-(+AK14*AE15)),IF(AND(AB14="Impacto",AB15="Probabilidad"),(AK13-(+AK13*AE15)),IF(AB15="Impacto",AK14,""))),"")</f>
        <v/>
      </c>
      <c r="AJ15" s="182" t="str">
        <f t="shared" si="2"/>
        <v/>
      </c>
      <c r="AK15" s="180" t="str">
        <f t="shared" si="3"/>
        <v/>
      </c>
      <c r="AL15" s="182" t="str">
        <f t="shared" si="4"/>
        <v/>
      </c>
      <c r="AM15" s="180" t="str">
        <f>IFERROR(IF(AND(AB14="Impacto",AB15="Impacto"),(AM14-(+AM14*AE15)),IF(AND(AB14="Probabilidad",AB15="Impacto"),(AM13-(+AM13*AE15)),IF(AB15="Probabilidad",AM14,""))),"")</f>
        <v/>
      </c>
      <c r="AN15" s="183" t="str">
        <f t="shared" si="5"/>
        <v/>
      </c>
      <c r="AO15" s="184"/>
      <c r="AP15" s="175"/>
      <c r="AQ15" s="175"/>
      <c r="AR15" s="175"/>
      <c r="AS15" s="251"/>
      <c r="AT15" s="329"/>
      <c r="AU15" s="329"/>
      <c r="AV15" s="329"/>
    </row>
    <row r="16" spans="1:276" ht="37.5" customHeight="1" x14ac:dyDescent="0.2">
      <c r="A16" s="328"/>
      <c r="B16" s="329"/>
      <c r="C16" s="329"/>
      <c r="D16" s="329"/>
      <c r="E16" s="372"/>
      <c r="F16" s="329"/>
      <c r="G16" s="343"/>
      <c r="H16" s="343"/>
      <c r="I16" s="343"/>
      <c r="J16" s="343"/>
      <c r="K16" s="343"/>
      <c r="L16" s="343"/>
      <c r="M16" s="343"/>
      <c r="N16" s="343"/>
      <c r="O16" s="343"/>
      <c r="P16" s="343"/>
      <c r="Q16" s="343"/>
      <c r="R16" s="339"/>
      <c r="S16" s="340"/>
      <c r="T16" s="341"/>
      <c r="U16" s="359"/>
      <c r="V16" s="341">
        <f>IF(NOT(ISERROR(MATCH(U16,_xlfn.ANCHORARRAY(E27),0))),T29&amp;"Por favor no seleccionar los criterios de impacto",U16)</f>
        <v>0</v>
      </c>
      <c r="W16" s="340"/>
      <c r="X16" s="341"/>
      <c r="Y16" s="358"/>
      <c r="Z16" s="203">
        <v>4</v>
      </c>
      <c r="AA16" s="176"/>
      <c r="AB16" s="178" t="str">
        <f t="shared" si="0"/>
        <v/>
      </c>
      <c r="AC16" s="179"/>
      <c r="AD16" s="179"/>
      <c r="AE16" s="180" t="str">
        <f t="shared" si="1"/>
        <v/>
      </c>
      <c r="AF16" s="179"/>
      <c r="AG16" s="179"/>
      <c r="AH16" s="179"/>
      <c r="AI16" s="253" t="str">
        <f t="shared" ref="AI16:AI18" si="6">IFERROR(IF(AND(AB15="Probabilidad",AB16="Probabilidad"),(AK15-(+AK15*AE16)),IF(AND(AB15="Impacto",AB16="Probabilidad"),(AK14-(+AK14*AE16)),IF(AB16="Impacto",AK15,""))),"")</f>
        <v/>
      </c>
      <c r="AJ16" s="182" t="str">
        <f t="shared" si="2"/>
        <v/>
      </c>
      <c r="AK16" s="180" t="str">
        <f t="shared" si="3"/>
        <v/>
      </c>
      <c r="AL16" s="182" t="str">
        <f t="shared" si="4"/>
        <v/>
      </c>
      <c r="AM16" s="180" t="str">
        <f t="shared" ref="AM16:AM18" si="7">IFERROR(IF(AND(AB15="Impacto",AB16="Impacto"),(AM15-(+AM15*AE16)),IF(AND(AB15="Probabilidad",AB16="Impacto"),(AM14-(+AM14*AE16)),IF(AB16="Probabilidad",AM15,""))),"")</f>
        <v/>
      </c>
      <c r="AN16" s="183" t="str">
        <f>IFERROR(IF(OR(AND(AJ16="Muy Baja",AL16="Leve"),AND(AJ16="Muy Baja",AL16="Menor"),AND(AJ16="Baja",AL16="Leve")),"Bajo",IF(OR(AND(AJ16="Muy baja",AL16="Moderado"),AND(AJ16="Baja",AL16="Menor"),AND(AJ16="Baja",AL16="Moderado"),AND(AJ16="Media",AL16="Leve"),AND(AJ16="Media",AL16="Menor"),AND(AJ16="Media",AL16="Moderado"),AND(AJ16="Alta",AL16="Leve"),AND(AJ16="Alta",AL16="Menor")),"Moderado",IF(OR(AND(AJ16="Muy Baja",AL16="Mayor"),AND(AJ16="Baja",AL16="Mayor"),AND(AJ16="Media",AL16="Mayor"),AND(AJ16="Alta",AL16="Moderado"),AND(AJ16="Alta",AL16="Mayor"),AND(AJ16="Muy Alta",AL16="Leve"),AND(AJ16="Muy Alta",AL16="Menor"),AND(AJ16="Muy Alta",AL16="Moderado"),AND(AJ16="Muy Alta",AL16="Mayor")),"Alto",IF(OR(AND(AJ16="Muy Baja",AL16="Catastrófico"),AND(AJ16="Baja",AL16="Catastrófico"),AND(AJ16="Media",AL16="Catastrófico"),AND(AJ16="Alta",AL16="Catastrófico"),AND(AJ16="Muy Alta",AL16="Catastrófico")),"Extremo","")))),"")</f>
        <v/>
      </c>
      <c r="AO16" s="184"/>
      <c r="AP16" s="175"/>
      <c r="AQ16" s="175"/>
      <c r="AR16" s="175"/>
      <c r="AS16" s="251"/>
      <c r="AT16" s="329"/>
      <c r="AU16" s="329"/>
      <c r="AV16" s="329"/>
    </row>
    <row r="17" spans="1:48" ht="37.5" customHeight="1" x14ac:dyDescent="0.2">
      <c r="A17" s="328"/>
      <c r="B17" s="329"/>
      <c r="C17" s="329"/>
      <c r="D17" s="329"/>
      <c r="E17" s="372"/>
      <c r="F17" s="329"/>
      <c r="G17" s="343"/>
      <c r="H17" s="343"/>
      <c r="I17" s="343"/>
      <c r="J17" s="343"/>
      <c r="K17" s="343"/>
      <c r="L17" s="343"/>
      <c r="M17" s="343"/>
      <c r="N17" s="343"/>
      <c r="O17" s="343"/>
      <c r="P17" s="343"/>
      <c r="Q17" s="343"/>
      <c r="R17" s="339"/>
      <c r="S17" s="340"/>
      <c r="T17" s="341"/>
      <c r="U17" s="359"/>
      <c r="V17" s="341">
        <f>IF(NOT(ISERROR(MATCH(U17,_xlfn.ANCHORARRAY(E28),0))),T30&amp;"Por favor no seleccionar los criterios de impacto",U17)</f>
        <v>0</v>
      </c>
      <c r="W17" s="340"/>
      <c r="X17" s="341"/>
      <c r="Y17" s="358"/>
      <c r="Z17" s="203">
        <v>5</v>
      </c>
      <c r="AA17" s="176"/>
      <c r="AB17" s="178" t="str">
        <f t="shared" si="0"/>
        <v/>
      </c>
      <c r="AC17" s="179"/>
      <c r="AD17" s="179"/>
      <c r="AE17" s="180" t="str">
        <f t="shared" si="1"/>
        <v/>
      </c>
      <c r="AF17" s="179"/>
      <c r="AG17" s="179"/>
      <c r="AH17" s="179"/>
      <c r="AI17" s="253" t="str">
        <f t="shared" si="6"/>
        <v/>
      </c>
      <c r="AJ17" s="182" t="str">
        <f t="shared" si="2"/>
        <v/>
      </c>
      <c r="AK17" s="180" t="str">
        <f t="shared" si="3"/>
        <v/>
      </c>
      <c r="AL17" s="182" t="str">
        <f t="shared" si="4"/>
        <v/>
      </c>
      <c r="AM17" s="180" t="str">
        <f t="shared" si="7"/>
        <v/>
      </c>
      <c r="AN17" s="183" t="str">
        <f t="shared" si="5"/>
        <v/>
      </c>
      <c r="AO17" s="184"/>
      <c r="AP17" s="175"/>
      <c r="AQ17" s="175"/>
      <c r="AR17" s="175"/>
      <c r="AS17" s="251"/>
      <c r="AT17" s="329"/>
      <c r="AU17" s="329"/>
      <c r="AV17" s="329"/>
    </row>
    <row r="18" spans="1:48" ht="37.5" customHeight="1" x14ac:dyDescent="0.2">
      <c r="A18" s="328"/>
      <c r="B18" s="329"/>
      <c r="C18" s="329"/>
      <c r="D18" s="329"/>
      <c r="E18" s="372"/>
      <c r="F18" s="329"/>
      <c r="G18" s="344"/>
      <c r="H18" s="344"/>
      <c r="I18" s="344"/>
      <c r="J18" s="344"/>
      <c r="K18" s="344"/>
      <c r="L18" s="344"/>
      <c r="M18" s="344"/>
      <c r="N18" s="344"/>
      <c r="O18" s="344"/>
      <c r="P18" s="344"/>
      <c r="Q18" s="344"/>
      <c r="R18" s="339"/>
      <c r="S18" s="340"/>
      <c r="T18" s="341"/>
      <c r="U18" s="359"/>
      <c r="V18" s="341">
        <f>IF(NOT(ISERROR(MATCH(U18,_xlfn.ANCHORARRAY(E29),0))),T31&amp;"Por favor no seleccionar los criterios de impacto",U18)</f>
        <v>0</v>
      </c>
      <c r="W18" s="340"/>
      <c r="X18" s="341"/>
      <c r="Y18" s="358"/>
      <c r="Z18" s="203">
        <v>6</v>
      </c>
      <c r="AA18" s="176"/>
      <c r="AB18" s="178" t="str">
        <f t="shared" si="0"/>
        <v/>
      </c>
      <c r="AC18" s="179"/>
      <c r="AD18" s="179"/>
      <c r="AE18" s="180" t="str">
        <f t="shared" si="1"/>
        <v/>
      </c>
      <c r="AF18" s="179"/>
      <c r="AG18" s="179"/>
      <c r="AH18" s="179"/>
      <c r="AI18" s="253" t="str">
        <f t="shared" si="6"/>
        <v/>
      </c>
      <c r="AJ18" s="182" t="str">
        <f t="shared" si="2"/>
        <v/>
      </c>
      <c r="AK18" s="180" t="str">
        <f t="shared" si="3"/>
        <v/>
      </c>
      <c r="AL18" s="182" t="str">
        <f t="shared" si="4"/>
        <v/>
      </c>
      <c r="AM18" s="180" t="str">
        <f t="shared" si="7"/>
        <v/>
      </c>
      <c r="AN18" s="183" t="str">
        <f t="shared" si="5"/>
        <v/>
      </c>
      <c r="AO18" s="184"/>
      <c r="AP18" s="175"/>
      <c r="AQ18" s="175"/>
      <c r="AR18" s="175"/>
      <c r="AS18" s="251"/>
      <c r="AT18" s="329"/>
      <c r="AU18" s="329"/>
      <c r="AV18" s="329"/>
    </row>
    <row r="19" spans="1:48" ht="195" x14ac:dyDescent="0.2">
      <c r="A19" s="328">
        <v>2</v>
      </c>
      <c r="B19" s="329" t="s">
        <v>108</v>
      </c>
      <c r="C19" s="329" t="s">
        <v>425</v>
      </c>
      <c r="D19" s="329" t="s">
        <v>426</v>
      </c>
      <c r="E19" s="372" t="s">
        <v>427</v>
      </c>
      <c r="F19" s="329" t="s">
        <v>140</v>
      </c>
      <c r="G19" s="342" t="s">
        <v>379</v>
      </c>
      <c r="H19" s="342" t="s">
        <v>428</v>
      </c>
      <c r="I19" s="342" t="s">
        <v>147</v>
      </c>
      <c r="J19" s="342" t="s">
        <v>429</v>
      </c>
      <c r="K19" s="342" t="s">
        <v>113</v>
      </c>
      <c r="L19" s="342" t="s">
        <v>542</v>
      </c>
      <c r="M19" s="342" t="s">
        <v>539</v>
      </c>
      <c r="N19" s="342" t="s">
        <v>540</v>
      </c>
      <c r="O19" s="342" t="s">
        <v>543</v>
      </c>
      <c r="P19" s="342" t="s">
        <v>117</v>
      </c>
      <c r="Q19" s="342" t="s">
        <v>131</v>
      </c>
      <c r="R19" s="339">
        <v>5000</v>
      </c>
      <c r="S19" s="340" t="str">
        <f>IF(R19&lt;=0,"",IF(R19&lt;=2,"Muy Baja",IF(R19&lt;=24,"Baja",IF(R19&lt;=500,"Media",IF(R19&lt;=5000,"Alta","Muy Alta")))))</f>
        <v>Alta</v>
      </c>
      <c r="T19" s="341">
        <f>IF(S19="","",IF(S19="Muy Baja",0.2,IF(S19="Baja",0.4,IF(S19="Media",0.6,IF(S19="Alta",0.8,IF(S19="Muy Alta",1,))))))</f>
        <v>0.8</v>
      </c>
      <c r="U19" s="359" t="s">
        <v>339</v>
      </c>
      <c r="V19" s="341" t="str">
        <f>IF(NOT(ISERROR(MATCH(U19,'Tabla Impacto'!$B$222:$B$224,0))),'Tabla Impacto'!$F$224&amp;"Por favor no seleccionar los criterios de impacto(Afectación Económica o presupuestal y Pérdida Reputacional)",U19)</f>
        <v xml:space="preserve">     El riesgo afecta la imagen de la entidad internamente, de conocimiento general, nivel interno, de junta dircetiva y accionistas y/o de provedores</v>
      </c>
      <c r="W19" s="340" t="str">
        <f>IF(OR(V19='Tabla Impacto'!$C$12,V19='Tabla Impacto'!$D$12),"Leve",IF(OR(V19='Tabla Impacto'!$C$13,V19='Tabla Impacto'!$D$13),"Menor",IF(OR(V19='Tabla Impacto'!$C$14,V19='Tabla Impacto'!$D$14),"Moderado",IF(OR(V19='Tabla Impacto'!$C$15,V19='Tabla Impacto'!$D$15),"Mayor",IF(OR(V19='Tabla Impacto'!$C$16,V19='Tabla Impacto'!$D$16),"Catastrófico","")))))</f>
        <v>Menor</v>
      </c>
      <c r="X19" s="341">
        <f>IF(W19="","",IF(W19="Leve",0.2,IF(W19="Menor",0.4,IF(W19="Moderado",0.6,IF(W19="Mayor",0.8,IF(W19="Catastrófico",1,))))))</f>
        <v>0.4</v>
      </c>
      <c r="Y19" s="358" t="str">
        <f>IF(OR(AND(S19="Muy Baja",W19="Leve"),AND(S19="Muy Baja",W19="Menor"),AND(S19="Baja",W19="Leve")),"Bajo",IF(OR(AND(S19="Muy baja",W19="Moderado"),AND(S19="Baja",W19="Menor"),AND(S19="Baja",W19="Moderado"),AND(S19="Media",W19="Leve"),AND(S19="Media",W19="Menor"),AND(S19="Media",W19="Moderado"),AND(S19="Alta",W19="Leve"),AND(S19="Alta",W19="Menor")),"Moderado",IF(OR(AND(S19="Muy Baja",W19="Mayor"),AND(S19="Baja",W19="Mayor"),AND(S19="Media",W19="Mayor"),AND(S19="Alta",W19="Moderado"),AND(S19="Alta",W19="Mayor"),AND(S19="Muy Alta",W19="Leve"),AND(S19="Muy Alta",W19="Menor"),AND(S19="Muy Alta",W19="Moderado"),AND(S19="Muy Alta",W19="Mayor")),"Alto",IF(OR(AND(S19="Muy Baja",W19="Catastrófico"),AND(S19="Baja",W19="Catastrófico"),AND(S19="Media",W19="Catastrófico"),AND(S19="Alta",W19="Catastrófico"),AND(S19="Muy Alta",W19="Catastrófico")),"Extremo",""))))</f>
        <v>Moderado</v>
      </c>
      <c r="Z19" s="203">
        <v>1</v>
      </c>
      <c r="AA19" s="176" t="s">
        <v>430</v>
      </c>
      <c r="AB19" s="178" t="str">
        <f>IF(OR(AC19="Preventivo",AC19="Detectivo"),"Probabilidad",IF(AC19="Correctivo","Impacto",""))</f>
        <v>Probabilidad</v>
      </c>
      <c r="AC19" s="179" t="s">
        <v>240</v>
      </c>
      <c r="AD19" s="179" t="s">
        <v>241</v>
      </c>
      <c r="AE19" s="180" t="str">
        <f>IF(AND(AC19="Preventivo",AD19="Automático"),"50%",IF(AND(AC19="Preventivo",AD19="Manual"),"40%",IF(AND(AC19="Detectivo",AD19="Automático"),"40%",IF(AND(AC19="Detectivo",AD19="Manual"),"30%",IF(AND(AC19="Correctivo",AD19="Automático"),"35%",IF(AND(AC19="Correctivo",AD19="Manual"),"25%",""))))))</f>
        <v>40%</v>
      </c>
      <c r="AF19" s="179" t="s">
        <v>242</v>
      </c>
      <c r="AG19" s="179" t="s">
        <v>243</v>
      </c>
      <c r="AH19" s="179" t="s">
        <v>244</v>
      </c>
      <c r="AI19" s="253">
        <f>IFERROR(IF(AB19="Probabilidad",(T19-(+T19*AE19)),IF(AB19="Impacto",T19,"")),"")</f>
        <v>0.48</v>
      </c>
      <c r="AJ19" s="182" t="str">
        <f>IFERROR(IF(AI19="","",IF(AI19&lt;=0.2,"Muy Baja",IF(AI19&lt;=0.4,"Baja",IF(AI19&lt;=0.6,"Media",IF(AI19&lt;=0.8,"Alta","Muy Alta"))))),"")</f>
        <v>Media</v>
      </c>
      <c r="AK19" s="180">
        <f>+AI19</f>
        <v>0.48</v>
      </c>
      <c r="AL19" s="182" t="str">
        <f>IFERROR(IF(AM19="","",IF(AM19&lt;=0.2,"Leve",IF(AM19&lt;=0.4,"Menor",IF(AM19&lt;=0.6,"Moderado",IF(AM19&lt;=0.8,"Mayor","Catastrófico"))))),"")</f>
        <v>Menor</v>
      </c>
      <c r="AM19" s="180">
        <f t="shared" ref="AM19" si="8">IFERROR(IF(AB19="Impacto",(X19-(+X19*AE19)),IF(AB19="Probabilidad",X19,"")),"")</f>
        <v>0.4</v>
      </c>
      <c r="AN19" s="183" t="str">
        <f>IFERROR(IF(OR(AND(AJ19="Muy Baja",AL19="Leve"),AND(AJ19="Muy Baja",AL19="Menor"),AND(AJ19="Baja",AL19="Leve")),"Bajo",IF(OR(AND(AJ19="Muy baja",AL19="Moderado"),AND(AJ19="Baja",AL19="Menor"),AND(AJ19="Baja",AL19="Moderado"),AND(AJ19="Media",AL19="Leve"),AND(AJ19="Media",AL19="Menor"),AND(AJ19="Media",AL19="Moderado"),AND(AJ19="Alta",AL19="Leve"),AND(AJ19="Alta",AL19="Menor")),"Moderado",IF(OR(AND(AJ19="Muy Baja",AL19="Mayor"),AND(AJ19="Baja",AL19="Mayor"),AND(AJ19="Media",AL19="Mayor"),AND(AJ19="Alta",AL19="Moderado"),AND(AJ19="Alta",AL19="Mayor"),AND(AJ19="Muy Alta",AL19="Leve"),AND(AJ19="Muy Alta",AL19="Menor"),AND(AJ19="Muy Alta",AL19="Moderado"),AND(AJ19="Muy Alta",AL19="Mayor")),"Alto",IF(OR(AND(AJ19="Muy Baja",AL19="Catastrófico"),AND(AJ19="Baja",AL19="Catastrófico"),AND(AJ19="Media",AL19="Catastrófico"),AND(AJ19="Alta",AL19="Catastrófico"),AND(AJ19="Muy Alta",AL19="Catastrófico")),"Extremo","")))),"")</f>
        <v>Moderado</v>
      </c>
      <c r="AO19" s="184" t="s">
        <v>109</v>
      </c>
      <c r="AP19" s="175" t="s">
        <v>433</v>
      </c>
      <c r="AQ19" s="175" t="s">
        <v>434</v>
      </c>
      <c r="AR19" s="175" t="s">
        <v>421</v>
      </c>
      <c r="AS19" s="251" t="s">
        <v>435</v>
      </c>
      <c r="AT19" s="339"/>
      <c r="AU19" s="329"/>
      <c r="AV19" s="329"/>
    </row>
    <row r="20" spans="1:48" ht="150" x14ac:dyDescent="0.2">
      <c r="A20" s="328"/>
      <c r="B20" s="329"/>
      <c r="C20" s="329"/>
      <c r="D20" s="329"/>
      <c r="E20" s="372"/>
      <c r="F20" s="329"/>
      <c r="G20" s="343"/>
      <c r="H20" s="343"/>
      <c r="I20" s="343"/>
      <c r="J20" s="343"/>
      <c r="K20" s="343"/>
      <c r="L20" s="343"/>
      <c r="M20" s="343"/>
      <c r="N20" s="343"/>
      <c r="O20" s="343"/>
      <c r="P20" s="343"/>
      <c r="Q20" s="343"/>
      <c r="R20" s="339"/>
      <c r="S20" s="340"/>
      <c r="T20" s="341"/>
      <c r="U20" s="359"/>
      <c r="V20" s="341">
        <f>IF(NOT(ISERROR(MATCH(U20,_xlfn.ANCHORARRAY(E31),0))),T33&amp;"Por favor no seleccionar los criterios de impacto",U20)</f>
        <v>0</v>
      </c>
      <c r="W20" s="340"/>
      <c r="X20" s="341"/>
      <c r="Y20" s="358"/>
      <c r="Z20" s="203">
        <v>2</v>
      </c>
      <c r="AA20" s="176" t="s">
        <v>431</v>
      </c>
      <c r="AB20" s="178" t="str">
        <f>IF(OR(AC20="Preventivo",AC20="Detectivo"),"Probabilidad",IF(AC20="Correctivo","Impacto",""))</f>
        <v>Probabilidad</v>
      </c>
      <c r="AC20" s="179" t="s">
        <v>245</v>
      </c>
      <c r="AD20" s="179" t="s">
        <v>241</v>
      </c>
      <c r="AE20" s="180" t="str">
        <f t="shared" ref="AE20:AE24" si="9">IF(AND(AC20="Preventivo",AD20="Automático"),"50%",IF(AND(AC20="Preventivo",AD20="Manual"),"40%",IF(AND(AC20="Detectivo",AD20="Automático"),"40%",IF(AND(AC20="Detectivo",AD20="Manual"),"30%",IF(AND(AC20="Correctivo",AD20="Automático"),"35%",IF(AND(AC20="Correctivo",AD20="Manual"),"25%",""))))))</f>
        <v>30%</v>
      </c>
      <c r="AF20" s="179" t="s">
        <v>246</v>
      </c>
      <c r="AG20" s="179" t="s">
        <v>243</v>
      </c>
      <c r="AH20" s="179" t="s">
        <v>244</v>
      </c>
      <c r="AI20" s="253">
        <f>IFERROR(IF(AND(AB19="Probabilidad",AB20="Probabilidad"),(AK19-(+AK19*AE20)),IF(AB20="Probabilidad",(T19-(+T19*AE20)),IF(AB20="Impacto",AK19,""))),"")</f>
        <v>0.33599999999999997</v>
      </c>
      <c r="AJ20" s="182" t="str">
        <f t="shared" si="2"/>
        <v>Baja</v>
      </c>
      <c r="AK20" s="180">
        <f t="shared" ref="AK20:AK24" si="10">+AI20</f>
        <v>0.33599999999999997</v>
      </c>
      <c r="AL20" s="182" t="str">
        <f t="shared" si="4"/>
        <v>Menor</v>
      </c>
      <c r="AM20" s="180">
        <f t="shared" ref="AM20" si="11">IFERROR(IF(AND(AB19="Impacto",AB20="Impacto"),(AM19-(+AM19*AE20)),IF(AB20="Impacto",($X$13-(+$X$13*AE20)),IF(AB20="Probabilidad",AM19,""))),"")</f>
        <v>0.4</v>
      </c>
      <c r="AN20" s="183" t="str">
        <f t="shared" ref="AN20:AN21" si="12">IFERROR(IF(OR(AND(AJ20="Muy Baja",AL20="Leve"),AND(AJ20="Muy Baja",AL20="Menor"),AND(AJ20="Baja",AL20="Leve")),"Bajo",IF(OR(AND(AJ20="Muy baja",AL20="Moderado"),AND(AJ20="Baja",AL20="Menor"),AND(AJ20="Baja",AL20="Moderado"),AND(AJ20="Media",AL20="Leve"),AND(AJ20="Media",AL20="Menor"),AND(AJ20="Media",AL20="Moderado"),AND(AJ20="Alta",AL20="Leve"),AND(AJ20="Alta",AL20="Menor")),"Moderado",IF(OR(AND(AJ20="Muy Baja",AL20="Mayor"),AND(AJ20="Baja",AL20="Mayor"),AND(AJ20="Media",AL20="Mayor"),AND(AJ20="Alta",AL20="Moderado"),AND(AJ20="Alta",AL20="Mayor"),AND(AJ20="Muy Alta",AL20="Leve"),AND(AJ20="Muy Alta",AL20="Menor"),AND(AJ20="Muy Alta",AL20="Moderado"),AND(AJ20="Muy Alta",AL20="Mayor")),"Alto",IF(OR(AND(AJ20="Muy Baja",AL20="Catastrófico"),AND(AJ20="Baja",AL20="Catastrófico"),AND(AJ20="Media",AL20="Catastrófico"),AND(AJ20="Alta",AL20="Catastrófico"),AND(AJ20="Muy Alta",AL20="Catastrófico")),"Extremo","")))),"")</f>
        <v>Moderado</v>
      </c>
      <c r="AO20" s="184" t="s">
        <v>109</v>
      </c>
      <c r="AP20" s="175" t="s">
        <v>436</v>
      </c>
      <c r="AQ20" s="175" t="s">
        <v>434</v>
      </c>
      <c r="AR20" s="175" t="s">
        <v>421</v>
      </c>
      <c r="AS20" s="251" t="s">
        <v>435</v>
      </c>
      <c r="AT20" s="339"/>
      <c r="AU20" s="329"/>
      <c r="AV20" s="329"/>
    </row>
    <row r="21" spans="1:48" ht="195" x14ac:dyDescent="0.2">
      <c r="A21" s="328"/>
      <c r="B21" s="329"/>
      <c r="C21" s="329"/>
      <c r="D21" s="329"/>
      <c r="E21" s="372"/>
      <c r="F21" s="329"/>
      <c r="G21" s="343"/>
      <c r="H21" s="343"/>
      <c r="I21" s="343"/>
      <c r="J21" s="343"/>
      <c r="K21" s="343"/>
      <c r="L21" s="343"/>
      <c r="M21" s="343"/>
      <c r="N21" s="343"/>
      <c r="O21" s="343"/>
      <c r="P21" s="343"/>
      <c r="Q21" s="343"/>
      <c r="R21" s="339"/>
      <c r="S21" s="340"/>
      <c r="T21" s="341"/>
      <c r="U21" s="359"/>
      <c r="V21" s="341">
        <f>IF(NOT(ISERROR(MATCH(U21,_xlfn.ANCHORARRAY(E32),0))),T34&amp;"Por favor no seleccionar los criterios de impacto",U21)</f>
        <v>0</v>
      </c>
      <c r="W21" s="340"/>
      <c r="X21" s="341"/>
      <c r="Y21" s="358"/>
      <c r="Z21" s="203">
        <v>3</v>
      </c>
      <c r="AA21" s="177" t="s">
        <v>432</v>
      </c>
      <c r="AB21" s="178" t="str">
        <f>IF(OR(AC21="Preventivo",AC21="Detectivo"),"Probabilidad",IF(AC21="Correctivo","Impacto",""))</f>
        <v>Probabilidad</v>
      </c>
      <c r="AC21" s="179" t="s">
        <v>245</v>
      </c>
      <c r="AD21" s="179" t="s">
        <v>241</v>
      </c>
      <c r="AE21" s="180" t="str">
        <f t="shared" si="9"/>
        <v>30%</v>
      </c>
      <c r="AF21" s="179" t="s">
        <v>246</v>
      </c>
      <c r="AG21" s="179" t="s">
        <v>243</v>
      </c>
      <c r="AH21" s="179" t="s">
        <v>244</v>
      </c>
      <c r="AI21" s="253">
        <f>IFERROR(IF(AND(AB20="Probabilidad",AB21="Probabilidad"),(AK20-(+AK20*AE21)),IF(AND(AB20="Impacto",AB21="Probabilidad"),(AK19-(+AK19*AE21)),IF(AB21="Impacto",AK20,""))),"")</f>
        <v>0.23519999999999996</v>
      </c>
      <c r="AJ21" s="182" t="str">
        <f t="shared" si="2"/>
        <v>Baja</v>
      </c>
      <c r="AK21" s="180">
        <f t="shared" si="10"/>
        <v>0.23519999999999996</v>
      </c>
      <c r="AL21" s="182" t="str">
        <f t="shared" si="4"/>
        <v>Menor</v>
      </c>
      <c r="AM21" s="180">
        <f t="shared" ref="AM21:AM72" si="13">IFERROR(IF(AND(AB20="Impacto",AB21="Impacto"),(AM20-(+AM20*AE21)),IF(AND(AB20="Probabilidad",AB21="Impacto"),(AM19-(+AM19*AE21)),IF(AB21="Probabilidad",AM20,""))),"")</f>
        <v>0.4</v>
      </c>
      <c r="AN21" s="183" t="str">
        <f t="shared" si="12"/>
        <v>Moderado</v>
      </c>
      <c r="AO21" s="184" t="s">
        <v>109</v>
      </c>
      <c r="AP21" s="175" t="s">
        <v>437</v>
      </c>
      <c r="AQ21" s="175" t="s">
        <v>434</v>
      </c>
      <c r="AR21" s="175" t="s">
        <v>421</v>
      </c>
      <c r="AS21" s="251" t="s">
        <v>435</v>
      </c>
      <c r="AT21" s="339"/>
      <c r="AU21" s="329"/>
      <c r="AV21" s="329"/>
    </row>
    <row r="22" spans="1:48" ht="37.5" customHeight="1" x14ac:dyDescent="0.2">
      <c r="A22" s="328"/>
      <c r="B22" s="329"/>
      <c r="C22" s="329"/>
      <c r="D22" s="329"/>
      <c r="E22" s="372"/>
      <c r="F22" s="329"/>
      <c r="G22" s="343"/>
      <c r="H22" s="343"/>
      <c r="I22" s="343"/>
      <c r="J22" s="343"/>
      <c r="K22" s="343"/>
      <c r="L22" s="343"/>
      <c r="M22" s="343"/>
      <c r="N22" s="343"/>
      <c r="O22" s="343"/>
      <c r="P22" s="343"/>
      <c r="Q22" s="343"/>
      <c r="R22" s="339"/>
      <c r="S22" s="340"/>
      <c r="T22" s="341"/>
      <c r="U22" s="359"/>
      <c r="V22" s="341">
        <f>IF(NOT(ISERROR(MATCH(U22,_xlfn.ANCHORARRAY(E33),0))),T35&amp;"Por favor no seleccionar los criterios de impacto",U22)</f>
        <v>0</v>
      </c>
      <c r="W22" s="340"/>
      <c r="X22" s="341"/>
      <c r="Y22" s="358"/>
      <c r="Z22" s="203">
        <v>4</v>
      </c>
      <c r="AA22" s="176"/>
      <c r="AB22" s="178" t="str">
        <f t="shared" ref="AB22:AB24" si="14">IF(OR(AC22="Preventivo",AC22="Detectivo"),"Probabilidad",IF(AC22="Correctivo","Impacto",""))</f>
        <v/>
      </c>
      <c r="AC22" s="179"/>
      <c r="AD22" s="179"/>
      <c r="AE22" s="180" t="str">
        <f t="shared" si="9"/>
        <v/>
      </c>
      <c r="AF22" s="179"/>
      <c r="AG22" s="179"/>
      <c r="AH22" s="179"/>
      <c r="AI22" s="253" t="str">
        <f t="shared" ref="AI22:AI24" si="15">IFERROR(IF(AND(AB21="Probabilidad",AB22="Probabilidad"),(AK21-(+AK21*AE22)),IF(AND(AB21="Impacto",AB22="Probabilidad"),(AK20-(+AK20*AE22)),IF(AB22="Impacto",AK21,""))),"")</f>
        <v/>
      </c>
      <c r="AJ22" s="182" t="str">
        <f t="shared" si="2"/>
        <v/>
      </c>
      <c r="AK22" s="180" t="str">
        <f t="shared" si="10"/>
        <v/>
      </c>
      <c r="AL22" s="182" t="str">
        <f t="shared" si="4"/>
        <v/>
      </c>
      <c r="AM22" s="180" t="str">
        <f t="shared" si="13"/>
        <v/>
      </c>
      <c r="AN22" s="183" t="str">
        <f>IFERROR(IF(OR(AND(AJ22="Muy Baja",AL22="Leve"),AND(AJ22="Muy Baja",AL22="Menor"),AND(AJ22="Baja",AL22="Leve")),"Bajo",IF(OR(AND(AJ22="Muy baja",AL22="Moderado"),AND(AJ22="Baja",AL22="Menor"),AND(AJ22="Baja",AL22="Moderado"),AND(AJ22="Media",AL22="Leve"),AND(AJ22="Media",AL22="Menor"),AND(AJ22="Media",AL22="Moderado"),AND(AJ22="Alta",AL22="Leve"),AND(AJ22="Alta",AL22="Menor")),"Moderado",IF(OR(AND(AJ22="Muy Baja",AL22="Mayor"),AND(AJ22="Baja",AL22="Mayor"),AND(AJ22="Media",AL22="Mayor"),AND(AJ22="Alta",AL22="Moderado"),AND(AJ22="Alta",AL22="Mayor"),AND(AJ22="Muy Alta",AL22="Leve"),AND(AJ22="Muy Alta",AL22="Menor"),AND(AJ22="Muy Alta",AL22="Moderado"),AND(AJ22="Muy Alta",AL22="Mayor")),"Alto",IF(OR(AND(AJ22="Muy Baja",AL22="Catastrófico"),AND(AJ22="Baja",AL22="Catastrófico"),AND(AJ22="Media",AL22="Catastrófico"),AND(AJ22="Alta",AL22="Catastrófico"),AND(AJ22="Muy Alta",AL22="Catastrófico")),"Extremo","")))),"")</f>
        <v/>
      </c>
      <c r="AO22" s="184"/>
      <c r="AP22" s="175"/>
      <c r="AQ22" s="175"/>
      <c r="AR22" s="175"/>
      <c r="AS22" s="251"/>
      <c r="AT22" s="339"/>
      <c r="AU22" s="329"/>
      <c r="AV22" s="329"/>
    </row>
    <row r="23" spans="1:48" ht="37.5" customHeight="1" x14ac:dyDescent="0.2">
      <c r="A23" s="328"/>
      <c r="B23" s="329"/>
      <c r="C23" s="329"/>
      <c r="D23" s="329"/>
      <c r="E23" s="372"/>
      <c r="F23" s="329"/>
      <c r="G23" s="343"/>
      <c r="H23" s="343"/>
      <c r="I23" s="343"/>
      <c r="J23" s="343"/>
      <c r="K23" s="343"/>
      <c r="L23" s="343"/>
      <c r="M23" s="343"/>
      <c r="N23" s="343"/>
      <c r="O23" s="343"/>
      <c r="P23" s="343"/>
      <c r="Q23" s="343"/>
      <c r="R23" s="339"/>
      <c r="S23" s="340"/>
      <c r="T23" s="341"/>
      <c r="U23" s="359"/>
      <c r="V23" s="341">
        <f>IF(NOT(ISERROR(MATCH(U23,_xlfn.ANCHORARRAY(E34),0))),T36&amp;"Por favor no seleccionar los criterios de impacto",U23)</f>
        <v>0</v>
      </c>
      <c r="W23" s="340"/>
      <c r="X23" s="341"/>
      <c r="Y23" s="358"/>
      <c r="Z23" s="203">
        <v>5</v>
      </c>
      <c r="AA23" s="176"/>
      <c r="AB23" s="178" t="str">
        <f t="shared" si="14"/>
        <v/>
      </c>
      <c r="AC23" s="179"/>
      <c r="AD23" s="179"/>
      <c r="AE23" s="180" t="str">
        <f t="shared" si="9"/>
        <v/>
      </c>
      <c r="AF23" s="179"/>
      <c r="AG23" s="179"/>
      <c r="AH23" s="179"/>
      <c r="AI23" s="253" t="str">
        <f t="shared" si="15"/>
        <v/>
      </c>
      <c r="AJ23" s="182" t="str">
        <f t="shared" si="2"/>
        <v/>
      </c>
      <c r="AK23" s="180" t="str">
        <f t="shared" si="10"/>
        <v/>
      </c>
      <c r="AL23" s="182" t="str">
        <f t="shared" si="4"/>
        <v/>
      </c>
      <c r="AM23" s="180" t="str">
        <f t="shared" si="13"/>
        <v/>
      </c>
      <c r="AN23" s="183" t="str">
        <f t="shared" ref="AN23:AN24" si="16">IFERROR(IF(OR(AND(AJ23="Muy Baja",AL23="Leve"),AND(AJ23="Muy Baja",AL23="Menor"),AND(AJ23="Baja",AL23="Leve")),"Bajo",IF(OR(AND(AJ23="Muy baja",AL23="Moderado"),AND(AJ23="Baja",AL23="Menor"),AND(AJ23="Baja",AL23="Moderado"),AND(AJ23="Media",AL23="Leve"),AND(AJ23="Media",AL23="Menor"),AND(AJ23="Media",AL23="Moderado"),AND(AJ23="Alta",AL23="Leve"),AND(AJ23="Alta",AL23="Menor")),"Moderado",IF(OR(AND(AJ23="Muy Baja",AL23="Mayor"),AND(AJ23="Baja",AL23="Mayor"),AND(AJ23="Media",AL23="Mayor"),AND(AJ23="Alta",AL23="Moderado"),AND(AJ23="Alta",AL23="Mayor"),AND(AJ23="Muy Alta",AL23="Leve"),AND(AJ23="Muy Alta",AL23="Menor"),AND(AJ23="Muy Alta",AL23="Moderado"),AND(AJ23="Muy Alta",AL23="Mayor")),"Alto",IF(OR(AND(AJ23="Muy Baja",AL23="Catastrófico"),AND(AJ23="Baja",AL23="Catastrófico"),AND(AJ23="Media",AL23="Catastrófico"),AND(AJ23="Alta",AL23="Catastrófico"),AND(AJ23="Muy Alta",AL23="Catastrófico")),"Extremo","")))),"")</f>
        <v/>
      </c>
      <c r="AO23" s="184"/>
      <c r="AP23" s="175"/>
      <c r="AQ23" s="175"/>
      <c r="AR23" s="175"/>
      <c r="AS23" s="251"/>
      <c r="AT23" s="339"/>
      <c r="AU23" s="329"/>
      <c r="AV23" s="329"/>
    </row>
    <row r="24" spans="1:48" ht="37.5" customHeight="1" x14ac:dyDescent="0.2">
      <c r="A24" s="328"/>
      <c r="B24" s="329"/>
      <c r="C24" s="329"/>
      <c r="D24" s="329"/>
      <c r="E24" s="372"/>
      <c r="F24" s="329"/>
      <c r="G24" s="344"/>
      <c r="H24" s="344"/>
      <c r="I24" s="344"/>
      <c r="J24" s="344"/>
      <c r="K24" s="344"/>
      <c r="L24" s="344"/>
      <c r="M24" s="344"/>
      <c r="N24" s="344"/>
      <c r="O24" s="344"/>
      <c r="P24" s="344"/>
      <c r="Q24" s="344"/>
      <c r="R24" s="339"/>
      <c r="S24" s="340"/>
      <c r="T24" s="341"/>
      <c r="U24" s="359"/>
      <c r="V24" s="341">
        <f>IF(NOT(ISERROR(MATCH(U24,_xlfn.ANCHORARRAY(E35),0))),T37&amp;"Por favor no seleccionar los criterios de impacto",U24)</f>
        <v>0</v>
      </c>
      <c r="W24" s="340"/>
      <c r="X24" s="341"/>
      <c r="Y24" s="358"/>
      <c r="Z24" s="203">
        <v>6</v>
      </c>
      <c r="AA24" s="176"/>
      <c r="AB24" s="178" t="str">
        <f t="shared" si="14"/>
        <v/>
      </c>
      <c r="AC24" s="179"/>
      <c r="AD24" s="179"/>
      <c r="AE24" s="180" t="str">
        <f t="shared" si="9"/>
        <v/>
      </c>
      <c r="AF24" s="179"/>
      <c r="AG24" s="179"/>
      <c r="AH24" s="179"/>
      <c r="AI24" s="253" t="str">
        <f t="shared" si="15"/>
        <v/>
      </c>
      <c r="AJ24" s="182" t="str">
        <f t="shared" si="2"/>
        <v/>
      </c>
      <c r="AK24" s="180" t="str">
        <f t="shared" si="10"/>
        <v/>
      </c>
      <c r="AL24" s="182" t="str">
        <f t="shared" si="4"/>
        <v/>
      </c>
      <c r="AM24" s="180" t="str">
        <f t="shared" si="13"/>
        <v/>
      </c>
      <c r="AN24" s="183" t="str">
        <f t="shared" si="16"/>
        <v/>
      </c>
      <c r="AO24" s="184"/>
      <c r="AP24" s="175"/>
      <c r="AQ24" s="175"/>
      <c r="AR24" s="175"/>
      <c r="AS24" s="251"/>
      <c r="AT24" s="339"/>
      <c r="AU24" s="329"/>
      <c r="AV24" s="329"/>
    </row>
    <row r="25" spans="1:48" ht="195" x14ac:dyDescent="0.2">
      <c r="A25" s="328">
        <v>3</v>
      </c>
      <c r="B25" s="329" t="s">
        <v>108</v>
      </c>
      <c r="C25" s="329" t="s">
        <v>438</v>
      </c>
      <c r="D25" s="329" t="s">
        <v>439</v>
      </c>
      <c r="E25" s="372" t="s">
        <v>440</v>
      </c>
      <c r="F25" s="329" t="s">
        <v>140</v>
      </c>
      <c r="G25" s="342" t="s">
        <v>379</v>
      </c>
      <c r="H25" s="342" t="s">
        <v>441</v>
      </c>
      <c r="I25" s="342" t="s">
        <v>147</v>
      </c>
      <c r="J25" s="342" t="s">
        <v>442</v>
      </c>
      <c r="K25" s="342" t="s">
        <v>113</v>
      </c>
      <c r="L25" s="342" t="s">
        <v>544</v>
      </c>
      <c r="M25" s="342" t="s">
        <v>539</v>
      </c>
      <c r="N25" s="342" t="s">
        <v>540</v>
      </c>
      <c r="O25" s="342" t="s">
        <v>545</v>
      </c>
      <c r="P25" s="342" t="s">
        <v>117</v>
      </c>
      <c r="Q25" s="342" t="s">
        <v>131</v>
      </c>
      <c r="R25" s="339">
        <v>5001</v>
      </c>
      <c r="S25" s="340" t="str">
        <f>IF(R25&lt;=0,"",IF(R25&lt;=2,"Muy Baja",IF(R25&lt;=24,"Baja",IF(R25&lt;=500,"Media",IF(R25&lt;=5000,"Alta","Muy Alta")))))</f>
        <v>Muy Alta</v>
      </c>
      <c r="T25" s="341">
        <f>IF(S25="","",IF(S25="Muy Baja",0.2,IF(S25="Baja",0.4,IF(S25="Media",0.6,IF(S25="Alta",0.8,IF(S25="Muy Alta",1,))))))</f>
        <v>1</v>
      </c>
      <c r="U25" s="359" t="s">
        <v>239</v>
      </c>
      <c r="V25" s="341" t="str">
        <f>IF(NOT(ISERROR(MATCH(U25,'Tabla Impacto'!$B$222:$B$224,0))),'Tabla Impacto'!$F$224&amp;"Por favor no seleccionar los criterios de impacto(Afectación Económica o presupuestal y Pérdida Reputacional)",U25)</f>
        <v xml:space="preserve">     El riesgo afecta la imagen de la entidad con algunos usuarios de relevancia frente al logro de los objetivos</v>
      </c>
      <c r="W25" s="340" t="str">
        <f>IF(OR(V25='Tabla Impacto'!$C$12,V25='Tabla Impacto'!$D$12),"Leve",IF(OR(V25='Tabla Impacto'!$C$13,V25='Tabla Impacto'!$D$13),"Menor",IF(OR(V25='Tabla Impacto'!$C$14,V25='Tabla Impacto'!$D$14),"Moderado",IF(OR(V25='Tabla Impacto'!$C$15,V25='Tabla Impacto'!$D$15),"Mayor",IF(OR(V25='Tabla Impacto'!$C$16,V25='Tabla Impacto'!$D$16),"Catastrófico","")))))</f>
        <v>Moderado</v>
      </c>
      <c r="X25" s="341">
        <f>IF(W25="","",IF(W25="Leve",0.2,IF(W25="Menor",0.4,IF(W25="Moderado",0.6,IF(W25="Mayor",0.8,IF(W25="Catastrófico",1,))))))</f>
        <v>0.6</v>
      </c>
      <c r="Y25" s="358" t="str">
        <f>IF(OR(AND(S25="Muy Baja",W25="Leve"),AND(S25="Muy Baja",W25="Menor"),AND(S25="Baja",W25="Leve")),"Bajo",IF(OR(AND(S25="Muy baja",W25="Moderado"),AND(S25="Baja",W25="Menor"),AND(S25="Baja",W25="Moderado"),AND(S25="Media",W25="Leve"),AND(S25="Media",W25="Menor"),AND(S25="Media",W25="Moderado"),AND(S25="Alta",W25="Leve"),AND(S25="Alta",W25="Menor")),"Moderado",IF(OR(AND(S25="Muy Baja",W25="Mayor"),AND(S25="Baja",W25="Mayor"),AND(S25="Media",W25="Mayor"),AND(S25="Alta",W25="Moderado"),AND(S25="Alta",W25="Mayor"),AND(S25="Muy Alta",W25="Leve"),AND(S25="Muy Alta",W25="Menor"),AND(S25="Muy Alta",W25="Moderado"),AND(S25="Muy Alta",W25="Mayor")),"Alto",IF(OR(AND(S25="Muy Baja",W25="Catastrófico"),AND(S25="Baja",W25="Catastrófico"),AND(S25="Media",W25="Catastrófico"),AND(S25="Alta",W25="Catastrófico"),AND(S25="Muy Alta",W25="Catastrófico")),"Extremo",""))))</f>
        <v>Alto</v>
      </c>
      <c r="Z25" s="203">
        <v>1</v>
      </c>
      <c r="AA25" s="176" t="s">
        <v>443</v>
      </c>
      <c r="AB25" s="178" t="str">
        <f>IF(OR(AC25="Preventivo",AC25="Detectivo"),"Probabilidad",IF(AC25="Correctivo","Impacto",""))</f>
        <v>Probabilidad</v>
      </c>
      <c r="AC25" s="179" t="s">
        <v>245</v>
      </c>
      <c r="AD25" s="179" t="s">
        <v>241</v>
      </c>
      <c r="AE25" s="180" t="str">
        <f>IF(AND(AC25="Preventivo",AD25="Automático"),"50%",IF(AND(AC25="Preventivo",AD25="Manual"),"40%",IF(AND(AC25="Detectivo",AD25="Automático"),"40%",IF(AND(AC25="Detectivo",AD25="Manual"),"30%",IF(AND(AC25="Correctivo",AD25="Automático"),"35%",IF(AND(AC25="Correctivo",AD25="Manual"),"25%",""))))))</f>
        <v>30%</v>
      </c>
      <c r="AF25" s="179" t="s">
        <v>246</v>
      </c>
      <c r="AG25" s="179" t="s">
        <v>243</v>
      </c>
      <c r="AH25" s="179" t="s">
        <v>244</v>
      </c>
      <c r="AI25" s="253">
        <f>IFERROR(IF(AB25="Probabilidad",(T25-(+T25*AE25)),IF(AB25="Impacto",T25,"")),"")</f>
        <v>0.7</v>
      </c>
      <c r="AJ25" s="182" t="str">
        <f>IFERROR(IF(AI25="","",IF(AI25&lt;=0.2,"Muy Baja",IF(AI25&lt;=0.4,"Baja",IF(AI25&lt;=0.6,"Media",IF(AI25&lt;=0.8,"Alta","Muy Alta"))))),"")</f>
        <v>Alta</v>
      </c>
      <c r="AK25" s="180">
        <f>+AI25</f>
        <v>0.7</v>
      </c>
      <c r="AL25" s="182" t="str">
        <f>IFERROR(IF(AM25="","",IF(AM25&lt;=0.2,"Leve",IF(AM25&lt;=0.4,"Menor",IF(AM25&lt;=0.6,"Moderado",IF(AM25&lt;=0.8,"Mayor","Catastrófico"))))),"")</f>
        <v>Moderado</v>
      </c>
      <c r="AM25" s="180">
        <f t="shared" ref="AM25" si="17">IFERROR(IF(AB25="Impacto",(X25-(+X25*AE25)),IF(AB25="Probabilidad",X25,"")),"")</f>
        <v>0.6</v>
      </c>
      <c r="AN25" s="183" t="str">
        <f>IFERROR(IF(OR(AND(AJ25="Muy Baja",AL25="Leve"),AND(AJ25="Muy Baja",AL25="Menor"),AND(AJ25="Baja",AL25="Leve")),"Bajo",IF(OR(AND(AJ25="Muy baja",AL25="Moderado"),AND(AJ25="Baja",AL25="Menor"),AND(AJ25="Baja",AL25="Moderado"),AND(AJ25="Media",AL25="Leve"),AND(AJ25="Media",AL25="Menor"),AND(AJ25="Media",AL25="Moderado"),AND(AJ25="Alta",AL25="Leve"),AND(AJ25="Alta",AL25="Menor")),"Moderado",IF(OR(AND(AJ25="Muy Baja",AL25="Mayor"),AND(AJ25="Baja",AL25="Mayor"),AND(AJ25="Media",AL25="Mayor"),AND(AJ25="Alta",AL25="Moderado"),AND(AJ25="Alta",AL25="Mayor"),AND(AJ25="Muy Alta",AL25="Leve"),AND(AJ25="Muy Alta",AL25="Menor"),AND(AJ25="Muy Alta",AL25="Moderado"),AND(AJ25="Muy Alta",AL25="Mayor")),"Alto",IF(OR(AND(AJ25="Muy Baja",AL25="Catastrófico"),AND(AJ25="Baja",AL25="Catastrófico"),AND(AJ25="Media",AL25="Catastrófico"),AND(AJ25="Alta",AL25="Catastrófico"),AND(AJ25="Muy Alta",AL25="Catastrófico")),"Extremo","")))),"")</f>
        <v>Alto</v>
      </c>
      <c r="AO25" s="184" t="s">
        <v>109</v>
      </c>
      <c r="AP25" s="175" t="s">
        <v>445</v>
      </c>
      <c r="AQ25" s="175" t="s">
        <v>434</v>
      </c>
      <c r="AR25" s="175" t="s">
        <v>421</v>
      </c>
      <c r="AS25" s="251" t="s">
        <v>435</v>
      </c>
      <c r="AT25" s="329" t="s">
        <v>447</v>
      </c>
      <c r="AU25" s="329" t="s">
        <v>448</v>
      </c>
      <c r="AV25" s="329" t="s">
        <v>449</v>
      </c>
    </row>
    <row r="26" spans="1:48" ht="210" x14ac:dyDescent="0.2">
      <c r="A26" s="328"/>
      <c r="B26" s="329"/>
      <c r="C26" s="329"/>
      <c r="D26" s="329"/>
      <c r="E26" s="372"/>
      <c r="F26" s="329"/>
      <c r="G26" s="343"/>
      <c r="H26" s="343"/>
      <c r="I26" s="343"/>
      <c r="J26" s="343"/>
      <c r="K26" s="343"/>
      <c r="L26" s="343"/>
      <c r="M26" s="343"/>
      <c r="N26" s="343"/>
      <c r="O26" s="343"/>
      <c r="P26" s="343"/>
      <c r="Q26" s="343"/>
      <c r="R26" s="339"/>
      <c r="S26" s="340"/>
      <c r="T26" s="341"/>
      <c r="U26" s="359"/>
      <c r="V26" s="341">
        <f>IF(NOT(ISERROR(MATCH(U26,_xlfn.ANCHORARRAY(E37),0))),T39&amp;"Por favor no seleccionar los criterios de impacto",U26)</f>
        <v>0</v>
      </c>
      <c r="W26" s="340"/>
      <c r="X26" s="341"/>
      <c r="Y26" s="358"/>
      <c r="Z26" s="203">
        <v>2</v>
      </c>
      <c r="AA26" s="176" t="s">
        <v>444</v>
      </c>
      <c r="AB26" s="178" t="str">
        <f>IF(OR(AC26="Preventivo",AC26="Detectivo"),"Probabilidad",IF(AC26="Correctivo","Impacto",""))</f>
        <v>Impacto</v>
      </c>
      <c r="AC26" s="179" t="s">
        <v>267</v>
      </c>
      <c r="AD26" s="179" t="s">
        <v>241</v>
      </c>
      <c r="AE26" s="180" t="str">
        <f t="shared" ref="AE26:AE30" si="18">IF(AND(AC26="Preventivo",AD26="Automático"),"50%",IF(AND(AC26="Preventivo",AD26="Manual"),"40%",IF(AND(AC26="Detectivo",AD26="Automático"),"40%",IF(AND(AC26="Detectivo",AD26="Manual"),"30%",IF(AND(AC26="Correctivo",AD26="Automático"),"35%",IF(AND(AC26="Correctivo",AD26="Manual"),"25%",""))))))</f>
        <v>25%</v>
      </c>
      <c r="AF26" s="179" t="s">
        <v>246</v>
      </c>
      <c r="AG26" s="179" t="s">
        <v>243</v>
      </c>
      <c r="AH26" s="179" t="s">
        <v>244</v>
      </c>
      <c r="AI26" s="253">
        <f>IFERROR(IF(AND(AB25="Probabilidad",AB26="Probabilidad"),(AK25-(+AK25*AE26)),IF(AB26="Probabilidad",(T25-(+T25*AE26)),IF(AB26="Impacto",AK25,""))),"")</f>
        <v>0.7</v>
      </c>
      <c r="AJ26" s="182" t="str">
        <f t="shared" si="2"/>
        <v>Alta</v>
      </c>
      <c r="AK26" s="180">
        <f t="shared" ref="AK26:AK30" si="19">+AI26</f>
        <v>0.7</v>
      </c>
      <c r="AL26" s="182" t="str">
        <f t="shared" si="4"/>
        <v>Moderado</v>
      </c>
      <c r="AM26" s="180">
        <f t="shared" ref="AM26" si="20">IFERROR(IF(AND(AB25="Impacto",AB26="Impacto"),(AM25-(+AM25*AE26)),IF(AB26="Impacto",($X$13-(+$X$13*AE26)),IF(AB26="Probabilidad",AM25,""))),"")</f>
        <v>0.44999999999999996</v>
      </c>
      <c r="AN26" s="183" t="str">
        <f t="shared" ref="AN26:AN27" si="21">IFERROR(IF(OR(AND(AJ26="Muy Baja",AL26="Leve"),AND(AJ26="Muy Baja",AL26="Menor"),AND(AJ26="Baja",AL26="Leve")),"Bajo",IF(OR(AND(AJ26="Muy baja",AL26="Moderado"),AND(AJ26="Baja",AL26="Menor"),AND(AJ26="Baja",AL26="Moderado"),AND(AJ26="Media",AL26="Leve"),AND(AJ26="Media",AL26="Menor"),AND(AJ26="Media",AL26="Moderado"),AND(AJ26="Alta",AL26="Leve"),AND(AJ26="Alta",AL26="Menor")),"Moderado",IF(OR(AND(AJ26="Muy Baja",AL26="Mayor"),AND(AJ26="Baja",AL26="Mayor"),AND(AJ26="Media",AL26="Mayor"),AND(AJ26="Alta",AL26="Moderado"),AND(AJ26="Alta",AL26="Mayor"),AND(AJ26="Muy Alta",AL26="Leve"),AND(AJ26="Muy Alta",AL26="Menor"),AND(AJ26="Muy Alta",AL26="Moderado"),AND(AJ26="Muy Alta",AL26="Mayor")),"Alto",IF(OR(AND(AJ26="Muy Baja",AL26="Catastrófico"),AND(AJ26="Baja",AL26="Catastrófico"),AND(AJ26="Media",AL26="Catastrófico"),AND(AJ26="Alta",AL26="Catastrófico"),AND(AJ26="Muy Alta",AL26="Catastrófico")),"Extremo","")))),"")</f>
        <v>Alto</v>
      </c>
      <c r="AO26" s="184" t="s">
        <v>109</v>
      </c>
      <c r="AP26" s="175" t="s">
        <v>446</v>
      </c>
      <c r="AQ26" s="175" t="s">
        <v>564</v>
      </c>
      <c r="AR26" s="175" t="s">
        <v>421</v>
      </c>
      <c r="AS26" s="251" t="s">
        <v>424</v>
      </c>
      <c r="AT26" s="329"/>
      <c r="AU26" s="329"/>
      <c r="AV26" s="329"/>
    </row>
    <row r="27" spans="1:48" ht="37.5" customHeight="1" x14ac:dyDescent="0.2">
      <c r="A27" s="328"/>
      <c r="B27" s="329"/>
      <c r="C27" s="329"/>
      <c r="D27" s="329"/>
      <c r="E27" s="372"/>
      <c r="F27" s="329"/>
      <c r="G27" s="343"/>
      <c r="H27" s="343"/>
      <c r="I27" s="343"/>
      <c r="J27" s="343"/>
      <c r="K27" s="343"/>
      <c r="L27" s="343"/>
      <c r="M27" s="343"/>
      <c r="N27" s="343"/>
      <c r="O27" s="343"/>
      <c r="P27" s="343"/>
      <c r="Q27" s="343"/>
      <c r="R27" s="339"/>
      <c r="S27" s="340"/>
      <c r="T27" s="341"/>
      <c r="U27" s="359"/>
      <c r="V27" s="341">
        <f>IF(NOT(ISERROR(MATCH(U27,_xlfn.ANCHORARRAY(E38),0))),T40&amp;"Por favor no seleccionar los criterios de impacto",U27)</f>
        <v>0</v>
      </c>
      <c r="W27" s="340"/>
      <c r="X27" s="341"/>
      <c r="Y27" s="358"/>
      <c r="Z27" s="203">
        <v>3</v>
      </c>
      <c r="AA27" s="176"/>
      <c r="AB27" s="178" t="str">
        <f>IF(OR(AC27="Preventivo",AC27="Detectivo"),"Probabilidad",IF(AC27="Correctivo","Impacto",""))</f>
        <v/>
      </c>
      <c r="AC27" s="179"/>
      <c r="AD27" s="179"/>
      <c r="AE27" s="180" t="str">
        <f t="shared" si="18"/>
        <v/>
      </c>
      <c r="AF27" s="179"/>
      <c r="AG27" s="179"/>
      <c r="AH27" s="179"/>
      <c r="AI27" s="181" t="str">
        <f>IFERROR(IF(AND(AB26="Probabilidad",AB27="Probabilidad"),(AK26-(+AK26*AE27)),IF(AND(AB26="Impacto",AB27="Probabilidad"),(AK25-(+AK25*AE27)),IF(AB27="Impacto",AK26,""))),"")</f>
        <v/>
      </c>
      <c r="AJ27" s="182" t="str">
        <f t="shared" si="2"/>
        <v/>
      </c>
      <c r="AK27" s="180" t="str">
        <f t="shared" si="19"/>
        <v/>
      </c>
      <c r="AL27" s="182" t="str">
        <f t="shared" si="4"/>
        <v/>
      </c>
      <c r="AM27" s="180" t="str">
        <f t="shared" ref="AM27" si="22">IFERROR(IF(AND(AB26="Impacto",AB27="Impacto"),(AM26-(+AM26*AE27)),IF(AND(AB26="Probabilidad",AB27="Impacto"),(AM25-(+AM25*AE27)),IF(AB27="Probabilidad",AM26,""))),"")</f>
        <v/>
      </c>
      <c r="AN27" s="183" t="str">
        <f t="shared" si="21"/>
        <v/>
      </c>
      <c r="AO27" s="184"/>
      <c r="AP27" s="175"/>
      <c r="AQ27" s="175"/>
      <c r="AR27" s="175"/>
      <c r="AS27" s="251"/>
      <c r="AT27" s="329"/>
      <c r="AU27" s="329"/>
      <c r="AV27" s="329"/>
    </row>
    <row r="28" spans="1:48" ht="37.5" customHeight="1" x14ac:dyDescent="0.2">
      <c r="A28" s="328"/>
      <c r="B28" s="329"/>
      <c r="C28" s="329"/>
      <c r="D28" s="329"/>
      <c r="E28" s="372"/>
      <c r="F28" s="329"/>
      <c r="G28" s="343"/>
      <c r="H28" s="343"/>
      <c r="I28" s="343"/>
      <c r="J28" s="343"/>
      <c r="K28" s="343"/>
      <c r="L28" s="343"/>
      <c r="M28" s="343"/>
      <c r="N28" s="343"/>
      <c r="O28" s="343"/>
      <c r="P28" s="343"/>
      <c r="Q28" s="343"/>
      <c r="R28" s="339"/>
      <c r="S28" s="340"/>
      <c r="T28" s="341"/>
      <c r="U28" s="359"/>
      <c r="V28" s="341">
        <f>IF(NOT(ISERROR(MATCH(U28,_xlfn.ANCHORARRAY(E39),0))),T41&amp;"Por favor no seleccionar los criterios de impacto",U28)</f>
        <v>0</v>
      </c>
      <c r="W28" s="340"/>
      <c r="X28" s="341"/>
      <c r="Y28" s="358"/>
      <c r="Z28" s="203">
        <v>4</v>
      </c>
      <c r="AA28" s="176"/>
      <c r="AB28" s="178" t="str">
        <f t="shared" ref="AB28:AB30" si="23">IF(OR(AC28="Preventivo",AC28="Detectivo"),"Probabilidad",IF(AC28="Correctivo","Impacto",""))</f>
        <v/>
      </c>
      <c r="AC28" s="179"/>
      <c r="AD28" s="179"/>
      <c r="AE28" s="180" t="str">
        <f t="shared" si="18"/>
        <v/>
      </c>
      <c r="AF28" s="179"/>
      <c r="AG28" s="179"/>
      <c r="AH28" s="179"/>
      <c r="AI28" s="181" t="str">
        <f t="shared" ref="AI28:AI30" si="24">IFERROR(IF(AND(AB27="Probabilidad",AB28="Probabilidad"),(AK27-(+AK27*AE28)),IF(AND(AB27="Impacto",AB28="Probabilidad"),(AK26-(+AK26*AE28)),IF(AB28="Impacto",AK27,""))),"")</f>
        <v/>
      </c>
      <c r="AJ28" s="182" t="str">
        <f t="shared" si="2"/>
        <v/>
      </c>
      <c r="AK28" s="180" t="str">
        <f t="shared" si="19"/>
        <v/>
      </c>
      <c r="AL28" s="182" t="str">
        <f t="shared" si="4"/>
        <v/>
      </c>
      <c r="AM28" s="180" t="str">
        <f t="shared" si="13"/>
        <v/>
      </c>
      <c r="AN28" s="183" t="str">
        <f>IFERROR(IF(OR(AND(AJ28="Muy Baja",AL28="Leve"),AND(AJ28="Muy Baja",AL28="Menor"),AND(AJ28="Baja",AL28="Leve")),"Bajo",IF(OR(AND(AJ28="Muy baja",AL28="Moderado"),AND(AJ28="Baja",AL28="Menor"),AND(AJ28="Baja",AL28="Moderado"),AND(AJ28="Media",AL28="Leve"),AND(AJ28="Media",AL28="Menor"),AND(AJ28="Media",AL28="Moderado"),AND(AJ28="Alta",AL28="Leve"),AND(AJ28="Alta",AL28="Menor")),"Moderado",IF(OR(AND(AJ28="Muy Baja",AL28="Mayor"),AND(AJ28="Baja",AL28="Mayor"),AND(AJ28="Media",AL28="Mayor"),AND(AJ28="Alta",AL28="Moderado"),AND(AJ28="Alta",AL28="Mayor"),AND(AJ28="Muy Alta",AL28="Leve"),AND(AJ28="Muy Alta",AL28="Menor"),AND(AJ28="Muy Alta",AL28="Moderado"),AND(AJ28="Muy Alta",AL28="Mayor")),"Alto",IF(OR(AND(AJ28="Muy Baja",AL28="Catastrófico"),AND(AJ28="Baja",AL28="Catastrófico"),AND(AJ28="Media",AL28="Catastrófico"),AND(AJ28="Alta",AL28="Catastrófico"),AND(AJ28="Muy Alta",AL28="Catastrófico")),"Extremo","")))),"")</f>
        <v/>
      </c>
      <c r="AO28" s="184"/>
      <c r="AP28" s="175"/>
      <c r="AQ28" s="175"/>
      <c r="AR28" s="175"/>
      <c r="AS28" s="251"/>
      <c r="AT28" s="329"/>
      <c r="AU28" s="329"/>
      <c r="AV28" s="329"/>
    </row>
    <row r="29" spans="1:48" ht="37.5" customHeight="1" x14ac:dyDescent="0.2">
      <c r="A29" s="328"/>
      <c r="B29" s="329"/>
      <c r="C29" s="329"/>
      <c r="D29" s="329"/>
      <c r="E29" s="372"/>
      <c r="F29" s="329"/>
      <c r="G29" s="343"/>
      <c r="H29" s="343"/>
      <c r="I29" s="343"/>
      <c r="J29" s="343"/>
      <c r="K29" s="343"/>
      <c r="L29" s="343"/>
      <c r="M29" s="343"/>
      <c r="N29" s="343"/>
      <c r="O29" s="343"/>
      <c r="P29" s="343"/>
      <c r="Q29" s="343"/>
      <c r="R29" s="339"/>
      <c r="S29" s="340"/>
      <c r="T29" s="341"/>
      <c r="U29" s="359"/>
      <c r="V29" s="341">
        <f>IF(NOT(ISERROR(MATCH(U29,_xlfn.ANCHORARRAY(E40),0))),T42&amp;"Por favor no seleccionar los criterios de impacto",U29)</f>
        <v>0</v>
      </c>
      <c r="W29" s="340"/>
      <c r="X29" s="341"/>
      <c r="Y29" s="358"/>
      <c r="Z29" s="203">
        <v>5</v>
      </c>
      <c r="AA29" s="176"/>
      <c r="AB29" s="178" t="str">
        <f t="shared" si="23"/>
        <v/>
      </c>
      <c r="AC29" s="179"/>
      <c r="AD29" s="179"/>
      <c r="AE29" s="180" t="str">
        <f t="shared" si="18"/>
        <v/>
      </c>
      <c r="AF29" s="179"/>
      <c r="AG29" s="179"/>
      <c r="AH29" s="179"/>
      <c r="AI29" s="181" t="str">
        <f t="shared" si="24"/>
        <v/>
      </c>
      <c r="AJ29" s="182" t="str">
        <f t="shared" si="2"/>
        <v/>
      </c>
      <c r="AK29" s="180" t="str">
        <f t="shared" si="19"/>
        <v/>
      </c>
      <c r="AL29" s="182" t="str">
        <f t="shared" si="4"/>
        <v/>
      </c>
      <c r="AM29" s="180" t="str">
        <f t="shared" si="13"/>
        <v/>
      </c>
      <c r="AN29" s="183" t="str">
        <f t="shared" ref="AN29:AN30" si="25">IFERROR(IF(OR(AND(AJ29="Muy Baja",AL29="Leve"),AND(AJ29="Muy Baja",AL29="Menor"),AND(AJ29="Baja",AL29="Leve")),"Bajo",IF(OR(AND(AJ29="Muy baja",AL29="Moderado"),AND(AJ29="Baja",AL29="Menor"),AND(AJ29="Baja",AL29="Moderado"),AND(AJ29="Media",AL29="Leve"),AND(AJ29="Media",AL29="Menor"),AND(AJ29="Media",AL29="Moderado"),AND(AJ29="Alta",AL29="Leve"),AND(AJ29="Alta",AL29="Menor")),"Moderado",IF(OR(AND(AJ29="Muy Baja",AL29="Mayor"),AND(AJ29="Baja",AL29="Mayor"),AND(AJ29="Media",AL29="Mayor"),AND(AJ29="Alta",AL29="Moderado"),AND(AJ29="Alta",AL29="Mayor"),AND(AJ29="Muy Alta",AL29="Leve"),AND(AJ29="Muy Alta",AL29="Menor"),AND(AJ29="Muy Alta",AL29="Moderado"),AND(AJ29="Muy Alta",AL29="Mayor")),"Alto",IF(OR(AND(AJ29="Muy Baja",AL29="Catastrófico"),AND(AJ29="Baja",AL29="Catastrófico"),AND(AJ29="Media",AL29="Catastrófico"),AND(AJ29="Alta",AL29="Catastrófico"),AND(AJ29="Muy Alta",AL29="Catastrófico")),"Extremo","")))),"")</f>
        <v/>
      </c>
      <c r="AO29" s="184"/>
      <c r="AP29" s="175"/>
      <c r="AQ29" s="175"/>
      <c r="AR29" s="175"/>
      <c r="AS29" s="251"/>
      <c r="AT29" s="329"/>
      <c r="AU29" s="329"/>
      <c r="AV29" s="329"/>
    </row>
    <row r="30" spans="1:48" ht="37.5" customHeight="1" x14ac:dyDescent="0.2">
      <c r="A30" s="328"/>
      <c r="B30" s="329"/>
      <c r="C30" s="329"/>
      <c r="D30" s="329"/>
      <c r="E30" s="372"/>
      <c r="F30" s="329"/>
      <c r="G30" s="344"/>
      <c r="H30" s="344"/>
      <c r="I30" s="344"/>
      <c r="J30" s="344"/>
      <c r="K30" s="344"/>
      <c r="L30" s="344"/>
      <c r="M30" s="344"/>
      <c r="N30" s="344"/>
      <c r="O30" s="344"/>
      <c r="P30" s="344"/>
      <c r="Q30" s="344"/>
      <c r="R30" s="339"/>
      <c r="S30" s="340"/>
      <c r="T30" s="341"/>
      <c r="U30" s="359"/>
      <c r="V30" s="341">
        <f>IF(NOT(ISERROR(MATCH(U30,_xlfn.ANCHORARRAY(E41),0))),T43&amp;"Por favor no seleccionar los criterios de impacto",U30)</f>
        <v>0</v>
      </c>
      <c r="W30" s="340"/>
      <c r="X30" s="341"/>
      <c r="Y30" s="358"/>
      <c r="Z30" s="203">
        <v>6</v>
      </c>
      <c r="AA30" s="176"/>
      <c r="AB30" s="178" t="str">
        <f t="shared" si="23"/>
        <v/>
      </c>
      <c r="AC30" s="179"/>
      <c r="AD30" s="179"/>
      <c r="AE30" s="180" t="str">
        <f t="shared" si="18"/>
        <v/>
      </c>
      <c r="AF30" s="179"/>
      <c r="AG30" s="179"/>
      <c r="AH30" s="179"/>
      <c r="AI30" s="181" t="str">
        <f t="shared" si="24"/>
        <v/>
      </c>
      <c r="AJ30" s="182" t="str">
        <f t="shared" si="2"/>
        <v/>
      </c>
      <c r="AK30" s="180" t="str">
        <f t="shared" si="19"/>
        <v/>
      </c>
      <c r="AL30" s="182" t="str">
        <f t="shared" si="4"/>
        <v/>
      </c>
      <c r="AM30" s="180" t="str">
        <f t="shared" si="13"/>
        <v/>
      </c>
      <c r="AN30" s="183" t="str">
        <f t="shared" si="25"/>
        <v/>
      </c>
      <c r="AO30" s="184"/>
      <c r="AP30" s="175"/>
      <c r="AQ30" s="175"/>
      <c r="AR30" s="175"/>
      <c r="AS30" s="251"/>
      <c r="AT30" s="329"/>
      <c r="AU30" s="329"/>
      <c r="AV30" s="329"/>
    </row>
    <row r="31" spans="1:48" ht="195" x14ac:dyDescent="0.2">
      <c r="A31" s="328">
        <v>4</v>
      </c>
      <c r="B31" s="329" t="s">
        <v>108</v>
      </c>
      <c r="C31" s="329" t="s">
        <v>450</v>
      </c>
      <c r="D31" s="329" t="s">
        <v>451</v>
      </c>
      <c r="E31" s="329" t="s">
        <v>452</v>
      </c>
      <c r="F31" s="329" t="s">
        <v>140</v>
      </c>
      <c r="G31" s="342" t="s">
        <v>379</v>
      </c>
      <c r="H31" s="342" t="s">
        <v>453</v>
      </c>
      <c r="I31" s="342" t="s">
        <v>147</v>
      </c>
      <c r="J31" s="342" t="s">
        <v>454</v>
      </c>
      <c r="K31" s="342" t="s">
        <v>113</v>
      </c>
      <c r="L31" s="342" t="s">
        <v>542</v>
      </c>
      <c r="M31" s="342" t="s">
        <v>539</v>
      </c>
      <c r="N31" s="342" t="s">
        <v>540</v>
      </c>
      <c r="O31" s="342" t="s">
        <v>543</v>
      </c>
      <c r="P31" s="342" t="s">
        <v>117</v>
      </c>
      <c r="Q31" s="342" t="s">
        <v>131</v>
      </c>
      <c r="R31" s="339">
        <v>5001</v>
      </c>
      <c r="S31" s="340" t="str">
        <f>IF(R31&lt;=0,"",IF(R31&lt;=2,"Muy Baja",IF(R31&lt;=24,"Baja",IF(R31&lt;=500,"Media",IF(R31&lt;=5000,"Alta","Muy Alta")))))</f>
        <v>Muy Alta</v>
      </c>
      <c r="T31" s="341">
        <f>IF(S31="","",IF(S31="Muy Baja",0.2,IF(S31="Baja",0.4,IF(S31="Media",0.6,IF(S31="Alta",0.8,IF(S31="Muy Alta",1,))))))</f>
        <v>1</v>
      </c>
      <c r="U31" s="359" t="s">
        <v>342</v>
      </c>
      <c r="V31" s="341" t="str">
        <f>IF(NOT(ISERROR(MATCH(U31,'Tabla Impacto'!$B$222:$B$224,0))),'Tabla Impacto'!$F$224&amp;"Por favor no seleccionar los criterios de impacto(Afectación Económica o presupuestal y Pérdida Reputacional)",U31)</f>
        <v xml:space="preserve">     El riesgo afecta la imagen de de la entidad con efecto publicitario sostenido a nivel de sector administrativo, nivel departamental o municipal</v>
      </c>
      <c r="W31" s="340" t="str">
        <f>IF(OR(V31='Tabla Impacto'!$C$12,V31='Tabla Impacto'!$D$12),"Leve",IF(OR(V31='Tabla Impacto'!$C$13,V31='Tabla Impacto'!$D$13),"Menor",IF(OR(V31='Tabla Impacto'!$C$14,V31='Tabla Impacto'!$D$14),"Moderado",IF(OR(V31='Tabla Impacto'!$C$15,V31='Tabla Impacto'!$D$15),"Mayor",IF(OR(V31='Tabla Impacto'!$C$16,V31='Tabla Impacto'!$D$16),"Catastrófico","")))))</f>
        <v>Mayor</v>
      </c>
      <c r="X31" s="341">
        <f>IF(W31="","",IF(W31="Leve",0.2,IF(W31="Menor",0.4,IF(W31="Moderado",0.6,IF(W31="Mayor",0.8,IF(W31="Catastrófico",1,))))))</f>
        <v>0.8</v>
      </c>
      <c r="Y31" s="358" t="str">
        <f>IF(OR(AND(S31="Muy Baja",W31="Leve"),AND(S31="Muy Baja",W31="Menor"),AND(S31="Baja",W31="Leve")),"Bajo",IF(OR(AND(S31="Muy baja",W31="Moderado"),AND(S31="Baja",W31="Menor"),AND(S31="Baja",W31="Moderado"),AND(S31="Media",W31="Leve"),AND(S31="Media",W31="Menor"),AND(S31="Media",W31="Moderado"),AND(S31="Alta",W31="Leve"),AND(S31="Alta",W31="Menor")),"Moderado",IF(OR(AND(S31="Muy Baja",W31="Mayor"),AND(S31="Baja",W31="Mayor"),AND(S31="Media",W31="Mayor"),AND(S31="Alta",W31="Moderado"),AND(S31="Alta",W31="Mayor"),AND(S31="Muy Alta",W31="Leve"),AND(S31="Muy Alta",W31="Menor"),AND(S31="Muy Alta",W31="Moderado"),AND(S31="Muy Alta",W31="Mayor")),"Alto",IF(OR(AND(S31="Muy Baja",W31="Catastrófico"),AND(S31="Baja",W31="Catastrófico"),AND(S31="Media",W31="Catastrófico"),AND(S31="Alta",W31="Catastrófico"),AND(S31="Muy Alta",W31="Catastrófico")),"Extremo",""))))</f>
        <v>Alto</v>
      </c>
      <c r="Z31" s="203">
        <v>1</v>
      </c>
      <c r="AA31" s="176" t="s">
        <v>455</v>
      </c>
      <c r="AB31" s="178" t="str">
        <f>IF(OR(AC31="Preventivo",AC31="Detectivo"),"Probabilidad",IF(AC31="Correctivo","Impacto",""))</f>
        <v>Probabilidad</v>
      </c>
      <c r="AC31" s="179" t="s">
        <v>245</v>
      </c>
      <c r="AD31" s="179" t="s">
        <v>390</v>
      </c>
      <c r="AE31" s="180" t="str">
        <f>IF(AND(AC31="Preventivo",AD31="Automático"),"50%",IF(AND(AC31="Preventivo",AD31="Manual"),"40%",IF(AND(AC31="Detectivo",AD31="Automático"),"40%",IF(AND(AC31="Detectivo",AD31="Manual"),"30%",IF(AND(AC31="Correctivo",AD31="Automático"),"35%",IF(AND(AC31="Correctivo",AD31="Manual"),"25%",""))))))</f>
        <v>40%</v>
      </c>
      <c r="AF31" s="179" t="s">
        <v>246</v>
      </c>
      <c r="AG31" s="179" t="s">
        <v>243</v>
      </c>
      <c r="AH31" s="179" t="s">
        <v>244</v>
      </c>
      <c r="AI31" s="253">
        <f>IFERROR(IF(AB31="Probabilidad",(T31-(+T31*AE31)),IF(AB31="Impacto",T31,"")),"")</f>
        <v>0.6</v>
      </c>
      <c r="AJ31" s="182" t="str">
        <f>IFERROR(IF(AI31="","",IF(AI31&lt;=0.2,"Muy Baja",IF(AI31&lt;=0.4,"Baja",IF(AI31&lt;=0.6,"Media",IF(AI31&lt;=0.8,"Alta","Muy Alta"))))),"")</f>
        <v>Media</v>
      </c>
      <c r="AK31" s="180">
        <f>+AI31</f>
        <v>0.6</v>
      </c>
      <c r="AL31" s="182" t="str">
        <f>IFERROR(IF(AM31="","",IF(AM31&lt;=0.2,"Leve",IF(AM31&lt;=0.4,"Menor",IF(AM31&lt;=0.6,"Moderado",IF(AM31&lt;=0.8,"Mayor","Catastrófico"))))),"")</f>
        <v>Mayor</v>
      </c>
      <c r="AM31" s="180">
        <f t="shared" ref="AM31" si="26">IFERROR(IF(AB31="Impacto",(X31-(+X31*AE31)),IF(AB31="Probabilidad",X31,"")),"")</f>
        <v>0.8</v>
      </c>
      <c r="AN31" s="183" t="str">
        <f>IFERROR(IF(OR(AND(AJ31="Muy Baja",AL31="Leve"),AND(AJ31="Muy Baja",AL31="Menor"),AND(AJ31="Baja",AL31="Leve")),"Bajo",IF(OR(AND(AJ31="Muy baja",AL31="Moderado"),AND(AJ31="Baja",AL31="Menor"),AND(AJ31="Baja",AL31="Moderado"),AND(AJ31="Media",AL31="Leve"),AND(AJ31="Media",AL31="Menor"),AND(AJ31="Media",AL31="Moderado"),AND(AJ31="Alta",AL31="Leve"),AND(AJ31="Alta",AL31="Menor")),"Moderado",IF(OR(AND(AJ31="Muy Baja",AL31="Mayor"),AND(AJ31="Baja",AL31="Mayor"),AND(AJ31="Media",AL31="Mayor"),AND(AJ31="Alta",AL31="Moderado"),AND(AJ31="Alta",AL31="Mayor"),AND(AJ31="Muy Alta",AL31="Leve"),AND(AJ31="Muy Alta",AL31="Menor"),AND(AJ31="Muy Alta",AL31="Moderado"),AND(AJ31="Muy Alta",AL31="Mayor")),"Alto",IF(OR(AND(AJ31="Muy Baja",AL31="Catastrófico"),AND(AJ31="Baja",AL31="Catastrófico"),AND(AJ31="Media",AL31="Catastrófico"),AND(AJ31="Alta",AL31="Catastrófico"),AND(AJ31="Muy Alta",AL31="Catastrófico")),"Extremo","")))),"")</f>
        <v>Alto</v>
      </c>
      <c r="AO31" s="184" t="s">
        <v>109</v>
      </c>
      <c r="AP31" s="175" t="s">
        <v>456</v>
      </c>
      <c r="AQ31" s="175" t="s">
        <v>458</v>
      </c>
      <c r="AR31" s="175" t="s">
        <v>460</v>
      </c>
      <c r="AS31" s="251" t="s">
        <v>435</v>
      </c>
      <c r="AT31" s="329" t="s">
        <v>461</v>
      </c>
      <c r="AU31" s="329" t="s">
        <v>462</v>
      </c>
      <c r="AV31" s="329" t="s">
        <v>434</v>
      </c>
    </row>
    <row r="32" spans="1:48" ht="195" x14ac:dyDescent="0.2">
      <c r="A32" s="328"/>
      <c r="B32" s="329"/>
      <c r="C32" s="329"/>
      <c r="D32" s="329"/>
      <c r="E32" s="329"/>
      <c r="F32" s="329"/>
      <c r="G32" s="343"/>
      <c r="H32" s="343"/>
      <c r="I32" s="343"/>
      <c r="J32" s="343"/>
      <c r="K32" s="343"/>
      <c r="L32" s="343"/>
      <c r="M32" s="343"/>
      <c r="N32" s="343"/>
      <c r="O32" s="343"/>
      <c r="P32" s="343"/>
      <c r="Q32" s="343"/>
      <c r="R32" s="339"/>
      <c r="S32" s="340"/>
      <c r="T32" s="341"/>
      <c r="U32" s="359"/>
      <c r="V32" s="341">
        <f>IF(NOT(ISERROR(MATCH(U32,_xlfn.ANCHORARRAY(E43),0))),T45&amp;"Por favor no seleccionar los criterios de impacto",U32)</f>
        <v>0</v>
      </c>
      <c r="W32" s="340"/>
      <c r="X32" s="341"/>
      <c r="Y32" s="358"/>
      <c r="Z32" s="203">
        <v>2</v>
      </c>
      <c r="AA32" s="176" t="s">
        <v>432</v>
      </c>
      <c r="AB32" s="178" t="str">
        <f>IF(OR(AC32="Preventivo",AC32="Detectivo"),"Probabilidad",IF(AC32="Correctivo","Impacto",""))</f>
        <v>Probabilidad</v>
      </c>
      <c r="AC32" s="179" t="s">
        <v>240</v>
      </c>
      <c r="AD32" s="179" t="s">
        <v>241</v>
      </c>
      <c r="AE32" s="180" t="str">
        <f t="shared" ref="AE32:AE36" si="27">IF(AND(AC32="Preventivo",AD32="Automático"),"50%",IF(AND(AC32="Preventivo",AD32="Manual"),"40%",IF(AND(AC32="Detectivo",AD32="Automático"),"40%",IF(AND(AC32="Detectivo",AD32="Manual"),"30%",IF(AND(AC32="Correctivo",AD32="Automático"),"35%",IF(AND(AC32="Correctivo",AD32="Manual"),"25%",""))))))</f>
        <v>40%</v>
      </c>
      <c r="AF32" s="179" t="s">
        <v>246</v>
      </c>
      <c r="AG32" s="179" t="s">
        <v>243</v>
      </c>
      <c r="AH32" s="179" t="s">
        <v>244</v>
      </c>
      <c r="AI32" s="253">
        <f>IFERROR(IF(AND(AB31="Probabilidad",AB32="Probabilidad"),(AK31-(+AK31*AE32)),IF(AB32="Probabilidad",(T31-(+T31*AE32)),IF(AB32="Impacto",AK31,""))),"")</f>
        <v>0.36</v>
      </c>
      <c r="AJ32" s="182" t="str">
        <f t="shared" si="2"/>
        <v>Baja</v>
      </c>
      <c r="AK32" s="180">
        <f t="shared" ref="AK32:AK36" si="28">+AI32</f>
        <v>0.36</v>
      </c>
      <c r="AL32" s="182" t="str">
        <f t="shared" si="4"/>
        <v>Mayor</v>
      </c>
      <c r="AM32" s="180">
        <f t="shared" ref="AM32" si="29">IFERROR(IF(AND(AB31="Impacto",AB32="Impacto"),(AM31-(+AM31*AE32)),IF(AB32="Impacto",($X$13-(+$X$13*AE32)),IF(AB32="Probabilidad",AM31,""))),"")</f>
        <v>0.8</v>
      </c>
      <c r="AN32" s="183" t="str">
        <f t="shared" ref="AN32:AN33" si="30">IFERROR(IF(OR(AND(AJ32="Muy Baja",AL32="Leve"),AND(AJ32="Muy Baja",AL32="Menor"),AND(AJ32="Baja",AL32="Leve")),"Bajo",IF(OR(AND(AJ32="Muy baja",AL32="Moderado"),AND(AJ32="Baja",AL32="Menor"),AND(AJ32="Baja",AL32="Moderado"),AND(AJ32="Media",AL32="Leve"),AND(AJ32="Media",AL32="Menor"),AND(AJ32="Media",AL32="Moderado"),AND(AJ32="Alta",AL32="Leve"),AND(AJ32="Alta",AL32="Menor")),"Moderado",IF(OR(AND(AJ32="Muy Baja",AL32="Mayor"),AND(AJ32="Baja",AL32="Mayor"),AND(AJ32="Media",AL32="Mayor"),AND(AJ32="Alta",AL32="Moderado"),AND(AJ32="Alta",AL32="Mayor"),AND(AJ32="Muy Alta",AL32="Leve"),AND(AJ32="Muy Alta",AL32="Menor"),AND(AJ32="Muy Alta",AL32="Moderado"),AND(AJ32="Muy Alta",AL32="Mayor")),"Alto",IF(OR(AND(AJ32="Muy Baja",AL32="Catastrófico"),AND(AJ32="Baja",AL32="Catastrófico"),AND(AJ32="Media",AL32="Catastrófico"),AND(AJ32="Alta",AL32="Catastrófico"),AND(AJ32="Muy Alta",AL32="Catastrófico")),"Extremo","")))),"")</f>
        <v>Alto</v>
      </c>
      <c r="AO32" s="184" t="s">
        <v>109</v>
      </c>
      <c r="AP32" s="175" t="s">
        <v>457</v>
      </c>
      <c r="AQ32" s="175" t="s">
        <v>459</v>
      </c>
      <c r="AR32" s="175" t="s">
        <v>421</v>
      </c>
      <c r="AS32" s="251" t="s">
        <v>435</v>
      </c>
      <c r="AT32" s="329"/>
      <c r="AU32" s="329"/>
      <c r="AV32" s="329"/>
    </row>
    <row r="33" spans="1:48" ht="37.5" customHeight="1" x14ac:dyDescent="0.2">
      <c r="A33" s="328"/>
      <c r="B33" s="329"/>
      <c r="C33" s="329"/>
      <c r="D33" s="329"/>
      <c r="E33" s="329"/>
      <c r="F33" s="329"/>
      <c r="G33" s="343"/>
      <c r="H33" s="343"/>
      <c r="I33" s="343"/>
      <c r="J33" s="343"/>
      <c r="K33" s="343"/>
      <c r="L33" s="343"/>
      <c r="M33" s="343"/>
      <c r="N33" s="343"/>
      <c r="O33" s="343"/>
      <c r="P33" s="343"/>
      <c r="Q33" s="343"/>
      <c r="R33" s="339"/>
      <c r="S33" s="340"/>
      <c r="T33" s="341"/>
      <c r="U33" s="359"/>
      <c r="V33" s="341">
        <f>IF(NOT(ISERROR(MATCH(U33,_xlfn.ANCHORARRAY(E44),0))),T46&amp;"Por favor no seleccionar los criterios de impacto",U33)</f>
        <v>0</v>
      </c>
      <c r="W33" s="340"/>
      <c r="X33" s="341"/>
      <c r="Y33" s="358"/>
      <c r="Z33" s="203">
        <v>3</v>
      </c>
      <c r="AA33" s="177"/>
      <c r="AB33" s="178" t="str">
        <f>IF(OR(AC33="Preventivo",AC33="Detectivo"),"Probabilidad",IF(AC33="Correctivo","Impacto",""))</f>
        <v/>
      </c>
      <c r="AC33" s="179"/>
      <c r="AD33" s="179"/>
      <c r="AE33" s="180" t="str">
        <f t="shared" si="27"/>
        <v/>
      </c>
      <c r="AF33" s="179"/>
      <c r="AG33" s="179"/>
      <c r="AH33" s="179"/>
      <c r="AI33" s="181" t="str">
        <f>IFERROR(IF(AND(AB32="Probabilidad",AB33="Probabilidad"),(AK32-(+AK32*AE33)),IF(AND(AB32="Impacto",AB33="Probabilidad"),(AK31-(+AK31*AE33)),IF(AB33="Impacto",AK32,""))),"")</f>
        <v/>
      </c>
      <c r="AJ33" s="182" t="str">
        <f t="shared" si="2"/>
        <v/>
      </c>
      <c r="AK33" s="180" t="str">
        <f t="shared" si="28"/>
        <v/>
      </c>
      <c r="AL33" s="182" t="str">
        <f t="shared" si="4"/>
        <v/>
      </c>
      <c r="AM33" s="180" t="str">
        <f t="shared" ref="AM33" si="31">IFERROR(IF(AND(AB32="Impacto",AB33="Impacto"),(AM32-(+AM32*AE33)),IF(AND(AB32="Probabilidad",AB33="Impacto"),(AM31-(+AM31*AE33)),IF(AB33="Probabilidad",AM32,""))),"")</f>
        <v/>
      </c>
      <c r="AN33" s="183" t="str">
        <f t="shared" si="30"/>
        <v/>
      </c>
      <c r="AO33" s="184"/>
      <c r="AP33" s="175"/>
      <c r="AQ33" s="175"/>
      <c r="AR33" s="175"/>
      <c r="AS33" s="251"/>
      <c r="AT33" s="329"/>
      <c r="AU33" s="329"/>
      <c r="AV33" s="329"/>
    </row>
    <row r="34" spans="1:48" ht="37.5" customHeight="1" x14ac:dyDescent="0.2">
      <c r="A34" s="328"/>
      <c r="B34" s="329"/>
      <c r="C34" s="329"/>
      <c r="D34" s="329"/>
      <c r="E34" s="329"/>
      <c r="F34" s="329"/>
      <c r="G34" s="343"/>
      <c r="H34" s="343"/>
      <c r="I34" s="343"/>
      <c r="J34" s="343"/>
      <c r="K34" s="343"/>
      <c r="L34" s="343"/>
      <c r="M34" s="343"/>
      <c r="N34" s="343"/>
      <c r="O34" s="343"/>
      <c r="P34" s="343"/>
      <c r="Q34" s="343"/>
      <c r="R34" s="339"/>
      <c r="S34" s="340"/>
      <c r="T34" s="341"/>
      <c r="U34" s="359"/>
      <c r="V34" s="341">
        <f>IF(NOT(ISERROR(MATCH(U34,_xlfn.ANCHORARRAY(E45),0))),T47&amp;"Por favor no seleccionar los criterios de impacto",U34)</f>
        <v>0</v>
      </c>
      <c r="W34" s="340"/>
      <c r="X34" s="341"/>
      <c r="Y34" s="358"/>
      <c r="Z34" s="203">
        <v>4</v>
      </c>
      <c r="AA34" s="176"/>
      <c r="AB34" s="178" t="str">
        <f t="shared" ref="AB34:AB36" si="32">IF(OR(AC34="Preventivo",AC34="Detectivo"),"Probabilidad",IF(AC34="Correctivo","Impacto",""))</f>
        <v/>
      </c>
      <c r="AC34" s="179"/>
      <c r="AD34" s="179"/>
      <c r="AE34" s="180" t="str">
        <f t="shared" si="27"/>
        <v/>
      </c>
      <c r="AF34" s="179"/>
      <c r="AG34" s="179"/>
      <c r="AH34" s="179"/>
      <c r="AI34" s="181" t="str">
        <f t="shared" ref="AI34:AI36" si="33">IFERROR(IF(AND(AB33="Probabilidad",AB34="Probabilidad"),(AK33-(+AK33*AE34)),IF(AND(AB33="Impacto",AB34="Probabilidad"),(AK32-(+AK32*AE34)),IF(AB34="Impacto",AK33,""))),"")</f>
        <v/>
      </c>
      <c r="AJ34" s="182" t="str">
        <f t="shared" si="2"/>
        <v/>
      </c>
      <c r="AK34" s="180" t="str">
        <f t="shared" si="28"/>
        <v/>
      </c>
      <c r="AL34" s="182" t="str">
        <f t="shared" si="4"/>
        <v/>
      </c>
      <c r="AM34" s="180" t="str">
        <f t="shared" si="13"/>
        <v/>
      </c>
      <c r="AN34" s="183" t="str">
        <f>IFERROR(IF(OR(AND(AJ34="Muy Baja",AL34="Leve"),AND(AJ34="Muy Baja",AL34="Menor"),AND(AJ34="Baja",AL34="Leve")),"Bajo",IF(OR(AND(AJ34="Muy baja",AL34="Moderado"),AND(AJ34="Baja",AL34="Menor"),AND(AJ34="Baja",AL34="Moderado"),AND(AJ34="Media",AL34="Leve"),AND(AJ34="Media",AL34="Menor"),AND(AJ34="Media",AL34="Moderado"),AND(AJ34="Alta",AL34="Leve"),AND(AJ34="Alta",AL34="Menor")),"Moderado",IF(OR(AND(AJ34="Muy Baja",AL34="Mayor"),AND(AJ34="Baja",AL34="Mayor"),AND(AJ34="Media",AL34="Mayor"),AND(AJ34="Alta",AL34="Moderado"),AND(AJ34="Alta",AL34="Mayor"),AND(AJ34="Muy Alta",AL34="Leve"),AND(AJ34="Muy Alta",AL34="Menor"),AND(AJ34="Muy Alta",AL34="Moderado"),AND(AJ34="Muy Alta",AL34="Mayor")),"Alto",IF(OR(AND(AJ34="Muy Baja",AL34="Catastrófico"),AND(AJ34="Baja",AL34="Catastrófico"),AND(AJ34="Media",AL34="Catastrófico"),AND(AJ34="Alta",AL34="Catastrófico"),AND(AJ34="Muy Alta",AL34="Catastrófico")),"Extremo","")))),"")</f>
        <v/>
      </c>
      <c r="AO34" s="184"/>
      <c r="AP34" s="175"/>
      <c r="AQ34" s="175"/>
      <c r="AR34" s="175"/>
      <c r="AS34" s="251"/>
      <c r="AT34" s="329"/>
      <c r="AU34" s="329"/>
      <c r="AV34" s="329"/>
    </row>
    <row r="35" spans="1:48" ht="37.5" customHeight="1" x14ac:dyDescent="0.2">
      <c r="A35" s="328"/>
      <c r="B35" s="329"/>
      <c r="C35" s="329"/>
      <c r="D35" s="329"/>
      <c r="E35" s="329"/>
      <c r="F35" s="329"/>
      <c r="G35" s="343"/>
      <c r="H35" s="343"/>
      <c r="I35" s="343"/>
      <c r="J35" s="343"/>
      <c r="K35" s="343"/>
      <c r="L35" s="343"/>
      <c r="M35" s="343"/>
      <c r="N35" s="343"/>
      <c r="O35" s="343"/>
      <c r="P35" s="343"/>
      <c r="Q35" s="343"/>
      <c r="R35" s="339"/>
      <c r="S35" s="340"/>
      <c r="T35" s="341"/>
      <c r="U35" s="359"/>
      <c r="V35" s="341">
        <f>IF(NOT(ISERROR(MATCH(U35,_xlfn.ANCHORARRAY(E46),0))),T48&amp;"Por favor no seleccionar los criterios de impacto",U35)</f>
        <v>0</v>
      </c>
      <c r="W35" s="340"/>
      <c r="X35" s="341"/>
      <c r="Y35" s="358"/>
      <c r="Z35" s="203">
        <v>5</v>
      </c>
      <c r="AA35" s="176"/>
      <c r="AB35" s="178" t="str">
        <f t="shared" si="32"/>
        <v/>
      </c>
      <c r="AC35" s="179"/>
      <c r="AD35" s="179"/>
      <c r="AE35" s="180" t="str">
        <f t="shared" si="27"/>
        <v/>
      </c>
      <c r="AF35" s="179"/>
      <c r="AG35" s="179"/>
      <c r="AH35" s="179"/>
      <c r="AI35" s="181" t="str">
        <f t="shared" si="33"/>
        <v/>
      </c>
      <c r="AJ35" s="182" t="str">
        <f>IFERROR(IF(AI35="","",IF(AI35&lt;=0.2,"Muy Baja",IF(AI35&lt;=0.4,"Baja",IF(AI35&lt;=0.6,"Media",IF(AI35&lt;=0.8,"Alta","Muy Alta"))))),"")</f>
        <v/>
      </c>
      <c r="AK35" s="180" t="str">
        <f t="shared" si="28"/>
        <v/>
      </c>
      <c r="AL35" s="182" t="str">
        <f t="shared" si="4"/>
        <v/>
      </c>
      <c r="AM35" s="180" t="str">
        <f t="shared" si="13"/>
        <v/>
      </c>
      <c r="AN35" s="183" t="str">
        <f t="shared" ref="AN35:AN36" si="34">IFERROR(IF(OR(AND(AJ35="Muy Baja",AL35="Leve"),AND(AJ35="Muy Baja",AL35="Menor"),AND(AJ35="Baja",AL35="Leve")),"Bajo",IF(OR(AND(AJ35="Muy baja",AL35="Moderado"),AND(AJ35="Baja",AL35="Menor"),AND(AJ35="Baja",AL35="Moderado"),AND(AJ35="Media",AL35="Leve"),AND(AJ35="Media",AL35="Menor"),AND(AJ35="Media",AL35="Moderado"),AND(AJ35="Alta",AL35="Leve"),AND(AJ35="Alta",AL35="Menor")),"Moderado",IF(OR(AND(AJ35="Muy Baja",AL35="Mayor"),AND(AJ35="Baja",AL35="Mayor"),AND(AJ35="Media",AL35="Mayor"),AND(AJ35="Alta",AL35="Moderado"),AND(AJ35="Alta",AL35="Mayor"),AND(AJ35="Muy Alta",AL35="Leve"),AND(AJ35="Muy Alta",AL35="Menor"),AND(AJ35="Muy Alta",AL35="Moderado"),AND(AJ35="Muy Alta",AL35="Mayor")),"Alto",IF(OR(AND(AJ35="Muy Baja",AL35="Catastrófico"),AND(AJ35="Baja",AL35="Catastrófico"),AND(AJ35="Media",AL35="Catastrófico"),AND(AJ35="Alta",AL35="Catastrófico"),AND(AJ35="Muy Alta",AL35="Catastrófico")),"Extremo","")))),"")</f>
        <v/>
      </c>
      <c r="AO35" s="184"/>
      <c r="AP35" s="175"/>
      <c r="AQ35" s="175"/>
      <c r="AR35" s="175"/>
      <c r="AS35" s="251"/>
      <c r="AT35" s="329"/>
      <c r="AU35" s="329"/>
      <c r="AV35" s="329"/>
    </row>
    <row r="36" spans="1:48" ht="37.5" customHeight="1" x14ac:dyDescent="0.2">
      <c r="A36" s="328"/>
      <c r="B36" s="329"/>
      <c r="C36" s="329"/>
      <c r="D36" s="329"/>
      <c r="E36" s="329"/>
      <c r="F36" s="329"/>
      <c r="G36" s="344"/>
      <c r="H36" s="344"/>
      <c r="I36" s="344"/>
      <c r="J36" s="344"/>
      <c r="K36" s="344"/>
      <c r="L36" s="344"/>
      <c r="M36" s="344"/>
      <c r="N36" s="344"/>
      <c r="O36" s="344"/>
      <c r="P36" s="344"/>
      <c r="Q36" s="344"/>
      <c r="R36" s="339"/>
      <c r="S36" s="340"/>
      <c r="T36" s="341"/>
      <c r="U36" s="359"/>
      <c r="V36" s="341">
        <f>IF(NOT(ISERROR(MATCH(U36,_xlfn.ANCHORARRAY(E47),0))),T49&amp;"Por favor no seleccionar los criterios de impacto",U36)</f>
        <v>0</v>
      </c>
      <c r="W36" s="340"/>
      <c r="X36" s="341"/>
      <c r="Y36" s="358"/>
      <c r="Z36" s="203">
        <v>6</v>
      </c>
      <c r="AA36" s="176"/>
      <c r="AB36" s="178" t="str">
        <f t="shared" si="32"/>
        <v/>
      </c>
      <c r="AC36" s="179"/>
      <c r="AD36" s="179"/>
      <c r="AE36" s="180" t="str">
        <f t="shared" si="27"/>
        <v/>
      </c>
      <c r="AF36" s="179"/>
      <c r="AG36" s="179"/>
      <c r="AH36" s="179"/>
      <c r="AI36" s="181" t="str">
        <f t="shared" si="33"/>
        <v/>
      </c>
      <c r="AJ36" s="182" t="str">
        <f t="shared" si="2"/>
        <v/>
      </c>
      <c r="AK36" s="180" t="str">
        <f t="shared" si="28"/>
        <v/>
      </c>
      <c r="AL36" s="182" t="str">
        <f t="shared" si="4"/>
        <v/>
      </c>
      <c r="AM36" s="180" t="str">
        <f t="shared" si="13"/>
        <v/>
      </c>
      <c r="AN36" s="183" t="str">
        <f t="shared" si="34"/>
        <v/>
      </c>
      <c r="AO36" s="184"/>
      <c r="AP36" s="175"/>
      <c r="AQ36" s="175"/>
      <c r="AR36" s="175"/>
      <c r="AS36" s="251"/>
      <c r="AT36" s="329"/>
      <c r="AU36" s="329"/>
      <c r="AV36" s="329"/>
    </row>
    <row r="37" spans="1:48" ht="150" x14ac:dyDescent="0.2">
      <c r="A37" s="328">
        <v>5</v>
      </c>
      <c r="B37" s="329" t="s">
        <v>106</v>
      </c>
      <c r="C37" s="329" t="s">
        <v>463</v>
      </c>
      <c r="D37" s="329" t="s">
        <v>464</v>
      </c>
      <c r="E37" s="329" t="s">
        <v>465</v>
      </c>
      <c r="F37" s="329" t="s">
        <v>140</v>
      </c>
      <c r="G37" s="342" t="s">
        <v>379</v>
      </c>
      <c r="H37" s="342" t="s">
        <v>466</v>
      </c>
      <c r="I37" s="342" t="s">
        <v>147</v>
      </c>
      <c r="J37" s="342" t="s">
        <v>416</v>
      </c>
      <c r="K37" s="342" t="s">
        <v>116</v>
      </c>
      <c r="L37" s="342" t="s">
        <v>546</v>
      </c>
      <c r="M37" s="342" t="s">
        <v>539</v>
      </c>
      <c r="N37" s="342" t="s">
        <v>540</v>
      </c>
      <c r="O37" s="342" t="s">
        <v>547</v>
      </c>
      <c r="P37" s="342" t="s">
        <v>123</v>
      </c>
      <c r="Q37" s="342" t="s">
        <v>131</v>
      </c>
      <c r="R37" s="339">
        <v>5001</v>
      </c>
      <c r="S37" s="340" t="str">
        <f>IF(R37&lt;=0,"",IF(R37&lt;=2,"Muy Baja",IF(R37&lt;=24,"Baja",IF(R37&lt;=500,"Media",IF(R37&lt;=5000,"Alta","Muy Alta")))))</f>
        <v>Muy Alta</v>
      </c>
      <c r="T37" s="341">
        <f>IF(S37="","",IF(S37="Muy Baja",0.2,IF(S37="Baja",0.4,IF(S37="Media",0.6,IF(S37="Alta",0.8,IF(S37="Muy Alta",1,))))))</f>
        <v>1</v>
      </c>
      <c r="U37" s="359" t="s">
        <v>336</v>
      </c>
      <c r="V37" s="341" t="str">
        <f>IF(NOT(ISERROR(MATCH(U37,'Tabla Impacto'!$B$222:$B$224,0))),'Tabla Impacto'!$F$224&amp;"Por favor no seleccionar los criterios de impacto(Afectación Económica o presupuestal y Pérdida Reputacional)",U37)</f>
        <v xml:space="preserve">     El riesgo afecta la imagen de alguna área de la organización</v>
      </c>
      <c r="W37" s="340" t="str">
        <f>IF(OR(V37='Tabla Impacto'!$C$12,V37='Tabla Impacto'!$D$12),"Leve",IF(OR(V37='Tabla Impacto'!$C$13,V37='Tabla Impacto'!$D$13),"Menor",IF(OR(V37='Tabla Impacto'!$C$14,V37='Tabla Impacto'!$D$14),"Moderado",IF(OR(V37='Tabla Impacto'!$C$15,V37='Tabla Impacto'!$D$15),"Mayor",IF(OR(V37='Tabla Impacto'!$C$16,V37='Tabla Impacto'!$D$16),"Catastrófico","")))))</f>
        <v>Leve</v>
      </c>
      <c r="X37" s="341">
        <f>IF(W37="","",IF(W37="Leve",0.2,IF(W37="Menor",0.4,IF(W37="Moderado",0.6,IF(W37="Mayor",0.8,IF(W37="Catastrófico",1,))))))</f>
        <v>0.2</v>
      </c>
      <c r="Y37" s="358" t="str">
        <f>IF(OR(AND(S37="Muy Baja",W37="Leve"),AND(S37="Muy Baja",W37="Menor"),AND(S37="Baja",W37="Leve")),"Bajo",IF(OR(AND(S37="Muy baja",W37="Moderado"),AND(S37="Baja",W37="Menor"),AND(S37="Baja",W37="Moderado"),AND(S37="Media",W37="Leve"),AND(S37="Media",W37="Menor"),AND(S37="Media",W37="Moderado"),AND(S37="Alta",W37="Leve"),AND(S37="Alta",W37="Menor")),"Moderado",IF(OR(AND(S37="Muy Baja",W37="Mayor"),AND(S37="Baja",W37="Mayor"),AND(S37="Media",W37="Mayor"),AND(S37="Alta",W37="Moderado"),AND(S37="Alta",W37="Mayor"),AND(S37="Muy Alta",W37="Leve"),AND(S37="Muy Alta",W37="Menor"),AND(S37="Muy Alta",W37="Moderado"),AND(S37="Muy Alta",W37="Mayor")),"Alto",IF(OR(AND(S37="Muy Baja",W37="Catastrófico"),AND(S37="Baja",W37="Catastrófico"),AND(S37="Media",W37="Catastrófico"),AND(S37="Alta",W37="Catastrófico"),AND(S37="Muy Alta",W37="Catastrófico")),"Extremo",""))))</f>
        <v>Alto</v>
      </c>
      <c r="Z37" s="203">
        <v>1</v>
      </c>
      <c r="AA37" s="176" t="s">
        <v>467</v>
      </c>
      <c r="AB37" s="178" t="str">
        <f>IF(OR(AC37="Preventivo",AC37="Detectivo"),"Probabilidad",IF(AC37="Correctivo","Impacto",""))</f>
        <v>Probabilidad</v>
      </c>
      <c r="AC37" s="179" t="s">
        <v>240</v>
      </c>
      <c r="AD37" s="179" t="s">
        <v>241</v>
      </c>
      <c r="AE37" s="180" t="str">
        <f>IF(AND(AC37="Preventivo",AD37="Automático"),"50%",IF(AND(AC37="Preventivo",AD37="Manual"),"40%",IF(AND(AC37="Detectivo",AD37="Automático"),"40%",IF(AND(AC37="Detectivo",AD37="Manual"),"30%",IF(AND(AC37="Correctivo",AD37="Automático"),"35%",IF(AND(AC37="Correctivo",AD37="Manual"),"25%",""))))))</f>
        <v>40%</v>
      </c>
      <c r="AF37" s="179" t="s">
        <v>246</v>
      </c>
      <c r="AG37" s="179" t="s">
        <v>243</v>
      </c>
      <c r="AH37" s="179" t="s">
        <v>244</v>
      </c>
      <c r="AI37" s="253">
        <f>IFERROR(IF(AB37="Probabilidad",(T37-(+T37*AE37)),IF(AB37="Impacto",T37,"")),"")</f>
        <v>0.6</v>
      </c>
      <c r="AJ37" s="182" t="str">
        <f>IFERROR(IF(AI37="","",IF(AI37&lt;=0.2,"Muy Baja",IF(AI37&lt;=0.4,"Baja",IF(AI37&lt;=0.6,"Media",IF(AI37&lt;=0.8,"Alta","Muy Alta"))))),"")</f>
        <v>Media</v>
      </c>
      <c r="AK37" s="180">
        <f>+AI37</f>
        <v>0.6</v>
      </c>
      <c r="AL37" s="182" t="str">
        <f>IFERROR(IF(AM37="","",IF(AM37&lt;=0.2,"Leve",IF(AM37&lt;=0.4,"Menor",IF(AM37&lt;=0.6,"Moderado",IF(AM37&lt;=0.8,"Mayor","Catastrófico"))))),"")</f>
        <v>Leve</v>
      </c>
      <c r="AM37" s="180">
        <f t="shared" ref="AM37" si="35">IFERROR(IF(AB37="Impacto",(X37-(+X37*AE37)),IF(AB37="Probabilidad",X37,"")),"")</f>
        <v>0.2</v>
      </c>
      <c r="AN37" s="183" t="str">
        <f>IFERROR(IF(OR(AND(AJ37="Muy Baja",AL37="Leve"),AND(AJ37="Muy Baja",AL37="Menor"),AND(AJ37="Baja",AL37="Leve")),"Bajo",IF(OR(AND(AJ37="Muy baja",AL37="Moderado"),AND(AJ37="Baja",AL37="Menor"),AND(AJ37="Baja",AL37="Moderado"),AND(AJ37="Media",AL37="Leve"),AND(AJ37="Media",AL37="Menor"),AND(AJ37="Media",AL37="Moderado"),AND(AJ37="Alta",AL37="Leve"),AND(AJ37="Alta",AL37="Menor")),"Moderado",IF(OR(AND(AJ37="Muy Baja",AL37="Mayor"),AND(AJ37="Baja",AL37="Mayor"),AND(AJ37="Media",AL37="Mayor"),AND(AJ37="Alta",AL37="Moderado"),AND(AJ37="Alta",AL37="Mayor"),AND(AJ37="Muy Alta",AL37="Leve"),AND(AJ37="Muy Alta",AL37="Menor"),AND(AJ37="Muy Alta",AL37="Moderado"),AND(AJ37="Muy Alta",AL37="Mayor")),"Alto",IF(OR(AND(AJ37="Muy Baja",AL37="Catastrófico"),AND(AJ37="Baja",AL37="Catastrófico"),AND(AJ37="Media",AL37="Catastrófico"),AND(AJ37="Alta",AL37="Catastrófico"),AND(AJ37="Muy Alta",AL37="Catastrófico")),"Extremo","")))),"")</f>
        <v>Moderado</v>
      </c>
      <c r="AO37" s="184" t="s">
        <v>109</v>
      </c>
      <c r="AP37" s="175" t="s">
        <v>469</v>
      </c>
      <c r="AQ37" s="175" t="s">
        <v>434</v>
      </c>
      <c r="AR37" s="175" t="s">
        <v>421</v>
      </c>
      <c r="AS37" s="251" t="s">
        <v>435</v>
      </c>
      <c r="AT37" s="329" t="s">
        <v>470</v>
      </c>
      <c r="AU37" s="329" t="s">
        <v>421</v>
      </c>
      <c r="AV37" s="329" t="s">
        <v>471</v>
      </c>
    </row>
    <row r="38" spans="1:48" ht="195" x14ac:dyDescent="0.2">
      <c r="A38" s="328"/>
      <c r="B38" s="329"/>
      <c r="C38" s="329"/>
      <c r="D38" s="329"/>
      <c r="E38" s="329"/>
      <c r="F38" s="329"/>
      <c r="G38" s="343"/>
      <c r="H38" s="343"/>
      <c r="I38" s="343"/>
      <c r="J38" s="343"/>
      <c r="K38" s="343"/>
      <c r="L38" s="343"/>
      <c r="M38" s="343"/>
      <c r="N38" s="343"/>
      <c r="O38" s="343"/>
      <c r="P38" s="343"/>
      <c r="Q38" s="343"/>
      <c r="R38" s="339"/>
      <c r="S38" s="340"/>
      <c r="T38" s="341"/>
      <c r="U38" s="359"/>
      <c r="V38" s="341">
        <f>IF(NOT(ISERROR(MATCH(U38,_xlfn.ANCHORARRAY(E49),0))),T51&amp;"Por favor no seleccionar los criterios de impacto",U38)</f>
        <v>0</v>
      </c>
      <c r="W38" s="340"/>
      <c r="X38" s="341"/>
      <c r="Y38" s="358"/>
      <c r="Z38" s="203">
        <v>2</v>
      </c>
      <c r="AA38" s="176" t="s">
        <v>468</v>
      </c>
      <c r="AB38" s="178" t="str">
        <f>IF(OR(AC38="Preventivo",AC38="Detectivo"),"Probabilidad",IF(AC38="Correctivo","Impacto",""))</f>
        <v>Probabilidad</v>
      </c>
      <c r="AC38" s="179" t="s">
        <v>240</v>
      </c>
      <c r="AD38" s="179" t="s">
        <v>390</v>
      </c>
      <c r="AE38" s="180" t="str">
        <f t="shared" ref="AE38:AE42" si="36">IF(AND(AC38="Preventivo",AD38="Automático"),"50%",IF(AND(AC38="Preventivo",AD38="Manual"),"40%",IF(AND(AC38="Detectivo",AD38="Automático"),"40%",IF(AND(AC38="Detectivo",AD38="Manual"),"30%",IF(AND(AC38="Correctivo",AD38="Automático"),"35%",IF(AND(AC38="Correctivo",AD38="Manual"),"25%",""))))))</f>
        <v>50%</v>
      </c>
      <c r="AF38" s="179" t="s">
        <v>242</v>
      </c>
      <c r="AG38" s="179" t="s">
        <v>243</v>
      </c>
      <c r="AH38" s="179" t="s">
        <v>244</v>
      </c>
      <c r="AI38" s="253">
        <f>IFERROR(IF(AND(AB37="Probabilidad",AB38="Probabilidad"),(AK37-(+AK37*AE38)),IF(AB38="Probabilidad",(T37-(+T37*AE38)),IF(AB38="Impacto",AK37,""))),"")</f>
        <v>0.3</v>
      </c>
      <c r="AJ38" s="182" t="str">
        <f t="shared" si="2"/>
        <v>Baja</v>
      </c>
      <c r="AK38" s="180">
        <f t="shared" ref="AK38:AK42" si="37">+AI38</f>
        <v>0.3</v>
      </c>
      <c r="AL38" s="182" t="str">
        <f t="shared" si="4"/>
        <v>Leve</v>
      </c>
      <c r="AM38" s="180">
        <f t="shared" ref="AM38" si="38">IFERROR(IF(AND(AB37="Impacto",AB38="Impacto"),(AM37-(+AM37*AE38)),IF(AB38="Impacto",($X$13-(+$X$13*AE38)),IF(AB38="Probabilidad",AM37,""))),"")</f>
        <v>0.2</v>
      </c>
      <c r="AN38" s="183" t="str">
        <f t="shared" ref="AN38:AN39" si="39">IFERROR(IF(OR(AND(AJ38="Muy Baja",AL38="Leve"),AND(AJ38="Muy Baja",AL38="Menor"),AND(AJ38="Baja",AL38="Leve")),"Bajo",IF(OR(AND(AJ38="Muy baja",AL38="Moderado"),AND(AJ38="Baja",AL38="Menor"),AND(AJ38="Baja",AL38="Moderado"),AND(AJ38="Media",AL38="Leve"),AND(AJ38="Media",AL38="Menor"),AND(AJ38="Media",AL38="Moderado"),AND(AJ38="Alta",AL38="Leve"),AND(AJ38="Alta",AL38="Menor")),"Moderado",IF(OR(AND(AJ38="Muy Baja",AL38="Mayor"),AND(AJ38="Baja",AL38="Mayor"),AND(AJ38="Media",AL38="Mayor"),AND(AJ38="Alta",AL38="Moderado"),AND(AJ38="Alta",AL38="Mayor"),AND(AJ38="Muy Alta",AL38="Leve"),AND(AJ38="Muy Alta",AL38="Menor"),AND(AJ38="Muy Alta",AL38="Moderado"),AND(AJ38="Muy Alta",AL38="Mayor")),"Alto",IF(OR(AND(AJ38="Muy Baja",AL38="Catastrófico"),AND(AJ38="Baja",AL38="Catastrófico"),AND(AJ38="Media",AL38="Catastrófico"),AND(AJ38="Alta",AL38="Catastrófico"),AND(AJ38="Muy Alta",AL38="Catastrófico")),"Extremo","")))),"")</f>
        <v>Bajo</v>
      </c>
      <c r="AO38" s="184"/>
      <c r="AP38" s="175"/>
      <c r="AQ38" s="175"/>
      <c r="AR38" s="175"/>
      <c r="AS38" s="251"/>
      <c r="AT38" s="329"/>
      <c r="AU38" s="329"/>
      <c r="AV38" s="329"/>
    </row>
    <row r="39" spans="1:48" ht="37.5" customHeight="1" x14ac:dyDescent="0.2">
      <c r="A39" s="328"/>
      <c r="B39" s="329"/>
      <c r="C39" s="329"/>
      <c r="D39" s="329"/>
      <c r="E39" s="329"/>
      <c r="F39" s="329"/>
      <c r="G39" s="343"/>
      <c r="H39" s="343"/>
      <c r="I39" s="343"/>
      <c r="J39" s="343"/>
      <c r="K39" s="343"/>
      <c r="L39" s="343"/>
      <c r="M39" s="343"/>
      <c r="N39" s="343"/>
      <c r="O39" s="343"/>
      <c r="P39" s="343"/>
      <c r="Q39" s="343"/>
      <c r="R39" s="339"/>
      <c r="S39" s="340"/>
      <c r="T39" s="341"/>
      <c r="U39" s="359"/>
      <c r="V39" s="341">
        <f>IF(NOT(ISERROR(MATCH(U39,_xlfn.ANCHORARRAY(E50),0))),T52&amp;"Por favor no seleccionar los criterios de impacto",U39)</f>
        <v>0</v>
      </c>
      <c r="W39" s="340"/>
      <c r="X39" s="341"/>
      <c r="Y39" s="358"/>
      <c r="Z39" s="203">
        <v>3</v>
      </c>
      <c r="AA39" s="177"/>
      <c r="AB39" s="178" t="str">
        <f>IF(OR(AC39="Preventivo",AC39="Detectivo"),"Probabilidad",IF(AC39="Correctivo","Impacto",""))</f>
        <v/>
      </c>
      <c r="AC39" s="179"/>
      <c r="AD39" s="179"/>
      <c r="AE39" s="180" t="str">
        <f t="shared" si="36"/>
        <v/>
      </c>
      <c r="AF39" s="179"/>
      <c r="AG39" s="179"/>
      <c r="AH39" s="179"/>
      <c r="AI39" s="181" t="str">
        <f>IFERROR(IF(AND(AB38="Probabilidad",AB39="Probabilidad"),(AK38-(+AK38*AE39)),IF(AND(AB38="Impacto",AB39="Probabilidad"),(AK37-(+AK37*AE39)),IF(AB39="Impacto",AK38,""))),"")</f>
        <v/>
      </c>
      <c r="AJ39" s="182" t="str">
        <f t="shared" si="2"/>
        <v/>
      </c>
      <c r="AK39" s="180" t="str">
        <f t="shared" si="37"/>
        <v/>
      </c>
      <c r="AL39" s="182" t="str">
        <f t="shared" si="4"/>
        <v/>
      </c>
      <c r="AM39" s="180" t="str">
        <f t="shared" ref="AM39" si="40">IFERROR(IF(AND(AB38="Impacto",AB39="Impacto"),(AM38-(+AM38*AE39)),IF(AND(AB38="Probabilidad",AB39="Impacto"),(AM37-(+AM37*AE39)),IF(AB39="Probabilidad",AM38,""))),"")</f>
        <v/>
      </c>
      <c r="AN39" s="183" t="str">
        <f t="shared" si="39"/>
        <v/>
      </c>
      <c r="AO39" s="184"/>
      <c r="AP39" s="175"/>
      <c r="AQ39" s="175"/>
      <c r="AR39" s="175"/>
      <c r="AS39" s="251"/>
      <c r="AT39" s="329"/>
      <c r="AU39" s="329"/>
      <c r="AV39" s="329"/>
    </row>
    <row r="40" spans="1:48" ht="37.5" customHeight="1" x14ac:dyDescent="0.2">
      <c r="A40" s="328"/>
      <c r="B40" s="329"/>
      <c r="C40" s="329"/>
      <c r="D40" s="329"/>
      <c r="E40" s="329"/>
      <c r="F40" s="329"/>
      <c r="G40" s="343"/>
      <c r="H40" s="343"/>
      <c r="I40" s="343"/>
      <c r="J40" s="343"/>
      <c r="K40" s="343"/>
      <c r="L40" s="343"/>
      <c r="M40" s="343"/>
      <c r="N40" s="343"/>
      <c r="O40" s="343"/>
      <c r="P40" s="343"/>
      <c r="Q40" s="343"/>
      <c r="R40" s="339"/>
      <c r="S40" s="340"/>
      <c r="T40" s="341"/>
      <c r="U40" s="359"/>
      <c r="V40" s="341">
        <f>IF(NOT(ISERROR(MATCH(U40,_xlfn.ANCHORARRAY(E51),0))),T53&amp;"Por favor no seleccionar los criterios de impacto",U40)</f>
        <v>0</v>
      </c>
      <c r="W40" s="340"/>
      <c r="X40" s="341"/>
      <c r="Y40" s="358"/>
      <c r="Z40" s="203">
        <v>4</v>
      </c>
      <c r="AA40" s="176"/>
      <c r="AB40" s="178" t="str">
        <f t="shared" ref="AB40:AB42" si="41">IF(OR(AC40="Preventivo",AC40="Detectivo"),"Probabilidad",IF(AC40="Correctivo","Impacto",""))</f>
        <v/>
      </c>
      <c r="AC40" s="179"/>
      <c r="AD40" s="179"/>
      <c r="AE40" s="180" t="str">
        <f t="shared" si="36"/>
        <v/>
      </c>
      <c r="AF40" s="179"/>
      <c r="AG40" s="179"/>
      <c r="AH40" s="179"/>
      <c r="AI40" s="181" t="str">
        <f t="shared" ref="AI40:AI42" si="42">IFERROR(IF(AND(AB39="Probabilidad",AB40="Probabilidad"),(AK39-(+AK39*AE40)),IF(AND(AB39="Impacto",AB40="Probabilidad"),(AK38-(+AK38*AE40)),IF(AB40="Impacto",AK39,""))),"")</f>
        <v/>
      </c>
      <c r="AJ40" s="182" t="str">
        <f t="shared" si="2"/>
        <v/>
      </c>
      <c r="AK40" s="180" t="str">
        <f t="shared" si="37"/>
        <v/>
      </c>
      <c r="AL40" s="182" t="str">
        <f t="shared" si="4"/>
        <v/>
      </c>
      <c r="AM40" s="180" t="str">
        <f t="shared" si="13"/>
        <v/>
      </c>
      <c r="AN40" s="183" t="str">
        <f>IFERROR(IF(OR(AND(AJ40="Muy Baja",AL40="Leve"),AND(AJ40="Muy Baja",AL40="Menor"),AND(AJ40="Baja",AL40="Leve")),"Bajo",IF(OR(AND(AJ40="Muy baja",AL40="Moderado"),AND(AJ40="Baja",AL40="Menor"),AND(AJ40="Baja",AL40="Moderado"),AND(AJ40="Media",AL40="Leve"),AND(AJ40="Media",AL40="Menor"),AND(AJ40="Media",AL40="Moderado"),AND(AJ40="Alta",AL40="Leve"),AND(AJ40="Alta",AL40="Menor")),"Moderado",IF(OR(AND(AJ40="Muy Baja",AL40="Mayor"),AND(AJ40="Baja",AL40="Mayor"),AND(AJ40="Media",AL40="Mayor"),AND(AJ40="Alta",AL40="Moderado"),AND(AJ40="Alta",AL40="Mayor"),AND(AJ40="Muy Alta",AL40="Leve"),AND(AJ40="Muy Alta",AL40="Menor"),AND(AJ40="Muy Alta",AL40="Moderado"),AND(AJ40="Muy Alta",AL40="Mayor")),"Alto",IF(OR(AND(AJ40="Muy Baja",AL40="Catastrófico"),AND(AJ40="Baja",AL40="Catastrófico"),AND(AJ40="Media",AL40="Catastrófico"),AND(AJ40="Alta",AL40="Catastrófico"),AND(AJ40="Muy Alta",AL40="Catastrófico")),"Extremo","")))),"")</f>
        <v/>
      </c>
      <c r="AO40" s="184"/>
      <c r="AP40" s="175"/>
      <c r="AQ40" s="175"/>
      <c r="AR40" s="175"/>
      <c r="AS40" s="251"/>
      <c r="AT40" s="329"/>
      <c r="AU40" s="329"/>
      <c r="AV40" s="329"/>
    </row>
    <row r="41" spans="1:48" ht="37.5" customHeight="1" x14ac:dyDescent="0.2">
      <c r="A41" s="328"/>
      <c r="B41" s="329"/>
      <c r="C41" s="329"/>
      <c r="D41" s="329"/>
      <c r="E41" s="329"/>
      <c r="F41" s="329"/>
      <c r="G41" s="343"/>
      <c r="H41" s="343"/>
      <c r="I41" s="343"/>
      <c r="J41" s="343"/>
      <c r="K41" s="343"/>
      <c r="L41" s="343"/>
      <c r="M41" s="343"/>
      <c r="N41" s="343"/>
      <c r="O41" s="343"/>
      <c r="P41" s="343"/>
      <c r="Q41" s="343"/>
      <c r="R41" s="339"/>
      <c r="S41" s="340"/>
      <c r="T41" s="341"/>
      <c r="U41" s="359"/>
      <c r="V41" s="341">
        <f>IF(NOT(ISERROR(MATCH(U41,_xlfn.ANCHORARRAY(E52),0))),T54&amp;"Por favor no seleccionar los criterios de impacto",U41)</f>
        <v>0</v>
      </c>
      <c r="W41" s="340"/>
      <c r="X41" s="341"/>
      <c r="Y41" s="358"/>
      <c r="Z41" s="203">
        <v>5</v>
      </c>
      <c r="AA41" s="176"/>
      <c r="AB41" s="178" t="str">
        <f t="shared" si="41"/>
        <v/>
      </c>
      <c r="AC41" s="179"/>
      <c r="AD41" s="179"/>
      <c r="AE41" s="180" t="str">
        <f t="shared" si="36"/>
        <v/>
      </c>
      <c r="AF41" s="179"/>
      <c r="AG41" s="179"/>
      <c r="AH41" s="179"/>
      <c r="AI41" s="181" t="str">
        <f t="shared" si="42"/>
        <v/>
      </c>
      <c r="AJ41" s="182" t="str">
        <f t="shared" si="2"/>
        <v/>
      </c>
      <c r="AK41" s="180" t="str">
        <f t="shared" si="37"/>
        <v/>
      </c>
      <c r="AL41" s="182" t="str">
        <f t="shared" si="4"/>
        <v/>
      </c>
      <c r="AM41" s="180" t="str">
        <f t="shared" si="13"/>
        <v/>
      </c>
      <c r="AN41" s="183" t="str">
        <f t="shared" ref="AN41:AN42" si="43">IFERROR(IF(OR(AND(AJ41="Muy Baja",AL41="Leve"),AND(AJ41="Muy Baja",AL41="Menor"),AND(AJ41="Baja",AL41="Leve")),"Bajo",IF(OR(AND(AJ41="Muy baja",AL41="Moderado"),AND(AJ41="Baja",AL41="Menor"),AND(AJ41="Baja",AL41="Moderado"),AND(AJ41="Media",AL41="Leve"),AND(AJ41="Media",AL41="Menor"),AND(AJ41="Media",AL41="Moderado"),AND(AJ41="Alta",AL41="Leve"),AND(AJ41="Alta",AL41="Menor")),"Moderado",IF(OR(AND(AJ41="Muy Baja",AL41="Mayor"),AND(AJ41="Baja",AL41="Mayor"),AND(AJ41="Media",AL41="Mayor"),AND(AJ41="Alta",AL41="Moderado"),AND(AJ41="Alta",AL41="Mayor"),AND(AJ41="Muy Alta",AL41="Leve"),AND(AJ41="Muy Alta",AL41="Menor"),AND(AJ41="Muy Alta",AL41="Moderado"),AND(AJ41="Muy Alta",AL41="Mayor")),"Alto",IF(OR(AND(AJ41="Muy Baja",AL41="Catastrófico"),AND(AJ41="Baja",AL41="Catastrófico"),AND(AJ41="Media",AL41="Catastrófico"),AND(AJ41="Alta",AL41="Catastrófico"),AND(AJ41="Muy Alta",AL41="Catastrófico")),"Extremo","")))),"")</f>
        <v/>
      </c>
      <c r="AO41" s="184"/>
      <c r="AP41" s="175"/>
      <c r="AQ41" s="175"/>
      <c r="AR41" s="175"/>
      <c r="AS41" s="251"/>
      <c r="AT41" s="329"/>
      <c r="AU41" s="329"/>
      <c r="AV41" s="329"/>
    </row>
    <row r="42" spans="1:48" ht="37.5" customHeight="1" x14ac:dyDescent="0.2">
      <c r="A42" s="328"/>
      <c r="B42" s="329"/>
      <c r="C42" s="329"/>
      <c r="D42" s="329"/>
      <c r="E42" s="329"/>
      <c r="F42" s="329"/>
      <c r="G42" s="344"/>
      <c r="H42" s="344"/>
      <c r="I42" s="344"/>
      <c r="J42" s="344"/>
      <c r="K42" s="344"/>
      <c r="L42" s="344"/>
      <c r="M42" s="344"/>
      <c r="N42" s="344"/>
      <c r="O42" s="344"/>
      <c r="P42" s="344"/>
      <c r="Q42" s="344"/>
      <c r="R42" s="339"/>
      <c r="S42" s="340"/>
      <c r="T42" s="341"/>
      <c r="U42" s="359"/>
      <c r="V42" s="341">
        <f>IF(NOT(ISERROR(MATCH(U42,_xlfn.ANCHORARRAY(E53),0))),T55&amp;"Por favor no seleccionar los criterios de impacto",U42)</f>
        <v>0</v>
      </c>
      <c r="W42" s="340"/>
      <c r="X42" s="341"/>
      <c r="Y42" s="358"/>
      <c r="Z42" s="203">
        <v>6</v>
      </c>
      <c r="AA42" s="176"/>
      <c r="AB42" s="178" t="str">
        <f t="shared" si="41"/>
        <v/>
      </c>
      <c r="AC42" s="179"/>
      <c r="AD42" s="179"/>
      <c r="AE42" s="180" t="str">
        <f t="shared" si="36"/>
        <v/>
      </c>
      <c r="AF42" s="179"/>
      <c r="AG42" s="179"/>
      <c r="AH42" s="179"/>
      <c r="AI42" s="181" t="str">
        <f t="shared" si="42"/>
        <v/>
      </c>
      <c r="AJ42" s="182" t="str">
        <f t="shared" si="2"/>
        <v/>
      </c>
      <c r="AK42" s="180" t="str">
        <f t="shared" si="37"/>
        <v/>
      </c>
      <c r="AL42" s="182" t="str">
        <f t="shared" si="4"/>
        <v/>
      </c>
      <c r="AM42" s="180" t="str">
        <f t="shared" si="13"/>
        <v/>
      </c>
      <c r="AN42" s="183" t="str">
        <f t="shared" si="43"/>
        <v/>
      </c>
      <c r="AO42" s="184"/>
      <c r="AP42" s="175"/>
      <c r="AQ42" s="175"/>
      <c r="AR42" s="175"/>
      <c r="AS42" s="251"/>
      <c r="AT42" s="329"/>
      <c r="AU42" s="329"/>
      <c r="AV42" s="329"/>
    </row>
    <row r="43" spans="1:48" ht="37.5" customHeight="1" x14ac:dyDescent="0.2">
      <c r="A43" s="328">
        <v>6</v>
      </c>
      <c r="B43" s="329" t="s">
        <v>108</v>
      </c>
      <c r="C43" s="329" t="s">
        <v>472</v>
      </c>
      <c r="D43" s="329" t="s">
        <v>473</v>
      </c>
      <c r="E43" s="342" t="s">
        <v>474</v>
      </c>
      <c r="F43" s="329" t="s">
        <v>140</v>
      </c>
      <c r="G43" s="342" t="s">
        <v>379</v>
      </c>
      <c r="H43" s="342" t="s">
        <v>475</v>
      </c>
      <c r="I43" s="342" t="s">
        <v>147</v>
      </c>
      <c r="J43" s="342" t="s">
        <v>476</v>
      </c>
      <c r="K43" s="342" t="s">
        <v>113</v>
      </c>
      <c r="L43" s="342" t="s">
        <v>553</v>
      </c>
      <c r="M43" s="342" t="s">
        <v>539</v>
      </c>
      <c r="N43" s="342" t="s">
        <v>540</v>
      </c>
      <c r="O43" s="342" t="s">
        <v>554</v>
      </c>
      <c r="P43" s="342" t="s">
        <v>117</v>
      </c>
      <c r="Q43" s="342" t="s">
        <v>131</v>
      </c>
      <c r="R43" s="339">
        <v>288</v>
      </c>
      <c r="S43" s="340" t="str">
        <f>IF(R43&lt;=0,"",IF(R43&lt;=2,"Muy Baja",IF(R43&lt;=24,"Baja",IF(R43&lt;=500,"Media",IF(R43&lt;=5000,"Alta","Muy Alta")))))</f>
        <v>Media</v>
      </c>
      <c r="T43" s="341">
        <f>IF(S43="","",IF(S43="Muy Baja",0.2,IF(S43="Baja",0.4,IF(S43="Media",0.6,IF(S43="Alta",0.8,IF(S43="Muy Alta",1,))))))</f>
        <v>0.6</v>
      </c>
      <c r="U43" s="359" t="s">
        <v>342</v>
      </c>
      <c r="V43" s="341" t="str">
        <f>IF(NOT(ISERROR(MATCH(U43,'Tabla Impacto'!$B$222:$B$224,0))),'Tabla Impacto'!$F$224&amp;"Por favor no seleccionar los criterios de impacto(Afectación Económica o presupuestal y Pérdida Reputacional)",U43)</f>
        <v xml:space="preserve">     El riesgo afecta la imagen de de la entidad con efecto publicitario sostenido a nivel de sector administrativo, nivel departamental o municipal</v>
      </c>
      <c r="W43" s="340" t="str">
        <f>IF(OR(V43='Tabla Impacto'!$C$12,V43='Tabla Impacto'!$D$12),"Leve",IF(OR(V43='Tabla Impacto'!$C$13,V43='Tabla Impacto'!$D$13),"Menor",IF(OR(V43='Tabla Impacto'!$C$14,V43='Tabla Impacto'!$D$14),"Moderado",IF(OR(V43='Tabla Impacto'!$C$15,V43='Tabla Impacto'!$D$15),"Mayor",IF(OR(V43='Tabla Impacto'!$C$16,V43='Tabla Impacto'!$D$16),"Catastrófico","")))))</f>
        <v>Mayor</v>
      </c>
      <c r="X43" s="341">
        <f>IF(W43="","",IF(W43="Leve",0.2,IF(W43="Menor",0.4,IF(W43="Moderado",0.6,IF(W43="Mayor",0.8,IF(W43="Catastrófico",1,))))))</f>
        <v>0.8</v>
      </c>
      <c r="Y43" s="358" t="str">
        <f>IF(OR(AND(S43="Muy Baja",W43="Leve"),AND(S43="Muy Baja",W43="Menor"),AND(S43="Baja",W43="Leve")),"Bajo",IF(OR(AND(S43="Muy baja",W43="Moderado"),AND(S43="Baja",W43="Menor"),AND(S43="Baja",W43="Moderado"),AND(S43="Media",W43="Leve"),AND(S43="Media",W43="Menor"),AND(S43="Media",W43="Moderado"),AND(S43="Alta",W43="Leve"),AND(S43="Alta",W43="Menor")),"Moderado",IF(OR(AND(S43="Muy Baja",W43="Mayor"),AND(S43="Baja",W43="Mayor"),AND(S43="Media",W43="Mayor"),AND(S43="Alta",W43="Moderado"),AND(S43="Alta",W43="Mayor"),AND(S43="Muy Alta",W43="Leve"),AND(S43="Muy Alta",W43="Menor"),AND(S43="Muy Alta",W43="Moderado"),AND(S43="Muy Alta",W43="Mayor")),"Alto",IF(OR(AND(S43="Muy Baja",W43="Catastrófico"),AND(S43="Baja",W43="Catastrófico"),AND(S43="Media",W43="Catastrófico"),AND(S43="Alta",W43="Catastrófico"),AND(S43="Muy Alta",W43="Catastrófico")),"Extremo",""))))</f>
        <v>Alto</v>
      </c>
      <c r="Z43" s="203">
        <v>1</v>
      </c>
      <c r="AA43" s="176" t="s">
        <v>478</v>
      </c>
      <c r="AB43" s="178" t="str">
        <f>IF(OR(AC43="Preventivo",AC43="Detectivo"),"Probabilidad",IF(AC43="Correctivo","Impacto",""))</f>
        <v>Probabilidad</v>
      </c>
      <c r="AC43" s="179" t="s">
        <v>245</v>
      </c>
      <c r="AD43" s="179" t="s">
        <v>241</v>
      </c>
      <c r="AE43" s="180" t="str">
        <f>IF(AND(AC43="Preventivo",AD43="Automático"),"50%",IF(AND(AC43="Preventivo",AD43="Manual"),"40%",IF(AND(AC43="Detectivo",AD43="Automático"),"40%",IF(AND(AC43="Detectivo",AD43="Manual"),"30%",IF(AND(AC43="Correctivo",AD43="Automático"),"35%",IF(AND(AC43="Correctivo",AD43="Manual"),"25%",""))))))</f>
        <v>30%</v>
      </c>
      <c r="AF43" s="179" t="s">
        <v>246</v>
      </c>
      <c r="AG43" s="179" t="s">
        <v>398</v>
      </c>
      <c r="AH43" s="179" t="s">
        <v>244</v>
      </c>
      <c r="AI43" s="253">
        <f>IFERROR(IF(AB43="Probabilidad",(T43-(+T43*AE43)),IF(AB43="Impacto",T43,"")),"")</f>
        <v>0.42</v>
      </c>
      <c r="AJ43" s="182" t="str">
        <f>IFERROR(IF(AI43="","",IF(AI43&lt;=0.2,"Muy Baja",IF(AI43&lt;=0.4,"Baja",IF(AI43&lt;=0.6,"Media",IF(AI43&lt;=0.8,"Alta","Muy Alta"))))),"")</f>
        <v>Media</v>
      </c>
      <c r="AK43" s="180">
        <f>+AI43</f>
        <v>0.42</v>
      </c>
      <c r="AL43" s="182" t="str">
        <f t="shared" ref="AL43:AL49" si="44">IFERROR(IF(AM43="","",IF(AM43&lt;=0.2,"Leve",IF(AM43&lt;=0.4,"Menor",IF(AM43&lt;=0.6,"Moderado",IF(AM43&lt;=0.8,"Mayor","Catastrófico"))))),"")</f>
        <v>Mayor</v>
      </c>
      <c r="AM43" s="180">
        <f>IFERROR(IF(AB43="Impacto",(X43-(+X43*AE43)),IF(AB43="Probabilidad",X43,"")),"")</f>
        <v>0.8</v>
      </c>
      <c r="AN43" s="183" t="str">
        <f>IFERROR(IF(OR(AND(AJ43="Muy Baja",AL43="Leve"),AND(AJ43="Muy Baja",AL43="Menor"),AND(AJ43="Baja",AL43="Leve")),"Bajo",IF(OR(AND(AJ43="Muy baja",AL43="Moderado"),AND(AJ43="Baja",AL43="Menor"),AND(AJ43="Baja",AL43="Moderado"),AND(AJ43="Media",AL43="Leve"),AND(AJ43="Media",AL43="Menor"),AND(AJ43="Media",AL43="Moderado"),AND(AJ43="Alta",AL43="Leve"),AND(AJ43="Alta",AL43="Menor")),"Moderado",IF(OR(AND(AJ43="Muy Baja",AL43="Mayor"),AND(AJ43="Baja",AL43="Mayor"),AND(AJ43="Media",AL43="Mayor"),AND(AJ43="Alta",AL43="Moderado"),AND(AJ43="Alta",AL43="Mayor"),AND(AJ43="Muy Alta",AL43="Leve"),AND(AJ43="Muy Alta",AL43="Menor"),AND(AJ43="Muy Alta",AL43="Moderado"),AND(AJ43="Muy Alta",AL43="Mayor")),"Alto",IF(OR(AND(AJ43="Muy Baja",AL43="Catastrófico"),AND(AJ43="Baja",AL43="Catastrófico"),AND(AJ43="Media",AL43="Catastrófico"),AND(AJ43="Alta",AL43="Catastrófico"),AND(AJ43="Muy Alta",AL43="Catastrófico")),"Extremo","")))),"")</f>
        <v>Alto</v>
      </c>
      <c r="AO43" s="179" t="s">
        <v>107</v>
      </c>
      <c r="AP43" s="175" t="s">
        <v>482</v>
      </c>
      <c r="AQ43" s="175" t="s">
        <v>483</v>
      </c>
      <c r="AR43" s="175" t="s">
        <v>556</v>
      </c>
      <c r="AS43" s="251" t="s">
        <v>555</v>
      </c>
      <c r="AT43" s="329" t="s">
        <v>484</v>
      </c>
      <c r="AU43" s="329" t="s">
        <v>485</v>
      </c>
      <c r="AV43" s="329" t="s">
        <v>486</v>
      </c>
    </row>
    <row r="44" spans="1:48" ht="37.5" customHeight="1" x14ac:dyDescent="0.2">
      <c r="A44" s="328"/>
      <c r="B44" s="329"/>
      <c r="C44" s="329"/>
      <c r="D44" s="329"/>
      <c r="E44" s="343"/>
      <c r="F44" s="329"/>
      <c r="G44" s="343"/>
      <c r="H44" s="343"/>
      <c r="I44" s="343"/>
      <c r="J44" s="343"/>
      <c r="K44" s="343"/>
      <c r="L44" s="343"/>
      <c r="M44" s="343"/>
      <c r="N44" s="343"/>
      <c r="O44" s="343"/>
      <c r="P44" s="343"/>
      <c r="Q44" s="343"/>
      <c r="R44" s="339"/>
      <c r="S44" s="340"/>
      <c r="T44" s="341"/>
      <c r="U44" s="359"/>
      <c r="V44" s="341">
        <f>IF(NOT(ISERROR(MATCH(U44,_xlfn.ANCHORARRAY(E55),0))),T57&amp;"Por favor no seleccionar los criterios de impacto",U44)</f>
        <v>0</v>
      </c>
      <c r="W44" s="340"/>
      <c r="X44" s="341"/>
      <c r="Y44" s="358"/>
      <c r="Z44" s="203">
        <v>2</v>
      </c>
      <c r="AA44" s="176" t="s">
        <v>477</v>
      </c>
      <c r="AB44" s="178" t="str">
        <f>IF(OR(AC44="Preventivo",AC44="Detectivo"),"Probabilidad",IF(AC44="Correctivo","Impacto",""))</f>
        <v>Probabilidad</v>
      </c>
      <c r="AC44" s="179" t="s">
        <v>240</v>
      </c>
      <c r="AD44" s="179" t="s">
        <v>241</v>
      </c>
      <c r="AE44" s="180" t="str">
        <f t="shared" ref="AE44:AE48" si="45">IF(AND(AC44="Preventivo",AD44="Automático"),"50%",IF(AND(AC44="Preventivo",AD44="Manual"),"40%",IF(AND(AC44="Detectivo",AD44="Automático"),"40%",IF(AND(AC44="Detectivo",AD44="Manual"),"30%",IF(AND(AC44="Correctivo",AD44="Automático"),"35%",IF(AND(AC44="Correctivo",AD44="Manual"),"25%",""))))))</f>
        <v>40%</v>
      </c>
      <c r="AF44" s="179" t="s">
        <v>246</v>
      </c>
      <c r="AG44" s="179" t="s">
        <v>243</v>
      </c>
      <c r="AH44" s="179" t="s">
        <v>244</v>
      </c>
      <c r="AI44" s="253">
        <f>IFERROR(IF(AND(AB43="Probabilidad",AB44="Probabilidad"),(AK43-(+AK43*AE44)),IF(AB44="Probabilidad",(T43-(+T43*AE44)),IF(AB44="Impacto",AK43,""))),"")</f>
        <v>0.252</v>
      </c>
      <c r="AJ44" s="182" t="str">
        <f t="shared" si="2"/>
        <v>Baja</v>
      </c>
      <c r="AK44" s="180">
        <f t="shared" ref="AK44:AK48" si="46">+AI44</f>
        <v>0.252</v>
      </c>
      <c r="AL44" s="182" t="str">
        <f t="shared" si="44"/>
        <v>Mayor</v>
      </c>
      <c r="AM44" s="180">
        <f>IFERROR(IF(AND(AB43="Impacto",AB44="Impacto"),(AM43-(+AM43*AE44)),IF(AB44="Impacto",($X$13-(+$X$13*AE44)),IF(AB44="Probabilidad",AM43,""))),"")</f>
        <v>0.8</v>
      </c>
      <c r="AN44" s="183" t="str">
        <f t="shared" ref="AN44:AN45" si="47">IFERROR(IF(OR(AND(AJ44="Muy Baja",AL44="Leve"),AND(AJ44="Muy Baja",AL44="Menor"),AND(AJ44="Baja",AL44="Leve")),"Bajo",IF(OR(AND(AJ44="Muy baja",AL44="Moderado"),AND(AJ44="Baja",AL44="Menor"),AND(AJ44="Baja",AL44="Moderado"),AND(AJ44="Media",AL44="Leve"),AND(AJ44="Media",AL44="Menor"),AND(AJ44="Media",AL44="Moderado"),AND(AJ44="Alta",AL44="Leve"),AND(AJ44="Alta",AL44="Menor")),"Moderado",IF(OR(AND(AJ44="Muy Baja",AL44="Mayor"),AND(AJ44="Baja",AL44="Mayor"),AND(AJ44="Media",AL44="Mayor"),AND(AJ44="Alta",AL44="Moderado"),AND(AJ44="Alta",AL44="Mayor"),AND(AJ44="Muy Alta",AL44="Leve"),AND(AJ44="Muy Alta",AL44="Menor"),AND(AJ44="Muy Alta",AL44="Moderado"),AND(AJ44="Muy Alta",AL44="Mayor")),"Alto",IF(OR(AND(AJ44="Muy Baja",AL44="Catastrófico"),AND(AJ44="Baja",AL44="Catastrófico"),AND(AJ44="Media",AL44="Catastrófico"),AND(AJ44="Alta",AL44="Catastrófico"),AND(AJ44="Muy Alta",AL44="Catastrófico")),"Extremo","")))),"")</f>
        <v>Alto</v>
      </c>
      <c r="AO44" s="179" t="s">
        <v>107</v>
      </c>
      <c r="AP44" s="175" t="s">
        <v>557</v>
      </c>
      <c r="AQ44" s="175" t="s">
        <v>483</v>
      </c>
      <c r="AR44" s="175" t="s">
        <v>560</v>
      </c>
      <c r="AS44" s="251" t="s">
        <v>517</v>
      </c>
      <c r="AT44" s="329"/>
      <c r="AU44" s="329"/>
      <c r="AV44" s="329"/>
    </row>
    <row r="45" spans="1:48" ht="37.5" customHeight="1" x14ac:dyDescent="0.2">
      <c r="A45" s="328"/>
      <c r="B45" s="329"/>
      <c r="C45" s="329"/>
      <c r="D45" s="329"/>
      <c r="E45" s="343"/>
      <c r="F45" s="329"/>
      <c r="G45" s="343"/>
      <c r="H45" s="343"/>
      <c r="I45" s="343"/>
      <c r="J45" s="343"/>
      <c r="K45" s="343"/>
      <c r="L45" s="343"/>
      <c r="M45" s="343"/>
      <c r="N45" s="343"/>
      <c r="O45" s="343"/>
      <c r="P45" s="343"/>
      <c r="Q45" s="343"/>
      <c r="R45" s="339"/>
      <c r="S45" s="340"/>
      <c r="T45" s="341"/>
      <c r="U45" s="359"/>
      <c r="V45" s="341">
        <f>IF(NOT(ISERROR(MATCH(U45,_xlfn.ANCHORARRAY(E56),0))),T58&amp;"Por favor no seleccionar los criterios de impacto",U45)</f>
        <v>0</v>
      </c>
      <c r="W45" s="340"/>
      <c r="X45" s="341"/>
      <c r="Y45" s="358"/>
      <c r="Z45" s="203">
        <v>3</v>
      </c>
      <c r="AA45" s="176" t="s">
        <v>479</v>
      </c>
      <c r="AB45" s="178" t="str">
        <f>IF(OR(AC45="Preventivo",AC45="Detectivo"),"Probabilidad",IF(AC45="Correctivo","Impacto",""))</f>
        <v>Probabilidad</v>
      </c>
      <c r="AC45" s="179" t="s">
        <v>240</v>
      </c>
      <c r="AD45" s="179" t="s">
        <v>241</v>
      </c>
      <c r="AE45" s="180" t="str">
        <f t="shared" si="45"/>
        <v>40%</v>
      </c>
      <c r="AF45" s="179" t="s">
        <v>242</v>
      </c>
      <c r="AG45" s="179" t="s">
        <v>398</v>
      </c>
      <c r="AH45" s="179" t="s">
        <v>244</v>
      </c>
      <c r="AI45" s="253">
        <f>IFERROR(IF(AND(AB44="Probabilidad",AB45="Probabilidad"),(AK44-(+AK44*AE45)),IF(AND(AB44="Impacto",AB45="Probabilidad"),(AK43-(+AK43*AE45)),IF(AB45="Impacto",AK44,""))),"")</f>
        <v>0.1512</v>
      </c>
      <c r="AJ45" s="182" t="str">
        <f t="shared" si="2"/>
        <v>Muy Baja</v>
      </c>
      <c r="AK45" s="180">
        <f t="shared" si="46"/>
        <v>0.1512</v>
      </c>
      <c r="AL45" s="182" t="str">
        <f t="shared" si="44"/>
        <v>Mayor</v>
      </c>
      <c r="AM45" s="180">
        <f t="shared" ref="AM45" si="48">IFERROR(IF(AND(AB44="Impacto",AB45="Impacto"),(AM44-(+AM44*AE45)),IF(AND(AB44="Probabilidad",AB45="Impacto"),(AM43-(+AM43*AE45)),IF(AB45="Probabilidad",AM44,""))),"")</f>
        <v>0.8</v>
      </c>
      <c r="AN45" s="183" t="str">
        <f t="shared" si="47"/>
        <v>Alto</v>
      </c>
      <c r="AO45" s="179" t="s">
        <v>107</v>
      </c>
      <c r="AP45" s="175" t="s">
        <v>557</v>
      </c>
      <c r="AQ45" s="175" t="s">
        <v>483</v>
      </c>
      <c r="AR45" s="175" t="s">
        <v>560</v>
      </c>
      <c r="AS45" s="251" t="s">
        <v>517</v>
      </c>
      <c r="AT45" s="329"/>
      <c r="AU45" s="329"/>
      <c r="AV45" s="329"/>
    </row>
    <row r="46" spans="1:48" ht="37.5" customHeight="1" x14ac:dyDescent="0.2">
      <c r="A46" s="328"/>
      <c r="B46" s="329"/>
      <c r="C46" s="329"/>
      <c r="D46" s="329"/>
      <c r="E46" s="343"/>
      <c r="F46" s="329"/>
      <c r="G46" s="343"/>
      <c r="H46" s="343"/>
      <c r="I46" s="343"/>
      <c r="J46" s="343"/>
      <c r="K46" s="343"/>
      <c r="L46" s="343"/>
      <c r="M46" s="343"/>
      <c r="N46" s="343"/>
      <c r="O46" s="343"/>
      <c r="P46" s="343"/>
      <c r="Q46" s="343"/>
      <c r="R46" s="339"/>
      <c r="S46" s="340"/>
      <c r="T46" s="341"/>
      <c r="U46" s="359"/>
      <c r="V46" s="341">
        <f>IF(NOT(ISERROR(MATCH(U46,_xlfn.ANCHORARRAY(E57),0))),T59&amp;"Por favor no seleccionar los criterios de impacto",U46)</f>
        <v>0</v>
      </c>
      <c r="W46" s="340"/>
      <c r="X46" s="341"/>
      <c r="Y46" s="358"/>
      <c r="Z46" s="203">
        <v>4</v>
      </c>
      <c r="AA46" s="176" t="s">
        <v>480</v>
      </c>
      <c r="AB46" s="178" t="str">
        <f t="shared" ref="AB46:AB48" si="49">IF(OR(AC46="Preventivo",AC46="Detectivo"),"Probabilidad",IF(AC46="Correctivo","Impacto",""))</f>
        <v>Probabilidad</v>
      </c>
      <c r="AC46" s="179" t="s">
        <v>240</v>
      </c>
      <c r="AD46" s="179" t="s">
        <v>241</v>
      </c>
      <c r="AE46" s="180" t="str">
        <f t="shared" si="45"/>
        <v>40%</v>
      </c>
      <c r="AF46" s="179" t="s">
        <v>246</v>
      </c>
      <c r="AG46" s="179" t="s">
        <v>243</v>
      </c>
      <c r="AH46" s="179" t="s">
        <v>244</v>
      </c>
      <c r="AI46" s="253">
        <f t="shared" ref="AI46:AI48" si="50">IFERROR(IF(AND(AB45="Probabilidad",AB46="Probabilidad"),(AK45-(+AK45*AE46)),IF(AND(AB45="Impacto",AB46="Probabilidad"),(AK44-(+AK44*AE46)),IF(AB46="Impacto",AK45,""))),"")</f>
        <v>9.0719999999999995E-2</v>
      </c>
      <c r="AJ46" s="182" t="str">
        <f t="shared" si="2"/>
        <v>Muy Baja</v>
      </c>
      <c r="AK46" s="180">
        <f t="shared" si="46"/>
        <v>9.0719999999999995E-2</v>
      </c>
      <c r="AL46" s="182" t="str">
        <f t="shared" si="44"/>
        <v>Mayor</v>
      </c>
      <c r="AM46" s="180">
        <f t="shared" si="13"/>
        <v>0.8</v>
      </c>
      <c r="AN46" s="183" t="str">
        <f>IFERROR(IF(OR(AND(AJ46="Muy Baja",AL46="Leve"),AND(AJ46="Muy Baja",AL46="Menor"),AND(AJ46="Baja",AL46="Leve")),"Bajo",IF(OR(AND(AJ46="Muy baja",AL46="Moderado"),AND(AJ46="Baja",AL46="Menor"),AND(AJ46="Baja",AL46="Moderado"),AND(AJ46="Media",AL46="Leve"),AND(AJ46="Media",AL46="Menor"),AND(AJ46="Media",AL46="Moderado"),AND(AJ46="Alta",AL46="Leve"),AND(AJ46="Alta",AL46="Menor")),"Moderado",IF(OR(AND(AJ46="Muy Baja",AL46="Mayor"),AND(AJ46="Baja",AL46="Mayor"),AND(AJ46="Media",AL46="Mayor"),AND(AJ46="Alta",AL46="Moderado"),AND(AJ46="Alta",AL46="Mayor"),AND(AJ46="Muy Alta",AL46="Leve"),AND(AJ46="Muy Alta",AL46="Menor"),AND(AJ46="Muy Alta",AL46="Moderado"),AND(AJ46="Muy Alta",AL46="Mayor")),"Alto",IF(OR(AND(AJ46="Muy Baja",AL46="Catastrófico"),AND(AJ46="Baja",AL46="Catastrófico"),AND(AJ46="Media",AL46="Catastrófico"),AND(AJ46="Alta",AL46="Catastrófico"),AND(AJ46="Muy Alta",AL46="Catastrófico")),"Extremo","")))),"")</f>
        <v>Alto</v>
      </c>
      <c r="AO46" s="179" t="s">
        <v>107</v>
      </c>
      <c r="AP46" s="175" t="s">
        <v>558</v>
      </c>
      <c r="AQ46" s="175" t="s">
        <v>483</v>
      </c>
      <c r="AR46" s="175" t="s">
        <v>561</v>
      </c>
      <c r="AS46" s="251" t="s">
        <v>559</v>
      </c>
      <c r="AT46" s="329"/>
      <c r="AU46" s="329"/>
      <c r="AV46" s="329"/>
    </row>
    <row r="47" spans="1:48" ht="37.5" customHeight="1" x14ac:dyDescent="0.2">
      <c r="A47" s="328"/>
      <c r="B47" s="329"/>
      <c r="C47" s="329"/>
      <c r="D47" s="329"/>
      <c r="E47" s="343"/>
      <c r="F47" s="329"/>
      <c r="G47" s="343"/>
      <c r="H47" s="343"/>
      <c r="I47" s="343"/>
      <c r="J47" s="343"/>
      <c r="K47" s="343"/>
      <c r="L47" s="343"/>
      <c r="M47" s="343"/>
      <c r="N47" s="343"/>
      <c r="O47" s="343"/>
      <c r="P47" s="343"/>
      <c r="Q47" s="343"/>
      <c r="R47" s="339"/>
      <c r="S47" s="340"/>
      <c r="T47" s="341"/>
      <c r="U47" s="359"/>
      <c r="V47" s="341">
        <f>IF(NOT(ISERROR(MATCH(U47,_xlfn.ANCHORARRAY(E58),0))),T60&amp;"Por favor no seleccionar los criterios de impacto",U47)</f>
        <v>0</v>
      </c>
      <c r="W47" s="340"/>
      <c r="X47" s="341"/>
      <c r="Y47" s="358"/>
      <c r="Z47" s="203">
        <v>5</v>
      </c>
      <c r="AA47" s="176" t="s">
        <v>481</v>
      </c>
      <c r="AB47" s="178" t="str">
        <f t="shared" si="49"/>
        <v>Probabilidad</v>
      </c>
      <c r="AC47" s="179" t="s">
        <v>240</v>
      </c>
      <c r="AD47" s="179" t="s">
        <v>241</v>
      </c>
      <c r="AE47" s="180" t="str">
        <f t="shared" si="45"/>
        <v>40%</v>
      </c>
      <c r="AF47" s="179" t="s">
        <v>242</v>
      </c>
      <c r="AG47" s="179" t="s">
        <v>243</v>
      </c>
      <c r="AH47" s="179" t="s">
        <v>244</v>
      </c>
      <c r="AI47" s="253">
        <f t="shared" si="50"/>
        <v>5.4431999999999994E-2</v>
      </c>
      <c r="AJ47" s="182" t="str">
        <f t="shared" si="2"/>
        <v>Muy Baja</v>
      </c>
      <c r="AK47" s="180">
        <f t="shared" si="46"/>
        <v>5.4431999999999994E-2</v>
      </c>
      <c r="AL47" s="182" t="str">
        <f t="shared" si="44"/>
        <v>Mayor</v>
      </c>
      <c r="AM47" s="180">
        <f t="shared" si="13"/>
        <v>0.8</v>
      </c>
      <c r="AN47" s="183" t="str">
        <f t="shared" ref="AN47" si="51">IFERROR(IF(OR(AND(AJ47="Muy Baja",AL47="Leve"),AND(AJ47="Muy Baja",AL47="Menor"),AND(AJ47="Baja",AL47="Leve")),"Bajo",IF(OR(AND(AJ47="Muy baja",AL47="Moderado"),AND(AJ47="Baja",AL47="Menor"),AND(AJ47="Baja",AL47="Moderado"),AND(AJ47="Media",AL47="Leve"),AND(AJ47="Media",AL47="Menor"),AND(AJ47="Media",AL47="Moderado"),AND(AJ47="Alta",AL47="Leve"),AND(AJ47="Alta",AL47="Menor")),"Moderado",IF(OR(AND(AJ47="Muy Baja",AL47="Mayor"),AND(AJ47="Baja",AL47="Mayor"),AND(AJ47="Media",AL47="Mayor"),AND(AJ47="Alta",AL47="Moderado"),AND(AJ47="Alta",AL47="Mayor"),AND(AJ47="Muy Alta",AL47="Leve"),AND(AJ47="Muy Alta",AL47="Menor"),AND(AJ47="Muy Alta",AL47="Moderado"),AND(AJ47="Muy Alta",AL47="Mayor")),"Alto",IF(OR(AND(AJ47="Muy Baja",AL47="Catastrófico"),AND(AJ47="Baja",AL47="Catastrófico"),AND(AJ47="Media",AL47="Catastrófico"),AND(AJ47="Alta",AL47="Catastrófico"),AND(AJ47="Muy Alta",AL47="Catastrófico")),"Extremo","")))),"")</f>
        <v>Alto</v>
      </c>
      <c r="AO47" s="179" t="s">
        <v>107</v>
      </c>
      <c r="AP47" s="175" t="s">
        <v>513</v>
      </c>
      <c r="AQ47" s="175" t="s">
        <v>483</v>
      </c>
      <c r="AR47" s="175" t="s">
        <v>556</v>
      </c>
      <c r="AS47" s="251" t="s">
        <v>555</v>
      </c>
      <c r="AT47" s="329"/>
      <c r="AU47" s="329"/>
      <c r="AV47" s="329"/>
    </row>
    <row r="48" spans="1:48" ht="37.5" customHeight="1" x14ac:dyDescent="0.2">
      <c r="A48" s="328"/>
      <c r="B48" s="329"/>
      <c r="C48" s="329"/>
      <c r="D48" s="329"/>
      <c r="E48" s="344"/>
      <c r="F48" s="329"/>
      <c r="G48" s="344"/>
      <c r="H48" s="344"/>
      <c r="I48" s="344"/>
      <c r="J48" s="344"/>
      <c r="K48" s="344"/>
      <c r="L48" s="344"/>
      <c r="M48" s="344"/>
      <c r="N48" s="344"/>
      <c r="O48" s="344"/>
      <c r="P48" s="344"/>
      <c r="Q48" s="344"/>
      <c r="R48" s="339"/>
      <c r="S48" s="340"/>
      <c r="T48" s="341"/>
      <c r="U48" s="359"/>
      <c r="V48" s="341">
        <f>IF(NOT(ISERROR(MATCH(U48,_xlfn.ANCHORARRAY(E59),0))),T61&amp;"Por favor no seleccionar los criterios de impacto",U48)</f>
        <v>0</v>
      </c>
      <c r="W48" s="340"/>
      <c r="X48" s="341"/>
      <c r="Y48" s="358"/>
      <c r="Z48" s="203">
        <v>6</v>
      </c>
      <c r="AA48" s="176"/>
      <c r="AB48" s="178" t="str">
        <f t="shared" si="49"/>
        <v/>
      </c>
      <c r="AC48" s="179"/>
      <c r="AD48" s="179"/>
      <c r="AE48" s="180" t="str">
        <f t="shared" si="45"/>
        <v/>
      </c>
      <c r="AF48" s="179"/>
      <c r="AG48" s="179"/>
      <c r="AH48" s="179"/>
      <c r="AI48" s="181" t="str">
        <f t="shared" si="50"/>
        <v/>
      </c>
      <c r="AJ48" s="182" t="str">
        <f t="shared" si="2"/>
        <v/>
      </c>
      <c r="AK48" s="180" t="str">
        <f t="shared" si="46"/>
        <v/>
      </c>
      <c r="AL48" s="182" t="str">
        <f t="shared" si="44"/>
        <v/>
      </c>
      <c r="AM48" s="180" t="str">
        <f t="shared" si="13"/>
        <v/>
      </c>
      <c r="AN48" s="183" t="str">
        <f>IFERROR(IF(OR(AND(AJ48="Muy Baja",AL48="Leve"),AND(AJ48="Muy Baja",AL48="Menor"),AND(AJ48="Baja",AL48="Leve")),"Bajo",IF(OR(AND(AJ48="Muy baja",AL48="Moderado"),AND(AJ48="Baja",AL48="Menor"),AND(AJ48="Baja",AL48="Moderado"),AND(AJ48="Media",AL48="Leve"),AND(AJ48="Media",AL48="Menor"),AND(AJ48="Media",AL48="Moderado"),AND(AJ48="Alta",AL48="Leve"),AND(AJ48="Alta",AL48="Menor")),"Moderado",IF(OR(AND(AJ48="Muy Baja",AL48="Mayor"),AND(AJ48="Baja",AL48="Mayor"),AND(AJ48="Media",AL48="Mayor"),AND(AJ48="Alta",AL48="Moderado"),AND(AJ48="Alta",AL48="Mayor"),AND(AJ48="Muy Alta",AL48="Leve"),AND(AJ48="Muy Alta",AL48="Menor"),AND(AJ48="Muy Alta",AL48="Moderado"),AND(AJ48="Muy Alta",AL48="Mayor")),"Alto",IF(OR(AND(AJ48="Muy Baja",AL48="Catastrófico"),AND(AJ48="Baja",AL48="Catastrófico"),AND(AJ48="Media",AL48="Catastrófico"),AND(AJ48="Alta",AL48="Catastrófico"),AND(AJ48="Muy Alta",AL48="Catastrófico")),"Extremo","")))),"")</f>
        <v/>
      </c>
      <c r="AO48" s="184"/>
      <c r="AP48" s="175"/>
      <c r="AQ48" s="175"/>
      <c r="AR48" s="175"/>
      <c r="AS48" s="251"/>
      <c r="AT48" s="329"/>
      <c r="AU48" s="329"/>
      <c r="AV48" s="329"/>
    </row>
    <row r="49" spans="1:48" ht="37.5" customHeight="1" x14ac:dyDescent="0.2">
      <c r="A49" s="328">
        <v>7</v>
      </c>
      <c r="B49" s="329" t="s">
        <v>108</v>
      </c>
      <c r="C49" s="329" t="s">
        <v>487</v>
      </c>
      <c r="D49" s="367" t="s">
        <v>488</v>
      </c>
      <c r="E49" s="329" t="s">
        <v>489</v>
      </c>
      <c r="F49" s="329" t="s">
        <v>140</v>
      </c>
      <c r="G49" s="342" t="s">
        <v>379</v>
      </c>
      <c r="H49" s="342" t="s">
        <v>490</v>
      </c>
      <c r="I49" s="342" t="s">
        <v>147</v>
      </c>
      <c r="J49" s="342" t="s">
        <v>491</v>
      </c>
      <c r="K49" s="342" t="s">
        <v>113</v>
      </c>
      <c r="L49" s="342" t="s">
        <v>548</v>
      </c>
      <c r="M49" s="342" t="s">
        <v>539</v>
      </c>
      <c r="N49" s="342" t="s">
        <v>540</v>
      </c>
      <c r="O49" s="342" t="s">
        <v>549</v>
      </c>
      <c r="P49" s="342" t="s">
        <v>117</v>
      </c>
      <c r="Q49" s="342" t="s">
        <v>131</v>
      </c>
      <c r="R49" s="339">
        <v>5001</v>
      </c>
      <c r="S49" s="340" t="str">
        <f>IF(R49&lt;=0,"",IF(R49&lt;=2,"Muy Baja",IF(R49&lt;=24,"Baja",IF(R49&lt;=500,"Media",IF(R49&lt;=5000,"Alta","Muy Alta")))))</f>
        <v>Muy Alta</v>
      </c>
      <c r="T49" s="341">
        <f>IF(S49="","",IF(S49="Muy Baja",0.2,IF(S49="Baja",0.4,IF(S49="Media",0.6,IF(S49="Alta",0.8,IF(S49="Muy Alta",1,))))))</f>
        <v>1</v>
      </c>
      <c r="U49" s="359" t="s">
        <v>239</v>
      </c>
      <c r="V49" s="341" t="str">
        <f>IF(NOT(ISERROR(MATCH(U49,'Tabla Impacto'!$B$222:$B$224,0))),'Tabla Impacto'!$F$224&amp;"Por favor no seleccionar los criterios de impacto(Afectación Económica o presupuestal y Pérdida Reputacional)",U49)</f>
        <v xml:space="preserve">     El riesgo afecta la imagen de la entidad con algunos usuarios de relevancia frente al logro de los objetivos</v>
      </c>
      <c r="W49" s="340" t="str">
        <f>IF(OR(V49='Tabla Impacto'!$C$12,V49='Tabla Impacto'!$D$12),"Leve",IF(OR(V49='Tabla Impacto'!$C$13,V49='Tabla Impacto'!$D$13),"Menor",IF(OR(V49='Tabla Impacto'!$C$14,V49='Tabla Impacto'!$D$14),"Moderado",IF(OR(V49='Tabla Impacto'!$C$15,V49='Tabla Impacto'!$D$15),"Mayor",IF(OR(V49='Tabla Impacto'!$C$16,V49='Tabla Impacto'!$D$16),"Catastrófico","")))))</f>
        <v>Moderado</v>
      </c>
      <c r="X49" s="341">
        <f>IF(W49="","",IF(W49="Leve",0.2,IF(W49="Menor",0.4,IF(W49="Moderado",0.6,IF(W49="Mayor",0.8,IF(W49="Catastrófico",1,))))))</f>
        <v>0.6</v>
      </c>
      <c r="Y49" s="358" t="str">
        <f>IF(OR(AND(S49="Muy Baja",W49="Leve"),AND(S49="Muy Baja",W49="Menor"),AND(S49="Baja",W49="Leve")),"Bajo",IF(OR(AND(S49="Muy baja",W49="Moderado"),AND(S49="Baja",W49="Menor"),AND(S49="Baja",W49="Moderado"),AND(S49="Media",W49="Leve"),AND(S49="Media",W49="Menor"),AND(S49="Media",W49="Moderado"),AND(S49="Alta",W49="Leve"),AND(S49="Alta",W49="Menor")),"Moderado",IF(OR(AND(S49="Muy Baja",W49="Mayor"),AND(S49="Baja",W49="Mayor"),AND(S49="Media",W49="Mayor"),AND(S49="Alta",W49="Moderado"),AND(S49="Alta",W49="Mayor"),AND(S49="Muy Alta",W49="Leve"),AND(S49="Muy Alta",W49="Menor"),AND(S49="Muy Alta",W49="Moderado"),AND(S49="Muy Alta",W49="Mayor")),"Alto",IF(OR(AND(S49="Muy Baja",W49="Catastrófico"),AND(S49="Baja",W49="Catastrófico"),AND(S49="Media",W49="Catastrófico"),AND(S49="Alta",W49="Catastrófico"),AND(S49="Muy Alta",W49="Catastrófico")),"Extremo",""))))</f>
        <v>Alto</v>
      </c>
      <c r="Z49" s="203">
        <v>1</v>
      </c>
      <c r="AA49" s="176" t="s">
        <v>492</v>
      </c>
      <c r="AB49" s="178" t="str">
        <f>IF(OR(AC49="Preventivo",AC49="Detectivo"),"Probabilidad",IF(AC49="Correctivo","Impacto",""))</f>
        <v>Probabilidad</v>
      </c>
      <c r="AC49" s="179" t="s">
        <v>245</v>
      </c>
      <c r="AD49" s="179" t="s">
        <v>241</v>
      </c>
      <c r="AE49" s="180" t="str">
        <f>IF(AND(AC49="Preventivo",AD49="Automático"),"50%",IF(AND(AC49="Preventivo",AD49="Manual"),"40%",IF(AND(AC49="Detectivo",AD49="Automático"),"40%",IF(AND(AC49="Detectivo",AD49="Manual"),"30%",IF(AND(AC49="Correctivo",AD49="Automático"),"35%",IF(AND(AC49="Correctivo",AD49="Manual"),"25%",""))))))</f>
        <v>30%</v>
      </c>
      <c r="AF49" s="179" t="s">
        <v>246</v>
      </c>
      <c r="AG49" s="179" t="s">
        <v>243</v>
      </c>
      <c r="AH49" s="179" t="s">
        <v>244</v>
      </c>
      <c r="AI49" s="253">
        <f>IFERROR(IF(AB49="Probabilidad",(T49-(+T49*AE49)),IF(AB49="Impacto",T49,"")),"")</f>
        <v>0.7</v>
      </c>
      <c r="AJ49" s="182" t="str">
        <f>IFERROR(IF(AI49="","",IF(AI49&lt;=0.2,"Muy Baja",IF(AI49&lt;=0.4,"Baja",IF(AI49&lt;=0.6,"Media",IF(AI49&lt;=0.8,"Alta","Muy Alta"))))),"")</f>
        <v>Alta</v>
      </c>
      <c r="AK49" s="180">
        <f>+AI49</f>
        <v>0.7</v>
      </c>
      <c r="AL49" s="182" t="str">
        <f t="shared" si="44"/>
        <v>Moderado</v>
      </c>
      <c r="AM49" s="180">
        <f t="shared" ref="AM49" si="52">IFERROR(IF(AB49="Impacto",(X49-(+X49*AE49)),IF(AB49="Probabilidad",X49,"")),"")</f>
        <v>0.6</v>
      </c>
      <c r="AN49" s="183" t="str">
        <f>IFERROR(IF(OR(AND(AJ49="Muy Baja",AL49="Leve"),AND(AJ49="Muy Baja",AL49="Menor"),AND(AJ49="Baja",AL49="Leve")),"Bajo",IF(OR(AND(AJ49="Muy baja",AL49="Moderado"),AND(AJ49="Baja",AL49="Menor"),AND(AJ49="Baja",AL49="Moderado"),AND(AJ49="Media",AL49="Leve"),AND(AJ49="Media",AL49="Menor"),AND(AJ49="Media",AL49="Moderado"),AND(AJ49="Alta",AL49="Leve"),AND(AJ49="Alta",AL49="Menor")),"Moderado",IF(OR(AND(AJ49="Muy Baja",AL49="Mayor"),AND(AJ49="Baja",AL49="Mayor"),AND(AJ49="Media",AL49="Mayor"),AND(AJ49="Alta",AL49="Moderado"),AND(AJ49="Alta",AL49="Mayor"),AND(AJ49="Muy Alta",AL49="Leve"),AND(AJ49="Muy Alta",AL49="Menor"),AND(AJ49="Muy Alta",AL49="Moderado"),AND(AJ49="Muy Alta",AL49="Mayor")),"Alto",IF(OR(AND(AJ49="Muy Baja",AL49="Catastrófico"),AND(AJ49="Baja",AL49="Catastrófico"),AND(AJ49="Media",AL49="Catastrófico"),AND(AJ49="Alta",AL49="Catastrófico"),AND(AJ49="Muy Alta",AL49="Catastrófico")),"Extremo","")))),"")</f>
        <v>Alto</v>
      </c>
      <c r="AO49" s="184" t="s">
        <v>109</v>
      </c>
      <c r="AP49" s="175" t="s">
        <v>495</v>
      </c>
      <c r="AQ49" s="175" t="s">
        <v>498</v>
      </c>
      <c r="AR49" s="175" t="s">
        <v>499</v>
      </c>
      <c r="AS49" s="251" t="s">
        <v>435</v>
      </c>
      <c r="AT49" s="329" t="s">
        <v>501</v>
      </c>
      <c r="AU49" s="329" t="s">
        <v>502</v>
      </c>
      <c r="AV49" s="329" t="s">
        <v>503</v>
      </c>
    </row>
    <row r="50" spans="1:48" ht="37.5" customHeight="1" x14ac:dyDescent="0.2">
      <c r="A50" s="328"/>
      <c r="B50" s="329"/>
      <c r="C50" s="329"/>
      <c r="D50" s="367"/>
      <c r="E50" s="329"/>
      <c r="F50" s="329"/>
      <c r="G50" s="343"/>
      <c r="H50" s="343"/>
      <c r="I50" s="343"/>
      <c r="J50" s="343"/>
      <c r="K50" s="343"/>
      <c r="L50" s="343"/>
      <c r="M50" s="343"/>
      <c r="N50" s="343"/>
      <c r="O50" s="343"/>
      <c r="P50" s="343"/>
      <c r="Q50" s="343"/>
      <c r="R50" s="339"/>
      <c r="S50" s="340"/>
      <c r="T50" s="341"/>
      <c r="U50" s="359"/>
      <c r="V50" s="341">
        <f>IF(NOT(ISERROR(MATCH(U50,_xlfn.ANCHORARRAY(E61),0))),T63&amp;"Por favor no seleccionar los criterios de impacto",U50)</f>
        <v>0</v>
      </c>
      <c r="W50" s="340"/>
      <c r="X50" s="341"/>
      <c r="Y50" s="358"/>
      <c r="Z50" s="203">
        <v>2</v>
      </c>
      <c r="AA50" s="206" t="s">
        <v>493</v>
      </c>
      <c r="AB50" s="178" t="str">
        <f>IF(OR(AC50="Preventivo",AC50="Detectivo"),"Probabilidad",IF(AC50="Correctivo","Impacto",""))</f>
        <v>Probabilidad</v>
      </c>
      <c r="AC50" s="179" t="s">
        <v>240</v>
      </c>
      <c r="AD50" s="179" t="s">
        <v>390</v>
      </c>
      <c r="AE50" s="180" t="str">
        <f t="shared" ref="AE50:AE54" si="53">IF(AND(AC50="Preventivo",AD50="Automático"),"50%",IF(AND(AC50="Preventivo",AD50="Manual"),"40%",IF(AND(AC50="Detectivo",AD50="Automático"),"40%",IF(AND(AC50="Detectivo",AD50="Manual"),"30%",IF(AND(AC50="Correctivo",AD50="Automático"),"35%",IF(AND(AC50="Correctivo",AD50="Manual"),"25%",""))))))</f>
        <v>50%</v>
      </c>
      <c r="AF50" s="179" t="s">
        <v>242</v>
      </c>
      <c r="AG50" s="179" t="s">
        <v>243</v>
      </c>
      <c r="AH50" s="179" t="s">
        <v>244</v>
      </c>
      <c r="AI50" s="253">
        <f>IFERROR(IF(AND(AB49="Probabilidad",AB50="Probabilidad"),(AK49-(+AK49*AE50)),IF(AB50="Probabilidad",(T49-(+T49*AE50)),IF(AB50="Impacto",AK49,""))),"")</f>
        <v>0.35</v>
      </c>
      <c r="AJ50" s="182" t="str">
        <f t="shared" si="2"/>
        <v>Baja</v>
      </c>
      <c r="AK50" s="180">
        <f t="shared" ref="AK50:AK54" si="54">+AI50</f>
        <v>0.35</v>
      </c>
      <c r="AL50" s="182" t="str">
        <f t="shared" si="4"/>
        <v>Moderado</v>
      </c>
      <c r="AM50" s="180">
        <f t="shared" ref="AM50" si="55">IFERROR(IF(AND(AB49="Impacto",AB50="Impacto"),(AM49-(+AM49*AE50)),IF(AB50="Impacto",($X$13-(+$X$13*AE50)),IF(AB50="Probabilidad",AM49,""))),"")</f>
        <v>0.6</v>
      </c>
      <c r="AN50" s="183" t="str">
        <f t="shared" ref="AN50:AN51" si="56">IFERROR(IF(OR(AND(AJ50="Muy Baja",AL50="Leve"),AND(AJ50="Muy Baja",AL50="Menor"),AND(AJ50="Baja",AL50="Leve")),"Bajo",IF(OR(AND(AJ50="Muy baja",AL50="Moderado"),AND(AJ50="Baja",AL50="Menor"),AND(AJ50="Baja",AL50="Moderado"),AND(AJ50="Media",AL50="Leve"),AND(AJ50="Media",AL50="Menor"),AND(AJ50="Media",AL50="Moderado"),AND(AJ50="Alta",AL50="Leve"),AND(AJ50="Alta",AL50="Menor")),"Moderado",IF(OR(AND(AJ50="Muy Baja",AL50="Mayor"),AND(AJ50="Baja",AL50="Mayor"),AND(AJ50="Media",AL50="Mayor"),AND(AJ50="Alta",AL50="Moderado"),AND(AJ50="Alta",AL50="Mayor"),AND(AJ50="Muy Alta",AL50="Leve"),AND(AJ50="Muy Alta",AL50="Menor"),AND(AJ50="Muy Alta",AL50="Moderado"),AND(AJ50="Muy Alta",AL50="Mayor")),"Alto",IF(OR(AND(AJ50="Muy Baja",AL50="Catastrófico"),AND(AJ50="Baja",AL50="Catastrófico"),AND(AJ50="Media",AL50="Catastrófico"),AND(AJ50="Alta",AL50="Catastrófico"),AND(AJ50="Muy Alta",AL50="Catastrófico")),"Extremo","")))),"")</f>
        <v>Moderado</v>
      </c>
      <c r="AO50" s="184" t="s">
        <v>109</v>
      </c>
      <c r="AP50" s="175" t="s">
        <v>496</v>
      </c>
      <c r="AQ50" s="175" t="s">
        <v>498</v>
      </c>
      <c r="AR50" s="175" t="s">
        <v>500</v>
      </c>
      <c r="AS50" s="251" t="s">
        <v>435</v>
      </c>
      <c r="AT50" s="329"/>
      <c r="AU50" s="329"/>
      <c r="AV50" s="329"/>
    </row>
    <row r="51" spans="1:48" ht="37.5" customHeight="1" x14ac:dyDescent="0.2">
      <c r="A51" s="328"/>
      <c r="B51" s="329"/>
      <c r="C51" s="329"/>
      <c r="D51" s="367"/>
      <c r="E51" s="329"/>
      <c r="F51" s="329"/>
      <c r="G51" s="343"/>
      <c r="H51" s="343"/>
      <c r="I51" s="343"/>
      <c r="J51" s="343"/>
      <c r="K51" s="343"/>
      <c r="L51" s="343"/>
      <c r="M51" s="343"/>
      <c r="N51" s="343"/>
      <c r="O51" s="343"/>
      <c r="P51" s="343"/>
      <c r="Q51" s="343"/>
      <c r="R51" s="339"/>
      <c r="S51" s="340"/>
      <c r="T51" s="341"/>
      <c r="U51" s="359"/>
      <c r="V51" s="341">
        <f>IF(NOT(ISERROR(MATCH(U51,_xlfn.ANCHORARRAY(E62),0))),T64&amp;"Por favor no seleccionar los criterios de impacto",U51)</f>
        <v>0</v>
      </c>
      <c r="W51" s="340"/>
      <c r="X51" s="341"/>
      <c r="Y51" s="358"/>
      <c r="Z51" s="203">
        <v>3</v>
      </c>
      <c r="AA51" s="176" t="s">
        <v>494</v>
      </c>
      <c r="AB51" s="178" t="str">
        <f>IF(OR(AC51="Preventivo",AC51="Detectivo"),"Probabilidad",IF(AC51="Correctivo","Impacto",""))</f>
        <v>Probabilidad</v>
      </c>
      <c r="AC51" s="179" t="s">
        <v>245</v>
      </c>
      <c r="AD51" s="179" t="s">
        <v>241</v>
      </c>
      <c r="AE51" s="180" t="str">
        <f t="shared" si="53"/>
        <v>30%</v>
      </c>
      <c r="AF51" s="179" t="s">
        <v>246</v>
      </c>
      <c r="AG51" s="179" t="s">
        <v>243</v>
      </c>
      <c r="AH51" s="179" t="s">
        <v>244</v>
      </c>
      <c r="AI51" s="253">
        <f>IFERROR(IF(AND(AB50="Probabilidad",AB51="Probabilidad"),(AK50-(+AK50*AE51)),IF(AND(AB50="Impacto",AB51="Probabilidad"),(AK49-(+AK49*AE51)),IF(AB51="Impacto",AK50,""))),"")</f>
        <v>0.245</v>
      </c>
      <c r="AJ51" s="182" t="str">
        <f t="shared" si="2"/>
        <v>Baja</v>
      </c>
      <c r="AK51" s="180">
        <f t="shared" si="54"/>
        <v>0.245</v>
      </c>
      <c r="AL51" s="182" t="str">
        <f t="shared" si="4"/>
        <v>Moderado</v>
      </c>
      <c r="AM51" s="180">
        <f t="shared" ref="AM51" si="57">IFERROR(IF(AND(AB50="Impacto",AB51="Impacto"),(AM50-(+AM50*AE51)),IF(AND(AB50="Probabilidad",AB51="Impacto"),(AM49-(+AM49*AE51)),IF(AB51="Probabilidad",AM50,""))),"")</f>
        <v>0.6</v>
      </c>
      <c r="AN51" s="183" t="str">
        <f t="shared" si="56"/>
        <v>Moderado</v>
      </c>
      <c r="AO51" s="184" t="s">
        <v>109</v>
      </c>
      <c r="AP51" s="175" t="s">
        <v>497</v>
      </c>
      <c r="AQ51" s="175" t="s">
        <v>498</v>
      </c>
      <c r="AR51" s="175" t="s">
        <v>421</v>
      </c>
      <c r="AS51" s="251" t="s">
        <v>435</v>
      </c>
      <c r="AT51" s="329"/>
      <c r="AU51" s="329"/>
      <c r="AV51" s="329"/>
    </row>
    <row r="52" spans="1:48" ht="37.5" customHeight="1" x14ac:dyDescent="0.2">
      <c r="A52" s="328"/>
      <c r="B52" s="329"/>
      <c r="C52" s="329"/>
      <c r="D52" s="367"/>
      <c r="E52" s="329"/>
      <c r="F52" s="329"/>
      <c r="G52" s="343"/>
      <c r="H52" s="343"/>
      <c r="I52" s="343"/>
      <c r="J52" s="343"/>
      <c r="K52" s="343"/>
      <c r="L52" s="343"/>
      <c r="M52" s="343"/>
      <c r="N52" s="343"/>
      <c r="O52" s="343"/>
      <c r="P52" s="343"/>
      <c r="Q52" s="343"/>
      <c r="R52" s="339"/>
      <c r="S52" s="340"/>
      <c r="T52" s="341"/>
      <c r="U52" s="359"/>
      <c r="V52" s="341">
        <f>IF(NOT(ISERROR(MATCH(U52,_xlfn.ANCHORARRAY(E63),0))),T65&amp;"Por favor no seleccionar los criterios de impacto",U52)</f>
        <v>0</v>
      </c>
      <c r="W52" s="340"/>
      <c r="X52" s="341"/>
      <c r="Y52" s="358"/>
      <c r="Z52" s="203">
        <v>4</v>
      </c>
      <c r="AA52" s="176"/>
      <c r="AB52" s="178" t="str">
        <f t="shared" ref="AB52:AB54" si="58">IF(OR(AC52="Preventivo",AC52="Detectivo"),"Probabilidad",IF(AC52="Correctivo","Impacto",""))</f>
        <v/>
      </c>
      <c r="AC52" s="179"/>
      <c r="AD52" s="179"/>
      <c r="AE52" s="180" t="str">
        <f t="shared" si="53"/>
        <v/>
      </c>
      <c r="AF52" s="179"/>
      <c r="AG52" s="179"/>
      <c r="AH52" s="179"/>
      <c r="AI52" s="181" t="str">
        <f t="shared" ref="AI52:AI54" si="59">IFERROR(IF(AND(AB51="Probabilidad",AB52="Probabilidad"),(AK51-(+AK51*AE52)),IF(AND(AB51="Impacto",AB52="Probabilidad"),(AK50-(+AK50*AE52)),IF(AB52="Impacto",AK51,""))),"")</f>
        <v/>
      </c>
      <c r="AJ52" s="182" t="str">
        <f t="shared" si="2"/>
        <v/>
      </c>
      <c r="AK52" s="180" t="str">
        <f t="shared" si="54"/>
        <v/>
      </c>
      <c r="AL52" s="182" t="str">
        <f t="shared" si="4"/>
        <v/>
      </c>
      <c r="AM52" s="180" t="str">
        <f t="shared" si="13"/>
        <v/>
      </c>
      <c r="AN52" s="183" t="str">
        <f>IFERROR(IF(OR(AND(AJ52="Muy Baja",AL52="Leve"),AND(AJ52="Muy Baja",AL52="Menor"),AND(AJ52="Baja",AL52="Leve")),"Bajo",IF(OR(AND(AJ52="Muy baja",AL52="Moderado"),AND(AJ52="Baja",AL52="Menor"),AND(AJ52="Baja",AL52="Moderado"),AND(AJ52="Media",AL52="Leve"),AND(AJ52="Media",AL52="Menor"),AND(AJ52="Media",AL52="Moderado"),AND(AJ52="Alta",AL52="Leve"),AND(AJ52="Alta",AL52="Menor")),"Moderado",IF(OR(AND(AJ52="Muy Baja",AL52="Mayor"),AND(AJ52="Baja",AL52="Mayor"),AND(AJ52="Media",AL52="Mayor"),AND(AJ52="Alta",AL52="Moderado"),AND(AJ52="Alta",AL52="Mayor"),AND(AJ52="Muy Alta",AL52="Leve"),AND(AJ52="Muy Alta",AL52="Menor"),AND(AJ52="Muy Alta",AL52="Moderado"),AND(AJ52="Muy Alta",AL52="Mayor")),"Alto",IF(OR(AND(AJ52="Muy Baja",AL52="Catastrófico"),AND(AJ52="Baja",AL52="Catastrófico"),AND(AJ52="Media",AL52="Catastrófico"),AND(AJ52="Alta",AL52="Catastrófico"),AND(AJ52="Muy Alta",AL52="Catastrófico")),"Extremo","")))),"")</f>
        <v/>
      </c>
      <c r="AO52" s="184"/>
      <c r="AP52" s="175"/>
      <c r="AQ52" s="175"/>
      <c r="AR52" s="175"/>
      <c r="AS52" s="251"/>
      <c r="AT52" s="329"/>
      <c r="AU52" s="329"/>
      <c r="AV52" s="329"/>
    </row>
    <row r="53" spans="1:48" ht="37.5" customHeight="1" x14ac:dyDescent="0.2">
      <c r="A53" s="328"/>
      <c r="B53" s="329"/>
      <c r="C53" s="329"/>
      <c r="D53" s="367"/>
      <c r="E53" s="329"/>
      <c r="F53" s="329"/>
      <c r="G53" s="343"/>
      <c r="H53" s="343"/>
      <c r="I53" s="343"/>
      <c r="J53" s="343"/>
      <c r="K53" s="343"/>
      <c r="L53" s="343"/>
      <c r="M53" s="343"/>
      <c r="N53" s="343"/>
      <c r="O53" s="343"/>
      <c r="P53" s="343"/>
      <c r="Q53" s="343"/>
      <c r="R53" s="339"/>
      <c r="S53" s="340"/>
      <c r="T53" s="341"/>
      <c r="U53" s="359"/>
      <c r="V53" s="341">
        <f>IF(NOT(ISERROR(MATCH(U53,_xlfn.ANCHORARRAY(E64),0))),T66&amp;"Por favor no seleccionar los criterios de impacto",U53)</f>
        <v>0</v>
      </c>
      <c r="W53" s="340"/>
      <c r="X53" s="341"/>
      <c r="Y53" s="358"/>
      <c r="Z53" s="203">
        <v>5</v>
      </c>
      <c r="AA53" s="176"/>
      <c r="AB53" s="178" t="str">
        <f t="shared" si="58"/>
        <v/>
      </c>
      <c r="AC53" s="179"/>
      <c r="AD53" s="179"/>
      <c r="AE53" s="180" t="str">
        <f t="shared" si="53"/>
        <v/>
      </c>
      <c r="AF53" s="179"/>
      <c r="AG53" s="179"/>
      <c r="AH53" s="179"/>
      <c r="AI53" s="181" t="str">
        <f t="shared" si="59"/>
        <v/>
      </c>
      <c r="AJ53" s="182" t="str">
        <f t="shared" si="2"/>
        <v/>
      </c>
      <c r="AK53" s="180" t="str">
        <f t="shared" si="54"/>
        <v/>
      </c>
      <c r="AL53" s="182" t="str">
        <f t="shared" si="4"/>
        <v/>
      </c>
      <c r="AM53" s="180" t="str">
        <f t="shared" si="13"/>
        <v/>
      </c>
      <c r="AN53" s="183" t="str">
        <f t="shared" ref="AN53:AN54" si="60">IFERROR(IF(OR(AND(AJ53="Muy Baja",AL53="Leve"),AND(AJ53="Muy Baja",AL53="Menor"),AND(AJ53="Baja",AL53="Leve")),"Bajo",IF(OR(AND(AJ53="Muy baja",AL53="Moderado"),AND(AJ53="Baja",AL53="Menor"),AND(AJ53="Baja",AL53="Moderado"),AND(AJ53="Media",AL53="Leve"),AND(AJ53="Media",AL53="Menor"),AND(AJ53="Media",AL53="Moderado"),AND(AJ53="Alta",AL53="Leve"),AND(AJ53="Alta",AL53="Menor")),"Moderado",IF(OR(AND(AJ53="Muy Baja",AL53="Mayor"),AND(AJ53="Baja",AL53="Mayor"),AND(AJ53="Media",AL53="Mayor"),AND(AJ53="Alta",AL53="Moderado"),AND(AJ53="Alta",AL53="Mayor"),AND(AJ53="Muy Alta",AL53="Leve"),AND(AJ53="Muy Alta",AL53="Menor"),AND(AJ53="Muy Alta",AL53="Moderado"),AND(AJ53="Muy Alta",AL53="Mayor")),"Alto",IF(OR(AND(AJ53="Muy Baja",AL53="Catastrófico"),AND(AJ53="Baja",AL53="Catastrófico"),AND(AJ53="Media",AL53="Catastrófico"),AND(AJ53="Alta",AL53="Catastrófico"),AND(AJ53="Muy Alta",AL53="Catastrófico")),"Extremo","")))),"")</f>
        <v/>
      </c>
      <c r="AO53" s="184"/>
      <c r="AP53" s="175"/>
      <c r="AQ53" s="175"/>
      <c r="AR53" s="175"/>
      <c r="AS53" s="251"/>
      <c r="AT53" s="329"/>
      <c r="AU53" s="329"/>
      <c r="AV53" s="329"/>
    </row>
    <row r="54" spans="1:48" ht="37.5" customHeight="1" x14ac:dyDescent="0.2">
      <c r="A54" s="328"/>
      <c r="B54" s="329"/>
      <c r="C54" s="329"/>
      <c r="D54" s="367"/>
      <c r="E54" s="329"/>
      <c r="F54" s="329"/>
      <c r="G54" s="344"/>
      <c r="H54" s="344"/>
      <c r="I54" s="344"/>
      <c r="J54" s="344"/>
      <c r="K54" s="344"/>
      <c r="L54" s="344"/>
      <c r="M54" s="344"/>
      <c r="N54" s="344"/>
      <c r="O54" s="344"/>
      <c r="P54" s="344"/>
      <c r="Q54" s="344"/>
      <c r="R54" s="339"/>
      <c r="S54" s="340"/>
      <c r="T54" s="341"/>
      <c r="U54" s="359"/>
      <c r="V54" s="341">
        <f>IF(NOT(ISERROR(MATCH(U54,_xlfn.ANCHORARRAY(E65),0))),T67&amp;"Por favor no seleccionar los criterios de impacto",U54)</f>
        <v>0</v>
      </c>
      <c r="W54" s="340"/>
      <c r="X54" s="341"/>
      <c r="Y54" s="358"/>
      <c r="Z54" s="203">
        <v>6</v>
      </c>
      <c r="AA54" s="176"/>
      <c r="AB54" s="178" t="str">
        <f t="shared" si="58"/>
        <v/>
      </c>
      <c r="AC54" s="179"/>
      <c r="AD54" s="179"/>
      <c r="AE54" s="180" t="str">
        <f t="shared" si="53"/>
        <v/>
      </c>
      <c r="AF54" s="179"/>
      <c r="AG54" s="179"/>
      <c r="AH54" s="179"/>
      <c r="AI54" s="181" t="str">
        <f t="shared" si="59"/>
        <v/>
      </c>
      <c r="AJ54" s="182" t="str">
        <f t="shared" si="2"/>
        <v/>
      </c>
      <c r="AK54" s="180" t="str">
        <f t="shared" si="54"/>
        <v/>
      </c>
      <c r="AL54" s="182" t="str">
        <f t="shared" si="4"/>
        <v/>
      </c>
      <c r="AM54" s="180" t="str">
        <f t="shared" si="13"/>
        <v/>
      </c>
      <c r="AN54" s="183" t="str">
        <f t="shared" si="60"/>
        <v/>
      </c>
      <c r="AO54" s="184"/>
      <c r="AP54" s="175"/>
      <c r="AQ54" s="175"/>
      <c r="AR54" s="175"/>
      <c r="AS54" s="251"/>
      <c r="AT54" s="329"/>
      <c r="AU54" s="329"/>
      <c r="AV54" s="329"/>
    </row>
    <row r="55" spans="1:48" ht="37.5" customHeight="1" x14ac:dyDescent="0.2">
      <c r="A55" s="328">
        <v>8</v>
      </c>
      <c r="B55" s="329" t="s">
        <v>106</v>
      </c>
      <c r="C55" s="329" t="s">
        <v>505</v>
      </c>
      <c r="D55" s="329" t="s">
        <v>506</v>
      </c>
      <c r="E55" s="329" t="s">
        <v>507</v>
      </c>
      <c r="F55" s="329" t="s">
        <v>140</v>
      </c>
      <c r="G55" s="342" t="s">
        <v>374</v>
      </c>
      <c r="H55" s="342" t="s">
        <v>508</v>
      </c>
      <c r="I55" s="342" t="s">
        <v>147</v>
      </c>
      <c r="J55" s="342" t="s">
        <v>509</v>
      </c>
      <c r="K55" s="342" t="s">
        <v>116</v>
      </c>
      <c r="L55" s="342" t="s">
        <v>550</v>
      </c>
      <c r="M55" s="342" t="s">
        <v>539</v>
      </c>
      <c r="N55" s="342" t="s">
        <v>540</v>
      </c>
      <c r="O55" s="342" t="s">
        <v>551</v>
      </c>
      <c r="P55" s="342" t="s">
        <v>123</v>
      </c>
      <c r="Q55" s="342" t="s">
        <v>131</v>
      </c>
      <c r="R55" s="339">
        <v>5001</v>
      </c>
      <c r="S55" s="340" t="str">
        <f>IF(R55&lt;=0,"",IF(R55&lt;=2,"Muy Baja",IF(R55&lt;=24,"Baja",IF(R55&lt;=500,"Media",IF(R55&lt;=5000,"Alta","Muy Alta")))))</f>
        <v>Muy Alta</v>
      </c>
      <c r="T55" s="341">
        <f>IF(S55="","",IF(S55="Muy Baja",0.2,IF(S55="Baja",0.4,IF(S55="Media",0.6,IF(S55="Alta",0.8,IF(S55="Muy Alta",1,))))))</f>
        <v>1</v>
      </c>
      <c r="U55" s="359" t="s">
        <v>336</v>
      </c>
      <c r="V55" s="341" t="str">
        <f>IF(NOT(ISERROR(MATCH(U55,'Tabla Impacto'!$B$222:$B$224,0))),'Tabla Impacto'!$F$224&amp;"Por favor no seleccionar los criterios de impacto(Afectación Económica o presupuestal y Pérdida Reputacional)",U55)</f>
        <v xml:space="preserve">     El riesgo afecta la imagen de alguna área de la organización</v>
      </c>
      <c r="W55" s="340" t="str">
        <f>IF(OR(V55='Tabla Impacto'!$C$12,V55='Tabla Impacto'!$D$12),"Leve",IF(OR(V55='Tabla Impacto'!$C$13,V55='Tabla Impacto'!$D$13),"Menor",IF(OR(V55='Tabla Impacto'!$C$14,V55='Tabla Impacto'!$D$14),"Moderado",IF(OR(V55='Tabla Impacto'!$C$15,V55='Tabla Impacto'!$D$15),"Mayor",IF(OR(V55='Tabla Impacto'!$C$16,V55='Tabla Impacto'!$D$16),"Catastrófico","")))))</f>
        <v>Leve</v>
      </c>
      <c r="X55" s="341">
        <f>IF(W55="","",IF(W55="Leve",0.2,IF(W55="Menor",0.4,IF(W55="Moderado",0.6,IF(W55="Mayor",0.8,IF(W55="Catastrófico",1,))))))</f>
        <v>0.2</v>
      </c>
      <c r="Y55" s="358" t="str">
        <f>IF(OR(AND(S55="Muy Baja",W55="Leve"),AND(S55="Muy Baja",W55="Menor"),AND(S55="Baja",W55="Leve")),"Bajo",IF(OR(AND(S55="Muy baja",W55="Moderado"),AND(S55="Baja",W55="Menor"),AND(S55="Baja",W55="Moderado"),AND(S55="Media",W55="Leve"),AND(S55="Media",W55="Menor"),AND(S55="Media",W55="Moderado"),AND(S55="Alta",W55="Leve"),AND(S55="Alta",W55="Menor")),"Moderado",IF(OR(AND(S55="Muy Baja",W55="Mayor"),AND(S55="Baja",W55="Mayor"),AND(S55="Media",W55="Mayor"),AND(S55="Alta",W55="Moderado"),AND(S55="Alta",W55="Mayor"),AND(S55="Muy Alta",W55="Leve"),AND(S55="Muy Alta",W55="Menor"),AND(S55="Muy Alta",W55="Moderado"),AND(S55="Muy Alta",W55="Mayor")),"Alto",IF(OR(AND(S55="Muy Baja",W55="Catastrófico"),AND(S55="Baja",W55="Catastrófico"),AND(S55="Media",W55="Catastrófico"),AND(S55="Alta",W55="Catastrófico"),AND(S55="Muy Alta",W55="Catastrófico")),"Extremo",""))))</f>
        <v>Alto</v>
      </c>
      <c r="Z55" s="203">
        <v>1</v>
      </c>
      <c r="AA55" s="176" t="s">
        <v>510</v>
      </c>
      <c r="AB55" s="178" t="str">
        <f>IF(OR(AC55="Preventivo",AC55="Detectivo"),"Probabilidad",IF(AC55="Correctivo","Impacto",""))</f>
        <v>Probabilidad</v>
      </c>
      <c r="AC55" s="179" t="s">
        <v>240</v>
      </c>
      <c r="AD55" s="179" t="s">
        <v>241</v>
      </c>
      <c r="AE55" s="180" t="str">
        <f>IF(AND(AC55="Preventivo",AD55="Automático"),"50%",IF(AND(AC55="Preventivo",AD55="Manual"),"40%",IF(AND(AC55="Detectivo",AD55="Automático"),"40%",IF(AND(AC55="Detectivo",AD55="Manual"),"30%",IF(AND(AC55="Correctivo",AD55="Automático"),"35%",IF(AND(AC55="Correctivo",AD55="Manual"),"25%",""))))))</f>
        <v>40%</v>
      </c>
      <c r="AF55" s="179" t="s">
        <v>242</v>
      </c>
      <c r="AG55" s="179" t="s">
        <v>243</v>
      </c>
      <c r="AH55" s="179" t="s">
        <v>244</v>
      </c>
      <c r="AI55" s="181">
        <f>IFERROR(IF(AB55="Probabilidad",(T55-(+T55*AE55)),IF(AB55="Impacto",T55,"")),"")</f>
        <v>0.6</v>
      </c>
      <c r="AJ55" s="182" t="str">
        <f>IFERROR(IF(AI55="","",IF(AI55&lt;=0.2,"Muy Baja",IF(AI55&lt;=0.4,"Baja",IF(AI55&lt;=0.6,"Media",IF(AI55&lt;=0.8,"Alta","Muy Alta"))))),"")</f>
        <v>Media</v>
      </c>
      <c r="AK55" s="180">
        <f>+AI55</f>
        <v>0.6</v>
      </c>
      <c r="AL55" s="182" t="str">
        <f>IFERROR(IF(AM55="","",IF(AM55&lt;=0.2,"Leve",IF(AM55&lt;=0.4,"Menor",IF(AM55&lt;=0.6,"Moderado",IF(AM55&lt;=0.8,"Mayor","Catastrófico"))))),"")</f>
        <v>Leve</v>
      </c>
      <c r="AM55" s="180">
        <f t="shared" ref="AM55" si="61">IFERROR(IF(AB55="Impacto",(X55-(+X55*AE55)),IF(AB55="Probabilidad",X55,"")),"")</f>
        <v>0.2</v>
      </c>
      <c r="AN55" s="183" t="str">
        <f>IFERROR(IF(OR(AND(AJ55="Muy Baja",AL55="Leve"),AND(AJ55="Muy Baja",AL55="Menor"),AND(AJ55="Baja",AL55="Leve")),"Bajo",IF(OR(AND(AJ55="Muy baja",AL55="Moderado"),AND(AJ55="Baja",AL55="Menor"),AND(AJ55="Baja",AL55="Moderado"),AND(AJ55="Media",AL55="Leve"),AND(AJ55="Media",AL55="Menor"),AND(AJ55="Media",AL55="Moderado"),AND(AJ55="Alta",AL55="Leve"),AND(AJ55="Alta",AL55="Menor")),"Moderado",IF(OR(AND(AJ55="Muy Baja",AL55="Mayor"),AND(AJ55="Baja",AL55="Mayor"),AND(AJ55="Media",AL55="Mayor"),AND(AJ55="Alta",AL55="Moderado"),AND(AJ55="Alta",AL55="Mayor"),AND(AJ55="Muy Alta",AL55="Leve"),AND(AJ55="Muy Alta",AL55="Menor"),AND(AJ55="Muy Alta",AL55="Moderado"),AND(AJ55="Muy Alta",AL55="Mayor")),"Alto",IF(OR(AND(AJ55="Muy Baja",AL55="Catastrófico"),AND(AJ55="Baja",AL55="Catastrófico"),AND(AJ55="Media",AL55="Catastrófico"),AND(AJ55="Alta",AL55="Catastrófico"),AND(AJ55="Muy Alta",AL55="Catastrófico")),"Extremo","")))),"")</f>
        <v>Moderado</v>
      </c>
      <c r="AO55" s="184" t="s">
        <v>109</v>
      </c>
      <c r="AP55" s="566" t="s">
        <v>513</v>
      </c>
      <c r="AQ55" s="175" t="s">
        <v>458</v>
      </c>
      <c r="AR55" s="175" t="s">
        <v>421</v>
      </c>
      <c r="AS55" s="251" t="s">
        <v>424</v>
      </c>
      <c r="AT55" s="329" t="s">
        <v>514</v>
      </c>
      <c r="AU55" s="329" t="s">
        <v>515</v>
      </c>
      <c r="AV55" s="329" t="s">
        <v>516</v>
      </c>
    </row>
    <row r="56" spans="1:48" ht="37.5" customHeight="1" x14ac:dyDescent="0.2">
      <c r="A56" s="328"/>
      <c r="B56" s="329"/>
      <c r="C56" s="329"/>
      <c r="D56" s="329"/>
      <c r="E56" s="329"/>
      <c r="F56" s="329"/>
      <c r="G56" s="343"/>
      <c r="H56" s="343"/>
      <c r="I56" s="343"/>
      <c r="J56" s="343"/>
      <c r="K56" s="343"/>
      <c r="L56" s="343"/>
      <c r="M56" s="343"/>
      <c r="N56" s="343"/>
      <c r="O56" s="343"/>
      <c r="P56" s="343"/>
      <c r="Q56" s="343"/>
      <c r="R56" s="339"/>
      <c r="S56" s="340"/>
      <c r="T56" s="341"/>
      <c r="U56" s="359"/>
      <c r="V56" s="341">
        <f>IF(NOT(ISERROR(MATCH(U56,_xlfn.ANCHORARRAY(E67),0))),T69&amp;"Por favor no seleccionar los criterios de impacto",U56)</f>
        <v>0</v>
      </c>
      <c r="W56" s="340"/>
      <c r="X56" s="341"/>
      <c r="Y56" s="358"/>
      <c r="Z56" s="203">
        <v>2</v>
      </c>
      <c r="AA56" s="176" t="s">
        <v>511</v>
      </c>
      <c r="AB56" s="178" t="str">
        <f>IF(OR(AC56="Preventivo",AC56="Detectivo"),"Probabilidad",IF(AC56="Correctivo","Impacto",""))</f>
        <v>Probabilidad</v>
      </c>
      <c r="AC56" s="179" t="s">
        <v>245</v>
      </c>
      <c r="AD56" s="179" t="s">
        <v>241</v>
      </c>
      <c r="AE56" s="180" t="str">
        <f t="shared" ref="AE56" si="62">IF(AND(AC56="Preventivo",AD56="Automático"),"50%",IF(AND(AC56="Preventivo",AD56="Manual"),"40%",IF(AND(AC56="Detectivo",AD56="Automático"),"40%",IF(AND(AC56="Detectivo",AD56="Manual"),"30%",IF(AND(AC56="Correctivo",AD56="Automático"),"35%",IF(AND(AC56="Correctivo",AD56="Manual"),"25%",""))))))</f>
        <v>30%</v>
      </c>
      <c r="AF56" s="179" t="s">
        <v>246</v>
      </c>
      <c r="AG56" s="179" t="s">
        <v>243</v>
      </c>
      <c r="AH56" s="179" t="s">
        <v>244</v>
      </c>
      <c r="AI56" s="181">
        <f>IFERROR(IF(AND(AB55="Probabilidad",AB56="Probabilidad"),(AK55-(+AK55*AE56)),IF(AB56="Probabilidad",(T55-(+T55*AE56)),IF(AB56="Impacto",AK55,""))),"")</f>
        <v>0.42</v>
      </c>
      <c r="AJ56" s="182" t="str">
        <f t="shared" si="2"/>
        <v>Media</v>
      </c>
      <c r="AK56" s="180">
        <f t="shared" ref="AK56:AK60" si="63">+AI56</f>
        <v>0.42</v>
      </c>
      <c r="AL56" s="182" t="str">
        <f t="shared" si="4"/>
        <v>Leve</v>
      </c>
      <c r="AM56" s="180">
        <f t="shared" ref="AM56" si="64">IFERROR(IF(AND(AB55="Impacto",AB56="Impacto"),(AM55-(+AM55*AE56)),IF(AB56="Impacto",($X$13-(+$X$13*AE56)),IF(AB56="Probabilidad",AM55,""))),"")</f>
        <v>0.2</v>
      </c>
      <c r="AN56" s="183" t="str">
        <f t="shared" ref="AN56:AN57" si="65">IFERROR(IF(OR(AND(AJ56="Muy Baja",AL56="Leve"),AND(AJ56="Muy Baja",AL56="Menor"),AND(AJ56="Baja",AL56="Leve")),"Bajo",IF(OR(AND(AJ56="Muy baja",AL56="Moderado"),AND(AJ56="Baja",AL56="Menor"),AND(AJ56="Baja",AL56="Moderado"),AND(AJ56="Media",AL56="Leve"),AND(AJ56="Media",AL56="Menor"),AND(AJ56="Media",AL56="Moderado"),AND(AJ56="Alta",AL56="Leve"),AND(AJ56="Alta",AL56="Menor")),"Moderado",IF(OR(AND(AJ56="Muy Baja",AL56="Mayor"),AND(AJ56="Baja",AL56="Mayor"),AND(AJ56="Media",AL56="Mayor"),AND(AJ56="Alta",AL56="Moderado"),AND(AJ56="Alta",AL56="Mayor"),AND(AJ56="Muy Alta",AL56="Leve"),AND(AJ56="Muy Alta",AL56="Menor"),AND(AJ56="Muy Alta",AL56="Moderado"),AND(AJ56="Muy Alta",AL56="Mayor")),"Alto",IF(OR(AND(AJ56="Muy Baja",AL56="Catastrófico"),AND(AJ56="Baja",AL56="Catastrófico"),AND(AJ56="Media",AL56="Catastrófico"),AND(AJ56="Alta",AL56="Catastrófico"),AND(AJ56="Muy Alta",AL56="Catastrófico")),"Extremo","")))),"")</f>
        <v>Moderado</v>
      </c>
      <c r="AO56" s="184" t="s">
        <v>109</v>
      </c>
      <c r="AP56" s="566" t="s">
        <v>512</v>
      </c>
      <c r="AQ56" s="175" t="s">
        <v>498</v>
      </c>
      <c r="AR56" s="175" t="s">
        <v>421</v>
      </c>
      <c r="AS56" s="565" t="s">
        <v>424</v>
      </c>
      <c r="AT56" s="329"/>
      <c r="AU56" s="329"/>
      <c r="AV56" s="329"/>
    </row>
    <row r="57" spans="1:48" ht="37.5" customHeight="1" x14ac:dyDescent="0.2">
      <c r="A57" s="328"/>
      <c r="B57" s="329"/>
      <c r="C57" s="329"/>
      <c r="D57" s="329"/>
      <c r="E57" s="329"/>
      <c r="F57" s="329"/>
      <c r="G57" s="343"/>
      <c r="H57" s="343"/>
      <c r="I57" s="343"/>
      <c r="J57" s="343"/>
      <c r="K57" s="343"/>
      <c r="L57" s="343"/>
      <c r="M57" s="343"/>
      <c r="N57" s="343"/>
      <c r="O57" s="343"/>
      <c r="P57" s="343"/>
      <c r="Q57" s="343"/>
      <c r="R57" s="339"/>
      <c r="S57" s="340"/>
      <c r="T57" s="341"/>
      <c r="U57" s="359"/>
      <c r="V57" s="341">
        <f>IF(NOT(ISERROR(MATCH(U57,_xlfn.ANCHORARRAY(E68),0))),T70&amp;"Por favor no seleccionar los criterios de impacto",U57)</f>
        <v>0</v>
      </c>
      <c r="W57" s="340"/>
      <c r="X57" s="341"/>
      <c r="Y57" s="358"/>
      <c r="Z57" s="203">
        <v>3</v>
      </c>
      <c r="AA57" s="177"/>
      <c r="AB57" s="178" t="str">
        <f>IF(OR(AC57="Preventivo",AC57="Detectivo"),"Probabilidad",IF(AC57="Correctivo","Impacto",""))</f>
        <v/>
      </c>
      <c r="AC57" s="179"/>
      <c r="AD57" s="179"/>
      <c r="AE57" s="180"/>
      <c r="AF57" s="179"/>
      <c r="AG57" s="179"/>
      <c r="AH57" s="179"/>
      <c r="AI57" s="181" t="str">
        <f>IFERROR(IF(AND(AB56="Probabilidad",AB57="Probabilidad"),(AK56-(+AK56*AE57)),IF(AND(AB56="Impacto",AB57="Probabilidad"),(AK55-(+AK55*AE57)),IF(AB57="Impacto",AK56,""))),"")</f>
        <v/>
      </c>
      <c r="AJ57" s="182" t="str">
        <f t="shared" si="2"/>
        <v/>
      </c>
      <c r="AK57" s="180" t="str">
        <f t="shared" si="63"/>
        <v/>
      </c>
      <c r="AL57" s="182" t="str">
        <f t="shared" si="4"/>
        <v/>
      </c>
      <c r="AM57" s="180" t="str">
        <f t="shared" ref="AM57" si="66">IFERROR(IF(AND(AB56="Impacto",AB57="Impacto"),(AM56-(+AM56*AE57)),IF(AND(AB56="Probabilidad",AB57="Impacto"),(AM55-(+AM55*AE57)),IF(AB57="Probabilidad",AM56,""))),"")</f>
        <v/>
      </c>
      <c r="AN57" s="183" t="str">
        <f t="shared" si="65"/>
        <v/>
      </c>
      <c r="AO57" s="184"/>
      <c r="AP57" s="175"/>
      <c r="AQ57" s="175"/>
      <c r="AR57" s="175"/>
      <c r="AS57" s="251"/>
      <c r="AT57" s="329"/>
      <c r="AU57" s="329"/>
      <c r="AV57" s="329"/>
    </row>
    <row r="58" spans="1:48" ht="37.5" customHeight="1" x14ac:dyDescent="0.2">
      <c r="A58" s="328"/>
      <c r="B58" s="329"/>
      <c r="C58" s="329"/>
      <c r="D58" s="329"/>
      <c r="E58" s="329"/>
      <c r="F58" s="329"/>
      <c r="G58" s="343"/>
      <c r="H58" s="343"/>
      <c r="I58" s="343"/>
      <c r="J58" s="343"/>
      <c r="K58" s="343"/>
      <c r="L58" s="343"/>
      <c r="M58" s="343"/>
      <c r="N58" s="343"/>
      <c r="O58" s="343"/>
      <c r="P58" s="343"/>
      <c r="Q58" s="343"/>
      <c r="R58" s="339"/>
      <c r="S58" s="340"/>
      <c r="T58" s="341"/>
      <c r="U58" s="359"/>
      <c r="V58" s="341">
        <f>IF(NOT(ISERROR(MATCH(U58,_xlfn.ANCHORARRAY(E69),0))),T71&amp;"Por favor no seleccionar los criterios de impacto",U58)</f>
        <v>0</v>
      </c>
      <c r="W58" s="340"/>
      <c r="X58" s="341"/>
      <c r="Y58" s="358"/>
      <c r="Z58" s="203">
        <v>4</v>
      </c>
      <c r="AA58" s="176"/>
      <c r="AB58" s="178" t="str">
        <f t="shared" ref="AB58:AB60" si="67">IF(OR(AC58="Preventivo",AC58="Detectivo"),"Probabilidad",IF(AC58="Correctivo","Impacto",""))</f>
        <v/>
      </c>
      <c r="AC58" s="179"/>
      <c r="AD58" s="179"/>
      <c r="AE58" s="180"/>
      <c r="AF58" s="179"/>
      <c r="AG58" s="179"/>
      <c r="AH58" s="179"/>
      <c r="AI58" s="181" t="str">
        <f t="shared" ref="AI58:AI60" si="68">IFERROR(IF(AND(AB57="Probabilidad",AB58="Probabilidad"),(AK57-(+AK57*AE58)),IF(AND(AB57="Impacto",AB58="Probabilidad"),(AK56-(+AK56*AE58)),IF(AB58="Impacto",AK57,""))),"")</f>
        <v/>
      </c>
      <c r="AJ58" s="182" t="str">
        <f t="shared" si="2"/>
        <v/>
      </c>
      <c r="AK58" s="180" t="str">
        <f t="shared" si="63"/>
        <v/>
      </c>
      <c r="AL58" s="182" t="str">
        <f t="shared" si="4"/>
        <v/>
      </c>
      <c r="AM58" s="180" t="str">
        <f t="shared" si="13"/>
        <v/>
      </c>
      <c r="AN58" s="183" t="str">
        <f>IFERROR(IF(OR(AND(AJ58="Muy Baja",AL58="Leve"),AND(AJ58="Muy Baja",AL58="Menor"),AND(AJ58="Baja",AL58="Leve")),"Bajo",IF(OR(AND(AJ58="Muy baja",AL58="Moderado"),AND(AJ58="Baja",AL58="Menor"),AND(AJ58="Baja",AL58="Moderado"),AND(AJ58="Media",AL58="Leve"),AND(AJ58="Media",AL58="Menor"),AND(AJ58="Media",AL58="Moderado"),AND(AJ58="Alta",AL58="Leve"),AND(AJ58="Alta",AL58="Menor")),"Moderado",IF(OR(AND(AJ58="Muy Baja",AL58="Mayor"),AND(AJ58="Baja",AL58="Mayor"),AND(AJ58="Media",AL58="Mayor"),AND(AJ58="Alta",AL58="Moderado"),AND(AJ58="Alta",AL58="Mayor"),AND(AJ58="Muy Alta",AL58="Leve"),AND(AJ58="Muy Alta",AL58="Menor"),AND(AJ58="Muy Alta",AL58="Moderado"),AND(AJ58="Muy Alta",AL58="Mayor")),"Alto",IF(OR(AND(AJ58="Muy Baja",AL58="Catastrófico"),AND(AJ58="Baja",AL58="Catastrófico"),AND(AJ58="Media",AL58="Catastrófico"),AND(AJ58="Alta",AL58="Catastrófico"),AND(AJ58="Muy Alta",AL58="Catastrófico")),"Extremo","")))),"")</f>
        <v/>
      </c>
      <c r="AO58" s="184"/>
      <c r="AP58" s="175"/>
      <c r="AQ58" s="175"/>
      <c r="AR58" s="175"/>
      <c r="AS58" s="251"/>
      <c r="AT58" s="329"/>
      <c r="AU58" s="329"/>
      <c r="AV58" s="329"/>
    </row>
    <row r="59" spans="1:48" ht="37.5" customHeight="1" x14ac:dyDescent="0.2">
      <c r="A59" s="328"/>
      <c r="B59" s="329"/>
      <c r="C59" s="329"/>
      <c r="D59" s="329"/>
      <c r="E59" s="329"/>
      <c r="F59" s="329"/>
      <c r="G59" s="343"/>
      <c r="H59" s="343"/>
      <c r="I59" s="343"/>
      <c r="J59" s="343"/>
      <c r="K59" s="343"/>
      <c r="L59" s="343"/>
      <c r="M59" s="343"/>
      <c r="N59" s="343"/>
      <c r="O59" s="343"/>
      <c r="P59" s="343"/>
      <c r="Q59" s="343"/>
      <c r="R59" s="339"/>
      <c r="S59" s="340"/>
      <c r="T59" s="341"/>
      <c r="U59" s="359"/>
      <c r="V59" s="341">
        <f>IF(NOT(ISERROR(MATCH(U59,_xlfn.ANCHORARRAY(E70),0))),T72&amp;"Por favor no seleccionar los criterios de impacto",U59)</f>
        <v>0</v>
      </c>
      <c r="W59" s="340"/>
      <c r="X59" s="341"/>
      <c r="Y59" s="358"/>
      <c r="Z59" s="203">
        <v>5</v>
      </c>
      <c r="AA59" s="176"/>
      <c r="AB59" s="178" t="str">
        <f t="shared" si="67"/>
        <v/>
      </c>
      <c r="AC59" s="179"/>
      <c r="AD59" s="179"/>
      <c r="AE59" s="180"/>
      <c r="AF59" s="179"/>
      <c r="AG59" s="179"/>
      <c r="AH59" s="179"/>
      <c r="AI59" s="181" t="str">
        <f t="shared" si="68"/>
        <v/>
      </c>
      <c r="AJ59" s="182" t="str">
        <f t="shared" si="2"/>
        <v/>
      </c>
      <c r="AK59" s="180" t="str">
        <f t="shared" si="63"/>
        <v/>
      </c>
      <c r="AL59" s="182" t="str">
        <f t="shared" si="4"/>
        <v/>
      </c>
      <c r="AM59" s="180" t="str">
        <f t="shared" si="13"/>
        <v/>
      </c>
      <c r="AN59" s="183" t="str">
        <f t="shared" ref="AN59:AN60" si="69">IFERROR(IF(OR(AND(AJ59="Muy Baja",AL59="Leve"),AND(AJ59="Muy Baja",AL59="Menor"),AND(AJ59="Baja",AL59="Leve")),"Bajo",IF(OR(AND(AJ59="Muy baja",AL59="Moderado"),AND(AJ59="Baja",AL59="Menor"),AND(AJ59="Baja",AL59="Moderado"),AND(AJ59="Media",AL59="Leve"),AND(AJ59="Media",AL59="Menor"),AND(AJ59="Media",AL59="Moderado"),AND(AJ59="Alta",AL59="Leve"),AND(AJ59="Alta",AL59="Menor")),"Moderado",IF(OR(AND(AJ59="Muy Baja",AL59="Mayor"),AND(AJ59="Baja",AL59="Mayor"),AND(AJ59="Media",AL59="Mayor"),AND(AJ59="Alta",AL59="Moderado"),AND(AJ59="Alta",AL59="Mayor"),AND(AJ59="Muy Alta",AL59="Leve"),AND(AJ59="Muy Alta",AL59="Menor"),AND(AJ59="Muy Alta",AL59="Moderado"),AND(AJ59="Muy Alta",AL59="Mayor")),"Alto",IF(OR(AND(AJ59="Muy Baja",AL59="Catastrófico"),AND(AJ59="Baja",AL59="Catastrófico"),AND(AJ59="Media",AL59="Catastrófico"),AND(AJ59="Alta",AL59="Catastrófico"),AND(AJ59="Muy Alta",AL59="Catastrófico")),"Extremo","")))),"")</f>
        <v/>
      </c>
      <c r="AO59" s="184"/>
      <c r="AP59" s="175"/>
      <c r="AQ59" s="175"/>
      <c r="AR59" s="175"/>
      <c r="AS59" s="251"/>
      <c r="AT59" s="329"/>
      <c r="AU59" s="329"/>
      <c r="AV59" s="329"/>
    </row>
    <row r="60" spans="1:48" ht="37.5" customHeight="1" x14ac:dyDescent="0.2">
      <c r="A60" s="328"/>
      <c r="B60" s="329"/>
      <c r="C60" s="329"/>
      <c r="D60" s="329"/>
      <c r="E60" s="329"/>
      <c r="F60" s="329"/>
      <c r="G60" s="344"/>
      <c r="H60" s="344"/>
      <c r="I60" s="344"/>
      <c r="J60" s="344"/>
      <c r="K60" s="344"/>
      <c r="L60" s="344"/>
      <c r="M60" s="344"/>
      <c r="N60" s="344"/>
      <c r="O60" s="344"/>
      <c r="P60" s="344"/>
      <c r="Q60" s="344"/>
      <c r="R60" s="339"/>
      <c r="S60" s="340"/>
      <c r="T60" s="341"/>
      <c r="U60" s="359"/>
      <c r="V60" s="341">
        <f>IF(NOT(ISERROR(MATCH(U60,_xlfn.ANCHORARRAY(E71),0))),U73&amp;"Por favor no seleccionar los criterios de impacto",U60)</f>
        <v>0</v>
      </c>
      <c r="W60" s="340"/>
      <c r="X60" s="341"/>
      <c r="Y60" s="358"/>
      <c r="Z60" s="203">
        <v>6</v>
      </c>
      <c r="AA60" s="176"/>
      <c r="AB60" s="178" t="str">
        <f t="shared" si="67"/>
        <v/>
      </c>
      <c r="AC60" s="179"/>
      <c r="AD60" s="179"/>
      <c r="AE60" s="180" t="str">
        <f t="shared" ref="AE60" si="70">IF(AND(AC60="Preventivo",AD60="Automático"),"50%",IF(AND(AC60="Preventivo",AD60="Manual"),"40%",IF(AND(AC60="Detectivo",AD60="Automático"),"40%",IF(AND(AC60="Detectivo",AD60="Manual"),"30%",IF(AND(AC60="Correctivo",AD60="Automático"),"35%",IF(AND(AC60="Correctivo",AD60="Manual"),"25%",""))))))</f>
        <v/>
      </c>
      <c r="AF60" s="179"/>
      <c r="AG60" s="179"/>
      <c r="AH60" s="179"/>
      <c r="AI60" s="181" t="str">
        <f t="shared" si="68"/>
        <v/>
      </c>
      <c r="AJ60" s="182" t="str">
        <f t="shared" si="2"/>
        <v/>
      </c>
      <c r="AK60" s="180" t="str">
        <f t="shared" si="63"/>
        <v/>
      </c>
      <c r="AL60" s="182" t="str">
        <f t="shared" si="4"/>
        <v/>
      </c>
      <c r="AM60" s="180" t="str">
        <f t="shared" si="13"/>
        <v/>
      </c>
      <c r="AN60" s="183" t="str">
        <f t="shared" si="69"/>
        <v/>
      </c>
      <c r="AO60" s="184"/>
      <c r="AP60" s="175"/>
      <c r="AQ60" s="175"/>
      <c r="AR60" s="175"/>
      <c r="AS60" s="251"/>
      <c r="AT60" s="329"/>
      <c r="AU60" s="329"/>
      <c r="AV60" s="329"/>
    </row>
    <row r="61" spans="1:48" ht="37.5" customHeight="1" x14ac:dyDescent="0.2">
      <c r="A61" s="328">
        <v>9</v>
      </c>
      <c r="B61" s="329"/>
      <c r="C61" s="329"/>
      <c r="D61" s="329"/>
      <c r="E61" s="329"/>
      <c r="F61" s="329"/>
      <c r="G61" s="342"/>
      <c r="H61" s="342"/>
      <c r="I61" s="342"/>
      <c r="J61" s="342"/>
      <c r="K61" s="342"/>
      <c r="L61" s="342"/>
      <c r="M61" s="210"/>
      <c r="N61" s="210"/>
      <c r="O61" s="210"/>
      <c r="P61" s="342"/>
      <c r="Q61" s="342"/>
      <c r="R61" s="339"/>
      <c r="S61" s="340" t="str">
        <f>IF(R61&lt;=0,"",IF(R61&lt;=2,"Muy Baja",IF(R61&lt;=24,"Baja",IF(R61&lt;=500,"Media",IF(R61&lt;=5000,"Alta","Muy Alta")))))</f>
        <v/>
      </c>
      <c r="T61" s="341" t="str">
        <f>IF(S61="","",IF(S61="Muy Baja",0.2,IF(S61="Baja",0.4,IF(S61="Media",0.6,IF(S61="Alta",0.8,IF(S61="Muy Alta",1,))))))</f>
        <v/>
      </c>
      <c r="U61" s="359"/>
      <c r="V61" s="341">
        <f>IF(NOT(ISERROR(MATCH(U61,'Tabla Impacto'!$B$222:$B$224,0))),'Tabla Impacto'!$F$224&amp;"Por favor no seleccionar los criterios de impacto(Afectación Económica o presupuestal y Pérdida Reputacional)",U61)</f>
        <v>0</v>
      </c>
      <c r="W61" s="340" t="str">
        <f>IF(OR(V61='Tabla Impacto'!$C$12,V61='Tabla Impacto'!$D$12),"Leve",IF(OR(V61='Tabla Impacto'!$C$13,V61='Tabla Impacto'!$D$13),"Menor",IF(OR(V61='Tabla Impacto'!$C$14,V61='Tabla Impacto'!$D$14),"Moderado",IF(OR(V61='Tabla Impacto'!$C$15,V61='Tabla Impacto'!$D$15),"Mayor",IF(OR(V61='Tabla Impacto'!$C$16,V61='Tabla Impacto'!$D$16),"Catastrófico","")))))</f>
        <v/>
      </c>
      <c r="X61" s="341" t="str">
        <f>IF(W61="","",IF(W61="Leve",0.2,IF(W61="Menor",0.4,IF(W61="Moderado",0.6,IF(W61="Mayor",0.8,IF(W61="Catastrófico",1,))))))</f>
        <v/>
      </c>
      <c r="Y61" s="358" t="str">
        <f>IF(OR(AND(S61="Muy Baja",W61="Leve"),AND(S61="Muy Baja",W61="Menor"),AND(S61="Baja",W61="Leve")),"Bajo",IF(OR(AND(S61="Muy baja",W61="Moderado"),AND(S61="Baja",W61="Menor"),AND(S61="Baja",W61="Moderado"),AND(S61="Media",W61="Leve"),AND(S61="Media",W61="Menor"),AND(S61="Media",W61="Moderado"),AND(S61="Alta",W61="Leve"),AND(S61="Alta",W61="Menor")),"Moderado",IF(OR(AND(S61="Muy Baja",W61="Mayor"),AND(S61="Baja",W61="Mayor"),AND(S61="Media",W61="Mayor"),AND(S61="Alta",W61="Moderado"),AND(S61="Alta",W61="Mayor"),AND(S61="Muy Alta",W61="Leve"),AND(S61="Muy Alta",W61="Menor"),AND(S61="Muy Alta",W61="Moderado"),AND(S61="Muy Alta",W61="Mayor")),"Alto",IF(OR(AND(S61="Muy Baja",W61="Catastrófico"),AND(S61="Baja",W61="Catastrófico"),AND(S61="Media",W61="Catastrófico"),AND(S61="Alta",W61="Catastrófico"),AND(S61="Muy Alta",W61="Catastrófico")),"Extremo",""))))</f>
        <v/>
      </c>
      <c r="Z61" s="203">
        <v>1</v>
      </c>
      <c r="AA61" s="176"/>
      <c r="AB61" s="178" t="str">
        <f>IF(OR(AC61="Preventivo",AC61="Detectivo"),"Probabilidad",IF(AC61="Correctivo","Impacto",""))</f>
        <v/>
      </c>
      <c r="AC61" s="179"/>
      <c r="AD61" s="179"/>
      <c r="AE61" s="180" t="str">
        <f>IF(AND(AC61="Preventivo",AD61="Automático"),"50%",IF(AND(AC61="Preventivo",AD61="Manual"),"40%",IF(AND(AC61="Detectivo",AD61="Automático"),"40%",IF(AND(AC61="Detectivo",AD61="Manual"),"30%",IF(AND(AC61="Correctivo",AD61="Automático"),"35%",IF(AND(AC61="Correctivo",AD61="Manual"),"25%",""))))))</f>
        <v/>
      </c>
      <c r="AF61" s="179"/>
      <c r="AG61" s="179"/>
      <c r="AH61" s="179"/>
      <c r="AI61" s="181" t="str">
        <f>IFERROR(IF(AB61="Probabilidad",(T61-(+T61*AE61)),IF(AB61="Impacto",T61,"")),"")</f>
        <v/>
      </c>
      <c r="AJ61" s="182" t="str">
        <f>IFERROR(IF(AI61="","",IF(AI61&lt;=0.2,"Muy Baja",IF(AI61&lt;=0.4,"Baja",IF(AI61&lt;=0.6,"Media",IF(AI61&lt;=0.8,"Alta","Muy Alta"))))),"")</f>
        <v/>
      </c>
      <c r="AK61" s="180" t="str">
        <f>+AI61</f>
        <v/>
      </c>
      <c r="AL61" s="182" t="str">
        <f>IFERROR(IF(AM61="","",IF(AM61&lt;=0.2,"Leve",IF(AM61&lt;=0.4,"Menor",IF(AM61&lt;=0.6,"Moderado",IF(AM61&lt;=0.8,"Mayor","Catastrófico"))))),"")</f>
        <v/>
      </c>
      <c r="AM61" s="180" t="str">
        <f t="shared" ref="AM61" si="71">IFERROR(IF(AB61="Impacto",(X61-(+X61*AE61)),IF(AB61="Probabilidad",X61,"")),"")</f>
        <v/>
      </c>
      <c r="AN61" s="183" t="str">
        <f>IFERROR(IF(OR(AND(AJ61="Muy Baja",AL61="Leve"),AND(AJ61="Muy Baja",AL61="Menor"),AND(AJ61="Baja",AL61="Leve")),"Bajo",IF(OR(AND(AJ61="Muy baja",AL61="Moderado"),AND(AJ61="Baja",AL61="Menor"),AND(AJ61="Baja",AL61="Moderado"),AND(AJ61="Media",AL61="Leve"),AND(AJ61="Media",AL61="Menor"),AND(AJ61="Media",AL61="Moderado"),AND(AJ61="Alta",AL61="Leve"),AND(AJ61="Alta",AL61="Menor")),"Moderado",IF(OR(AND(AJ61="Muy Baja",AL61="Mayor"),AND(AJ61="Baja",AL61="Mayor"),AND(AJ61="Media",AL61="Mayor"),AND(AJ61="Alta",AL61="Moderado"),AND(AJ61="Alta",AL61="Mayor"),AND(AJ61="Muy Alta",AL61="Leve"),AND(AJ61="Muy Alta",AL61="Menor"),AND(AJ61="Muy Alta",AL61="Moderado"),AND(AJ61="Muy Alta",AL61="Mayor")),"Alto",IF(OR(AND(AJ61="Muy Baja",AL61="Catastrófico"),AND(AJ61="Baja",AL61="Catastrófico"),AND(AJ61="Media",AL61="Catastrófico"),AND(AJ61="Alta",AL61="Catastrófico"),AND(AJ61="Muy Alta",AL61="Catastrófico")),"Extremo","")))),"")</f>
        <v/>
      </c>
      <c r="AO61" s="184"/>
      <c r="AP61" s="175"/>
      <c r="AQ61" s="175"/>
      <c r="AR61" s="175"/>
      <c r="AS61" s="251"/>
      <c r="AT61" s="339"/>
      <c r="AU61" s="329"/>
      <c r="AV61" s="329"/>
    </row>
    <row r="62" spans="1:48" ht="37.5" customHeight="1" x14ac:dyDescent="0.2">
      <c r="A62" s="328"/>
      <c r="B62" s="329"/>
      <c r="C62" s="329"/>
      <c r="D62" s="329"/>
      <c r="E62" s="329"/>
      <c r="F62" s="329"/>
      <c r="G62" s="343"/>
      <c r="H62" s="343"/>
      <c r="I62" s="343"/>
      <c r="J62" s="343"/>
      <c r="K62" s="343"/>
      <c r="L62" s="343"/>
      <c r="M62" s="211"/>
      <c r="N62" s="211"/>
      <c r="O62" s="211"/>
      <c r="P62" s="343"/>
      <c r="Q62" s="343"/>
      <c r="R62" s="339"/>
      <c r="S62" s="340"/>
      <c r="T62" s="341"/>
      <c r="U62" s="359"/>
      <c r="V62" s="341">
        <f>IF(NOT(ISERROR(MATCH(U62,_xlfn.ANCHORARRAY(F73),0))),U75&amp;"Por favor no seleccionar los criterios de impacto",U62)</f>
        <v>0</v>
      </c>
      <c r="W62" s="340"/>
      <c r="X62" s="341"/>
      <c r="Y62" s="358"/>
      <c r="Z62" s="203">
        <v>2</v>
      </c>
      <c r="AA62" s="176"/>
      <c r="AB62" s="178" t="str">
        <f>IF(OR(AC62="Preventivo",AC62="Detectivo"),"Probabilidad",IF(AC62="Correctivo","Impacto",""))</f>
        <v/>
      </c>
      <c r="AC62" s="179"/>
      <c r="AD62" s="179"/>
      <c r="AE62" s="180" t="str">
        <f t="shared" ref="AE62:AE66" si="72">IF(AND(AC62="Preventivo",AD62="Automático"),"50%",IF(AND(AC62="Preventivo",AD62="Manual"),"40%",IF(AND(AC62="Detectivo",AD62="Automático"),"40%",IF(AND(AC62="Detectivo",AD62="Manual"),"30%",IF(AND(AC62="Correctivo",AD62="Automático"),"35%",IF(AND(AC62="Correctivo",AD62="Manual"),"25%",""))))))</f>
        <v/>
      </c>
      <c r="AF62" s="179"/>
      <c r="AG62" s="179"/>
      <c r="AH62" s="179"/>
      <c r="AI62" s="181" t="str">
        <f>IFERROR(IF(AND(AB61="Probabilidad",AB62="Probabilidad"),(AK61-(+AK61*AE62)),IF(AB62="Probabilidad",(T61-(+T61*AE62)),IF(AB62="Impacto",AK61,""))),"")</f>
        <v/>
      </c>
      <c r="AJ62" s="182" t="str">
        <f t="shared" si="2"/>
        <v/>
      </c>
      <c r="AK62" s="180" t="str">
        <f t="shared" ref="AK62:AK66" si="73">+AI62</f>
        <v/>
      </c>
      <c r="AL62" s="182" t="str">
        <f t="shared" si="4"/>
        <v/>
      </c>
      <c r="AM62" s="180" t="str">
        <f t="shared" ref="AM62" si="74">IFERROR(IF(AND(AB61="Impacto",AB62="Impacto"),(AM61-(+AM61*AE62)),IF(AB62="Impacto",($X$13-(+$X$13*AE62)),IF(AB62="Probabilidad",AM61,""))),"")</f>
        <v/>
      </c>
      <c r="AN62" s="183" t="str">
        <f t="shared" ref="AN62:AN63" si="75">IFERROR(IF(OR(AND(AJ62="Muy Baja",AL62="Leve"),AND(AJ62="Muy Baja",AL62="Menor"),AND(AJ62="Baja",AL62="Leve")),"Bajo",IF(OR(AND(AJ62="Muy baja",AL62="Moderado"),AND(AJ62="Baja",AL62="Menor"),AND(AJ62="Baja",AL62="Moderado"),AND(AJ62="Media",AL62="Leve"),AND(AJ62="Media",AL62="Menor"),AND(AJ62="Media",AL62="Moderado"),AND(AJ62="Alta",AL62="Leve"),AND(AJ62="Alta",AL62="Menor")),"Moderado",IF(OR(AND(AJ62="Muy Baja",AL62="Mayor"),AND(AJ62="Baja",AL62="Mayor"),AND(AJ62="Media",AL62="Mayor"),AND(AJ62="Alta",AL62="Moderado"),AND(AJ62="Alta",AL62="Mayor"),AND(AJ62="Muy Alta",AL62="Leve"),AND(AJ62="Muy Alta",AL62="Menor"),AND(AJ62="Muy Alta",AL62="Moderado"),AND(AJ62="Muy Alta",AL62="Mayor")),"Alto",IF(OR(AND(AJ62="Muy Baja",AL62="Catastrófico"),AND(AJ62="Baja",AL62="Catastrófico"),AND(AJ62="Media",AL62="Catastrófico"),AND(AJ62="Alta",AL62="Catastrófico"),AND(AJ62="Muy Alta",AL62="Catastrófico")),"Extremo","")))),"")</f>
        <v/>
      </c>
      <c r="AO62" s="184"/>
      <c r="AP62" s="175"/>
      <c r="AQ62" s="175"/>
      <c r="AR62" s="175"/>
      <c r="AS62" s="251"/>
      <c r="AT62" s="339"/>
      <c r="AU62" s="329"/>
      <c r="AV62" s="329"/>
    </row>
    <row r="63" spans="1:48" ht="37.5" customHeight="1" x14ac:dyDescent="0.2">
      <c r="A63" s="328"/>
      <c r="B63" s="329"/>
      <c r="C63" s="329"/>
      <c r="D63" s="329"/>
      <c r="E63" s="329"/>
      <c r="F63" s="329"/>
      <c r="G63" s="343"/>
      <c r="H63" s="343"/>
      <c r="I63" s="343"/>
      <c r="J63" s="343"/>
      <c r="K63" s="343"/>
      <c r="L63" s="343"/>
      <c r="M63" s="211"/>
      <c r="N63" s="211"/>
      <c r="O63" s="211"/>
      <c r="P63" s="343"/>
      <c r="Q63" s="343"/>
      <c r="R63" s="339"/>
      <c r="S63" s="340"/>
      <c r="T63" s="341"/>
      <c r="U63" s="359"/>
      <c r="V63" s="341">
        <f>IF(NOT(ISERROR(MATCH(U63,_xlfn.ANCHORARRAY(F74),0))),U76&amp;"Por favor no seleccionar los criterios de impacto",U63)</f>
        <v>0</v>
      </c>
      <c r="W63" s="340"/>
      <c r="X63" s="341"/>
      <c r="Y63" s="358"/>
      <c r="Z63" s="203">
        <v>3</v>
      </c>
      <c r="AA63" s="176"/>
      <c r="AB63" s="178" t="str">
        <f>IF(OR(AC63="Preventivo",AC63="Detectivo"),"Probabilidad",IF(AC63="Correctivo","Impacto",""))</f>
        <v/>
      </c>
      <c r="AC63" s="179"/>
      <c r="AD63" s="179"/>
      <c r="AE63" s="180" t="str">
        <f t="shared" si="72"/>
        <v/>
      </c>
      <c r="AF63" s="179"/>
      <c r="AG63" s="179"/>
      <c r="AH63" s="179"/>
      <c r="AI63" s="181" t="str">
        <f>IFERROR(IF(AND(AB62="Probabilidad",AB63="Probabilidad"),(AK62-(+AK62*AE63)),IF(AND(AB62="Impacto",AB63="Probabilidad"),(AK61-(+AK61*AE63)),IF(AB63="Impacto",AK62,""))),"")</f>
        <v/>
      </c>
      <c r="AJ63" s="182" t="str">
        <f t="shared" si="2"/>
        <v/>
      </c>
      <c r="AK63" s="180" t="str">
        <f t="shared" si="73"/>
        <v/>
      </c>
      <c r="AL63" s="182" t="str">
        <f t="shared" si="4"/>
        <v/>
      </c>
      <c r="AM63" s="180" t="str">
        <f t="shared" ref="AM63" si="76">IFERROR(IF(AND(AB62="Impacto",AB63="Impacto"),(AM62-(+AM62*AE63)),IF(AND(AB62="Probabilidad",AB63="Impacto"),(AM61-(+AM61*AE63)),IF(AB63="Probabilidad",AM62,""))),"")</f>
        <v/>
      </c>
      <c r="AN63" s="183" t="str">
        <f t="shared" si="75"/>
        <v/>
      </c>
      <c r="AO63" s="184"/>
      <c r="AP63" s="175"/>
      <c r="AQ63" s="175"/>
      <c r="AR63" s="175"/>
      <c r="AS63" s="251"/>
      <c r="AT63" s="339"/>
      <c r="AU63" s="329"/>
      <c r="AV63" s="329"/>
    </row>
    <row r="64" spans="1:48" ht="37.5" customHeight="1" x14ac:dyDescent="0.2">
      <c r="A64" s="328"/>
      <c r="B64" s="329"/>
      <c r="C64" s="329"/>
      <c r="D64" s="329"/>
      <c r="E64" s="329"/>
      <c r="F64" s="329"/>
      <c r="G64" s="343"/>
      <c r="H64" s="343"/>
      <c r="I64" s="343"/>
      <c r="J64" s="343"/>
      <c r="K64" s="343"/>
      <c r="L64" s="343"/>
      <c r="M64" s="211"/>
      <c r="N64" s="211"/>
      <c r="O64" s="211"/>
      <c r="P64" s="343"/>
      <c r="Q64" s="343"/>
      <c r="R64" s="339"/>
      <c r="S64" s="340"/>
      <c r="T64" s="341"/>
      <c r="U64" s="359"/>
      <c r="V64" s="341">
        <f>IF(NOT(ISERROR(MATCH(U64,_xlfn.ANCHORARRAY(F75),0))),U77&amp;"Por favor no seleccionar los criterios de impacto",U64)</f>
        <v>0</v>
      </c>
      <c r="W64" s="340"/>
      <c r="X64" s="341"/>
      <c r="Y64" s="358"/>
      <c r="Z64" s="203">
        <v>4</v>
      </c>
      <c r="AA64" s="176"/>
      <c r="AB64" s="178" t="str">
        <f t="shared" ref="AB64:AB66" si="77">IF(OR(AC64="Preventivo",AC64="Detectivo"),"Probabilidad",IF(AC64="Correctivo","Impacto",""))</f>
        <v/>
      </c>
      <c r="AC64" s="179"/>
      <c r="AD64" s="179"/>
      <c r="AE64" s="180" t="str">
        <f t="shared" si="72"/>
        <v/>
      </c>
      <c r="AF64" s="179"/>
      <c r="AG64" s="179"/>
      <c r="AH64" s="179"/>
      <c r="AI64" s="181" t="str">
        <f t="shared" ref="AI64:AI66" si="78">IFERROR(IF(AND(AB63="Probabilidad",AB64="Probabilidad"),(AK63-(+AK63*AE64)),IF(AND(AB63="Impacto",AB64="Probabilidad"),(AK62-(+AK62*AE64)),IF(AB64="Impacto",AK63,""))),"")</f>
        <v/>
      </c>
      <c r="AJ64" s="182" t="str">
        <f t="shared" si="2"/>
        <v/>
      </c>
      <c r="AK64" s="180" t="str">
        <f t="shared" si="73"/>
        <v/>
      </c>
      <c r="AL64" s="182" t="str">
        <f t="shared" si="4"/>
        <v/>
      </c>
      <c r="AM64" s="180" t="str">
        <f t="shared" si="13"/>
        <v/>
      </c>
      <c r="AN64" s="183" t="str">
        <f>IFERROR(IF(OR(AND(AJ64="Muy Baja",AL64="Leve"),AND(AJ64="Muy Baja",AL64="Menor"),AND(AJ64="Baja",AL64="Leve")),"Bajo",IF(OR(AND(AJ64="Muy baja",AL64="Moderado"),AND(AJ64="Baja",AL64="Menor"),AND(AJ64="Baja",AL64="Moderado"),AND(AJ64="Media",AL64="Leve"),AND(AJ64="Media",AL64="Menor"),AND(AJ64="Media",AL64="Moderado"),AND(AJ64="Alta",AL64="Leve"),AND(AJ64="Alta",AL64="Menor")),"Moderado",IF(OR(AND(AJ64="Muy Baja",AL64="Mayor"),AND(AJ64="Baja",AL64="Mayor"),AND(AJ64="Media",AL64="Mayor"),AND(AJ64="Alta",AL64="Moderado"),AND(AJ64="Alta",AL64="Mayor"),AND(AJ64="Muy Alta",AL64="Leve"),AND(AJ64="Muy Alta",AL64="Menor"),AND(AJ64="Muy Alta",AL64="Moderado"),AND(AJ64="Muy Alta",AL64="Mayor")),"Alto",IF(OR(AND(AJ64="Muy Baja",AL64="Catastrófico"),AND(AJ64="Baja",AL64="Catastrófico"),AND(AJ64="Media",AL64="Catastrófico"),AND(AJ64="Alta",AL64="Catastrófico"),AND(AJ64="Muy Alta",AL64="Catastrófico")),"Extremo","")))),"")</f>
        <v/>
      </c>
      <c r="AO64" s="184"/>
      <c r="AP64" s="175"/>
      <c r="AQ64" s="175"/>
      <c r="AR64" s="175"/>
      <c r="AS64" s="251"/>
      <c r="AT64" s="339"/>
      <c r="AU64" s="329"/>
      <c r="AV64" s="329"/>
    </row>
    <row r="65" spans="1:48" ht="37.5" customHeight="1" x14ac:dyDescent="0.2">
      <c r="A65" s="328"/>
      <c r="B65" s="329"/>
      <c r="C65" s="329"/>
      <c r="D65" s="329"/>
      <c r="E65" s="329"/>
      <c r="F65" s="329"/>
      <c r="G65" s="343"/>
      <c r="H65" s="343"/>
      <c r="I65" s="343"/>
      <c r="J65" s="343"/>
      <c r="K65" s="343"/>
      <c r="L65" s="343"/>
      <c r="M65" s="211"/>
      <c r="N65" s="211"/>
      <c r="O65" s="211"/>
      <c r="P65" s="343"/>
      <c r="Q65" s="343"/>
      <c r="R65" s="339"/>
      <c r="S65" s="340"/>
      <c r="T65" s="341"/>
      <c r="U65" s="359"/>
      <c r="V65" s="341">
        <f>IF(NOT(ISERROR(MATCH(U65,_xlfn.ANCHORARRAY(F76),0))),U78&amp;"Por favor no seleccionar los criterios de impacto",U65)</f>
        <v>0</v>
      </c>
      <c r="W65" s="340"/>
      <c r="X65" s="341"/>
      <c r="Y65" s="358"/>
      <c r="Z65" s="203">
        <v>5</v>
      </c>
      <c r="AA65" s="176"/>
      <c r="AB65" s="178" t="str">
        <f t="shared" si="77"/>
        <v/>
      </c>
      <c r="AC65" s="179"/>
      <c r="AD65" s="179"/>
      <c r="AE65" s="180" t="str">
        <f t="shared" si="72"/>
        <v/>
      </c>
      <c r="AF65" s="179"/>
      <c r="AG65" s="179"/>
      <c r="AH65" s="179"/>
      <c r="AI65" s="181" t="str">
        <f t="shared" si="78"/>
        <v/>
      </c>
      <c r="AJ65" s="182" t="str">
        <f t="shared" si="2"/>
        <v/>
      </c>
      <c r="AK65" s="180" t="str">
        <f t="shared" si="73"/>
        <v/>
      </c>
      <c r="AL65" s="182" t="str">
        <f t="shared" si="4"/>
        <v/>
      </c>
      <c r="AM65" s="180" t="str">
        <f t="shared" si="13"/>
        <v/>
      </c>
      <c r="AN65" s="183" t="str">
        <f t="shared" ref="AN65:AN66" si="79">IFERROR(IF(OR(AND(AJ65="Muy Baja",AL65="Leve"),AND(AJ65="Muy Baja",AL65="Menor"),AND(AJ65="Baja",AL65="Leve")),"Bajo",IF(OR(AND(AJ65="Muy baja",AL65="Moderado"),AND(AJ65="Baja",AL65="Menor"),AND(AJ65="Baja",AL65="Moderado"),AND(AJ65="Media",AL65="Leve"),AND(AJ65="Media",AL65="Menor"),AND(AJ65="Media",AL65="Moderado"),AND(AJ65="Alta",AL65="Leve"),AND(AJ65="Alta",AL65="Menor")),"Moderado",IF(OR(AND(AJ65="Muy Baja",AL65="Mayor"),AND(AJ65="Baja",AL65="Mayor"),AND(AJ65="Media",AL65="Mayor"),AND(AJ65="Alta",AL65="Moderado"),AND(AJ65="Alta",AL65="Mayor"),AND(AJ65="Muy Alta",AL65="Leve"),AND(AJ65="Muy Alta",AL65="Menor"),AND(AJ65="Muy Alta",AL65="Moderado"),AND(AJ65="Muy Alta",AL65="Mayor")),"Alto",IF(OR(AND(AJ65="Muy Baja",AL65="Catastrófico"),AND(AJ65="Baja",AL65="Catastrófico"),AND(AJ65="Media",AL65="Catastrófico"),AND(AJ65="Alta",AL65="Catastrófico"),AND(AJ65="Muy Alta",AL65="Catastrófico")),"Extremo","")))),"")</f>
        <v/>
      </c>
      <c r="AO65" s="184"/>
      <c r="AP65" s="175"/>
      <c r="AQ65" s="175"/>
      <c r="AR65" s="175"/>
      <c r="AS65" s="251"/>
      <c r="AT65" s="339"/>
      <c r="AU65" s="329"/>
      <c r="AV65" s="329"/>
    </row>
    <row r="66" spans="1:48" ht="37.5" customHeight="1" x14ac:dyDescent="0.2">
      <c r="A66" s="328"/>
      <c r="B66" s="329"/>
      <c r="C66" s="329"/>
      <c r="D66" s="329"/>
      <c r="E66" s="329"/>
      <c r="F66" s="329"/>
      <c r="G66" s="344"/>
      <c r="H66" s="344"/>
      <c r="I66" s="344"/>
      <c r="J66" s="344"/>
      <c r="K66" s="344"/>
      <c r="L66" s="344"/>
      <c r="M66" s="212"/>
      <c r="N66" s="212"/>
      <c r="O66" s="212"/>
      <c r="P66" s="344"/>
      <c r="Q66" s="344"/>
      <c r="R66" s="339"/>
      <c r="S66" s="340"/>
      <c r="T66" s="341"/>
      <c r="U66" s="359"/>
      <c r="V66" s="341">
        <f>IF(NOT(ISERROR(MATCH(U66,_xlfn.ANCHORARRAY(F77),0))),U79&amp;"Por favor no seleccionar los criterios de impacto",U66)</f>
        <v>0</v>
      </c>
      <c r="W66" s="340"/>
      <c r="X66" s="341"/>
      <c r="Y66" s="358"/>
      <c r="Z66" s="203">
        <v>6</v>
      </c>
      <c r="AA66" s="176"/>
      <c r="AB66" s="178" t="str">
        <f t="shared" si="77"/>
        <v/>
      </c>
      <c r="AC66" s="179"/>
      <c r="AD66" s="179"/>
      <c r="AE66" s="180" t="str">
        <f t="shared" si="72"/>
        <v/>
      </c>
      <c r="AF66" s="179"/>
      <c r="AG66" s="179"/>
      <c r="AH66" s="179"/>
      <c r="AI66" s="181" t="str">
        <f t="shared" si="78"/>
        <v/>
      </c>
      <c r="AJ66" s="182" t="str">
        <f t="shared" si="2"/>
        <v/>
      </c>
      <c r="AK66" s="180" t="str">
        <f t="shared" si="73"/>
        <v/>
      </c>
      <c r="AL66" s="182" t="str">
        <f t="shared" si="4"/>
        <v/>
      </c>
      <c r="AM66" s="180" t="str">
        <f t="shared" si="13"/>
        <v/>
      </c>
      <c r="AN66" s="183" t="str">
        <f t="shared" si="79"/>
        <v/>
      </c>
      <c r="AO66" s="184"/>
      <c r="AP66" s="175"/>
      <c r="AQ66" s="175"/>
      <c r="AR66" s="175"/>
      <c r="AS66" s="251"/>
      <c r="AT66" s="339"/>
      <c r="AU66" s="329"/>
      <c r="AV66" s="329"/>
    </row>
    <row r="67" spans="1:48" ht="37.5" customHeight="1" x14ac:dyDescent="0.2">
      <c r="A67" s="328">
        <v>10</v>
      </c>
      <c r="B67" s="329"/>
      <c r="C67" s="329"/>
      <c r="D67" s="329"/>
      <c r="E67" s="329"/>
      <c r="F67" s="329"/>
      <c r="G67" s="342"/>
      <c r="H67" s="342"/>
      <c r="I67" s="342"/>
      <c r="J67" s="342"/>
      <c r="K67" s="342"/>
      <c r="L67" s="342"/>
      <c r="M67" s="210"/>
      <c r="N67" s="210"/>
      <c r="O67" s="210"/>
      <c r="P67" s="342"/>
      <c r="Q67" s="342"/>
      <c r="R67" s="339"/>
      <c r="S67" s="340" t="str">
        <f>IF(R67&lt;=0,"",IF(R67&lt;=2,"Muy Baja",IF(R67&lt;=24,"Baja",IF(R67&lt;=500,"Media",IF(R67&lt;=5000,"Alta","Muy Alta")))))</f>
        <v/>
      </c>
      <c r="T67" s="341" t="str">
        <f>IF(S67="","",IF(S67="Muy Baja",0.2,IF(S67="Baja",0.4,IF(S67="Media",0.6,IF(S67="Alta",0.8,IF(S67="Muy Alta",1,))))))</f>
        <v/>
      </c>
      <c r="U67" s="359"/>
      <c r="V67" s="341">
        <f>IF(NOT(ISERROR(MATCH(U67,'Tabla Impacto'!$B$222:$B$224,0))),'Tabla Impacto'!$F$224&amp;"Por favor no seleccionar los criterios de impacto(Afectación Económica o presupuestal y Pérdida Reputacional)",U67)</f>
        <v>0</v>
      </c>
      <c r="W67" s="340" t="str">
        <f>IF(OR(V67='Tabla Impacto'!$C$12,V67='Tabla Impacto'!$D$12),"Leve",IF(OR(V67='Tabla Impacto'!$C$13,V67='Tabla Impacto'!$D$13),"Menor",IF(OR(V67='Tabla Impacto'!$C$14,V67='Tabla Impacto'!$D$14),"Moderado",IF(OR(V67='Tabla Impacto'!$C$15,V67='Tabla Impacto'!$D$15),"Mayor",IF(OR(V67='Tabla Impacto'!$C$16,V67='Tabla Impacto'!$D$16),"Catastrófico","")))))</f>
        <v/>
      </c>
      <c r="X67" s="341" t="str">
        <f>IF(W67="","",IF(W67="Leve",0.2,IF(W67="Menor",0.4,IF(W67="Moderado",0.6,IF(W67="Mayor",0.8,IF(W67="Catastrófico",1,))))))</f>
        <v/>
      </c>
      <c r="Y67" s="358" t="str">
        <f>IF(OR(AND(S67="Muy Baja",W67="Leve"),AND(S67="Muy Baja",W67="Menor"),AND(S67="Baja",W67="Leve")),"Bajo",IF(OR(AND(S67="Muy baja",W67="Moderado"),AND(S67="Baja",W67="Menor"),AND(S67="Baja",W67="Moderado"),AND(S67="Media",W67="Leve"),AND(S67="Media",W67="Menor"),AND(S67="Media",W67="Moderado"),AND(S67="Alta",W67="Leve"),AND(S67="Alta",W67="Menor")),"Moderado",IF(OR(AND(S67="Muy Baja",W67="Mayor"),AND(S67="Baja",W67="Mayor"),AND(S67="Media",W67="Mayor"),AND(S67="Alta",W67="Moderado"),AND(S67="Alta",W67="Mayor"),AND(S67="Muy Alta",W67="Leve"),AND(S67="Muy Alta",W67="Menor"),AND(S67="Muy Alta",W67="Moderado"),AND(S67="Muy Alta",W67="Mayor")),"Alto",IF(OR(AND(S67="Muy Baja",W67="Catastrófico"),AND(S67="Baja",W67="Catastrófico"),AND(S67="Media",W67="Catastrófico"),AND(S67="Alta",W67="Catastrófico"),AND(S67="Muy Alta",W67="Catastrófico")),"Extremo",""))))</f>
        <v/>
      </c>
      <c r="Z67" s="203">
        <v>1</v>
      </c>
      <c r="AA67" s="176"/>
      <c r="AB67" s="178" t="str">
        <f>IF(OR(AC67="Preventivo",AC67="Detectivo"),"Probabilidad",IF(AC67="Correctivo","Impacto",""))</f>
        <v/>
      </c>
      <c r="AC67" s="179"/>
      <c r="AD67" s="179"/>
      <c r="AE67" s="180" t="str">
        <f>IF(AND(AC67="Preventivo",AD67="Automático"),"50%",IF(AND(AC67="Preventivo",AD67="Manual"),"40%",IF(AND(AC67="Detectivo",AD67="Automático"),"40%",IF(AND(AC67="Detectivo",AD67="Manual"),"30%",IF(AND(AC67="Correctivo",AD67="Automático"),"35%",IF(AND(AC67="Correctivo",AD67="Manual"),"25%",""))))))</f>
        <v/>
      </c>
      <c r="AF67" s="179"/>
      <c r="AG67" s="179"/>
      <c r="AH67" s="179"/>
      <c r="AI67" s="181" t="str">
        <f>IFERROR(IF(AB67="Probabilidad",(T67-(+T67*AE67)),IF(AB67="Impacto",T67,"")),"")</f>
        <v/>
      </c>
      <c r="AJ67" s="182" t="str">
        <f>IFERROR(IF(AI67="","",IF(AI67&lt;=0.2,"Muy Baja",IF(AI67&lt;=0.4,"Baja",IF(AI67&lt;=0.6,"Media",IF(AI67&lt;=0.8,"Alta","Muy Alta"))))),"")</f>
        <v/>
      </c>
      <c r="AK67" s="180" t="str">
        <f>+AI67</f>
        <v/>
      </c>
      <c r="AL67" s="182" t="str">
        <f>IFERROR(IF(AM67="","",IF(AM67&lt;=0.2,"Leve",IF(AM67&lt;=0.4,"Menor",IF(AM67&lt;=0.6,"Moderado",IF(AM67&lt;=0.8,"Mayor","Catastrófico"))))),"")</f>
        <v/>
      </c>
      <c r="AM67" s="180" t="str">
        <f t="shared" ref="AM67" si="80">IFERROR(IF(AB67="Impacto",(X67-(+X67*AE67)),IF(AB67="Probabilidad",X67,"")),"")</f>
        <v/>
      </c>
      <c r="AN67" s="183" t="str">
        <f>IFERROR(IF(OR(AND(AJ67="Muy Baja",AL67="Leve"),AND(AJ67="Muy Baja",AL67="Menor"),AND(AJ67="Baja",AL67="Leve")),"Bajo",IF(OR(AND(AJ67="Muy baja",AL67="Moderado"),AND(AJ67="Baja",AL67="Menor"),AND(AJ67="Baja",AL67="Moderado"),AND(AJ67="Media",AL67="Leve"),AND(AJ67="Media",AL67="Menor"),AND(AJ67="Media",AL67="Moderado"),AND(AJ67="Alta",AL67="Leve"),AND(AJ67="Alta",AL67="Menor")),"Moderado",IF(OR(AND(AJ67="Muy Baja",AL67="Mayor"),AND(AJ67="Baja",AL67="Mayor"),AND(AJ67="Media",AL67="Mayor"),AND(AJ67="Alta",AL67="Moderado"),AND(AJ67="Alta",AL67="Mayor"),AND(AJ67="Muy Alta",AL67="Leve"),AND(AJ67="Muy Alta",AL67="Menor"),AND(AJ67="Muy Alta",AL67="Moderado"),AND(AJ67="Muy Alta",AL67="Mayor")),"Alto",IF(OR(AND(AJ67="Muy Baja",AL67="Catastrófico"),AND(AJ67="Baja",AL67="Catastrófico"),AND(AJ67="Media",AL67="Catastrófico"),AND(AJ67="Alta",AL67="Catastrófico"),AND(AJ67="Muy Alta",AL67="Catastrófico")),"Extremo","")))),"")</f>
        <v/>
      </c>
      <c r="AO67" s="184"/>
      <c r="AP67" s="175"/>
      <c r="AQ67" s="175"/>
      <c r="AR67" s="175"/>
      <c r="AS67" s="251"/>
      <c r="AT67" s="339"/>
      <c r="AU67" s="329"/>
      <c r="AV67" s="329"/>
    </row>
    <row r="68" spans="1:48" ht="37.5" customHeight="1" x14ac:dyDescent="0.2">
      <c r="A68" s="328"/>
      <c r="B68" s="329"/>
      <c r="C68" s="329"/>
      <c r="D68" s="329"/>
      <c r="E68" s="329"/>
      <c r="F68" s="329"/>
      <c r="G68" s="343"/>
      <c r="H68" s="343"/>
      <c r="I68" s="343"/>
      <c r="J68" s="343"/>
      <c r="K68" s="343"/>
      <c r="L68" s="343"/>
      <c r="M68" s="211"/>
      <c r="N68" s="211"/>
      <c r="O68" s="211"/>
      <c r="P68" s="343"/>
      <c r="Q68" s="343"/>
      <c r="R68" s="339"/>
      <c r="S68" s="340"/>
      <c r="T68" s="341"/>
      <c r="U68" s="359"/>
      <c r="V68" s="341">
        <f>IF(NOT(ISERROR(MATCH(U68,_xlfn.ANCHORARRAY(F79),0))),U81&amp;"Por favor no seleccionar los criterios de impacto",U68)</f>
        <v>0</v>
      </c>
      <c r="W68" s="340"/>
      <c r="X68" s="341"/>
      <c r="Y68" s="358"/>
      <c r="Z68" s="203">
        <v>2</v>
      </c>
      <c r="AA68" s="176"/>
      <c r="AB68" s="178" t="str">
        <f>IF(OR(AC68="Preventivo",AC68="Detectivo"),"Probabilidad",IF(AC68="Correctivo","Impacto",""))</f>
        <v/>
      </c>
      <c r="AC68" s="179"/>
      <c r="AD68" s="179"/>
      <c r="AE68" s="180" t="str">
        <f t="shared" ref="AE68:AE72" si="81">IF(AND(AC68="Preventivo",AD68="Automático"),"50%",IF(AND(AC68="Preventivo",AD68="Manual"),"40%",IF(AND(AC68="Detectivo",AD68="Automático"),"40%",IF(AND(AC68="Detectivo",AD68="Manual"),"30%",IF(AND(AC68="Correctivo",AD68="Automático"),"35%",IF(AND(AC68="Correctivo",AD68="Manual"),"25%",""))))))</f>
        <v/>
      </c>
      <c r="AF68" s="179"/>
      <c r="AG68" s="179"/>
      <c r="AH68" s="179"/>
      <c r="AI68" s="181" t="str">
        <f>IFERROR(IF(AND(AB67="Probabilidad",AB68="Probabilidad"),(AK67-(+AK67*AE68)),IF(AB68="Probabilidad",(T67-(+T67*AE68)),IF(AB68="Impacto",AK67,""))),"")</f>
        <v/>
      </c>
      <c r="AJ68" s="182" t="str">
        <f t="shared" si="2"/>
        <v/>
      </c>
      <c r="AK68" s="180" t="str">
        <f t="shared" ref="AK68:AK72" si="82">+AI68</f>
        <v/>
      </c>
      <c r="AL68" s="182" t="str">
        <f t="shared" si="4"/>
        <v/>
      </c>
      <c r="AM68" s="180" t="str">
        <f t="shared" ref="AM68" si="83">IFERROR(IF(AND(AB67="Impacto",AB68="Impacto"),(AM67-(+AM67*AE68)),IF(AB68="Impacto",($X$13-(+$X$13*AE68)),IF(AB68="Probabilidad",AM67,""))),"")</f>
        <v/>
      </c>
      <c r="AN68" s="183" t="str">
        <f t="shared" ref="AN68:AN69" si="84">IFERROR(IF(OR(AND(AJ68="Muy Baja",AL68="Leve"),AND(AJ68="Muy Baja",AL68="Menor"),AND(AJ68="Baja",AL68="Leve")),"Bajo",IF(OR(AND(AJ68="Muy baja",AL68="Moderado"),AND(AJ68="Baja",AL68="Menor"),AND(AJ68="Baja",AL68="Moderado"),AND(AJ68="Media",AL68="Leve"),AND(AJ68="Media",AL68="Menor"),AND(AJ68="Media",AL68="Moderado"),AND(AJ68="Alta",AL68="Leve"),AND(AJ68="Alta",AL68="Menor")),"Moderado",IF(OR(AND(AJ68="Muy Baja",AL68="Mayor"),AND(AJ68="Baja",AL68="Mayor"),AND(AJ68="Media",AL68="Mayor"),AND(AJ68="Alta",AL68="Moderado"),AND(AJ68="Alta",AL68="Mayor"),AND(AJ68="Muy Alta",AL68="Leve"),AND(AJ68="Muy Alta",AL68="Menor"),AND(AJ68="Muy Alta",AL68="Moderado"),AND(AJ68="Muy Alta",AL68="Mayor")),"Alto",IF(OR(AND(AJ68="Muy Baja",AL68="Catastrófico"),AND(AJ68="Baja",AL68="Catastrófico"),AND(AJ68="Media",AL68="Catastrófico"),AND(AJ68="Alta",AL68="Catastrófico"),AND(AJ68="Muy Alta",AL68="Catastrófico")),"Extremo","")))),"")</f>
        <v/>
      </c>
      <c r="AO68" s="184"/>
      <c r="AP68" s="175"/>
      <c r="AQ68" s="175"/>
      <c r="AR68" s="175"/>
      <c r="AS68" s="251"/>
      <c r="AT68" s="339"/>
      <c r="AU68" s="329"/>
      <c r="AV68" s="329"/>
    </row>
    <row r="69" spans="1:48" ht="37.5" customHeight="1" x14ac:dyDescent="0.2">
      <c r="A69" s="328"/>
      <c r="B69" s="329"/>
      <c r="C69" s="329"/>
      <c r="D69" s="329"/>
      <c r="E69" s="329"/>
      <c r="F69" s="329"/>
      <c r="G69" s="343"/>
      <c r="H69" s="343"/>
      <c r="I69" s="343"/>
      <c r="J69" s="343"/>
      <c r="K69" s="343"/>
      <c r="L69" s="343"/>
      <c r="M69" s="211"/>
      <c r="N69" s="211"/>
      <c r="O69" s="211"/>
      <c r="P69" s="343"/>
      <c r="Q69" s="343"/>
      <c r="R69" s="339"/>
      <c r="S69" s="340"/>
      <c r="T69" s="341"/>
      <c r="U69" s="359"/>
      <c r="V69" s="341">
        <f>IF(NOT(ISERROR(MATCH(U69,_xlfn.ANCHORARRAY(F80),0))),U82&amp;"Por favor no seleccionar los criterios de impacto",U69)</f>
        <v>0</v>
      </c>
      <c r="W69" s="340"/>
      <c r="X69" s="341"/>
      <c r="Y69" s="358"/>
      <c r="Z69" s="203">
        <v>3</v>
      </c>
      <c r="AA69" s="176"/>
      <c r="AB69" s="178" t="str">
        <f>IF(OR(AC69="Preventivo",AC69="Detectivo"),"Probabilidad",IF(AC69="Correctivo","Impacto",""))</f>
        <v/>
      </c>
      <c r="AC69" s="179"/>
      <c r="AD69" s="179"/>
      <c r="AE69" s="180" t="str">
        <f t="shared" si="81"/>
        <v/>
      </c>
      <c r="AF69" s="179"/>
      <c r="AG69" s="179"/>
      <c r="AH69" s="179"/>
      <c r="AI69" s="181" t="str">
        <f>IFERROR(IF(AND(AB68="Probabilidad",AB69="Probabilidad"),(AK68-(+AK68*AE69)),IF(AND(AB68="Impacto",AB69="Probabilidad"),(AK67-(+AK67*AE69)),IF(AB69="Impacto",AK68,""))),"")</f>
        <v/>
      </c>
      <c r="AJ69" s="182" t="str">
        <f t="shared" si="2"/>
        <v/>
      </c>
      <c r="AK69" s="180" t="str">
        <f t="shared" si="82"/>
        <v/>
      </c>
      <c r="AL69" s="182" t="str">
        <f t="shared" si="4"/>
        <v/>
      </c>
      <c r="AM69" s="180" t="str">
        <f t="shared" ref="AM69" si="85">IFERROR(IF(AND(AB68="Impacto",AB69="Impacto"),(AM68-(+AM68*AE69)),IF(AND(AB68="Probabilidad",AB69="Impacto"),(AM67-(+AM67*AE69)),IF(AB69="Probabilidad",AM68,""))),"")</f>
        <v/>
      </c>
      <c r="AN69" s="183" t="str">
        <f t="shared" si="84"/>
        <v/>
      </c>
      <c r="AO69" s="184"/>
      <c r="AP69" s="175"/>
      <c r="AQ69" s="175"/>
      <c r="AR69" s="175"/>
      <c r="AS69" s="251"/>
      <c r="AT69" s="339"/>
      <c r="AU69" s="329"/>
      <c r="AV69" s="329"/>
    </row>
    <row r="70" spans="1:48" ht="37.5" customHeight="1" x14ac:dyDescent="0.2">
      <c r="A70" s="328"/>
      <c r="B70" s="329"/>
      <c r="C70" s="329"/>
      <c r="D70" s="329"/>
      <c r="E70" s="329"/>
      <c r="F70" s="329"/>
      <c r="G70" s="343"/>
      <c r="H70" s="343"/>
      <c r="I70" s="343"/>
      <c r="J70" s="343"/>
      <c r="K70" s="343"/>
      <c r="L70" s="343"/>
      <c r="M70" s="211"/>
      <c r="N70" s="211"/>
      <c r="O70" s="211"/>
      <c r="P70" s="343"/>
      <c r="Q70" s="343"/>
      <c r="R70" s="339"/>
      <c r="S70" s="340"/>
      <c r="T70" s="341"/>
      <c r="U70" s="359"/>
      <c r="V70" s="341">
        <f>IF(NOT(ISERROR(MATCH(U70,_xlfn.ANCHORARRAY(F81),0))),U83&amp;"Por favor no seleccionar los criterios de impacto",U70)</f>
        <v>0</v>
      </c>
      <c r="W70" s="340"/>
      <c r="X70" s="341"/>
      <c r="Y70" s="358"/>
      <c r="Z70" s="203">
        <v>4</v>
      </c>
      <c r="AA70" s="176"/>
      <c r="AB70" s="178" t="str">
        <f t="shared" ref="AB70:AB72" si="86">IF(OR(AC70="Preventivo",AC70="Detectivo"),"Probabilidad",IF(AC70="Correctivo","Impacto",""))</f>
        <v/>
      </c>
      <c r="AC70" s="179"/>
      <c r="AD70" s="179"/>
      <c r="AE70" s="180" t="str">
        <f t="shared" si="81"/>
        <v/>
      </c>
      <c r="AF70" s="179"/>
      <c r="AG70" s="179"/>
      <c r="AH70" s="179"/>
      <c r="AI70" s="181" t="str">
        <f t="shared" ref="AI70:AI72" si="87">IFERROR(IF(AND(AB69="Probabilidad",AB70="Probabilidad"),(AK69-(+AK69*AE70)),IF(AND(AB69="Impacto",AB70="Probabilidad"),(AK68-(+AK68*AE70)),IF(AB70="Impacto",AK69,""))),"")</f>
        <v/>
      </c>
      <c r="AJ70" s="182" t="str">
        <f t="shared" si="2"/>
        <v/>
      </c>
      <c r="AK70" s="180" t="str">
        <f t="shared" si="82"/>
        <v/>
      </c>
      <c r="AL70" s="182" t="str">
        <f t="shared" si="4"/>
        <v/>
      </c>
      <c r="AM70" s="180" t="str">
        <f t="shared" si="13"/>
        <v/>
      </c>
      <c r="AN70" s="183" t="str">
        <f>IFERROR(IF(OR(AND(AJ70="Muy Baja",AL70="Leve"),AND(AJ70="Muy Baja",AL70="Menor"),AND(AJ70="Baja",AL70="Leve")),"Bajo",IF(OR(AND(AJ70="Muy baja",AL70="Moderado"),AND(AJ70="Baja",AL70="Menor"),AND(AJ70="Baja",AL70="Moderado"),AND(AJ70="Media",AL70="Leve"),AND(AJ70="Media",AL70="Menor"),AND(AJ70="Media",AL70="Moderado"),AND(AJ70="Alta",AL70="Leve"),AND(AJ70="Alta",AL70="Menor")),"Moderado",IF(OR(AND(AJ70="Muy Baja",AL70="Mayor"),AND(AJ70="Baja",AL70="Mayor"),AND(AJ70="Media",AL70="Mayor"),AND(AJ70="Alta",AL70="Moderado"),AND(AJ70="Alta",AL70="Mayor"),AND(AJ70="Muy Alta",AL70="Leve"),AND(AJ70="Muy Alta",AL70="Menor"),AND(AJ70="Muy Alta",AL70="Moderado"),AND(AJ70="Muy Alta",AL70="Mayor")),"Alto",IF(OR(AND(AJ70="Muy Baja",AL70="Catastrófico"),AND(AJ70="Baja",AL70="Catastrófico"),AND(AJ70="Media",AL70="Catastrófico"),AND(AJ70="Alta",AL70="Catastrófico"),AND(AJ70="Muy Alta",AL70="Catastrófico")),"Extremo","")))),"")</f>
        <v/>
      </c>
      <c r="AO70" s="184"/>
      <c r="AP70" s="175"/>
      <c r="AQ70" s="175"/>
      <c r="AR70" s="175"/>
      <c r="AS70" s="251"/>
      <c r="AT70" s="339"/>
      <c r="AU70" s="329"/>
      <c r="AV70" s="329"/>
    </row>
    <row r="71" spans="1:48" ht="37.5" customHeight="1" x14ac:dyDescent="0.2">
      <c r="A71" s="328"/>
      <c r="B71" s="329"/>
      <c r="C71" s="329"/>
      <c r="D71" s="329"/>
      <c r="E71" s="329"/>
      <c r="F71" s="329"/>
      <c r="G71" s="343"/>
      <c r="H71" s="343"/>
      <c r="I71" s="343"/>
      <c r="J71" s="343"/>
      <c r="K71" s="343"/>
      <c r="L71" s="343"/>
      <c r="M71" s="211"/>
      <c r="N71" s="211"/>
      <c r="O71" s="211"/>
      <c r="P71" s="343"/>
      <c r="Q71" s="343"/>
      <c r="R71" s="339"/>
      <c r="S71" s="340"/>
      <c r="T71" s="341"/>
      <c r="U71" s="359"/>
      <c r="V71" s="341">
        <f>IF(NOT(ISERROR(MATCH(U71,_xlfn.ANCHORARRAY(F82),0))),U84&amp;"Por favor no seleccionar los criterios de impacto",U71)</f>
        <v>0</v>
      </c>
      <c r="W71" s="340"/>
      <c r="X71" s="341"/>
      <c r="Y71" s="358"/>
      <c r="Z71" s="203">
        <v>5</v>
      </c>
      <c r="AA71" s="176"/>
      <c r="AB71" s="178" t="str">
        <f t="shared" si="86"/>
        <v/>
      </c>
      <c r="AC71" s="179"/>
      <c r="AD71" s="179"/>
      <c r="AE71" s="180" t="str">
        <f t="shared" si="81"/>
        <v/>
      </c>
      <c r="AF71" s="179"/>
      <c r="AG71" s="179"/>
      <c r="AH71" s="179"/>
      <c r="AI71" s="181" t="str">
        <f t="shared" si="87"/>
        <v/>
      </c>
      <c r="AJ71" s="182" t="str">
        <f t="shared" si="2"/>
        <v/>
      </c>
      <c r="AK71" s="180" t="str">
        <f t="shared" si="82"/>
        <v/>
      </c>
      <c r="AL71" s="182" t="str">
        <f t="shared" si="4"/>
        <v/>
      </c>
      <c r="AM71" s="180" t="str">
        <f t="shared" si="13"/>
        <v/>
      </c>
      <c r="AN71" s="183" t="str">
        <f t="shared" ref="AN71:AN72" si="88">IFERROR(IF(OR(AND(AJ71="Muy Baja",AL71="Leve"),AND(AJ71="Muy Baja",AL71="Menor"),AND(AJ71="Baja",AL71="Leve")),"Bajo",IF(OR(AND(AJ71="Muy baja",AL71="Moderado"),AND(AJ71="Baja",AL71="Menor"),AND(AJ71="Baja",AL71="Moderado"),AND(AJ71="Media",AL71="Leve"),AND(AJ71="Media",AL71="Menor"),AND(AJ71="Media",AL71="Moderado"),AND(AJ71="Alta",AL71="Leve"),AND(AJ71="Alta",AL71="Menor")),"Moderado",IF(OR(AND(AJ71="Muy Baja",AL71="Mayor"),AND(AJ71="Baja",AL71="Mayor"),AND(AJ71="Media",AL71="Mayor"),AND(AJ71="Alta",AL71="Moderado"),AND(AJ71="Alta",AL71="Mayor"),AND(AJ71="Muy Alta",AL71="Leve"),AND(AJ71="Muy Alta",AL71="Menor"),AND(AJ71="Muy Alta",AL71="Moderado"),AND(AJ71="Muy Alta",AL71="Mayor")),"Alto",IF(OR(AND(AJ71="Muy Baja",AL71="Catastrófico"),AND(AJ71="Baja",AL71="Catastrófico"),AND(AJ71="Media",AL71="Catastrófico"),AND(AJ71="Alta",AL71="Catastrófico"),AND(AJ71="Muy Alta",AL71="Catastrófico")),"Extremo","")))),"")</f>
        <v/>
      </c>
      <c r="AO71" s="184"/>
      <c r="AP71" s="175"/>
      <c r="AQ71" s="175"/>
      <c r="AR71" s="175"/>
      <c r="AS71" s="251"/>
      <c r="AT71" s="339"/>
      <c r="AU71" s="329"/>
      <c r="AV71" s="329"/>
    </row>
    <row r="72" spans="1:48" ht="37.5" customHeight="1" x14ac:dyDescent="0.2">
      <c r="A72" s="328"/>
      <c r="B72" s="329"/>
      <c r="C72" s="329"/>
      <c r="D72" s="329"/>
      <c r="E72" s="329"/>
      <c r="F72" s="329"/>
      <c r="G72" s="344"/>
      <c r="H72" s="344"/>
      <c r="I72" s="344"/>
      <c r="J72" s="344"/>
      <c r="K72" s="344"/>
      <c r="L72" s="344"/>
      <c r="M72" s="212"/>
      <c r="N72" s="212"/>
      <c r="O72" s="212"/>
      <c r="P72" s="344"/>
      <c r="Q72" s="344"/>
      <c r="R72" s="339"/>
      <c r="S72" s="340"/>
      <c r="T72" s="341"/>
      <c r="U72" s="359"/>
      <c r="V72" s="341">
        <f>IF(NOT(ISERROR(MATCH(U72,_xlfn.ANCHORARRAY(F83),0))),U85&amp;"Por favor no seleccionar los criterios de impacto",U72)</f>
        <v>0</v>
      </c>
      <c r="W72" s="340"/>
      <c r="X72" s="341"/>
      <c r="Y72" s="358"/>
      <c r="Z72" s="203">
        <v>6</v>
      </c>
      <c r="AA72" s="176"/>
      <c r="AB72" s="178" t="str">
        <f t="shared" si="86"/>
        <v/>
      </c>
      <c r="AC72" s="179"/>
      <c r="AD72" s="179"/>
      <c r="AE72" s="180" t="str">
        <f t="shared" si="81"/>
        <v/>
      </c>
      <c r="AF72" s="179"/>
      <c r="AG72" s="179"/>
      <c r="AH72" s="179"/>
      <c r="AI72" s="181" t="str">
        <f t="shared" si="87"/>
        <v/>
      </c>
      <c r="AJ72" s="182" t="str">
        <f t="shared" si="2"/>
        <v/>
      </c>
      <c r="AK72" s="180" t="str">
        <f t="shared" si="82"/>
        <v/>
      </c>
      <c r="AL72" s="182" t="str">
        <f t="shared" si="4"/>
        <v/>
      </c>
      <c r="AM72" s="180" t="str">
        <f t="shared" si="13"/>
        <v/>
      </c>
      <c r="AN72" s="183" t="str">
        <f t="shared" si="88"/>
        <v/>
      </c>
      <c r="AO72" s="184"/>
      <c r="AP72" s="175"/>
      <c r="AQ72" s="175"/>
      <c r="AR72" s="175"/>
      <c r="AS72" s="251"/>
      <c r="AT72" s="339"/>
      <c r="AU72" s="329"/>
      <c r="AV72" s="329"/>
    </row>
    <row r="73" spans="1:48" ht="49.5" customHeight="1" x14ac:dyDescent="0.2">
      <c r="A73" s="205"/>
      <c r="B73" s="365" t="s">
        <v>247</v>
      </c>
      <c r="C73" s="366"/>
      <c r="D73" s="366"/>
      <c r="E73" s="366"/>
      <c r="F73" s="366"/>
      <c r="G73" s="366"/>
      <c r="H73" s="366"/>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c r="AH73" s="366"/>
      <c r="AI73" s="366"/>
      <c r="AJ73" s="366"/>
      <c r="AK73" s="366"/>
      <c r="AL73" s="366"/>
      <c r="AM73" s="366"/>
      <c r="AN73" s="366"/>
      <c r="AO73" s="366"/>
      <c r="AP73" s="366"/>
      <c r="AQ73" s="366"/>
      <c r="AR73" s="366"/>
      <c r="AS73" s="366"/>
      <c r="AT73" s="366"/>
    </row>
    <row r="75" spans="1:48" ht="15.75" x14ac:dyDescent="0.2">
      <c r="A75" s="187"/>
      <c r="B75" s="195" t="s">
        <v>248</v>
      </c>
      <c r="C75" s="187"/>
      <c r="D75" s="187"/>
      <c r="E75" s="187"/>
      <c r="R75" s="187"/>
    </row>
  </sheetData>
  <dataConsolidate/>
  <mergeCells count="343">
    <mergeCell ref="AU67:AU72"/>
    <mergeCell ref="AV67:AV72"/>
    <mergeCell ref="B73:AT73"/>
    <mergeCell ref="A10:J10"/>
    <mergeCell ref="G11:G12"/>
    <mergeCell ref="H11:H12"/>
    <mergeCell ref="U67:U72"/>
    <mergeCell ref="V67:V72"/>
    <mergeCell ref="W67:W72"/>
    <mergeCell ref="X67:X72"/>
    <mergeCell ref="Y67:Y72"/>
    <mergeCell ref="AT67:AT72"/>
    <mergeCell ref="L67:L72"/>
    <mergeCell ref="P67:P72"/>
    <mergeCell ref="Q67:Q72"/>
    <mergeCell ref="R67:R72"/>
    <mergeCell ref="S67:S72"/>
    <mergeCell ref="T67:T72"/>
    <mergeCell ref="AT61:AT66"/>
    <mergeCell ref="AU61:AU66"/>
    <mergeCell ref="AV61:AV66"/>
    <mergeCell ref="A67:A72"/>
    <mergeCell ref="B67:B72"/>
    <mergeCell ref="C67:C72"/>
    <mergeCell ref="D67:D72"/>
    <mergeCell ref="E67:E72"/>
    <mergeCell ref="F67:F72"/>
    <mergeCell ref="K67:K72"/>
    <mergeCell ref="T61:T66"/>
    <mergeCell ref="U61:U66"/>
    <mergeCell ref="V61:V66"/>
    <mergeCell ref="W61:W66"/>
    <mergeCell ref="X61:X66"/>
    <mergeCell ref="G67:G72"/>
    <mergeCell ref="H67:H72"/>
    <mergeCell ref="I67:I72"/>
    <mergeCell ref="J67:J72"/>
    <mergeCell ref="G61:G66"/>
    <mergeCell ref="H61:H66"/>
    <mergeCell ref="I61:I66"/>
    <mergeCell ref="J61:J66"/>
    <mergeCell ref="Y61:Y66"/>
    <mergeCell ref="K61:K66"/>
    <mergeCell ref="L61:L66"/>
    <mergeCell ref="P61:P66"/>
    <mergeCell ref="Q61:Q66"/>
    <mergeCell ref="R61:R66"/>
    <mergeCell ref="S61:S66"/>
    <mergeCell ref="A61:A66"/>
    <mergeCell ref="B61:B66"/>
    <mergeCell ref="C61:C66"/>
    <mergeCell ref="D61:D66"/>
    <mergeCell ref="E61:E66"/>
    <mergeCell ref="F61:F66"/>
    <mergeCell ref="W55:W60"/>
    <mergeCell ref="X55:X60"/>
    <mergeCell ref="Y55:Y60"/>
    <mergeCell ref="AT55:AT60"/>
    <mergeCell ref="AU55:AU60"/>
    <mergeCell ref="AV55:AV60"/>
    <mergeCell ref="Q55:Q60"/>
    <mergeCell ref="R55:R60"/>
    <mergeCell ref="S55:S60"/>
    <mergeCell ref="T55:T60"/>
    <mergeCell ref="U55:U60"/>
    <mergeCell ref="V55:V60"/>
    <mergeCell ref="K55:K60"/>
    <mergeCell ref="L55:L60"/>
    <mergeCell ref="M55:M60"/>
    <mergeCell ref="N55:N60"/>
    <mergeCell ref="O55:O60"/>
    <mergeCell ref="P55:P60"/>
    <mergeCell ref="A55:A60"/>
    <mergeCell ref="B55:B60"/>
    <mergeCell ref="C55:C60"/>
    <mergeCell ref="D55:D60"/>
    <mergeCell ref="E55:E60"/>
    <mergeCell ref="F55:F60"/>
    <mergeCell ref="G55:G60"/>
    <mergeCell ref="H55:H60"/>
    <mergeCell ref="I55:I60"/>
    <mergeCell ref="J55:J60"/>
    <mergeCell ref="W49:W54"/>
    <mergeCell ref="X49:X54"/>
    <mergeCell ref="Y49:Y54"/>
    <mergeCell ref="AT49:AT54"/>
    <mergeCell ref="AU49:AU54"/>
    <mergeCell ref="AV49:AV54"/>
    <mergeCell ref="Q49:Q54"/>
    <mergeCell ref="R49:R54"/>
    <mergeCell ref="S49:S54"/>
    <mergeCell ref="T49:T54"/>
    <mergeCell ref="U49:U54"/>
    <mergeCell ref="V49:V54"/>
    <mergeCell ref="K49:K54"/>
    <mergeCell ref="L49:L54"/>
    <mergeCell ref="M49:M54"/>
    <mergeCell ref="N49:N54"/>
    <mergeCell ref="O49:O54"/>
    <mergeCell ref="P49:P54"/>
    <mergeCell ref="A49:A54"/>
    <mergeCell ref="B49:B54"/>
    <mergeCell ref="C49:C54"/>
    <mergeCell ref="D49:D54"/>
    <mergeCell ref="E49:E54"/>
    <mergeCell ref="F49:F54"/>
    <mergeCell ref="G49:G54"/>
    <mergeCell ref="H49:H54"/>
    <mergeCell ref="I49:I54"/>
    <mergeCell ref="J49:J54"/>
    <mergeCell ref="W43:W48"/>
    <mergeCell ref="X43:X48"/>
    <mergeCell ref="Y43:Y48"/>
    <mergeCell ref="AT43:AT48"/>
    <mergeCell ref="AU43:AU48"/>
    <mergeCell ref="AV43:AV48"/>
    <mergeCell ref="Q43:Q48"/>
    <mergeCell ref="R43:R48"/>
    <mergeCell ref="S43:S48"/>
    <mergeCell ref="T43:T48"/>
    <mergeCell ref="U43:U48"/>
    <mergeCell ref="V43:V48"/>
    <mergeCell ref="K43:K48"/>
    <mergeCell ref="L43:L48"/>
    <mergeCell ref="M43:M48"/>
    <mergeCell ref="N43:N48"/>
    <mergeCell ref="O43:O48"/>
    <mergeCell ref="P43:P48"/>
    <mergeCell ref="A43:A48"/>
    <mergeCell ref="B43:B48"/>
    <mergeCell ref="C43:C48"/>
    <mergeCell ref="D43:D48"/>
    <mergeCell ref="E43:E48"/>
    <mergeCell ref="F43:F48"/>
    <mergeCell ref="G43:G48"/>
    <mergeCell ref="H43:H48"/>
    <mergeCell ref="I43:I48"/>
    <mergeCell ref="J43:J48"/>
    <mergeCell ref="W37:W42"/>
    <mergeCell ref="X37:X42"/>
    <mergeCell ref="Y37:Y42"/>
    <mergeCell ref="AT37:AT42"/>
    <mergeCell ref="AU37:AU42"/>
    <mergeCell ref="AV37:AV42"/>
    <mergeCell ref="Q37:Q42"/>
    <mergeCell ref="R37:R42"/>
    <mergeCell ref="S37:S42"/>
    <mergeCell ref="T37:T42"/>
    <mergeCell ref="U37:U42"/>
    <mergeCell ref="V37:V42"/>
    <mergeCell ref="K37:K42"/>
    <mergeCell ref="L37:L42"/>
    <mergeCell ref="M37:M42"/>
    <mergeCell ref="N37:N42"/>
    <mergeCell ref="O37:O42"/>
    <mergeCell ref="P37:P42"/>
    <mergeCell ref="A37:A42"/>
    <mergeCell ref="B37:B42"/>
    <mergeCell ref="C37:C42"/>
    <mergeCell ref="D37:D42"/>
    <mergeCell ref="E37:E42"/>
    <mergeCell ref="F37:F42"/>
    <mergeCell ref="G37:G42"/>
    <mergeCell ref="H37:H42"/>
    <mergeCell ref="I37:I42"/>
    <mergeCell ref="J37:J42"/>
    <mergeCell ref="W31:W36"/>
    <mergeCell ref="X31:X36"/>
    <mergeCell ref="Y31:Y36"/>
    <mergeCell ref="AT31:AT36"/>
    <mergeCell ref="AU31:AU36"/>
    <mergeCell ref="AV31:AV36"/>
    <mergeCell ref="Q31:Q36"/>
    <mergeCell ref="R31:R36"/>
    <mergeCell ref="S31:S36"/>
    <mergeCell ref="T31:T36"/>
    <mergeCell ref="U31:U36"/>
    <mergeCell ref="V31:V36"/>
    <mergeCell ref="K31:K36"/>
    <mergeCell ref="L31:L36"/>
    <mergeCell ref="M31:M36"/>
    <mergeCell ref="N31:N36"/>
    <mergeCell ref="O31:O36"/>
    <mergeCell ref="P31:P36"/>
    <mergeCell ref="A31:A36"/>
    <mergeCell ref="B31:B36"/>
    <mergeCell ref="C31:C36"/>
    <mergeCell ref="D31:D36"/>
    <mergeCell ref="E31:E36"/>
    <mergeCell ref="F31:F36"/>
    <mergeCell ref="G31:G36"/>
    <mergeCell ref="H31:H36"/>
    <mergeCell ref="I31:I36"/>
    <mergeCell ref="J31:J36"/>
    <mergeCell ref="W25:W30"/>
    <mergeCell ref="X25:X30"/>
    <mergeCell ref="Y25:Y30"/>
    <mergeCell ref="AT25:AT30"/>
    <mergeCell ref="AU25:AU30"/>
    <mergeCell ref="AV25:AV30"/>
    <mergeCell ref="Q25:Q30"/>
    <mergeCell ref="R25:R30"/>
    <mergeCell ref="S25:S30"/>
    <mergeCell ref="T25:T30"/>
    <mergeCell ref="U25:U30"/>
    <mergeCell ref="V25:V30"/>
    <mergeCell ref="K25:K30"/>
    <mergeCell ref="L25:L30"/>
    <mergeCell ref="M25:M30"/>
    <mergeCell ref="N25:N30"/>
    <mergeCell ref="O25:O30"/>
    <mergeCell ref="P25:P30"/>
    <mergeCell ref="A25:A30"/>
    <mergeCell ref="B25:B30"/>
    <mergeCell ref="C25:C30"/>
    <mergeCell ref="D25:D30"/>
    <mergeCell ref="E25:E30"/>
    <mergeCell ref="F25:F30"/>
    <mergeCell ref="G25:G30"/>
    <mergeCell ref="H25:H30"/>
    <mergeCell ref="I25:I30"/>
    <mergeCell ref="J25:J30"/>
    <mergeCell ref="A19:A24"/>
    <mergeCell ref="B19:B24"/>
    <mergeCell ref="C19:C24"/>
    <mergeCell ref="D19:D24"/>
    <mergeCell ref="E19:E24"/>
    <mergeCell ref="F19:F24"/>
    <mergeCell ref="W19:W24"/>
    <mergeCell ref="X19:X24"/>
    <mergeCell ref="Q19:Q24"/>
    <mergeCell ref="R19:R24"/>
    <mergeCell ref="S19:S24"/>
    <mergeCell ref="T19:T24"/>
    <mergeCell ref="U19:U24"/>
    <mergeCell ref="V19:V24"/>
    <mergeCell ref="G19:G24"/>
    <mergeCell ref="H19:H24"/>
    <mergeCell ref="I19:I24"/>
    <mergeCell ref="J19:J24"/>
    <mergeCell ref="AV11:AV12"/>
    <mergeCell ref="AP11:AP12"/>
    <mergeCell ref="AQ11:AQ12"/>
    <mergeCell ref="AR11:AR12"/>
    <mergeCell ref="K19:K24"/>
    <mergeCell ref="L19:L24"/>
    <mergeCell ref="M19:M24"/>
    <mergeCell ref="N19:N24"/>
    <mergeCell ref="O19:O24"/>
    <mergeCell ref="P19:P24"/>
    <mergeCell ref="AT19:AT24"/>
    <mergeCell ref="AU19:AU24"/>
    <mergeCell ref="AV19:AV24"/>
    <mergeCell ref="Y19:Y24"/>
    <mergeCell ref="K13:K18"/>
    <mergeCell ref="L13:L18"/>
    <mergeCell ref="M13:M18"/>
    <mergeCell ref="N13:N18"/>
    <mergeCell ref="O13:O18"/>
    <mergeCell ref="P13:P18"/>
    <mergeCell ref="W13:W18"/>
    <mergeCell ref="X13:X18"/>
    <mergeCell ref="AV13:AV18"/>
    <mergeCell ref="Q13:Q18"/>
    <mergeCell ref="R13:R18"/>
    <mergeCell ref="S13:S18"/>
    <mergeCell ref="T13:T18"/>
    <mergeCell ref="U13:U18"/>
    <mergeCell ref="V13:V18"/>
    <mergeCell ref="Y13:Y18"/>
    <mergeCell ref="AT13:AT18"/>
    <mergeCell ref="AU13:AU18"/>
    <mergeCell ref="A13:A18"/>
    <mergeCell ref="B13:B18"/>
    <mergeCell ref="C13:C18"/>
    <mergeCell ref="D13:D18"/>
    <mergeCell ref="E13:E18"/>
    <mergeCell ref="F13:F18"/>
    <mergeCell ref="G13:G18"/>
    <mergeCell ref="H13:H18"/>
    <mergeCell ref="I13:I18"/>
    <mergeCell ref="J13:J18"/>
    <mergeCell ref="AM11:AM12"/>
    <mergeCell ref="AN11:AN12"/>
    <mergeCell ref="AO11:AO12"/>
    <mergeCell ref="AB11:AB12"/>
    <mergeCell ref="AC11:AH11"/>
    <mergeCell ref="AI11:AI12"/>
    <mergeCell ref="AJ11:AJ12"/>
    <mergeCell ref="AK11:AK12"/>
    <mergeCell ref="AL11:AL12"/>
    <mergeCell ref="V11:V12"/>
    <mergeCell ref="W11:W12"/>
    <mergeCell ref="R11:R12"/>
    <mergeCell ref="S11:S12"/>
    <mergeCell ref="T11:T12"/>
    <mergeCell ref="U11:U12"/>
    <mergeCell ref="X11:X12"/>
    <mergeCell ref="Y11:Y12"/>
    <mergeCell ref="Z11:Z12"/>
    <mergeCell ref="K10:O10"/>
    <mergeCell ref="P10:Q10"/>
    <mergeCell ref="T10:Z10"/>
    <mergeCell ref="AA10:AI10"/>
    <mergeCell ref="AJ10:AN10"/>
    <mergeCell ref="AO10:AS10"/>
    <mergeCell ref="AT10:AV10"/>
    <mergeCell ref="A11:A12"/>
    <mergeCell ref="B11:B12"/>
    <mergeCell ref="C11:C12"/>
    <mergeCell ref="D11:D12"/>
    <mergeCell ref="E11:E12"/>
    <mergeCell ref="F11:F12"/>
    <mergeCell ref="K11:K12"/>
    <mergeCell ref="L11:L12"/>
    <mergeCell ref="M11:M12"/>
    <mergeCell ref="I11:I12"/>
    <mergeCell ref="J11:J12"/>
    <mergeCell ref="AS11:AS12"/>
    <mergeCell ref="AT11:AT12"/>
    <mergeCell ref="AU11:AU12"/>
    <mergeCell ref="AA11:AA12"/>
    <mergeCell ref="N11:N12"/>
    <mergeCell ref="O11:O12"/>
    <mergeCell ref="A1:C4"/>
    <mergeCell ref="D1:T2"/>
    <mergeCell ref="X1:AR2"/>
    <mergeCell ref="D3:I3"/>
    <mergeCell ref="J3:T3"/>
    <mergeCell ref="X3:AL3"/>
    <mergeCell ref="AM3:AR3"/>
    <mergeCell ref="D4:T4"/>
    <mergeCell ref="X4:AR4"/>
    <mergeCell ref="C6:T6"/>
    <mergeCell ref="W6:Y6"/>
    <mergeCell ref="Z6:AR6"/>
    <mergeCell ref="C7:T7"/>
    <mergeCell ref="Z7:AR7"/>
    <mergeCell ref="C8:T8"/>
    <mergeCell ref="Z8:AR8"/>
    <mergeCell ref="A6:B6"/>
    <mergeCell ref="A7:B7"/>
    <mergeCell ref="A8:B8"/>
  </mergeCells>
  <conditionalFormatting sqref="S13 S19">
    <cfRule type="cellIs" dxfId="238" priority="227" operator="equal">
      <formula>"Muy Alta"</formula>
    </cfRule>
    <cfRule type="cellIs" dxfId="237" priority="228" operator="equal">
      <formula>"Alta"</formula>
    </cfRule>
    <cfRule type="cellIs" dxfId="236" priority="229" operator="equal">
      <formula>"Media"</formula>
    </cfRule>
    <cfRule type="cellIs" dxfId="235" priority="230" operator="equal">
      <formula>"Baja"</formula>
    </cfRule>
    <cfRule type="cellIs" dxfId="234" priority="231" operator="equal">
      <formula>"Muy Baja"</formula>
    </cfRule>
  </conditionalFormatting>
  <conditionalFormatting sqref="W13 W19 W25 W31 W37 W43 W49 W55 W61 W67">
    <cfRule type="cellIs" dxfId="233" priority="222" operator="equal">
      <formula>"Catastrófico"</formula>
    </cfRule>
    <cfRule type="cellIs" dxfId="232" priority="223" operator="equal">
      <formula>"Mayor"</formula>
    </cfRule>
    <cfRule type="cellIs" dxfId="231" priority="224" operator="equal">
      <formula>"Moderado"</formula>
    </cfRule>
    <cfRule type="cellIs" dxfId="230" priority="225" operator="equal">
      <formula>"Menor"</formula>
    </cfRule>
    <cfRule type="cellIs" dxfId="229" priority="226" operator="equal">
      <formula>"Leve"</formula>
    </cfRule>
  </conditionalFormatting>
  <conditionalFormatting sqref="Y13">
    <cfRule type="cellIs" dxfId="228" priority="218" operator="equal">
      <formula>"Extremo"</formula>
    </cfRule>
    <cfRule type="cellIs" dxfId="227" priority="219" operator="equal">
      <formula>"Alto"</formula>
    </cfRule>
    <cfRule type="cellIs" dxfId="226" priority="220" operator="equal">
      <formula>"Moderado"</formula>
    </cfRule>
    <cfRule type="cellIs" dxfId="225" priority="221" operator="equal">
      <formula>"Bajo"</formula>
    </cfRule>
  </conditionalFormatting>
  <conditionalFormatting sqref="AJ13:AJ18">
    <cfRule type="cellIs" dxfId="224" priority="213" operator="equal">
      <formula>"Muy Alta"</formula>
    </cfRule>
    <cfRule type="cellIs" dxfId="223" priority="214" operator="equal">
      <formula>"Alta"</formula>
    </cfRule>
    <cfRule type="cellIs" dxfId="222" priority="215" operator="equal">
      <formula>"Media"</formula>
    </cfRule>
    <cfRule type="cellIs" dxfId="221" priority="216" operator="equal">
      <formula>"Baja"</formula>
    </cfRule>
    <cfRule type="cellIs" dxfId="220" priority="217" operator="equal">
      <formula>"Muy Baja"</formula>
    </cfRule>
  </conditionalFormatting>
  <conditionalFormatting sqref="AL13:AL18">
    <cfRule type="cellIs" dxfId="219" priority="208" operator="equal">
      <formula>"Catastrófico"</formula>
    </cfRule>
    <cfRule type="cellIs" dxfId="218" priority="209" operator="equal">
      <formula>"Mayor"</formula>
    </cfRule>
    <cfRule type="cellIs" dxfId="217" priority="210" operator="equal">
      <formula>"Moderado"</formula>
    </cfRule>
    <cfRule type="cellIs" dxfId="216" priority="211" operator="equal">
      <formula>"Menor"</formula>
    </cfRule>
    <cfRule type="cellIs" dxfId="215" priority="212" operator="equal">
      <formula>"Leve"</formula>
    </cfRule>
  </conditionalFormatting>
  <conditionalFormatting sqref="AN13:AN18">
    <cfRule type="cellIs" dxfId="214" priority="204" operator="equal">
      <formula>"Extremo"</formula>
    </cfRule>
    <cfRule type="cellIs" dxfId="213" priority="205" operator="equal">
      <formula>"Alto"</formula>
    </cfRule>
    <cfRule type="cellIs" dxfId="212" priority="206" operator="equal">
      <formula>"Moderado"</formula>
    </cfRule>
    <cfRule type="cellIs" dxfId="211" priority="207" operator="equal">
      <formula>"Bajo"</formula>
    </cfRule>
  </conditionalFormatting>
  <conditionalFormatting sqref="S61">
    <cfRule type="cellIs" dxfId="210" priority="48" operator="equal">
      <formula>"Muy Alta"</formula>
    </cfRule>
    <cfRule type="cellIs" dxfId="209" priority="49" operator="equal">
      <formula>"Alta"</formula>
    </cfRule>
    <cfRule type="cellIs" dxfId="208" priority="50" operator="equal">
      <formula>"Media"</formula>
    </cfRule>
    <cfRule type="cellIs" dxfId="207" priority="51" operator="equal">
      <formula>"Baja"</formula>
    </cfRule>
    <cfRule type="cellIs" dxfId="206" priority="52" operator="equal">
      <formula>"Muy Baja"</formula>
    </cfRule>
  </conditionalFormatting>
  <conditionalFormatting sqref="Y19">
    <cfRule type="cellIs" dxfId="205" priority="200" operator="equal">
      <formula>"Extremo"</formula>
    </cfRule>
    <cfRule type="cellIs" dxfId="204" priority="201" operator="equal">
      <formula>"Alto"</formula>
    </cfRule>
    <cfRule type="cellIs" dxfId="203" priority="202" operator="equal">
      <formula>"Moderado"</formula>
    </cfRule>
    <cfRule type="cellIs" dxfId="202" priority="203" operator="equal">
      <formula>"Bajo"</formula>
    </cfRule>
  </conditionalFormatting>
  <conditionalFormatting sqref="AJ19:AJ24">
    <cfRule type="cellIs" dxfId="201" priority="195" operator="equal">
      <formula>"Muy Alta"</formula>
    </cfRule>
    <cfRule type="cellIs" dxfId="200" priority="196" operator="equal">
      <formula>"Alta"</formula>
    </cfRule>
    <cfRule type="cellIs" dxfId="199" priority="197" operator="equal">
      <formula>"Media"</formula>
    </cfRule>
    <cfRule type="cellIs" dxfId="198" priority="198" operator="equal">
      <formula>"Baja"</formula>
    </cfRule>
    <cfRule type="cellIs" dxfId="197" priority="199" operator="equal">
      <formula>"Muy Baja"</formula>
    </cfRule>
  </conditionalFormatting>
  <conditionalFormatting sqref="AL19:AL24">
    <cfRule type="cellIs" dxfId="196" priority="190" operator="equal">
      <formula>"Catastrófico"</formula>
    </cfRule>
    <cfRule type="cellIs" dxfId="195" priority="191" operator="equal">
      <formula>"Mayor"</formula>
    </cfRule>
    <cfRule type="cellIs" dxfId="194" priority="192" operator="equal">
      <formula>"Moderado"</formula>
    </cfRule>
    <cfRule type="cellIs" dxfId="193" priority="193" operator="equal">
      <formula>"Menor"</formula>
    </cfRule>
    <cfRule type="cellIs" dxfId="192" priority="194" operator="equal">
      <formula>"Leve"</formula>
    </cfRule>
  </conditionalFormatting>
  <conditionalFormatting sqref="AN19:AN24">
    <cfRule type="cellIs" dxfId="191" priority="186" operator="equal">
      <formula>"Extremo"</formula>
    </cfRule>
    <cfRule type="cellIs" dxfId="190" priority="187" operator="equal">
      <formula>"Alto"</formula>
    </cfRule>
    <cfRule type="cellIs" dxfId="189" priority="188" operator="equal">
      <formula>"Moderado"</formula>
    </cfRule>
    <cfRule type="cellIs" dxfId="188" priority="189" operator="equal">
      <formula>"Bajo"</formula>
    </cfRule>
  </conditionalFormatting>
  <conditionalFormatting sqref="S25">
    <cfRule type="cellIs" dxfId="187" priority="181" operator="equal">
      <formula>"Muy Alta"</formula>
    </cfRule>
    <cfRule type="cellIs" dxfId="186" priority="182" operator="equal">
      <formula>"Alta"</formula>
    </cfRule>
    <cfRule type="cellIs" dxfId="185" priority="183" operator="equal">
      <formula>"Media"</formula>
    </cfRule>
    <cfRule type="cellIs" dxfId="184" priority="184" operator="equal">
      <formula>"Baja"</formula>
    </cfRule>
    <cfRule type="cellIs" dxfId="183" priority="185" operator="equal">
      <formula>"Muy Baja"</formula>
    </cfRule>
  </conditionalFormatting>
  <conditionalFormatting sqref="Y25">
    <cfRule type="cellIs" dxfId="182" priority="177" operator="equal">
      <formula>"Extremo"</formula>
    </cfRule>
    <cfRule type="cellIs" dxfId="181" priority="178" operator="equal">
      <formula>"Alto"</formula>
    </cfRule>
    <cfRule type="cellIs" dxfId="180" priority="179" operator="equal">
      <formula>"Moderado"</formula>
    </cfRule>
    <cfRule type="cellIs" dxfId="179" priority="180" operator="equal">
      <formula>"Bajo"</formula>
    </cfRule>
  </conditionalFormatting>
  <conditionalFormatting sqref="AJ25:AJ30">
    <cfRule type="cellIs" dxfId="178" priority="172" operator="equal">
      <formula>"Muy Alta"</formula>
    </cfRule>
    <cfRule type="cellIs" dxfId="177" priority="173" operator="equal">
      <formula>"Alta"</formula>
    </cfRule>
    <cfRule type="cellIs" dxfId="176" priority="174" operator="equal">
      <formula>"Media"</formula>
    </cfRule>
    <cfRule type="cellIs" dxfId="175" priority="175" operator="equal">
      <formula>"Baja"</formula>
    </cfRule>
    <cfRule type="cellIs" dxfId="174" priority="176" operator="equal">
      <formula>"Muy Baja"</formula>
    </cfRule>
  </conditionalFormatting>
  <conditionalFormatting sqref="AL25:AL30">
    <cfRule type="cellIs" dxfId="173" priority="167" operator="equal">
      <formula>"Catastrófico"</formula>
    </cfRule>
    <cfRule type="cellIs" dxfId="172" priority="168" operator="equal">
      <formula>"Mayor"</formula>
    </cfRule>
    <cfRule type="cellIs" dxfId="171" priority="169" operator="equal">
      <formula>"Moderado"</formula>
    </cfRule>
    <cfRule type="cellIs" dxfId="170" priority="170" operator="equal">
      <formula>"Menor"</formula>
    </cfRule>
    <cfRule type="cellIs" dxfId="169" priority="171" operator="equal">
      <formula>"Leve"</formula>
    </cfRule>
  </conditionalFormatting>
  <conditionalFormatting sqref="AN25:AN30">
    <cfRule type="cellIs" dxfId="168" priority="163" operator="equal">
      <formula>"Extremo"</formula>
    </cfRule>
    <cfRule type="cellIs" dxfId="167" priority="164" operator="equal">
      <formula>"Alto"</formula>
    </cfRule>
    <cfRule type="cellIs" dxfId="166" priority="165" operator="equal">
      <formula>"Moderado"</formula>
    </cfRule>
    <cfRule type="cellIs" dxfId="165" priority="166" operator="equal">
      <formula>"Bajo"</formula>
    </cfRule>
  </conditionalFormatting>
  <conditionalFormatting sqref="S31">
    <cfRule type="cellIs" dxfId="164" priority="158" operator="equal">
      <formula>"Muy Alta"</formula>
    </cfRule>
    <cfRule type="cellIs" dxfId="163" priority="159" operator="equal">
      <formula>"Alta"</formula>
    </cfRule>
    <cfRule type="cellIs" dxfId="162" priority="160" operator="equal">
      <formula>"Media"</formula>
    </cfRule>
    <cfRule type="cellIs" dxfId="161" priority="161" operator="equal">
      <formula>"Baja"</formula>
    </cfRule>
    <cfRule type="cellIs" dxfId="160" priority="162" operator="equal">
      <formula>"Muy Baja"</formula>
    </cfRule>
  </conditionalFormatting>
  <conditionalFormatting sqref="Y31">
    <cfRule type="cellIs" dxfId="159" priority="154" operator="equal">
      <formula>"Extremo"</formula>
    </cfRule>
    <cfRule type="cellIs" dxfId="158" priority="155" operator="equal">
      <formula>"Alto"</formula>
    </cfRule>
    <cfRule type="cellIs" dxfId="157" priority="156" operator="equal">
      <formula>"Moderado"</formula>
    </cfRule>
    <cfRule type="cellIs" dxfId="156" priority="157" operator="equal">
      <formula>"Bajo"</formula>
    </cfRule>
  </conditionalFormatting>
  <conditionalFormatting sqref="AJ31:AJ36">
    <cfRule type="cellIs" dxfId="155" priority="149" operator="equal">
      <formula>"Muy Alta"</formula>
    </cfRule>
    <cfRule type="cellIs" dxfId="154" priority="150" operator="equal">
      <formula>"Alta"</formula>
    </cfRule>
    <cfRule type="cellIs" dxfId="153" priority="151" operator="equal">
      <formula>"Media"</formula>
    </cfRule>
    <cfRule type="cellIs" dxfId="152" priority="152" operator="equal">
      <formula>"Baja"</formula>
    </cfRule>
    <cfRule type="cellIs" dxfId="151" priority="153" operator="equal">
      <formula>"Muy Baja"</formula>
    </cfRule>
  </conditionalFormatting>
  <conditionalFormatting sqref="AL31:AL36">
    <cfRule type="cellIs" dxfId="150" priority="144" operator="equal">
      <formula>"Catastrófico"</formula>
    </cfRule>
    <cfRule type="cellIs" dxfId="149" priority="145" operator="equal">
      <formula>"Mayor"</formula>
    </cfRule>
    <cfRule type="cellIs" dxfId="148" priority="146" operator="equal">
      <formula>"Moderado"</formula>
    </cfRule>
    <cfRule type="cellIs" dxfId="147" priority="147" operator="equal">
      <formula>"Menor"</formula>
    </cfRule>
    <cfRule type="cellIs" dxfId="146" priority="148" operator="equal">
      <formula>"Leve"</formula>
    </cfRule>
  </conditionalFormatting>
  <conditionalFormatting sqref="AN31:AN36">
    <cfRule type="cellIs" dxfId="145" priority="140" operator="equal">
      <formula>"Extremo"</formula>
    </cfRule>
    <cfRule type="cellIs" dxfId="144" priority="141" operator="equal">
      <formula>"Alto"</formula>
    </cfRule>
    <cfRule type="cellIs" dxfId="143" priority="142" operator="equal">
      <formula>"Moderado"</formula>
    </cfRule>
    <cfRule type="cellIs" dxfId="142" priority="143" operator="equal">
      <formula>"Bajo"</formula>
    </cfRule>
  </conditionalFormatting>
  <conditionalFormatting sqref="S37">
    <cfRule type="cellIs" dxfId="141" priority="135" operator="equal">
      <formula>"Muy Alta"</formula>
    </cfRule>
    <cfRule type="cellIs" dxfId="140" priority="136" operator="equal">
      <formula>"Alta"</formula>
    </cfRule>
    <cfRule type="cellIs" dxfId="139" priority="137" operator="equal">
      <formula>"Media"</formula>
    </cfRule>
    <cfRule type="cellIs" dxfId="138" priority="138" operator="equal">
      <formula>"Baja"</formula>
    </cfRule>
    <cfRule type="cellIs" dxfId="137" priority="139" operator="equal">
      <formula>"Muy Baja"</formula>
    </cfRule>
  </conditionalFormatting>
  <conditionalFormatting sqref="Y37">
    <cfRule type="cellIs" dxfId="136" priority="131" operator="equal">
      <formula>"Extremo"</formula>
    </cfRule>
    <cfRule type="cellIs" dxfId="135" priority="132" operator="equal">
      <formula>"Alto"</formula>
    </cfRule>
    <cfRule type="cellIs" dxfId="134" priority="133" operator="equal">
      <formula>"Moderado"</formula>
    </cfRule>
    <cfRule type="cellIs" dxfId="133" priority="134" operator="equal">
      <formula>"Bajo"</formula>
    </cfRule>
  </conditionalFormatting>
  <conditionalFormatting sqref="AJ37:AJ42">
    <cfRule type="cellIs" dxfId="132" priority="126" operator="equal">
      <formula>"Muy Alta"</formula>
    </cfRule>
    <cfRule type="cellIs" dxfId="131" priority="127" operator="equal">
      <formula>"Alta"</formula>
    </cfRule>
    <cfRule type="cellIs" dxfId="130" priority="128" operator="equal">
      <formula>"Media"</formula>
    </cfRule>
    <cfRule type="cellIs" dxfId="129" priority="129" operator="equal">
      <formula>"Baja"</formula>
    </cfRule>
    <cfRule type="cellIs" dxfId="128" priority="130" operator="equal">
      <formula>"Muy Baja"</formula>
    </cfRule>
  </conditionalFormatting>
  <conditionalFormatting sqref="AL37:AL42">
    <cfRule type="cellIs" dxfId="127" priority="121" operator="equal">
      <formula>"Catastrófico"</formula>
    </cfRule>
    <cfRule type="cellIs" dxfId="126" priority="122" operator="equal">
      <formula>"Mayor"</formula>
    </cfRule>
    <cfRule type="cellIs" dxfId="125" priority="123" operator="equal">
      <formula>"Moderado"</formula>
    </cfRule>
    <cfRule type="cellIs" dxfId="124" priority="124" operator="equal">
      <formula>"Menor"</formula>
    </cfRule>
    <cfRule type="cellIs" dxfId="123" priority="125" operator="equal">
      <formula>"Leve"</formula>
    </cfRule>
  </conditionalFormatting>
  <conditionalFormatting sqref="AN37:AN42">
    <cfRule type="cellIs" dxfId="122" priority="117" operator="equal">
      <formula>"Extremo"</formula>
    </cfRule>
    <cfRule type="cellIs" dxfId="121" priority="118" operator="equal">
      <formula>"Alto"</formula>
    </cfRule>
    <cfRule type="cellIs" dxfId="120" priority="119" operator="equal">
      <formula>"Moderado"</formula>
    </cfRule>
    <cfRule type="cellIs" dxfId="119" priority="120" operator="equal">
      <formula>"Bajo"</formula>
    </cfRule>
  </conditionalFormatting>
  <conditionalFormatting sqref="S43">
    <cfRule type="cellIs" dxfId="118" priority="112" operator="equal">
      <formula>"Muy Alta"</formula>
    </cfRule>
    <cfRule type="cellIs" dxfId="117" priority="113" operator="equal">
      <formula>"Alta"</formula>
    </cfRule>
    <cfRule type="cellIs" dxfId="116" priority="114" operator="equal">
      <formula>"Media"</formula>
    </cfRule>
    <cfRule type="cellIs" dxfId="115" priority="115" operator="equal">
      <formula>"Baja"</formula>
    </cfRule>
    <cfRule type="cellIs" dxfId="114" priority="116" operator="equal">
      <formula>"Muy Baja"</formula>
    </cfRule>
  </conditionalFormatting>
  <conditionalFormatting sqref="Y43">
    <cfRule type="cellIs" dxfId="113" priority="108" operator="equal">
      <formula>"Extremo"</formula>
    </cfRule>
    <cfRule type="cellIs" dxfId="112" priority="109" operator="equal">
      <formula>"Alto"</formula>
    </cfRule>
    <cfRule type="cellIs" dxfId="111" priority="110" operator="equal">
      <formula>"Moderado"</formula>
    </cfRule>
    <cfRule type="cellIs" dxfId="110" priority="111" operator="equal">
      <formula>"Bajo"</formula>
    </cfRule>
  </conditionalFormatting>
  <conditionalFormatting sqref="AJ43:AJ48">
    <cfRule type="cellIs" dxfId="109" priority="103" operator="equal">
      <formula>"Muy Alta"</formula>
    </cfRule>
    <cfRule type="cellIs" dxfId="108" priority="104" operator="equal">
      <formula>"Alta"</formula>
    </cfRule>
    <cfRule type="cellIs" dxfId="107" priority="105" operator="equal">
      <formula>"Media"</formula>
    </cfRule>
    <cfRule type="cellIs" dxfId="106" priority="106" operator="equal">
      <formula>"Baja"</formula>
    </cfRule>
    <cfRule type="cellIs" dxfId="105" priority="107" operator="equal">
      <formula>"Muy Baja"</formula>
    </cfRule>
  </conditionalFormatting>
  <conditionalFormatting sqref="AL43:AL48">
    <cfRule type="cellIs" dxfId="104" priority="98" operator="equal">
      <formula>"Catastrófico"</formula>
    </cfRule>
    <cfRule type="cellIs" dxfId="103" priority="99" operator="equal">
      <formula>"Mayor"</formula>
    </cfRule>
    <cfRule type="cellIs" dxfId="102" priority="100" operator="equal">
      <formula>"Moderado"</formula>
    </cfRule>
    <cfRule type="cellIs" dxfId="101" priority="101" operator="equal">
      <formula>"Menor"</formula>
    </cfRule>
    <cfRule type="cellIs" dxfId="100" priority="102" operator="equal">
      <formula>"Leve"</formula>
    </cfRule>
  </conditionalFormatting>
  <conditionalFormatting sqref="AN43:AN48">
    <cfRule type="cellIs" dxfId="99" priority="94" operator="equal">
      <formula>"Extremo"</formula>
    </cfRule>
    <cfRule type="cellIs" dxfId="98" priority="95" operator="equal">
      <formula>"Alto"</formula>
    </cfRule>
    <cfRule type="cellIs" dxfId="97" priority="96" operator="equal">
      <formula>"Moderado"</formula>
    </cfRule>
    <cfRule type="cellIs" dxfId="96" priority="97" operator="equal">
      <formula>"Bajo"</formula>
    </cfRule>
  </conditionalFormatting>
  <conditionalFormatting sqref="S49">
    <cfRule type="cellIs" dxfId="95" priority="89" operator="equal">
      <formula>"Muy Alta"</formula>
    </cfRule>
    <cfRule type="cellIs" dxfId="94" priority="90" operator="equal">
      <formula>"Alta"</formula>
    </cfRule>
    <cfRule type="cellIs" dxfId="93" priority="91" operator="equal">
      <formula>"Media"</formula>
    </cfRule>
    <cfRule type="cellIs" dxfId="92" priority="92" operator="equal">
      <formula>"Baja"</formula>
    </cfRule>
    <cfRule type="cellIs" dxfId="91" priority="93" operator="equal">
      <formula>"Muy Baja"</formula>
    </cfRule>
  </conditionalFormatting>
  <conditionalFormatting sqref="Y49">
    <cfRule type="cellIs" dxfId="90" priority="85" operator="equal">
      <formula>"Extremo"</formula>
    </cfRule>
    <cfRule type="cellIs" dxfId="89" priority="86" operator="equal">
      <formula>"Alto"</formula>
    </cfRule>
    <cfRule type="cellIs" dxfId="88" priority="87" operator="equal">
      <formula>"Moderado"</formula>
    </cfRule>
    <cfRule type="cellIs" dxfId="87" priority="88" operator="equal">
      <formula>"Bajo"</formula>
    </cfRule>
  </conditionalFormatting>
  <conditionalFormatting sqref="AJ49:AJ54">
    <cfRule type="cellIs" dxfId="86" priority="80" operator="equal">
      <formula>"Muy Alta"</formula>
    </cfRule>
    <cfRule type="cellIs" dxfId="85" priority="81" operator="equal">
      <formula>"Alta"</formula>
    </cfRule>
    <cfRule type="cellIs" dxfId="84" priority="82" operator="equal">
      <formula>"Media"</formula>
    </cfRule>
    <cfRule type="cellIs" dxfId="83" priority="83" operator="equal">
      <formula>"Baja"</formula>
    </cfRule>
    <cfRule type="cellIs" dxfId="82" priority="84" operator="equal">
      <formula>"Muy Baja"</formula>
    </cfRule>
  </conditionalFormatting>
  <conditionalFormatting sqref="AL49:AL54">
    <cfRule type="cellIs" dxfId="81" priority="75" operator="equal">
      <formula>"Catastrófico"</formula>
    </cfRule>
    <cfRule type="cellIs" dxfId="80" priority="76" operator="equal">
      <formula>"Mayor"</formula>
    </cfRule>
    <cfRule type="cellIs" dxfId="79" priority="77" operator="equal">
      <formula>"Moderado"</formula>
    </cfRule>
    <cfRule type="cellIs" dxfId="78" priority="78" operator="equal">
      <formula>"Menor"</formula>
    </cfRule>
    <cfRule type="cellIs" dxfId="77" priority="79" operator="equal">
      <formula>"Leve"</formula>
    </cfRule>
  </conditionalFormatting>
  <conditionalFormatting sqref="AN49:AN54">
    <cfRule type="cellIs" dxfId="76" priority="71" operator="equal">
      <formula>"Extremo"</formula>
    </cfRule>
    <cfRule type="cellIs" dxfId="75" priority="72" operator="equal">
      <formula>"Alto"</formula>
    </cfRule>
    <cfRule type="cellIs" dxfId="74" priority="73" operator="equal">
      <formula>"Moderado"</formula>
    </cfRule>
    <cfRule type="cellIs" dxfId="73" priority="74" operator="equal">
      <formula>"Bajo"</formula>
    </cfRule>
  </conditionalFormatting>
  <conditionalFormatting sqref="Y55">
    <cfRule type="cellIs" dxfId="72" priority="67" operator="equal">
      <formula>"Extremo"</formula>
    </cfRule>
    <cfRule type="cellIs" dxfId="71" priority="68" operator="equal">
      <formula>"Alto"</formula>
    </cfRule>
    <cfRule type="cellIs" dxfId="70" priority="69" operator="equal">
      <formula>"Moderado"</formula>
    </cfRule>
    <cfRule type="cellIs" dxfId="69" priority="70" operator="equal">
      <formula>"Bajo"</formula>
    </cfRule>
  </conditionalFormatting>
  <conditionalFormatting sqref="AJ55:AJ60">
    <cfRule type="cellIs" dxfId="68" priority="62" operator="equal">
      <formula>"Muy Alta"</formula>
    </cfRule>
    <cfRule type="cellIs" dxfId="67" priority="63" operator="equal">
      <formula>"Alta"</formula>
    </cfRule>
    <cfRule type="cellIs" dxfId="66" priority="64" operator="equal">
      <formula>"Media"</formula>
    </cfRule>
    <cfRule type="cellIs" dxfId="65" priority="65" operator="equal">
      <formula>"Baja"</formula>
    </cfRule>
    <cfRule type="cellIs" dxfId="64" priority="66" operator="equal">
      <formula>"Muy Baja"</formula>
    </cfRule>
  </conditionalFormatting>
  <conditionalFormatting sqref="AL55:AL60">
    <cfRule type="cellIs" dxfId="63" priority="57" operator="equal">
      <formula>"Catastrófico"</formula>
    </cfRule>
    <cfRule type="cellIs" dxfId="62" priority="58" operator="equal">
      <formula>"Mayor"</formula>
    </cfRule>
    <cfRule type="cellIs" dxfId="61" priority="59" operator="equal">
      <formula>"Moderado"</formula>
    </cfRule>
    <cfRule type="cellIs" dxfId="60" priority="60" operator="equal">
      <formula>"Menor"</formula>
    </cfRule>
    <cfRule type="cellIs" dxfId="59" priority="61" operator="equal">
      <formula>"Leve"</formula>
    </cfRule>
  </conditionalFormatting>
  <conditionalFormatting sqref="AN55:AN60">
    <cfRule type="cellIs" dxfId="58" priority="53" operator="equal">
      <formula>"Extremo"</formula>
    </cfRule>
    <cfRule type="cellIs" dxfId="57" priority="54" operator="equal">
      <formula>"Alto"</formula>
    </cfRule>
    <cfRule type="cellIs" dxfId="56" priority="55" operator="equal">
      <formula>"Moderado"</formula>
    </cfRule>
    <cfRule type="cellIs" dxfId="55" priority="56" operator="equal">
      <formula>"Bajo"</formula>
    </cfRule>
  </conditionalFormatting>
  <conditionalFormatting sqref="Y61">
    <cfRule type="cellIs" dxfId="54" priority="44" operator="equal">
      <formula>"Extremo"</formula>
    </cfRule>
    <cfRule type="cellIs" dxfId="53" priority="45" operator="equal">
      <formula>"Alto"</formula>
    </cfRule>
    <cfRule type="cellIs" dxfId="52" priority="46" operator="equal">
      <formula>"Moderado"</formula>
    </cfRule>
    <cfRule type="cellIs" dxfId="51" priority="47" operator="equal">
      <formula>"Bajo"</formula>
    </cfRule>
  </conditionalFormatting>
  <conditionalFormatting sqref="AJ61:AJ66">
    <cfRule type="cellIs" dxfId="50" priority="39" operator="equal">
      <formula>"Muy Alta"</formula>
    </cfRule>
    <cfRule type="cellIs" dxfId="49" priority="40" operator="equal">
      <formula>"Alta"</formula>
    </cfRule>
    <cfRule type="cellIs" dxfId="48" priority="41" operator="equal">
      <formula>"Media"</formula>
    </cfRule>
    <cfRule type="cellIs" dxfId="47" priority="42" operator="equal">
      <formula>"Baja"</formula>
    </cfRule>
    <cfRule type="cellIs" dxfId="46" priority="43" operator="equal">
      <formula>"Muy Baja"</formula>
    </cfRule>
  </conditionalFormatting>
  <conditionalFormatting sqref="AL61:AL66">
    <cfRule type="cellIs" dxfId="45" priority="34" operator="equal">
      <formula>"Catastrófico"</formula>
    </cfRule>
    <cfRule type="cellIs" dxfId="44" priority="35" operator="equal">
      <formula>"Mayor"</formula>
    </cfRule>
    <cfRule type="cellIs" dxfId="43" priority="36" operator="equal">
      <formula>"Moderado"</formula>
    </cfRule>
    <cfRule type="cellIs" dxfId="42" priority="37" operator="equal">
      <formula>"Menor"</formula>
    </cfRule>
    <cfRule type="cellIs" dxfId="41" priority="38" operator="equal">
      <formula>"Leve"</formula>
    </cfRule>
  </conditionalFormatting>
  <conditionalFormatting sqref="AN61:AN66">
    <cfRule type="cellIs" dxfId="40" priority="30" operator="equal">
      <formula>"Extremo"</formula>
    </cfRule>
    <cfRule type="cellIs" dxfId="39" priority="31" operator="equal">
      <formula>"Alto"</formula>
    </cfRule>
    <cfRule type="cellIs" dxfId="38" priority="32" operator="equal">
      <formula>"Moderado"</formula>
    </cfRule>
    <cfRule type="cellIs" dxfId="37" priority="33" operator="equal">
      <formula>"Bajo"</formula>
    </cfRule>
  </conditionalFormatting>
  <conditionalFormatting sqref="S67">
    <cfRule type="cellIs" dxfId="36" priority="25" operator="equal">
      <formula>"Muy Alta"</formula>
    </cfRule>
    <cfRule type="cellIs" dxfId="35" priority="26" operator="equal">
      <formula>"Alta"</formula>
    </cfRule>
    <cfRule type="cellIs" dxfId="34" priority="27" operator="equal">
      <formula>"Media"</formula>
    </cfRule>
    <cfRule type="cellIs" dxfId="33" priority="28" operator="equal">
      <formula>"Baja"</formula>
    </cfRule>
    <cfRule type="cellIs" dxfId="32" priority="29" operator="equal">
      <formula>"Muy Baja"</formula>
    </cfRule>
  </conditionalFormatting>
  <conditionalFormatting sqref="Y67">
    <cfRule type="cellIs" dxfId="31" priority="21" operator="equal">
      <formula>"Extremo"</formula>
    </cfRule>
    <cfRule type="cellIs" dxfId="30" priority="22" operator="equal">
      <formula>"Alto"</formula>
    </cfRule>
    <cfRule type="cellIs" dxfId="29" priority="23" operator="equal">
      <formula>"Moderado"</formula>
    </cfRule>
    <cfRule type="cellIs" dxfId="28" priority="24" operator="equal">
      <formula>"Bajo"</formula>
    </cfRule>
  </conditionalFormatting>
  <conditionalFormatting sqref="AJ67:AJ72">
    <cfRule type="cellIs" dxfId="27" priority="16" operator="equal">
      <formula>"Muy Alta"</formula>
    </cfRule>
    <cfRule type="cellIs" dxfId="26" priority="17" operator="equal">
      <formula>"Alta"</formula>
    </cfRule>
    <cfRule type="cellIs" dxfId="25" priority="18" operator="equal">
      <formula>"Media"</formula>
    </cfRule>
    <cfRule type="cellIs" dxfId="24" priority="19" operator="equal">
      <formula>"Baja"</formula>
    </cfRule>
    <cfRule type="cellIs" dxfId="23" priority="20" operator="equal">
      <formula>"Muy Baja"</formula>
    </cfRule>
  </conditionalFormatting>
  <conditionalFormatting sqref="AL67:AL72">
    <cfRule type="cellIs" dxfId="22" priority="11" operator="equal">
      <formula>"Catastrófico"</formula>
    </cfRule>
    <cfRule type="cellIs" dxfId="21" priority="12" operator="equal">
      <formula>"Mayor"</formula>
    </cfRule>
    <cfRule type="cellIs" dxfId="20" priority="13" operator="equal">
      <formula>"Moderado"</formula>
    </cfRule>
    <cfRule type="cellIs" dxfId="19" priority="14" operator="equal">
      <formula>"Menor"</formula>
    </cfRule>
    <cfRule type="cellIs" dxfId="18" priority="15" operator="equal">
      <formula>"Leve"</formula>
    </cfRule>
  </conditionalFormatting>
  <conditionalFormatting sqref="AN67:AN72">
    <cfRule type="cellIs" dxfId="17" priority="7" operator="equal">
      <formula>"Extremo"</formula>
    </cfRule>
    <cfRule type="cellIs" dxfId="16" priority="8" operator="equal">
      <formula>"Alto"</formula>
    </cfRule>
    <cfRule type="cellIs" dxfId="15" priority="9" operator="equal">
      <formula>"Moderado"</formula>
    </cfRule>
    <cfRule type="cellIs" dxfId="14" priority="10" operator="equal">
      <formula>"Bajo"</formula>
    </cfRule>
  </conditionalFormatting>
  <conditionalFormatting sqref="V13:V72">
    <cfRule type="containsText" dxfId="13" priority="6" operator="containsText" text="❌">
      <formula>NOT(ISERROR(SEARCH("❌",V13)))</formula>
    </cfRule>
  </conditionalFormatting>
  <conditionalFormatting sqref="S55">
    <cfRule type="cellIs" dxfId="12" priority="1" operator="equal">
      <formula>"Muy Alta"</formula>
    </cfRule>
    <cfRule type="cellIs" dxfId="11" priority="2" operator="equal">
      <formula>"Alta"</formula>
    </cfRule>
    <cfRule type="cellIs" dxfId="10" priority="3" operator="equal">
      <formula>"Media"</formula>
    </cfRule>
    <cfRule type="cellIs" dxfId="9" priority="4" operator="equal">
      <formula>"Baja"</formula>
    </cfRule>
    <cfRule type="cellIs" dxfId="8" priority="5" operator="equal">
      <formula>"Muy Baja"</formula>
    </cfRule>
  </conditionalFormatting>
  <pageMargins left="0.70866141732283472" right="0.70866141732283472" top="0.74803149606299213" bottom="0.74803149606299213" header="0.31496062992125984" footer="0.31496062992125984"/>
  <pageSetup scale="31" orientation="landscape" r:id="rId1"/>
  <headerFooter>
    <oddFooter>&amp;LAvenida Calle 26 No. 69-76,Edificio Elemento ,   Torre Aire , Piso 3, CP-111071
PBX:(+57) 601-3779555 - Información: Línea 195
Sede Operativa - Atención al Ciudadano: Calle 22D No. 120-40 
www.umv.gov.co&amp;CDESI-FM-018
Página &amp;P de &amp;N</oddFooter>
  </headerFooter>
  <rowBreaks count="2" manualBreakCount="2">
    <brk id="24" max="40" man="1"/>
    <brk id="30" max="37" man="1"/>
  </rowBreaks>
  <colBreaks count="1" manualBreakCount="1">
    <brk id="26" max="23" man="1"/>
  </colBreaks>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A8C1405-7A09-4E95-B055-8CDE2DC9E401}">
          <x14:formula1>
            <xm:f>Listas!$H$14:$H$18</xm:f>
          </x14:formula1>
          <xm:sqref>Q13:Q72</xm:sqref>
        </x14:dataValidation>
        <x14:dataValidation type="list" allowBlank="1" showInputMessage="1" showErrorMessage="1" xr:uid="{A2FDF36D-6C37-45BE-83A0-B7225481AF67}">
          <x14:formula1>
            <xm:f>Listas!$H$8:$H$12</xm:f>
          </x14:formula1>
          <xm:sqref>P13:P72</xm:sqref>
        </x14:dataValidation>
        <x14:dataValidation type="list" allowBlank="1" showInputMessage="1" showErrorMessage="1" xr:uid="{2CB3A2A8-EFAF-421A-B7A4-C63DE8EF6EB2}">
          <x14:formula1>
            <xm:f>Intructivo!$C$300:$C$316</xm:f>
          </x14:formula1>
          <xm:sqref>C6:Z6</xm:sqref>
        </x14:dataValidation>
        <x14:dataValidation type="list" allowBlank="1" showInputMessage="1" showErrorMessage="1" xr:uid="{13FF270E-C7F7-4F7E-9518-4F497A987C65}">
          <x14:formula1>
            <xm:f>Listas!$F$8:$F$9</xm:f>
          </x14:formula1>
          <xm:sqref>K13:K72</xm:sqref>
        </x14:dataValidation>
        <x14:dataValidation type="list" allowBlank="1" showInputMessage="1" showErrorMessage="1" xr:uid="{9B15C757-3D2A-4B22-824D-25C10D181F59}">
          <x14:formula1>
            <xm:f>Listas!$B$20:$B$22</xm:f>
          </x14:formula1>
          <xm:sqref>F13:F72</xm:sqref>
        </x14:dataValidation>
        <x14:dataValidation type="custom" allowBlank="1" showInputMessage="1" showErrorMessage="1" error="Recuerde que las acciones se generan bajo la medida de mitigar el riesgo" xr:uid="{BB3D4E88-133A-4E35-8D1A-33FFE9FDCB31}">
          <x14:formula1>
            <xm:f>IF(OR(#REF!=Listas!$B$2,#REF!=Listas!$B$3,#REF!=Listas!$B$4),ISBLANK(#REF!),ISTEXT(#REF!))</xm:f>
          </x14:formula1>
          <xm:sqref>AT67 AT61 AT19</xm:sqref>
        </x14:dataValidation>
        <x14:dataValidation type="list" allowBlank="1" showInputMessage="1" showErrorMessage="1" xr:uid="{F2647F4E-04E6-41FE-90AA-2EED596C4F76}">
          <x14:formula1>
            <xm:f>'Tabla Impacto'!$F$211:$F$222</xm:f>
          </x14:formula1>
          <xm:sqref>U13:U72</xm:sqref>
        </x14:dataValidation>
        <x14:dataValidation type="list" allowBlank="1" showInputMessage="1" showErrorMessage="1" xr:uid="{55C15CBA-6E2A-438E-B6B8-F794E4D490A7}">
          <x14:formula1>
            <xm:f>Listas!$B$2:$B$5</xm:f>
          </x14:formula1>
          <xm:sqref>AO13:AO72</xm:sqref>
        </x14:dataValidation>
        <x14:dataValidation type="list" allowBlank="1" showInputMessage="1" showErrorMessage="1" xr:uid="{B29B9D66-43FC-493F-B3ED-95F3A1304E8F}">
          <x14:formula1>
            <xm:f>Listas!$E$2:$E$4</xm:f>
          </x14:formula1>
          <xm:sqref>B13:B72</xm:sqref>
        </x14:dataValidation>
        <x14:dataValidation type="list" allowBlank="1" showInputMessage="1" showErrorMessage="1" xr:uid="{A3FB8F04-DDCC-4481-97E4-19F48A575A7C}">
          <x14:formula1>
            <xm:f>'Tabla Valoración controles'!$D$13:$D$14</xm:f>
          </x14:formula1>
          <xm:sqref>AH13:AH72</xm:sqref>
        </x14:dataValidation>
        <x14:dataValidation type="list" allowBlank="1" showInputMessage="1" showErrorMessage="1" xr:uid="{34872B50-787A-47FC-91B3-16FC8B40AB89}">
          <x14:formula1>
            <xm:f>'Tabla Valoración controles'!$D$11:$D$12</xm:f>
          </x14:formula1>
          <xm:sqref>AG13:AG72</xm:sqref>
        </x14:dataValidation>
        <x14:dataValidation type="list" allowBlank="1" showInputMessage="1" showErrorMessage="1" xr:uid="{7FA6F7E8-A9D6-4F9C-94B9-833D212B5297}">
          <x14:formula1>
            <xm:f>'Tabla Valoración controles'!$D$9:$D$10</xm:f>
          </x14:formula1>
          <xm:sqref>AF13:AF72</xm:sqref>
        </x14:dataValidation>
        <x14:dataValidation type="list" allowBlank="1" showInputMessage="1" showErrorMessage="1" xr:uid="{138124BA-2EFB-4669-87F3-437B2E90E3A3}">
          <x14:formula1>
            <xm:f>'Tabla Valoración controles'!$D$7:$D$8</xm:f>
          </x14:formula1>
          <xm:sqref>AD13:AD72</xm:sqref>
        </x14:dataValidation>
        <x14:dataValidation type="list" allowBlank="1" showInputMessage="1" showErrorMessage="1" xr:uid="{508DADB2-0567-4760-816A-833D7897F9EB}">
          <x14:formula1>
            <xm:f>'Tabla Valoración controles'!$D$4:$D$6</xm:f>
          </x14:formula1>
          <xm:sqref>AC13:AC72</xm:sqref>
        </x14:dataValidation>
        <x14:dataValidation type="list" allowBlank="1" showInputMessage="1" showErrorMessage="1" xr:uid="{FC7889FE-5138-41C0-B06B-0A5BA7D2AE67}">
          <x14:formula1>
            <xm:f>Amenazas!$C$2:$C$11</xm:f>
          </x14:formula1>
          <xm:sqref>G13:G72</xm:sqref>
        </x14:dataValidation>
        <x14:dataValidation type="list" allowBlank="1" showInputMessage="1" showErrorMessage="1" xr:uid="{4378DCD1-5E9B-41D2-A652-3B8AF0B89E1A}">
          <x14:formula1>
            <xm:f>Listas!$B$25:$B$32</xm:f>
          </x14:formula1>
          <xm:sqref>I13:I72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7a02df7-de8f-4c48-b238-a1ac80ef7990">
      <UserInfo>
        <DisplayName>Stefany Ospino Cuellar</DisplayName>
        <AccountId>1659</AccountId>
        <AccountType/>
      </UserInfo>
      <UserInfo>
        <DisplayName>German Andres Hernandez Matiz</DisplayName>
        <AccountId>571</AccountId>
        <AccountType/>
      </UserInfo>
    </SharedWithUsers>
    <TaxCatchAll xmlns="f7a02df7-de8f-4c48-b238-a1ac80ef7990" xsi:nil="true"/>
    <lcf76f155ced4ddcb4097134ff3c332f xmlns="4ab5e4fe-998f-4424-a00c-127c505be1d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4A772FB98E7BA4B9E1B07CC8F693443" ma:contentTypeVersion="17" ma:contentTypeDescription="Crear nuevo documento." ma:contentTypeScope="" ma:versionID="2b779474dba64742438205b145c5f80a">
  <xsd:schema xmlns:xsd="http://www.w3.org/2001/XMLSchema" xmlns:xs="http://www.w3.org/2001/XMLSchema" xmlns:p="http://schemas.microsoft.com/office/2006/metadata/properties" xmlns:ns2="4ab5e4fe-998f-4424-a00c-127c505be1d6" xmlns:ns3="f7a02df7-de8f-4c48-b238-a1ac80ef7990" targetNamespace="http://schemas.microsoft.com/office/2006/metadata/properties" ma:root="true" ma:fieldsID="e5db9b9e1e349003db2943b60b4da755" ns2:_="" ns3:_="">
    <xsd:import namespace="4ab5e4fe-998f-4424-a00c-127c505be1d6"/>
    <xsd:import namespace="f7a02df7-de8f-4c48-b238-a1ac80ef79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b5e4fe-998f-4424-a00c-127c505be1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ca5960cb-9bf6-480a-8d5d-5a94d253b0e7"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7a02df7-de8f-4c48-b238-a1ac80ef7990"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715fde6a-5240-44f1-969d-ccc84abf2fbe}" ma:internalName="TaxCatchAll" ma:showField="CatchAllData" ma:web="f7a02df7-de8f-4c48-b238-a1ac80ef79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8E702-99CD-4A3A-A328-D1F3ADA68EBC}">
  <ds:schemaRefs>
    <ds:schemaRef ds:uri="http://schemas.microsoft.com/sharepoint/v3/contenttype/forms"/>
  </ds:schemaRefs>
</ds:datastoreItem>
</file>

<file path=customXml/itemProps2.xml><?xml version="1.0" encoding="utf-8"?>
<ds:datastoreItem xmlns:ds="http://schemas.openxmlformats.org/officeDocument/2006/customXml" ds:itemID="{D3D5E4EF-2809-49C9-8DCF-B2E4E5208101}">
  <ds:schemaRefs>
    <ds:schemaRef ds:uri="http://schemas.microsoft.com/office/2006/metadata/properties"/>
    <ds:schemaRef ds:uri="http://schemas.microsoft.com/office/infopath/2007/PartnerControls"/>
    <ds:schemaRef ds:uri="http://schemas.microsoft.com/sharepoint/v3"/>
    <ds:schemaRef ds:uri="70eaac67-e064-433b-ba54-6f78c0f1ecb1"/>
    <ds:schemaRef ds:uri="64d77176-54eb-4753-be67-9b2e2fa23e0f"/>
    <ds:schemaRef ds:uri="f7a02df7-de8f-4c48-b238-a1ac80ef7990"/>
    <ds:schemaRef ds:uri="4ab5e4fe-998f-4424-a00c-127c505be1d6"/>
  </ds:schemaRefs>
</ds:datastoreItem>
</file>

<file path=customXml/itemProps3.xml><?xml version="1.0" encoding="utf-8"?>
<ds:datastoreItem xmlns:ds="http://schemas.openxmlformats.org/officeDocument/2006/customXml" ds:itemID="{2AD83EEB-0A35-485D-9F63-8852576AD4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b5e4fe-998f-4424-a00c-127c505be1d6"/>
    <ds:schemaRef ds:uri="f7a02df7-de8f-4c48-b238-a1ac80ef79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7</vt:i4>
      </vt:variant>
    </vt:vector>
  </HeadingPairs>
  <TitlesOfParts>
    <vt:vector size="23" baseType="lpstr">
      <vt:lpstr>Intructivo</vt:lpstr>
      <vt:lpstr>Revisión DOFA</vt:lpstr>
      <vt:lpstr>Listas</vt:lpstr>
      <vt:lpstr>Riesgos de Gestión</vt:lpstr>
      <vt:lpstr>Matriz Calor Inherente</vt:lpstr>
      <vt:lpstr>Matriz Calor Residual</vt:lpstr>
      <vt:lpstr>Riesgos de Corrupción</vt:lpstr>
      <vt:lpstr>Impacto Corrupción </vt:lpstr>
      <vt:lpstr>Riesgos de Seguridad</vt:lpstr>
      <vt:lpstr>Tabla probabilidad</vt:lpstr>
      <vt:lpstr>Tabla Impacto</vt:lpstr>
      <vt:lpstr>Tipo de riesgos</vt:lpstr>
      <vt:lpstr>Amenazas</vt:lpstr>
      <vt:lpstr>Ejemplos de riesgos</vt:lpstr>
      <vt:lpstr>Tabla Valoración controles</vt:lpstr>
      <vt:lpstr>Hoja1</vt:lpstr>
      <vt:lpstr>'Impacto Corrupción '!Área_de_impresión</vt:lpstr>
      <vt:lpstr>'Riesgos de Corrupción'!Área_de_impresión</vt:lpstr>
      <vt:lpstr>'Riesgos de Gestión'!Área_de_impresión</vt:lpstr>
      <vt:lpstr>'Riesgos de Seguridad'!Área_de_impresión</vt:lpstr>
      <vt:lpstr>'Riesgos de Corrupción'!Títulos_a_imprimir</vt:lpstr>
      <vt:lpstr>'Riesgos de Gestión'!Títulos_a_imprimir</vt:lpstr>
      <vt:lpstr>'Riesgos de Seguridad'!Títulos_a_imprimir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Usuario</cp:lastModifiedBy>
  <cp:revision/>
  <cp:lastPrinted>2022-11-28T21:48:11Z</cp:lastPrinted>
  <dcterms:created xsi:type="dcterms:W3CDTF">2020-03-24T23:12:47Z</dcterms:created>
  <dcterms:modified xsi:type="dcterms:W3CDTF">2023-01-30T15:21:10Z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0x01010044A772FB98E7BA4B9E1B07CC8F693443</vt:lpwstr>
  </property>
  <property fmtid="{D5CDD505-2E9C-101B-9397-08002B2CF9AE}" pid="3" name="MediaServiceImageTags">
    <vt:lpwstr/>
  </property>
</Properties>
</file>