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E:\UMV\Riesgos 2023\"/>
    </mc:Choice>
  </mc:AlternateContent>
  <xr:revisionPtr revIDLastSave="0" documentId="13_ncr:1_{AAAEF913-7A34-4144-852B-A921F154C896}" xr6:coauthVersionLast="47" xr6:coauthVersionMax="47" xr10:uidLastSave="{00000000-0000-0000-0000-000000000000}"/>
  <bookViews>
    <workbookView xWindow="-120" yWindow="-120" windowWidth="29040" windowHeight="15840" tabRatio="933" firstSheet="3" activeTab="8"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8"/>
  <pivotCaches>
    <pivotCache cacheId="18"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32" l="1"/>
  <c r="AE55" i="32"/>
  <c r="AE72" i="32" l="1"/>
  <c r="AB72" i="32"/>
  <c r="V72" i="32"/>
  <c r="AE71" i="32"/>
  <c r="AB71" i="32"/>
  <c r="AM72" i="32" s="1"/>
  <c r="AL72" i="32" s="1"/>
  <c r="V71" i="32"/>
  <c r="AE70" i="32"/>
  <c r="AB70" i="32"/>
  <c r="AM71" i="32" s="1"/>
  <c r="AL71" i="32" s="1"/>
  <c r="V70" i="32"/>
  <c r="AE69" i="32"/>
  <c r="AB69" i="32"/>
  <c r="V69" i="32"/>
  <c r="AE68" i="32"/>
  <c r="AB68" i="32"/>
  <c r="V68" i="32"/>
  <c r="AE67" i="32"/>
  <c r="AB67" i="32"/>
  <c r="V67" i="32"/>
  <c r="W67" i="32" s="1"/>
  <c r="Y67" i="32" s="1"/>
  <c r="T67" i="32"/>
  <c r="S67" i="32"/>
  <c r="AE66" i="32"/>
  <c r="AB66" i="32"/>
  <c r="V66" i="32"/>
  <c r="AE65" i="32"/>
  <c r="AB65" i="32"/>
  <c r="V65" i="32"/>
  <c r="AE64" i="32"/>
  <c r="AB64" i="32"/>
  <c r="AI65" i="32" s="1"/>
  <c r="V64" i="32"/>
  <c r="AE63" i="32"/>
  <c r="AB63" i="32"/>
  <c r="V63" i="32"/>
  <c r="AE62" i="32"/>
  <c r="AB62" i="32"/>
  <c r="AI63" i="32" s="1"/>
  <c r="V62" i="32"/>
  <c r="AE61" i="32"/>
  <c r="AB61" i="32"/>
  <c r="V61" i="32"/>
  <c r="W61" i="32" s="1"/>
  <c r="X61" i="32" s="1"/>
  <c r="S61" i="32"/>
  <c r="AE60" i="32"/>
  <c r="AB60" i="32"/>
  <c r="V60" i="32"/>
  <c r="AB59" i="32"/>
  <c r="V59" i="32"/>
  <c r="AB58" i="32"/>
  <c r="V58" i="32"/>
  <c r="AB57" i="32"/>
  <c r="V57" i="32"/>
  <c r="AB56" i="32"/>
  <c r="V56" i="32"/>
  <c r="AB55" i="32"/>
  <c r="V55" i="32"/>
  <c r="W55" i="32" s="1"/>
  <c r="X55" i="32" s="1"/>
  <c r="S55" i="32"/>
  <c r="AI54" i="32"/>
  <c r="AK54" i="32" s="1"/>
  <c r="AE54" i="32"/>
  <c r="AB54" i="32"/>
  <c r="V54" i="32"/>
  <c r="AE53" i="32"/>
  <c r="AB53" i="32"/>
  <c r="AM54" i="32" s="1"/>
  <c r="AL54" i="32" s="1"/>
  <c r="V53" i="32"/>
  <c r="AE52" i="32"/>
  <c r="AB52" i="32"/>
  <c r="AI53" i="32" s="1"/>
  <c r="AK53" i="32" s="1"/>
  <c r="V52" i="32"/>
  <c r="AE51" i="32"/>
  <c r="AB51" i="32"/>
  <c r="AM52" i="32" s="1"/>
  <c r="AL52" i="32" s="1"/>
  <c r="V51" i="32"/>
  <c r="AE50" i="32"/>
  <c r="AB50" i="32"/>
  <c r="V50" i="32"/>
  <c r="AE49" i="32"/>
  <c r="AB49" i="32"/>
  <c r="V49" i="32"/>
  <c r="W49" i="32" s="1"/>
  <c r="S49" i="32"/>
  <c r="T49" i="32" s="1"/>
  <c r="AE48" i="32"/>
  <c r="AB48" i="32"/>
  <c r="V48" i="32"/>
  <c r="AE47" i="32"/>
  <c r="AB47" i="32"/>
  <c r="V47" i="32"/>
  <c r="AE46" i="32"/>
  <c r="AB46" i="32"/>
  <c r="V46" i="32"/>
  <c r="AE45" i="32"/>
  <c r="AB45" i="32"/>
  <c r="V45" i="32"/>
  <c r="AE44" i="32"/>
  <c r="AB44" i="32"/>
  <c r="V44" i="32"/>
  <c r="AE43" i="32"/>
  <c r="AB43" i="32"/>
  <c r="V43" i="32"/>
  <c r="W43" i="32" s="1"/>
  <c r="X43" i="32" s="1"/>
  <c r="S43" i="32"/>
  <c r="AE42" i="32"/>
  <c r="AB42" i="32"/>
  <c r="V42" i="32"/>
  <c r="AE41" i="32"/>
  <c r="AB41" i="32"/>
  <c r="V41" i="32"/>
  <c r="AE40" i="32"/>
  <c r="AB40" i="32"/>
  <c r="V40" i="32"/>
  <c r="AE39" i="32"/>
  <c r="AB39" i="32"/>
  <c r="V39" i="32"/>
  <c r="AE38" i="32"/>
  <c r="AB38" i="32"/>
  <c r="AI39" i="32" s="1"/>
  <c r="AK39" i="32" s="1"/>
  <c r="V38" i="32"/>
  <c r="AE37" i="32"/>
  <c r="AB37" i="32"/>
  <c r="V37" i="32"/>
  <c r="W37" i="32" s="1"/>
  <c r="X37" i="32" s="1"/>
  <c r="S37" i="32"/>
  <c r="T37" i="32" s="1"/>
  <c r="AE36" i="32"/>
  <c r="AB36" i="32"/>
  <c r="V36" i="32"/>
  <c r="AE35" i="32"/>
  <c r="AB35" i="32"/>
  <c r="AI36" i="32" s="1"/>
  <c r="AK36" i="32" s="1"/>
  <c r="V35" i="32"/>
  <c r="AE34" i="32"/>
  <c r="AB34" i="32"/>
  <c r="AI35" i="32" s="1"/>
  <c r="AK35" i="32" s="1"/>
  <c r="V34" i="32"/>
  <c r="AE33" i="32"/>
  <c r="AB33" i="32"/>
  <c r="V33" i="32"/>
  <c r="AE32" i="32"/>
  <c r="AB32" i="32"/>
  <c r="AI33" i="32" s="1"/>
  <c r="V32" i="32"/>
  <c r="AE31" i="32"/>
  <c r="AB31" i="32"/>
  <c r="V31" i="32"/>
  <c r="W31" i="32" s="1"/>
  <c r="X31" i="32" s="1"/>
  <c r="S31" i="32"/>
  <c r="AE30" i="32"/>
  <c r="AB30" i="32"/>
  <c r="V30" i="32"/>
  <c r="AE29" i="32"/>
  <c r="AB29" i="32"/>
  <c r="V29" i="32"/>
  <c r="AE28" i="32"/>
  <c r="AB28" i="32"/>
  <c r="V28" i="32"/>
  <c r="AE27" i="32"/>
  <c r="AB27" i="32"/>
  <c r="AM28" i="32" s="1"/>
  <c r="AL28" i="32" s="1"/>
  <c r="V27" i="32"/>
  <c r="AE26" i="32"/>
  <c r="AB26" i="32"/>
  <c r="AM27" i="32" s="1"/>
  <c r="AL27" i="32" s="1"/>
  <c r="V26" i="32"/>
  <c r="AE25" i="32"/>
  <c r="AB25" i="32"/>
  <c r="V25" i="32"/>
  <c r="W25" i="32" s="1"/>
  <c r="X25" i="32" s="1"/>
  <c r="S25" i="32"/>
  <c r="AE24" i="32"/>
  <c r="AB24" i="32"/>
  <c r="V24" i="32"/>
  <c r="AE23" i="32"/>
  <c r="AB23" i="32"/>
  <c r="V23" i="32"/>
  <c r="AE22" i="32"/>
  <c r="AB22" i="32"/>
  <c r="V22" i="32"/>
  <c r="AE21" i="32"/>
  <c r="AB21" i="32"/>
  <c r="AM22" i="32" s="1"/>
  <c r="AL22" i="32" s="1"/>
  <c r="V21" i="32"/>
  <c r="AE20" i="32"/>
  <c r="AB20" i="32"/>
  <c r="V20" i="32"/>
  <c r="AE19" i="32"/>
  <c r="AB19" i="32"/>
  <c r="V19" i="32"/>
  <c r="W19" i="32" s="1"/>
  <c r="S19" i="32"/>
  <c r="T19" i="32" s="1"/>
  <c r="AE18" i="32"/>
  <c r="AB18" i="32"/>
  <c r="V18" i="32"/>
  <c r="AE17" i="32"/>
  <c r="AB17" i="32"/>
  <c r="AM18" i="32" s="1"/>
  <c r="AL18" i="32" s="1"/>
  <c r="V17" i="32"/>
  <c r="AE16" i="32"/>
  <c r="AB16" i="32"/>
  <c r="AM17" i="32" s="1"/>
  <c r="AL17" i="32" s="1"/>
  <c r="V16" i="32"/>
  <c r="AE15" i="32"/>
  <c r="AB15" i="32"/>
  <c r="V15" i="32"/>
  <c r="AE14" i="32"/>
  <c r="AB14" i="32"/>
  <c r="AM15" i="32" s="1"/>
  <c r="AL15" i="32" s="1"/>
  <c r="V14" i="32"/>
  <c r="AE13" i="32"/>
  <c r="AB13" i="32"/>
  <c r="V13" i="32"/>
  <c r="W13" i="32" s="1"/>
  <c r="X13" i="32" s="1"/>
  <c r="S13" i="32"/>
  <c r="AA72" i="31"/>
  <c r="X72" i="31"/>
  <c r="R72" i="31"/>
  <c r="AA71" i="31"/>
  <c r="X71" i="31"/>
  <c r="AE72" i="31" s="1"/>
  <c r="R71" i="31"/>
  <c r="AA70" i="31"/>
  <c r="X70" i="31"/>
  <c r="R70" i="31"/>
  <c r="AE69" i="31"/>
  <c r="AG69" i="31" s="1"/>
  <c r="AA69" i="31"/>
  <c r="X69" i="31"/>
  <c r="AI70" i="31" s="1"/>
  <c r="AH70" i="31" s="1"/>
  <c r="R69" i="31"/>
  <c r="AE68" i="31"/>
  <c r="AF68" i="31" s="1"/>
  <c r="AA68" i="31"/>
  <c r="X68" i="31"/>
  <c r="AI69" i="31" s="1"/>
  <c r="AH69" i="31" s="1"/>
  <c r="R68" i="31"/>
  <c r="AI67" i="31"/>
  <c r="AH67" i="31" s="1"/>
  <c r="AG67" i="31"/>
  <c r="AE67" i="31"/>
  <c r="AF67" i="31" s="1"/>
  <c r="AA67" i="31"/>
  <c r="X67" i="31"/>
  <c r="R67" i="31"/>
  <c r="S67" i="31" s="1"/>
  <c r="T67" i="31" s="1"/>
  <c r="O67" i="31"/>
  <c r="P67" i="31" s="1"/>
  <c r="AE66" i="31"/>
  <c r="AG66" i="31" s="1"/>
  <c r="AA66" i="31"/>
  <c r="X66" i="31"/>
  <c r="R66" i="31"/>
  <c r="AA65" i="31"/>
  <c r="X65" i="31"/>
  <c r="R65" i="31"/>
  <c r="AI64" i="31"/>
  <c r="AH64" i="31" s="1"/>
  <c r="AA64" i="31"/>
  <c r="X64" i="31"/>
  <c r="AE65" i="31" s="1"/>
  <c r="AF65" i="31" s="1"/>
  <c r="R64" i="31"/>
  <c r="AA63" i="31"/>
  <c r="X63" i="31"/>
  <c r="AE64" i="31" s="1"/>
  <c r="R63" i="31"/>
  <c r="AA62" i="31"/>
  <c r="X62" i="31"/>
  <c r="AI63" i="31" s="1"/>
  <c r="AH63" i="31" s="1"/>
  <c r="R62" i="31"/>
  <c r="AA61" i="31"/>
  <c r="X61" i="31"/>
  <c r="AE62" i="31" s="1"/>
  <c r="R61" i="31"/>
  <c r="S61" i="31" s="1"/>
  <c r="O61" i="31"/>
  <c r="P61" i="31" s="1"/>
  <c r="AA60" i="31"/>
  <c r="X60" i="31"/>
  <c r="R60" i="31"/>
  <c r="AA59" i="31"/>
  <c r="X59" i="31"/>
  <c r="AI60" i="31" s="1"/>
  <c r="AH60" i="31" s="1"/>
  <c r="R59" i="31"/>
  <c r="AI58" i="31"/>
  <c r="AH58" i="31" s="1"/>
  <c r="AA58" i="31"/>
  <c r="X58" i="31"/>
  <c r="R58" i="31"/>
  <c r="AA57" i="31"/>
  <c r="X57" i="31"/>
  <c r="AE58" i="31" s="1"/>
  <c r="R57" i="31"/>
  <c r="AA56" i="31"/>
  <c r="X56" i="31"/>
  <c r="AI57" i="31" s="1"/>
  <c r="AH57" i="31" s="1"/>
  <c r="R56" i="31"/>
  <c r="AA55" i="31"/>
  <c r="X55" i="31"/>
  <c r="R55" i="31"/>
  <c r="S55" i="31" s="1"/>
  <c r="T55" i="31" s="1"/>
  <c r="O55" i="31"/>
  <c r="AA54" i="31"/>
  <c r="X54" i="31"/>
  <c r="R54" i="31"/>
  <c r="AA53" i="31"/>
  <c r="X53" i="31"/>
  <c r="R53" i="31"/>
  <c r="AE52" i="31"/>
  <c r="AG52" i="31" s="1"/>
  <c r="AA52" i="31"/>
  <c r="X52" i="31"/>
  <c r="R52" i="31"/>
  <c r="AA51" i="31"/>
  <c r="X51" i="31"/>
  <c r="AI52" i="31" s="1"/>
  <c r="AH52" i="31" s="1"/>
  <c r="R51" i="31"/>
  <c r="AA50" i="31"/>
  <c r="X50" i="31"/>
  <c r="AE51" i="31" s="1"/>
  <c r="AF51" i="31" s="1"/>
  <c r="R50" i="31"/>
  <c r="AE49" i="31"/>
  <c r="AG49" i="31" s="1"/>
  <c r="AA49" i="31"/>
  <c r="X49" i="31"/>
  <c r="AI49" i="31" s="1"/>
  <c r="AH49" i="31" s="1"/>
  <c r="R49" i="31"/>
  <c r="S49" i="31" s="1"/>
  <c r="T49" i="31" s="1"/>
  <c r="O49" i="31"/>
  <c r="P49" i="31" s="1"/>
  <c r="AA48" i="31"/>
  <c r="X48" i="31"/>
  <c r="AI48" i="31" s="1"/>
  <c r="AH48" i="31" s="1"/>
  <c r="R48" i="31"/>
  <c r="AI47" i="31"/>
  <c r="AH47" i="31" s="1"/>
  <c r="AA47" i="31"/>
  <c r="X47" i="31"/>
  <c r="AE48" i="31" s="1"/>
  <c r="AF48" i="31" s="1"/>
  <c r="R47" i="31"/>
  <c r="AA46" i="31"/>
  <c r="X46" i="31"/>
  <c r="AE46" i="31" s="1"/>
  <c r="R46" i="31"/>
  <c r="AI45" i="31"/>
  <c r="AH45" i="31" s="1"/>
  <c r="AA45" i="31"/>
  <c r="X45" i="31"/>
  <c r="R45" i="31"/>
  <c r="AA44" i="31"/>
  <c r="X44" i="31"/>
  <c r="R44" i="31"/>
  <c r="AA43" i="31"/>
  <c r="X43" i="31"/>
  <c r="AI43" i="31" s="1"/>
  <c r="AH43" i="31" s="1"/>
  <c r="R43" i="31"/>
  <c r="S43" i="31" s="1"/>
  <c r="O43" i="31"/>
  <c r="P43" i="31" s="1"/>
  <c r="AA42" i="31"/>
  <c r="X42" i="31"/>
  <c r="AI42" i="31" s="1"/>
  <c r="AH42" i="31" s="1"/>
  <c r="R42" i="31"/>
  <c r="AI41" i="31"/>
  <c r="AH41" i="31" s="1"/>
  <c r="AA41" i="31"/>
  <c r="X41" i="31"/>
  <c r="R41" i="31"/>
  <c r="AA40" i="31"/>
  <c r="X40" i="31"/>
  <c r="AE41" i="31" s="1"/>
  <c r="R40" i="31"/>
  <c r="AA39" i="31"/>
  <c r="X39" i="31"/>
  <c r="AI40" i="31" s="1"/>
  <c r="AH40" i="31" s="1"/>
  <c r="R39" i="31"/>
  <c r="AA38" i="31"/>
  <c r="X38" i="31"/>
  <c r="R38" i="31"/>
  <c r="AA37" i="31"/>
  <c r="X37" i="31"/>
  <c r="AI38" i="31" s="1"/>
  <c r="AH38" i="31" s="1"/>
  <c r="R37" i="31"/>
  <c r="S37" i="31" s="1"/>
  <c r="T37" i="31" s="1"/>
  <c r="O37" i="31"/>
  <c r="AA36" i="31"/>
  <c r="X36" i="31"/>
  <c r="R36" i="31"/>
  <c r="AA35" i="31"/>
  <c r="X35" i="31"/>
  <c r="AI36" i="31" s="1"/>
  <c r="AH36" i="31" s="1"/>
  <c r="R35" i="31"/>
  <c r="AA34" i="31"/>
  <c r="X34" i="31"/>
  <c r="AE35" i="31" s="1"/>
  <c r="AG35" i="31" s="1"/>
  <c r="R34" i="31"/>
  <c r="AA33" i="31"/>
  <c r="X33" i="31"/>
  <c r="AI34" i="31" s="1"/>
  <c r="AH34" i="31" s="1"/>
  <c r="R33" i="31"/>
  <c r="AA32" i="31"/>
  <c r="X32" i="31"/>
  <c r="AE33" i="31" s="1"/>
  <c r="R32" i="31"/>
  <c r="AI31" i="31"/>
  <c r="AH31" i="31" s="1"/>
  <c r="AA31" i="31"/>
  <c r="X31" i="31"/>
  <c r="AE31" i="31" s="1"/>
  <c r="R31" i="31"/>
  <c r="S31" i="31" s="1"/>
  <c r="T31" i="31" s="1"/>
  <c r="O31" i="31"/>
  <c r="P31" i="31" s="1"/>
  <c r="AE30" i="31"/>
  <c r="AG30" i="31" s="1"/>
  <c r="AA30" i="31"/>
  <c r="X30" i="31"/>
  <c r="R30" i="31"/>
  <c r="AA29" i="31"/>
  <c r="X29" i="31"/>
  <c r="AE29" i="31" s="1"/>
  <c r="AG29" i="31" s="1"/>
  <c r="R29" i="31"/>
  <c r="AI28" i="31"/>
  <c r="AH28" i="31" s="1"/>
  <c r="AA28" i="31"/>
  <c r="X28" i="31"/>
  <c r="R28" i="31"/>
  <c r="AA27" i="31"/>
  <c r="X27" i="31"/>
  <c r="AI27" i="31" s="1"/>
  <c r="AH27" i="31" s="1"/>
  <c r="R27" i="31"/>
  <c r="AA26" i="31"/>
  <c r="X26" i="31"/>
  <c r="R26" i="31"/>
  <c r="AA25" i="31"/>
  <c r="X25" i="31"/>
  <c r="AI26" i="31" s="1"/>
  <c r="AH26" i="31" s="1"/>
  <c r="R25" i="31"/>
  <c r="S25" i="31" s="1"/>
  <c r="O25" i="31"/>
  <c r="P25" i="31" s="1"/>
  <c r="AA24" i="31"/>
  <c r="X24" i="31"/>
  <c r="R24" i="31"/>
  <c r="AA23" i="31"/>
  <c r="X23" i="31"/>
  <c r="AE24" i="31" s="1"/>
  <c r="R23" i="31"/>
  <c r="AA22" i="31"/>
  <c r="X22" i="31"/>
  <c r="R22" i="31"/>
  <c r="AA21" i="31"/>
  <c r="X21" i="31"/>
  <c r="AI22" i="31" s="1"/>
  <c r="AH22" i="31" s="1"/>
  <c r="R21" i="31"/>
  <c r="AE20" i="31"/>
  <c r="AF20" i="31" s="1"/>
  <c r="AA20" i="31"/>
  <c r="X20" i="31"/>
  <c r="R20" i="31"/>
  <c r="AA19" i="31"/>
  <c r="X19" i="31"/>
  <c r="AI19" i="31" s="1"/>
  <c r="AH19" i="31" s="1"/>
  <c r="R19" i="31"/>
  <c r="S19" i="31" s="1"/>
  <c r="T19" i="31" s="1"/>
  <c r="O19" i="31"/>
  <c r="P19" i="31" s="1"/>
  <c r="AA18" i="31"/>
  <c r="X18" i="31"/>
  <c r="AE18" i="31" s="1"/>
  <c r="R18" i="31"/>
  <c r="AA17" i="31"/>
  <c r="X17" i="31"/>
  <c r="R17" i="31"/>
  <c r="AA16" i="31"/>
  <c r="X16" i="31"/>
  <c r="R16" i="31"/>
  <c r="AA15" i="31"/>
  <c r="X15" i="31"/>
  <c r="AI16" i="31" s="1"/>
  <c r="AH16" i="31" s="1"/>
  <c r="R15" i="31"/>
  <c r="AA14" i="31"/>
  <c r="X14" i="31"/>
  <c r="R14" i="31"/>
  <c r="AA13" i="31"/>
  <c r="X13" i="31"/>
  <c r="R13" i="31"/>
  <c r="S13" i="31" s="1"/>
  <c r="O13" i="31"/>
  <c r="P13" i="31" s="1"/>
  <c r="AM24" i="32" l="1"/>
  <c r="AL24" i="32" s="1"/>
  <c r="AM29" i="32"/>
  <c r="AL29" i="32" s="1"/>
  <c r="AM34" i="32"/>
  <c r="AL34" i="32" s="1"/>
  <c r="AM41" i="32"/>
  <c r="AL41" i="32" s="1"/>
  <c r="AM62" i="32"/>
  <c r="AL62" i="32" s="1"/>
  <c r="AM63" i="32"/>
  <c r="AL63" i="32" s="1"/>
  <c r="AM69" i="32"/>
  <c r="AL69" i="32" s="1"/>
  <c r="AM31" i="32"/>
  <c r="AL31" i="32" s="1"/>
  <c r="AM43" i="32"/>
  <c r="AL43" i="32" s="1"/>
  <c r="AI60" i="32"/>
  <c r="AM68" i="32"/>
  <c r="AL68" i="32" s="1"/>
  <c r="AI15" i="32"/>
  <c r="AM30" i="32"/>
  <c r="AL30" i="32" s="1"/>
  <c r="AM36" i="32"/>
  <c r="AL36" i="32" s="1"/>
  <c r="AM66" i="32"/>
  <c r="AL66" i="32" s="1"/>
  <c r="AI68" i="32"/>
  <c r="AI72" i="32"/>
  <c r="AI48" i="32"/>
  <c r="AM44" i="32"/>
  <c r="AL44" i="32" s="1"/>
  <c r="Y55" i="32"/>
  <c r="AM55" i="32"/>
  <c r="AL55" i="32" s="1"/>
  <c r="AM48" i="32"/>
  <c r="AL48" i="32" s="1"/>
  <c r="AI43" i="32"/>
  <c r="AJ43" i="32" s="1"/>
  <c r="AN43" i="32" s="1"/>
  <c r="AI37" i="32"/>
  <c r="AK37" i="32" s="1"/>
  <c r="AI38" i="32" s="1"/>
  <c r="Y37" i="32"/>
  <c r="Y31" i="32"/>
  <c r="T31" i="32"/>
  <c r="AM26" i="32"/>
  <c r="AL26" i="32" s="1"/>
  <c r="Y19" i="32"/>
  <c r="AG33" i="31"/>
  <c r="AF33" i="31"/>
  <c r="AG64" i="31"/>
  <c r="AF64" i="31"/>
  <c r="AG46" i="31"/>
  <c r="AF46" i="31"/>
  <c r="AE50" i="31"/>
  <c r="AE60" i="31"/>
  <c r="AI21" i="31"/>
  <c r="AH21" i="31" s="1"/>
  <c r="AI23" i="31"/>
  <c r="AH23" i="31" s="1"/>
  <c r="AI24" i="31"/>
  <c r="AH24" i="31" s="1"/>
  <c r="AI30" i="31"/>
  <c r="AH30" i="31" s="1"/>
  <c r="AE34" i="31"/>
  <c r="AF34" i="31" s="1"/>
  <c r="AJ34" i="31" s="1"/>
  <c r="AE38" i="31"/>
  <c r="AG38" i="31" s="1"/>
  <c r="AE42" i="31"/>
  <c r="AE45" i="31"/>
  <c r="AI53" i="31"/>
  <c r="AH53" i="31" s="1"/>
  <c r="AI61" i="31"/>
  <c r="AH61" i="31" s="1"/>
  <c r="AE63" i="31"/>
  <c r="AF49" i="3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E55" i="31"/>
  <c r="AG55" i="31" s="1"/>
  <c r="AE59" i="31"/>
  <c r="AE21" i="31"/>
  <c r="AG21" i="31" s="1"/>
  <c r="AE27" i="31"/>
  <c r="AI35" i="31"/>
  <c r="AH35" i="31" s="1"/>
  <c r="AI39" i="31"/>
  <c r="AH39" i="31" s="1"/>
  <c r="AI44" i="31"/>
  <c r="AH44" i="31" s="1"/>
  <c r="AE61" i="31"/>
  <c r="AF29" i="31"/>
  <c r="AF30" i="31"/>
  <c r="U13" i="31"/>
  <c r="Y49" i="32"/>
  <c r="X49" i="32"/>
  <c r="AM49" i="32" s="1"/>
  <c r="AL49" i="32" s="1"/>
  <c r="AK68" i="32"/>
  <c r="AJ68" i="32"/>
  <c r="AN68" i="32" s="1"/>
  <c r="AK48" i="32"/>
  <c r="AJ48" i="32"/>
  <c r="AK65" i="32"/>
  <c r="AJ65" i="32"/>
  <c r="AI71" i="32"/>
  <c r="AI17" i="32"/>
  <c r="AI18" i="32"/>
  <c r="AI34" i="32"/>
  <c r="AK34" i="32" s="1"/>
  <c r="AJ35" i="32"/>
  <c r="AM39" i="32"/>
  <c r="AL39" i="32" s="1"/>
  <c r="AJ54" i="32"/>
  <c r="AN54" i="32" s="1"/>
  <c r="AI19" i="32"/>
  <c r="AI23" i="32"/>
  <c r="AJ23" i="32" s="1"/>
  <c r="AM32" i="32"/>
  <c r="AL32" i="32" s="1"/>
  <c r="AM23" i="32"/>
  <c r="AL23" i="32" s="1"/>
  <c r="AM25" i="32"/>
  <c r="AL25" i="32" s="1"/>
  <c r="T55" i="32"/>
  <c r="AI55" i="32" s="1"/>
  <c r="AK55" i="32" s="1"/>
  <c r="AI56" i="32" s="1"/>
  <c r="AK56" i="32" s="1"/>
  <c r="AI57" i="32" s="1"/>
  <c r="AM67" i="32"/>
  <c r="AL67" i="32" s="1"/>
  <c r="AI24" i="32"/>
  <c r="AJ24" i="32" s="1"/>
  <c r="AN24" i="32" s="1"/>
  <c r="AI29" i="32"/>
  <c r="AK29" i="32" s="1"/>
  <c r="Y43" i="32"/>
  <c r="AM70" i="32"/>
  <c r="AL70" i="32" s="1"/>
  <c r="AI70" i="32"/>
  <c r="AK70" i="32" s="1"/>
  <c r="AI22" i="32"/>
  <c r="AJ22" i="32" s="1"/>
  <c r="AN22" i="32" s="1"/>
  <c r="AI40" i="32"/>
  <c r="AK40" i="32" s="1"/>
  <c r="AM60" i="32"/>
  <c r="AL60" i="32" s="1"/>
  <c r="AM65" i="32"/>
  <c r="AL65" i="32" s="1"/>
  <c r="AN65" i="32" s="1"/>
  <c r="AM16" i="32"/>
  <c r="AL16" i="32" s="1"/>
  <c r="AI16" i="32"/>
  <c r="AK16" i="32" s="1"/>
  <c r="AM37" i="32"/>
  <c r="AL37" i="32" s="1"/>
  <c r="AM40" i="32"/>
  <c r="AL40" i="32" s="1"/>
  <c r="AI52" i="32"/>
  <c r="AI64" i="32"/>
  <c r="AK64" i="32" s="1"/>
  <c r="AI66" i="32"/>
  <c r="AI69" i="32"/>
  <c r="AI30" i="32"/>
  <c r="AK30" i="32" s="1"/>
  <c r="AM33" i="32"/>
  <c r="AL33" i="32" s="1"/>
  <c r="AM42" i="32"/>
  <c r="AL42" i="32" s="1"/>
  <c r="AI67" i="32"/>
  <c r="AE16" i="31"/>
  <c r="AG16" i="31" s="1"/>
  <c r="Y13" i="32"/>
  <c r="Y25" i="32"/>
  <c r="Y61" i="32"/>
  <c r="AK33" i="32"/>
  <c r="AJ33" i="32"/>
  <c r="AK60" i="32"/>
  <c r="AJ60" i="32"/>
  <c r="AK15" i="32"/>
  <c r="AJ15" i="32"/>
  <c r="AN15" i="32" s="1"/>
  <c r="AJ37" i="32"/>
  <c r="AK63" i="32"/>
  <c r="AJ63" i="32"/>
  <c r="AN63" i="32" s="1"/>
  <c r="AK72" i="32"/>
  <c r="AJ72" i="32"/>
  <c r="AN72" i="32" s="1"/>
  <c r="AM50" i="32"/>
  <c r="AL50" i="32" s="1"/>
  <c r="AJ53" i="32"/>
  <c r="AM64" i="32"/>
  <c r="AL64" i="32" s="1"/>
  <c r="X67" i="32"/>
  <c r="AJ70" i="32"/>
  <c r="T25" i="32"/>
  <c r="AI25" i="32" s="1"/>
  <c r="AJ25" i="32" s="1"/>
  <c r="T13" i="32"/>
  <c r="AI13" i="32" s="1"/>
  <c r="AI28" i="32"/>
  <c r="AI31" i="32"/>
  <c r="AM35" i="32"/>
  <c r="AL35" i="32" s="1"/>
  <c r="AN35" i="32" s="1"/>
  <c r="AM38" i="32"/>
  <c r="AL38" i="32" s="1"/>
  <c r="AI42" i="32"/>
  <c r="T61" i="32"/>
  <c r="AI62" i="32"/>
  <c r="AI27" i="32"/>
  <c r="AI49" i="32"/>
  <c r="AM53" i="32"/>
  <c r="AL53" i="32" s="1"/>
  <c r="AJ36" i="32"/>
  <c r="AN36" i="32" s="1"/>
  <c r="AJ39" i="32"/>
  <c r="T43" i="32"/>
  <c r="AI61" i="32"/>
  <c r="AI41" i="32"/>
  <c r="AM13" i="32"/>
  <c r="AL13" i="32" s="1"/>
  <c r="AM61" i="32"/>
  <c r="AL61" i="32" s="1"/>
  <c r="X19" i="32"/>
  <c r="AM19" i="32" s="1"/>
  <c r="AJ33" i="31"/>
  <c r="U61" i="31"/>
  <c r="T61" i="31"/>
  <c r="T43" i="31"/>
  <c r="U43" i="31"/>
  <c r="AJ49" i="31"/>
  <c r="AJ67" i="31"/>
  <c r="U49" i="31"/>
  <c r="U31" i="31"/>
  <c r="U37" i="31"/>
  <c r="AJ48" i="31"/>
  <c r="AJ64" i="31"/>
  <c r="T13" i="31"/>
  <c r="AI13" i="31" s="1"/>
  <c r="AG42" i="31"/>
  <c r="AF42" i="31"/>
  <c r="AJ42" i="31" s="1"/>
  <c r="AG72" i="31"/>
  <c r="AF72" i="31"/>
  <c r="AG59" i="31"/>
  <c r="AF59" i="31"/>
  <c r="AJ59" i="31" s="1"/>
  <c r="AG27" i="31"/>
  <c r="AF27" i="31"/>
  <c r="AJ27" i="31" s="1"/>
  <c r="U25" i="31"/>
  <c r="T25" i="31"/>
  <c r="AG31" i="31"/>
  <c r="AF31" i="31"/>
  <c r="AJ31" i="31" s="1"/>
  <c r="AG18" i="31"/>
  <c r="AF18" i="31"/>
  <c r="AJ18" i="31" s="1"/>
  <c r="AJ19" i="31"/>
  <c r="AJ30" i="31"/>
  <c r="AG45" i="31"/>
  <c r="AF45" i="31"/>
  <c r="AJ45" i="31" s="1"/>
  <c r="U67" i="31"/>
  <c r="AG58" i="31"/>
  <c r="AF58" i="31"/>
  <c r="AJ58" i="31" s="1"/>
  <c r="AG24" i="31"/>
  <c r="AF24" i="31"/>
  <c r="AJ24" i="31" s="1"/>
  <c r="AG41" i="31"/>
  <c r="AF41" i="31"/>
  <c r="AJ41" i="31" s="1"/>
  <c r="AG62" i="31"/>
  <c r="AF62" i="31"/>
  <c r="AJ62" i="31" s="1"/>
  <c r="U19" i="31"/>
  <c r="AG28" i="31"/>
  <c r="AF28" i="31"/>
  <c r="AJ28" i="31" s="1"/>
  <c r="U55" i="31"/>
  <c r="P37" i="31"/>
  <c r="AG20" i="31"/>
  <c r="AF21" i="31"/>
  <c r="AJ21" i="31" s="1"/>
  <c r="AE22" i="31"/>
  <c r="AE25" i="31"/>
  <c r="AI29" i="31"/>
  <c r="AH29" i="31" s="1"/>
  <c r="AJ29" i="31" s="1"/>
  <c r="AI32" i="31"/>
  <c r="AH32" i="31" s="1"/>
  <c r="AF35" i="31"/>
  <c r="AE36" i="31"/>
  <c r="AG37" i="31"/>
  <c r="AF38" i="31"/>
  <c r="AJ38" i="31" s="1"/>
  <c r="AE39" i="31"/>
  <c r="AI46" i="31"/>
  <c r="AH46" i="31" s="1"/>
  <c r="AJ46" i="31" s="1"/>
  <c r="AG48" i="31"/>
  <c r="AG51" i="31"/>
  <c r="AF52" i="31"/>
  <c r="AJ52" i="31" s="1"/>
  <c r="AE53" i="31"/>
  <c r="P55" i="31"/>
  <c r="AF55" i="31"/>
  <c r="AE56" i="31"/>
  <c r="AG65" i="31"/>
  <c r="AF66" i="31"/>
  <c r="AJ66" i="31" s="1"/>
  <c r="AG68" i="31"/>
  <c r="AF69" i="31"/>
  <c r="AJ69" i="31" s="1"/>
  <c r="AE70" i="31"/>
  <c r="AE23" i="31"/>
  <c r="AE26" i="31"/>
  <c r="AE40" i="31"/>
  <c r="AE43" i="31"/>
  <c r="AE54" i="31"/>
  <c r="AE57" i="31"/>
  <c r="AE71" i="31"/>
  <c r="AE13" i="31"/>
  <c r="AI17" i="31"/>
  <c r="AH17" i="31" s="1"/>
  <c r="AI20" i="31"/>
  <c r="AH20" i="31" s="1"/>
  <c r="AJ20" i="31" s="1"/>
  <c r="AI37" i="31"/>
  <c r="AH37" i="31" s="1"/>
  <c r="AJ37" i="31" s="1"/>
  <c r="AE44" i="31"/>
  <c r="AI51" i="31"/>
  <c r="AH51" i="31" s="1"/>
  <c r="AJ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L19" i="32" l="1"/>
  <c r="AM20" i="32"/>
  <c r="AM56" i="32"/>
  <c r="AL56" i="32" s="1"/>
  <c r="AJ55" i="32"/>
  <c r="AN55" i="32" s="1"/>
  <c r="AM57" i="32"/>
  <c r="AJ56" i="32"/>
  <c r="AM51" i="32"/>
  <c r="AL51" i="32" s="1"/>
  <c r="AN48" i="32"/>
  <c r="AM45" i="32"/>
  <c r="AL45" i="32" s="1"/>
  <c r="AK43" i="32"/>
  <c r="AI44" i="32" s="1"/>
  <c r="AK44" i="32" s="1"/>
  <c r="AI45" i="32" s="1"/>
  <c r="AK45" i="32" s="1"/>
  <c r="AI46" i="32" s="1"/>
  <c r="AJ38" i="32"/>
  <c r="AN38" i="32" s="1"/>
  <c r="AK38" i="32"/>
  <c r="AN39" i="32"/>
  <c r="AJ40" i="32"/>
  <c r="AN40" i="32" s="1"/>
  <c r="AJ34" i="32"/>
  <c r="AN34" i="32" s="1"/>
  <c r="AK25" i="32"/>
  <c r="AI26" i="32" s="1"/>
  <c r="AJ26" i="32" s="1"/>
  <c r="AN26" i="32" s="1"/>
  <c r="AJ29" i="32"/>
  <c r="AN29" i="32" s="1"/>
  <c r="AK23" i="32"/>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60" i="32"/>
  <c r="AN70" i="32"/>
  <c r="AJ30" i="32"/>
  <c r="AN30" i="32" s="1"/>
  <c r="AK24" i="32"/>
  <c r="AK22" i="32"/>
  <c r="AJ16" i="32"/>
  <c r="AN16" i="32" s="1"/>
  <c r="AH13" i="31"/>
  <c r="AI14" i="31"/>
  <c r="AH14" i="31" s="1"/>
  <c r="AI15" i="31"/>
  <c r="AH15" i="31" s="1"/>
  <c r="AK57" i="32"/>
  <c r="AI58" i="32" s="1"/>
  <c r="AK58" i="32" s="1"/>
  <c r="AI59" i="32" s="1"/>
  <c r="AJ57" i="32"/>
  <c r="AK19" i="32"/>
  <c r="AI20" i="32" s="1"/>
  <c r="AK20" i="32" s="1"/>
  <c r="AI21" i="32" s="1"/>
  <c r="AK21" i="32" s="1"/>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N13" i="32" s="1"/>
  <c r="AK61" i="32"/>
  <c r="AJ61" i="32"/>
  <c r="AN61" i="32" s="1"/>
  <c r="AK49" i="32"/>
  <c r="AI50" i="32" s="1"/>
  <c r="AJ50" i="32" s="1"/>
  <c r="AN50" i="32" s="1"/>
  <c r="AJ49" i="32"/>
  <c r="AN49" i="32" s="1"/>
  <c r="AK42" i="32"/>
  <c r="AJ42" i="32"/>
  <c r="AN42" i="32" s="1"/>
  <c r="AN53" i="32"/>
  <c r="AK32" i="32"/>
  <c r="AJ32" i="32"/>
  <c r="AN32" i="32" s="1"/>
  <c r="AK62" i="32"/>
  <c r="AJ62" i="32"/>
  <c r="AN62" i="32" s="1"/>
  <c r="AK31" i="32"/>
  <c r="AI32" i="32" s="1"/>
  <c r="AJ31" i="32"/>
  <c r="AN31" i="32" s="1"/>
  <c r="AM14" i="32"/>
  <c r="AL14" i="32" s="1"/>
  <c r="AN64" i="32"/>
  <c r="AK27" i="32"/>
  <c r="AJ27" i="32"/>
  <c r="AN27" i="32" s="1"/>
  <c r="AK28" i="32"/>
  <c r="AJ28" i="32"/>
  <c r="AN28" i="32" s="1"/>
  <c r="AK41" i="32"/>
  <c r="AJ41" i="32"/>
  <c r="AN41"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L20" i="32" l="1"/>
  <c r="AM21" i="32"/>
  <c r="AL21" i="32" s="1"/>
  <c r="AJ44" i="32"/>
  <c r="AN44" i="32" s="1"/>
  <c r="AN56" i="32"/>
  <c r="AK59" i="32"/>
  <c r="AJ59" i="32"/>
  <c r="AJ58" i="32"/>
  <c r="AL57" i="32"/>
  <c r="AN57" i="32" s="1"/>
  <c r="AM58" i="32"/>
  <c r="AK50" i="32"/>
  <c r="AI51" i="32" s="1"/>
  <c r="AK46" i="32"/>
  <c r="AI47" i="32" s="1"/>
  <c r="AJ46" i="32"/>
  <c r="AJ45" i="32"/>
  <c r="AM46" i="32"/>
  <c r="AL46" i="32" s="1"/>
  <c r="AK26" i="32"/>
  <c r="AJ21" i="32"/>
  <c r="AN21" i="32" s="1"/>
  <c r="AJ20" i="32"/>
  <c r="AN20" i="32" s="1"/>
  <c r="AJ13" i="31"/>
  <c r="AK14" i="32"/>
  <c r="AJ14" i="32"/>
  <c r="AN14" i="32" s="1"/>
  <c r="AG14" i="31"/>
  <c r="AE15" i="31" s="1"/>
  <c r="AF14" i="31"/>
  <c r="AJ14" i="31" s="1"/>
  <c r="AG17" i="1"/>
  <c r="AF18" i="1"/>
  <c r="AJ18" i="1" s="1"/>
  <c r="AI15" i="1"/>
  <c r="AH15" i="1" s="1"/>
  <c r="AF13" i="1"/>
  <c r="AF14" i="1"/>
  <c r="AG14" i="1"/>
  <c r="AE15" i="1" s="1"/>
  <c r="AF15" i="1" s="1"/>
  <c r="AF16" i="1"/>
  <c r="AJ16" i="1" s="1"/>
  <c r="AG16" i="1"/>
  <c r="AJ17" i="1"/>
  <c r="AL58" i="32" l="1"/>
  <c r="AN58" i="32" s="1"/>
  <c r="AM59" i="32"/>
  <c r="AL59" i="32" s="1"/>
  <c r="AN59" i="32" s="1"/>
  <c r="AK51" i="32"/>
  <c r="AJ51" i="32"/>
  <c r="AN51" i="32" s="1"/>
  <c r="AJ47" i="32"/>
  <c r="AK47" i="32"/>
  <c r="AN46" i="32"/>
  <c r="AM47" i="32"/>
  <c r="AL47" i="32" s="1"/>
  <c r="AN45" i="32"/>
  <c r="AG15" i="31"/>
  <c r="AF15" i="31"/>
  <c r="AJ15" i="31" s="1"/>
  <c r="AJ15" i="1"/>
  <c r="AG15" i="1"/>
  <c r="AN47" i="32" l="1"/>
  <c r="O55" i="1"/>
  <c r="X19" i="1" l="1"/>
  <c r="X20" i="1"/>
  <c r="AI20" i="1" l="1"/>
  <c r="AI19" i="1"/>
  <c r="E24" i="22"/>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R13" i="1" s="1"/>
  <c r="S13" i="1" s="1"/>
  <c r="X55" i="1"/>
  <c r="X50" i="1"/>
  <c r="X44" i="1"/>
  <c r="AI55" i="1" l="1"/>
  <c r="T13" i="1"/>
  <c r="AI13"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H13" i="1" l="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P37" i="1" l="1"/>
  <c r="AI29" i="1"/>
  <c r="AI40" i="1"/>
  <c r="AI48" i="1"/>
  <c r="AI60" i="1"/>
  <c r="AI71" i="1"/>
  <c r="AI23" i="1"/>
  <c r="AI30" i="1"/>
  <c r="AI41" i="1"/>
  <c r="AI36" i="1"/>
  <c r="AI63" i="1"/>
  <c r="AI64" i="1"/>
  <c r="AI34" i="1"/>
  <c r="AI65" i="1"/>
  <c r="AI28" i="1"/>
  <c r="AI39" i="1"/>
  <c r="AI47" i="1"/>
  <c r="AI59" i="1"/>
  <c r="AI70" i="1"/>
  <c r="AI33" i="1"/>
  <c r="AI53" i="1"/>
  <c r="AH53" i="1" s="1"/>
  <c r="AI72" i="1"/>
  <c r="AI31" i="1"/>
  <c r="AI32" i="1"/>
  <c r="AI22" i="1"/>
  <c r="AI21" i="1"/>
  <c r="AI44" i="1"/>
  <c r="AI43" i="1"/>
  <c r="AI26" i="1"/>
  <c r="AI25"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<sst xmlns="http://schemas.openxmlformats.org/spreadsheetml/2006/main" count="1103" uniqueCount="565">
  <si>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</si>
  <si>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</si>
  <si>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</si>
  <si>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</si>
  <si>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</si>
  <si>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</si>
  <si>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</si>
  <si>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</si>
  <si>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</si>
  <si>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</si>
  <si>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</si>
  <si>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</si>
  <si>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</si>
  <si>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</si>
  <si>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</si>
  <si>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</si>
  <si>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</si>
  <si>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</si>
  <si>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</si>
  <si>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</si>
  <si>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</si>
  <si>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</si>
  <si>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</si>
  <si>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</si>
  <si>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</si>
  <si>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</si>
  <si>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</si>
  <si>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</si>
  <si>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</si>
  <si>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</si>
  <si>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</si>
  <si>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</si>
  <si>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</si>
  <si>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</si>
  <si>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</si>
  <si>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</si>
  <si>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</si>
  <si>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</si>
  <si>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</si>
  <si>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</si>
  <si>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</si>
  <si>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</si>
  <si>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</si>
  <si>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</si>
  <si>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</si>
  <si>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</si>
  <si>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</si>
  <si>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</si>
  <si>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</si>
  <si>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</si>
  <si>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</si>
  <si>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</si>
  <si>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</si>
  <si>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</si>
  <si>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</si>
  <si>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</si>
  <si>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</si>
  <si>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</si>
  <si>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</si>
  <si>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</si>
  <si>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</si>
  <si>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</si>
  <si>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</si>
  <si>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</si>
  <si>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</si>
  <si>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</si>
  <si>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</si>
  <si>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</si>
  <si>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</si>
  <si>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</si>
  <si>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</si>
  <si>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</si>
  <si>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</si>
  <si>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</si>
  <si>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</si>
  <si>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</si>
  <si>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</si>
  <si>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</si>
  <si>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</si>
  <si>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</si>
  <si>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</si>
  <si>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</si>
  <si>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</si>
  <si>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</si>
  <si>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</si>
  <si>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</si>
  <si>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</si>
  <si>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</si>
  <si>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</si>
  <si>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</si>
  <si>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</si>
  <si>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</si>
  <si>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</si>
  <si>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</si>
  <si>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</si>
  <si>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</si>
  <si>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</si>
  <si>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</si>
  <si>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</si>
  <si>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</si>
  <si>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</si>
  <si>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</si>
  <si>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</si>
  <si>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</si>
  <si>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</si>
  <si>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</si>
  <si>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</si>
  <si>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</si>
  <si>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</si>
  <si>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</si>
  <si>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</si>
  <si>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</si>
  <si>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</si>
  <si>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</si>
  <si>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</si>
  <si>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</si>
  <si>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</si>
  <si>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</si>
  <si>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</si>
  <si>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</si>
  <si>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</si>
  <si>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</si>
  <si>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</si>
  <si>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</si>
  <si>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</si>
  <si>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</si>
  <si>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</si>
  <si>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</si>
  <si>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</si>
  <si>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</si>
  <si>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</si>
  <si>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</si>
  <si>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</si>
  <si>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</si>
  <si>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</si>
  <si>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</si>
  <si>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</si>
  <si>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</si>
  <si>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</si>
  <si>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</si>
  <si>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</si>
  <si>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</si>
  <si>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</si>
  <si>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</si>
  <si>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</si>
  <si>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</si>
  <si>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</si>
  <si>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</si>
  <si>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</si>
  <si>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</si>
  <si>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</si>
  <si>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</si>
  <si>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</si>
  <si>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</si>
  <si>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</si>
  <si>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</si>
  <si>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</si>
  <si>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</si>
  <si>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</si>
  <si>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</si>
  <si>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</si>
  <si>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</si>
  <si>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</si>
  <si>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</si>
  <si>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</si>
  <si>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</si>
  <si>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</si>
  <si>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</si>
  <si>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</si>
  <si>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</si>
  <si>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</si>
  <si>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</si>
  <si>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</si>
  <si>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</si>
  <si>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</si>
  <si>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</si>
  <si>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</si>
  <si>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</si>
  <si>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</si>
  <si>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</si>
  <si>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</si>
  <si>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</si>
  <si>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</si>
  <si>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</si>
  <si>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</si>
  <si>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</si>
  <si>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</si>
  <si>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</si>
  <si>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</si>
  <si>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</si>
  <si>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</si>
  <si>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</si>
  <si>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</si>
  <si>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</si>
  <si>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</si>
  <si>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</si>
  <si>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</si>
  <si>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</si>
  <si>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</si>
  <si>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</si>
  <si>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</si>
  <si>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</si>
  <si>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</si>
  <si>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</si>
  <si>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</si>
  <si>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</si>
  <si>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</si>
  <si>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</si>
  <si>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</si>
  <si>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</si>
  <si>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</si>
  <si>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</si>
  <si>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</si>
  <si>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</si>
  <si>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</si>
  <si>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</si>
  <si>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</si>
  <si>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</si>
  <si>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</si>
  <si>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</si>
  <si>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</si>
  <si>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</si>
  <si>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</si>
  <si>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</si>
  <si>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</si>
  <si>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</si>
  <si>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</si>
  <si>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</si>
  <si>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</si>
  <si>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</si>
  <si>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</si>
  <si>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</si>
  <si>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</si>
  <si>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</si>
  <si>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</si>
  <si>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</si>
  <si>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</si>
  <si>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</si>
  <si>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</si>
  <si>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</si>
  <si>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</si>
  <si>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</si>
  <si>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</si>
  <si>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</si>
  <si>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</si>
  <si>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</si>
  <si>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</si>
  <si>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</si>
  <si>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</si>
  <si>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</si>
  <si>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</si>
  <si>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</si>
  <si>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</si>
  <si>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</si>
  <si>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</si>
  <si>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</si>
  <si>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</si>
  <si>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</si>
  <si>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</si>
  <si>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</si>
  <si>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</si>
  <si>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</si>
  <si>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</si>
  <si>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</si>
  <si>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</si>
  <si>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</si>
  <si>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</si>
  <si>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</si>
  <si>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</si>
  <si>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</si>
  <si>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</si>
  <si>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</si>
  <si>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</si>
  <si>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</si>
  <si>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</si>
  <si>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</si>
  <si>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</si>
  <si>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</si>
  <si>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</si>
  <si>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</si>
  <si>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</si>
  <si>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</si>
  <si>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</si>
  <si>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</si>
  <si>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</si>
  <si>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</si>
  <si>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</si>
  <si>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</si>
  <si>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</si>
  <si>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</si>
  <si>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</si>
  <si>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</si>
  <si>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</si>
  <si>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</si>
  <si>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</si>
  <si>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</si>
  <si>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</si>
  <si>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</si>
  <si>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</si>
  <si>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</si>
  <si>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</si>
  <si>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</si>
  <si>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</si>
  <si>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</si>
  <si>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</si>
  <si>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</si>
  <si>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</si>
  <si>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</si>
  <si>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</si>
  <si>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</si>
  <si>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</si>
  <si>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</si>
  <si>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</si>
  <si>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</si>
  <si>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</si>
  <si>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</si>
  <si>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</si>
  <si>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</si>
  <si>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</si>
  <si>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</si>
  <si>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</si>
  <si>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</si>
  <si>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</si>
  <si>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</si>
  <si>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</si>
  <si>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</si>
  <si>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</si>
  <si>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</si>
  <si>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</si>
  <si>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</si>
  <si>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</si>
  <si>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</si>
  <si>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</si>
  <si>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</si>
  <si>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</si>
  <si>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</si>
  <si>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</si>
  <si>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</si>
  <si>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</si>
  <si>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</si>
  <si>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</si>
  <si>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</si>
  <si>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</si>
  <si>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</si>
  <si>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</si>
  <si>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</si>
  <si>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</si>
  <si>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</si>
  <si>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</si>
  <si>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</si>
  <si>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</si>
  <si>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</si>
  <si>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</si>
  <si>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</si>
  <si>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</si>
  <si>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</si>
  <si>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</si>
  <si>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</si>
  <si>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</si>
  <si>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</si>
  <si>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</si>
  <si>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</si>
  <si>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</si>
  <si>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</si>
  <si>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</si>
  <si>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</si>
  <si>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</si>
  <si>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</si>
  <si>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</si>
  <si>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</si>
  <si>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</si>
  <si>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</si>
  <si>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</si>
  <si>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</si>
  <si>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</si>
  <si>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</si>
  <si>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</si>
  <si>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</si>
  <si>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</si>
  <si>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</si>
  <si>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</si>
  <si>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</si>
  <si>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</si>
  <si>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</si>
  <si>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</si>
  <si>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</si>
  <si>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</si>
  <si>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</si>
  <si>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</si>
  <si>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</si>
  <si>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</si>
  <si>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</si>
  <si>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</si>
  <si>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</si>
  <si>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</si>
  <si>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</si>
  <si>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</si>
  <si>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</si>
  <si>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</si>
  <si>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</si>
  <si>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</si>
  <si>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</si>
  <si>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</si>
  <si>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</si>
  <si>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</si>
  <si>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</si>
  <si>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</si>
  <si>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</si>
  <si>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</si>
  <si>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</si>
  <si>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</si>
  <si>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</si>
  <si>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Pérdida de información por ingreso de personal no autorizado al centro de cómputo</t>
  </si>
  <si>
    <t>Carencias en la asignación de permisos a los usuarios para ingresar al centro de computo.
Firmware desactualizado</t>
  </si>
  <si>
    <t xml:space="preserve">
Posibilidad de Afectación Reputacional por pérdida de información por ingreso de personal no autorizado al centro de cómputo debido a Carencias en la asignación de permisos a los usuarios para ingresar al centro de computo y Firmware desactualizado</t>
  </si>
  <si>
    <t>Equipo Biométrico DataCenter</t>
  </si>
  <si>
    <t>Mal funcionamiento del software</t>
  </si>
  <si>
    <t>Los Analistas de Mesa de ayuda designados por el Líder de Infraestructura, cada año o cuando ingrese o egrese un funcionario público y/o contratista con permisos de ingreso, deben verificar que el formato GSIT-FM-010-V2 Formato Gestión de Credenciales de Acceso y Novedades cumpla con los permisos correspondientes, para realizar el proceso de depuración de los usuarios con acceso al centro de cómputo; en caso de requerir el acceso a un tercero, debe solicitarse el permiso vía correo electrónico al Líder de Infraestructura el cual notificará a los Analistas, una vez se ingrese al centro de computo debe diligenciarse el formato GSIT-FM-003-V1 Bitácora Ingreso-Salida Centro Computo; La herramienta que garantizara el control es un biométrico en donde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realizó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Líder de Infraestructura para que realiza los respectivos tramites ante el proveedor para su correctos solicitud de permisos</t>
  </si>
  <si>
    <t>Los Analistas de Mesa de Ayuda, Cuatrimestral deben verificar las notas de la versión del firmware actual de los equipos biométricos de las sedes Administrativa y Operativa, comparándolas con las existentes en el sitio web oficial del fabricante, mediante el diligenciamiento de la bitácora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actualización del dispositivo. 
La evidencia de esta actividad es el diligenciamiento de la bitácora de Seguimiento de Infraestructura, las notas de la versión, correo electrónico  y el plan de actualización cuando aplique.</t>
  </si>
  <si>
    <t>Realizar monitoreo Trimestral del acceso autorizado al DC del biométrico.</t>
  </si>
  <si>
    <t>Analista Soporte Nivel II
Analista Mesa de Ayuda</t>
  </si>
  <si>
    <t>Bitácora de Infraestructura</t>
  </si>
  <si>
    <t>Actualización de los usuarios autorizados y versión del dispositivo biométrico datacenter</t>
  </si>
  <si>
    <t>Analista Soporte Nivel II</t>
  </si>
  <si>
    <t>Trimestral</t>
  </si>
  <si>
    <t>Pérdida de disponibilidad servicios de Directorio Activo</t>
  </si>
  <si>
    <t>Daños Físicos en los equipos que se pueden presentar por Falta de mantenimiento físico preventivo, desgaste natural de los componentes electrónicos, Fallos en el circuito eléctrico 
Corrupción o deterioro del sistema operativo que pueden ocasionando daños en la Configuración del servidor o en las base de datos del directorio activo.</t>
  </si>
  <si>
    <t xml:space="preserve">
Posibilidad de Afectación de pérdida Reputacional  y económico por Pérdida de disponibilidad servicios del Directorio Activo debido a Daños Físicos en los equipos que se pueden presentar por Falta de mantenimiento físico preventivo, desgaste natural de los componentes electrónicos, Fallos en el circuito eléctrico y por Corrupción o deterioro del sistema operativo que pueden ocasiones daños en la Configuración del servidor o en las base de datos del directorio activo.</t>
  </si>
  <si>
    <t>1. UMVSVRDC01
Servidor AD Principal.
2. OCI-SRV-AD</t>
  </si>
  <si>
    <t>1. Indisponibilidad de los servicios de red.
2. Daño físico de los equipos y redes de IT.
3. Hurto de equipos de propiedad o bajo custodia de la Entidad.</t>
  </si>
  <si>
    <t>El Líder del grupo de infraestructura designado por la Secretaria General junto con el grupo de infraestructura cada  cuatro meses debe revisar el cumplimiento al plan de mantenimiento anual donde se incluye el mantenimiento a los servidores físicos, diligenciando la bitácora de infraestructura, en caso que no se cumpla el plan de mantenimiento este se escalara al líder de infraestructura vía correo electrónico, quien dará las instrucciones a seguir a fin de garantizar el correcto funcionamiento de los servidores, como evidencia de esta actividad quedara el registro en la bitácora de infraestructura, los correos electrónicos cuando aplique, el informe de mantenimiento, el plan de mantenimiento.</t>
  </si>
  <si>
    <t>El especialista de servidores debe revisar semanalmente el estado de los controladores de dominio por medio de la herramienta tecnológica de monitoreo  la evidencia de este control esta definida en los informes semanales del proceso.
En caso de alerta de la herramienta se informa al líder de infraestructura vía correo electrónico y se inicia prueba de conectividad y soporte en sitio.
Como evidencia de esta actividad quedará los informes semanales del proceso y correo electrónico cuando aplique.</t>
  </si>
  <si>
    <t>Los especialistas de Servidores designados por la Secretaria General, trimestralmente deberán verificar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t>
  </si>
  <si>
    <t>Realizar monitoreo Mensual del funcionamiento del servidor del AD</t>
  </si>
  <si>
    <t>Especialista Servidores</t>
  </si>
  <si>
    <t>Mensual</t>
  </si>
  <si>
    <t>Realizar monitoreo Mensual del funcionamiento a través de los correos emitidos por plataforma Pandora.</t>
  </si>
  <si>
    <t>Realizar monitoreo Mensual del Funcionamiento del AD</t>
  </si>
  <si>
    <t>Pérdida de la disponibilidad de las herramientas de Office 365</t>
  </si>
  <si>
    <t>Fallos internos en la plataforma del proveedor (Microsoft) que afectan los servicios prestados por el proveedor.
Accesos no autorizados con privilegios de administrador, que modifiquen las configuraciones de la herramienta y ocasionen indisponibilidad del servicio.</t>
  </si>
  <si>
    <t>Posibilidad de afectación Reputacional  y económico por
Pérdida de la disponibilidad de las herramientas de Office 365
que se pueden presentar por Fallos internos en la plataforma del proveedor (Microsoft) que afectan los servicios prestados por el proveedor y por accesos no autorizados con privilegios de administrador, que modifiquen las configuraciones de la herramienta y ocasionen indisponibilidad del servicio.</t>
  </si>
  <si>
    <t>Office 365</t>
  </si>
  <si>
    <t>Incumplimiento al Mantenimiento de la infraestructura cloud.</t>
  </si>
  <si>
    <t>Los especialistas de servidores mensualmente deben verificar que los servicios prestados por el proveedor Microsoft se encuentren disponibles diligenciando la bitácora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</si>
  <si>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 xml:space="preserve">El líder del grupo de infraestructura designado por la Secretaria General, junto con el equipo de infraestructura, cada cuatro meses debe realizar el proceso de verificación y depuración de los usuarios que tienen acceso a las plataformas Oracle Cloud Infrastructure y Office 365, de acuerdo a la fecha de finalización de contrato cotejando con el directorio activo, En el caso de encontrar usuarios retirados de la compañía pero con acceso vigente a las plataformas se deberá eliminar inmediatamente la cuenta de usuario; de este proceso resultará la bitácora de seguimiento de infraestructura donde se especifica los roles y perfiles de los colaboradores y el rango de tiempo en los cuales tendrán acceso, esto con el fin de garantizar la seguridad en el acceso en las plataformas. </t>
  </si>
  <si>
    <t xml:space="preserve">Realizar Seguimiento de las incidencias presentadas sobre la Disponibilidad de Office 365 </t>
  </si>
  <si>
    <t>Realizar Seguimiento Semestral del proceso de verificación y depuración de los usuarios con acceso a Oracle y Office 365</t>
  </si>
  <si>
    <t>Informar vía correo electrónico al Líder de infraestructura la novedad de retiro correspondiente del personal que administra plataformas tecnológicas.</t>
  </si>
  <si>
    <t>Correo Electrónico</t>
  </si>
  <si>
    <t>Supervisor Contrato</t>
  </si>
  <si>
    <t>Pérdida de la disponibilidad de acceso a los recursos de la red suministrados por el AD.</t>
  </si>
  <si>
    <t>allas en la prestación de servicio de Internet debido a daños ocasionados en la infraestructura física.
Degradación del servicio AD, debido a fallas en el sistema operativo que impiden el logueo de los usuarios
Fallas en la prestación del servicio eléctrico debido a daños ocasionado en la infraestructura física</t>
  </si>
  <si>
    <t>Posibilidad de Afectación Económica y Reputacional, por Pérdida de la disponibilidad de accesos a los recursos de la red, suministrados por el AD, ocasionados por Fallas en la prestación de servicio de Internet por parte del proveedor, debido a daños ocasionados en la infraestructura física, debido a Fallas físicas en los switch de borde, debido a daños en los componentes electrónicos que impiden la conectividad entre los dispositivos y debido a Fallas en la prestación del servicio eléctrico debido a daños ocasionado en la infraestructura física</t>
  </si>
  <si>
    <t>1. UMVSVRDC03 
Servidor Respaldo AD Sede Operativa
2. UMVSVRDC04
Servidor Respaldo AD Sede Producción</t>
  </si>
  <si>
    <t>Incumplimiento al Mantenimiento de la infraestructura tecnológica de la entidad por parte del proveedor FAMOC.</t>
  </si>
  <si>
    <t>El especialista Nivel II diariamente debe verificar el estado de disponibilidad de los AD de las Sedes, a través del diligenciamiento del Formulario de Estado de Servicios Tecnológicos. En caso de presentarse, indisponibilidad del servicio, se notifica al equipo de infraestructura vía correo electrónico quienes verificarán la causa del inconveniente por medio de un diagnóstico, a través del diligenciamiento del Formulario de Estado de Servicios Tecnológicos y del formato de Control de Cambios en caso de ser necesario.
Como evidencia de esta actividad, resultará Formulario de Estado de Servicios Tecnológicos. Correo electrónico y Formato de Control de Cambios en caso de ser necesario.</t>
  </si>
  <si>
    <t>Realizar reporte del Estado de Indisponibilidad del Servicio AD</t>
  </si>
  <si>
    <t>Realizar monitoreo del Funcionamiento del AD</t>
  </si>
  <si>
    <t>Especialista Nivel II</t>
  </si>
  <si>
    <t>Especialistas de Servidores</t>
  </si>
  <si>
    <t>Formulario de Estado de Servicios Tecnológicos</t>
  </si>
  <si>
    <t>Migrar los roles FSMO al controlador AD alterno</t>
  </si>
  <si>
    <t>Bitácora de Infraestructura
/
Formato Control de Cambios</t>
  </si>
  <si>
    <t>Perdida de la Disponibilidad por Falla en el ingreso al aplicativo ARANDA e Incumplimiento en los Acuerdo de Niveles de Servicio</t>
  </si>
  <si>
    <t>Fallas de conexión a la Base de Datos debido a problemas de conectividad ocasionados por degradación de IaaS y PaaS que almacenan el servicio ARANDA.
Degradación del Sistema Operativo debido a las necesidades de capacidades de la herramienta.</t>
  </si>
  <si>
    <t>Posibilidad de Afectación Reputacional por Falla en el ingreso al aplicativo ARANDAe Incumplimiento en los Acuerdo de Niveles de Servicio ocasionados por Fallas de conexión a la Base de Datos debido a problemas de conectividad ocasionados por degradación de IaaS y PaaS que almacenan el servicio ARANDA y por la degradación del Sistema Operativo debido a las necesidades de capacidades de la herramienta.</t>
  </si>
  <si>
    <t>1.ARANDA</t>
  </si>
  <si>
    <t xml:space="preserve">El especialista de Nube,mensualmente debe verificar la realización de las copias de seguridad de Aranda a través de la consola de administración de la nube (oracle) en donde se revisará la cantidad incremental de las copias realizadas durante el mes. En caso de alerta de no realización de la copia de seguridad vía correo electrónico, se realiza la respectiva copia de forma manual. Evidencia: Pantallazo de la cantidad de copias realizadas durante el mes (30), correo electrónico y soporte de copia de seguridad manual cuando aplique </t>
  </si>
  <si>
    <t>Los especialistas en servidores designados por la Secretaria General a través de la plataforma de administración de Oracle cloud Mensualmente deben verificar que se estén ejecutándolas tareas de copias de seguridad de la maquina virtual (S.O) y sus discos adjuntos de acuerdo a las políticas de backup establecidas en  la plataforma diligenciando la bitácora de infraestructura,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</si>
  <si>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Verificar funcionamiento de la copia de seguridad realizada</t>
  </si>
  <si>
    <t>Restaurar BD y/o imagen de Maquina Virtual del Servicio ARANDA</t>
  </si>
  <si>
    <t>Especialista Nube
/
 Especialistas Servidores (Maquina Virtual)</t>
  </si>
  <si>
    <t>Perdida de la Disponibilidad por Falla en el ingreso de los servicios de red y aplicaciones misionales y de apoyo</t>
  </si>
  <si>
    <t>Fallas en la prestación del servicio eléctrico debido a daños ocasionado en la infraestructura física.
Deterioro del software y/o hardware debido a la falta de mantenimiento de los dispositivos y/o por actualizaciones de su firmware.</t>
  </si>
  <si>
    <t>Posibilidad de afectación Económica y Reputacional, por Pérdida de la disponibilidad debido a la Falla en el ingreso de los servicios de red y aplicaciones misionales y de apoyo, ocasionados por las Fallas en la prestación del servicio eléctrico presentado por daños en la infraestructura física y por el Deterioro del software y/o hardware debido a la falta de mantenimiento de los dispositivos y/o por actualizaciones de firmware.</t>
  </si>
  <si>
    <t>Equipos de Seguridad Perimetral</t>
  </si>
  <si>
    <t>Fallas del equipo 
Mal funcionamiento del software 
Incumplimiento en el mantenimiento del sistema de información.</t>
  </si>
  <si>
    <t>El especialista de seguridad informática, cada cuatro meses (4) meses debe verificar las notas de la versión del firmware actual de los equipos de seguridad perimetral comparándolas con las existentes en el sitio web oficial del fabricante mediante el diligenciamiento de la bitácora "seguimiento de actualización de firmware de equipos perimetrales",  en caso de existir nuevas versiones se realizará el plan de trabajo para la actualización del dispositivo. 
La evidencia de esta actividad es el diligenciamiento de la bitácora "seguimiento de actualización de firmware de equipos perimetrales", las notas de la versión y el plan de actualización cuando se ejecute.</t>
  </si>
  <si>
    <t>El especialista de seguridad informática, cada vez que ocurra el evento se debe revisar los logs de los equipos de seguridad perimetral para verificar que los apagados no controlados no causaron daños en estos, diligenciando la bitácora "Seguimiento de estado de equipos de seguridad perimetral".
En caso de presentarse alguna alerta de apagado no controlado y/o daño de los equipos de seguridad perimetral, se debe notificar vía correo electrónico al líder de infraestructura para que realice el escalamiento pertinente.
Las evidencia de esta actividad es el diligenciamiento de la bitácora "Seguimiento de estado de equipos de seguridad perimetral", los logs de los equipos de seguridad perimetral y los correos de notificación de escalamiento del evento cuando aplique.</t>
  </si>
  <si>
    <t xml:space="preserve">designado por la Secretaria General, cada vez que se realice un cambio en la infraestructura tecnológica debe validar lo dispuesto en EGTI-DI-006 Política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</si>
  <si>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especialista de seguridad informática cada seis (6) meses debe verificar el End of Support (EoS) en la pagina web del fabricante determinando el estado de este, diligenciando la bitácora  "Seguimiento de estado de equipos de seguridad perimetral"; y cada vez que se deba realizar una compra de un elemento de la infraestructura tecnológica, deberá realizar una ficha técnica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vía correo electrónico, para su respectivo escalamiento, por otra parte, en caso que el elemento de infraestructura requerido supere el presupuesto disponible, se debe incluir en el plan de adquisiciones de la próxima vigencia. 
La evidencia de la actividad del EoS es el diligenciamiento de la bitácora "Seguimiento de estado de equipos de seguridad perimetral" y notificaciones vía correos electrónicos cuando aplique.
La evidencia de la actividad adquisición de elementos de infraestructura es la ficha técnica del elemento y el plan de adquisiciones cuando aplique.</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</si>
  <si>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según lo programado, se escala al Líder de Infraestructura vía correo electrónico la no ejecución, quien tomará las acciones correspondientes.
Evidencia: Hoja de Vida de Equipos Activos de Red, Plan de Mantenimiento, correo electrónico cuando aplique.</t>
  </si>
  <si>
    <t>Realizar seguimiento el mantenimiento del sistema eléctrico del centro de datos donde se almacenan los dispositivos de seguridad perimetral</t>
  </si>
  <si>
    <t>Especialista Seguridad Informática</t>
  </si>
  <si>
    <t>Solicitar a proveedor el cambio del dispositivo afectado.</t>
  </si>
  <si>
    <t>Correo Electrónico Gerente de Sede.</t>
  </si>
  <si>
    <t>Especialista Seguridad Informática 
/
 Líder Infraestructura</t>
  </si>
  <si>
    <t>Pérdida de la disponibilidad de los documentos de las áreas operativas</t>
  </si>
  <si>
    <t>Falla en la conectividad de red, debido a inconvenientes internos por parte del proveedor (ORACLE).
Degradación del sistema operativo del servidor debido a actualizaciones no testeadas previamente.</t>
  </si>
  <si>
    <t>Posibilidad de Afectación Económica y Reputacional por Pérdida de la disponibilidad de los documentos de las áreas operativas, ocasionados por Falla en la conectividad de red, debido a inconvenientes internos por parte del proveedor (ORACLE) y/o por degradación del sistema operativo del servidor debido a actualizaciones no testeadas previamente.</t>
  </si>
  <si>
    <t>1. OCI-FILESRV
2. SpiceWork</t>
  </si>
  <si>
    <t xml:space="preserve">Fallas del equipo 
Mal funcionamiento del software 
Incumplimiento en el mantenimiento del sistema de información. </t>
  </si>
  <si>
    <t>Los especialistas de servidores mensualmente deben verificar que los servicios prestados por el proveedor Oracle se encuentren disponibles diligenciando la bitácora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</si>
  <si>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os especialistas en servidores designados por la Secretaria General, mensualmente  deben verificar que se estén realizando las copias de seguridad de las maquinas que están en la plataforma Oracle cloud mediante el diligenciamiento de la bitácora de infraestructura ,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</si>
  <si>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Los especialistas en servidores, mensualmente deben verificar las actualizaciones disponibles del sistemas operativo del servidor en la plataforma Microsoft a través del  diligenciamiento de la Bitácora de Infraestructura de las pruebas en el servidor WSUS. En caso de presentar inconsistencias en la actualización, se escalará al Líder de Infraestructura el inconveniente quien dará las instrucciones correspondientes.
Evidencia: Bitácora de Infraestructura, Correo electrónico cuando aplique.</t>
  </si>
  <si>
    <t>Realizar Seguimiento de las incidencias presentadas sobre la Disponibilidad de Oracle</t>
  </si>
  <si>
    <t>Realizar monitoreo de la ejecución de las tareas de backup programadas en Oracle Cloud.</t>
  </si>
  <si>
    <t>Realizar seguimiento a las actualizaciones del Sistema operativo del Servidor disponibles en plataforma Microsoft.</t>
  </si>
  <si>
    <t>Especialistas en Servidores</t>
  </si>
  <si>
    <t>Reporte del Estado de los Servicios de Oracle Cloud</t>
  </si>
  <si>
    <t>Reporte de Listado de Backup disponibles en Plataforma Oracle Cloud.</t>
  </si>
  <si>
    <t>Escalar el caso a Oracle por perdida de disponibilidad en los servicios
/
Restablecer última copia de seguridad del servidor</t>
  </si>
  <si>
    <t>Ticket Oracle Cloud
/
Formato Control de Cambios</t>
  </si>
  <si>
    <t>Especialistas Servidores
/
Líder de Infraestructura</t>
  </si>
  <si>
    <t>Realizar monitoreo Trimestral del funcionamiento del dispositivo Biométrico del datacenter.</t>
  </si>
  <si>
    <t>Pérdida de la disponibilidad por fallas en el harware o software de los equipos de</t>
  </si>
  <si>
    <t>Daños en el dispositivo por Falta de mantenimiento preventivo.
Falta de actualizaciones en el sistema operativo.</t>
  </si>
  <si>
    <t>Posibilidad de Pérdida Reputacional por fallas en el harware o software de los equipos de Cómputo debido a Daños en los dispositivos por Falta de mantenimiento preventivo y/o por Falta de actualizaciones en el sistema operativo.</t>
  </si>
  <si>
    <t>Equipos de Cómputo</t>
  </si>
  <si>
    <t xml:space="preserve">Mal funcionamiento del equipo </t>
  </si>
  <si>
    <t>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realizó mantenimiento preventivo, en caso de que se evidencie que los mantenimientos no se realicen en los tiempos establecidos se escalará via correo electronico al proveedor para programacion de la nueva fecha la cual no puede pasar mas de una semana.
Evidencia:bitacora de equipos de computo y correo electronico en el caso que aplique</t>
  </si>
  <si>
    <t>Los especialistas en servidores, mensualmente deben verificar las actualizaciones disponibles del sistemas operativo microsoft a través del  diligenciamiento de la Bitacora de Infraestructura de las pruebas en el servidor WSUS. En caso de presentar inconsistencias en la actualización, se escalará al Líder de Infraestructura el inconveniente quien dará las instrucciones correspondientes.
Evidencia: Bitacora de Infraestructura, Correo electrónico cuando aplique.</t>
  </si>
  <si>
    <t>Seguimiento del funcionamiento de las actualizaciones del Sistema operativo instaladas</t>
  </si>
  <si>
    <t>Hacer seguimiento del funcionamienton de los mantenimientos realizados con base en el cronograma de</t>
  </si>
  <si>
    <t>Habilitar temporalmente equipo de respaldo para continuidad de labores.</t>
  </si>
  <si>
    <t>Formato Solicitud de Movimientos de Almacen.</t>
  </si>
  <si>
    <t>Líder de Infraestructura 
/
 Especialista Nivel II</t>
  </si>
  <si>
    <t>Cuando exista una nueva versión para su respectiva instalación</t>
  </si>
  <si>
    <t>FORTALEZAS: 
- El objetivo, el alcance y la descripción del proceso GSIT es clara determina de manera especifica y acertada quienes son sus proveedores, socios, las actividades, sus entradas y salidas.
- Cuenta con una estructura definida de roles que suplen todas las necesidades del proceso.
- Al disponer de una planeación estratégica de tecnologías de la información (PETI) se estructuran las diferentes acciones desde tecnología para soportar la operación de la UAERMV y alcanzar sus objetivos institucionales. 
- Todos los colaboradores del proceso tienen conocimiento de la documentación existente y de los sistemas aplicados en el proceso. 
- Existe un repositorio de información con una estructura y parámetros adecuados para la conservación de la información.
- Se realizan reuniones semanales para realizar seguimiento a las desviaciones que se pueden presentar en el día a día de la operación.
- La estructura con que cuenta la Entidad permitió el trabajo en casa y teletrabajo. 
- Los procesos estaban diseñados para realizar el trabajo en casa, por lo que no se vio afectado por la pandemia.
OPORTUNIDADES:
- Existen buenas prácticas para gestionar la capacidad y disponibilidad como COBIT 5</t>
  </si>
  <si>
    <t>DEBILIDADES:
- El nivel de resistencia al cambio de los diferentes grupos de interés que afecta el cumplimiento del objetivo del proceso. 
- 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-La ausencia del factor criticidad dentro del cálculo de los ANS dificulta su mejora en la gestión.
AMENAZAS:
- El tener servicios que aunque son de TI, son gestionados por otros procesos, limita la gestión de resultados del proceso.
- Limitaciones en la articulación de este proceso con gestión de recursos físicos.</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</si>
  <si>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Debido a la alta rotación del personal, se pueden presentar fallas en los servicios y/o dispositivos del centro de datos y no contar con el recurso humano calificado para realizar las correcciones pertinentes, y por consiguiente el ingreso de personal no autorizado al centro de datos para la solución del inconveniente, es decir, personal que no cuente con vinculación vigente (contrato) con la entidad, ocasionando posible pérdida de información.</t>
  </si>
  <si>
    <t>DEBILIDADES:
- Debilidad en el uso de la herramienta de la mesa de ayuda como parte de la cultura organizacional de la UAERMV.
AMENAZAS: 
- Los demás procesos son reactivos a las solicitudes realizadas por el proceso.
- Los colaboradores no leen la información transmitida por el proceso.
- La resistencia al cambio de los colaboradores al implementar una nueva solución informática.
- Los colaboradores no tienen mucho conocimiento sobre las herramientas de tecnológica.
- Limitaciones en la articulación de este proceso con gestión de recursos físicos puede generar problemas en la operación del proceso.</t>
  </si>
  <si>
    <t>La software GLPI es la herramienta institucional para realizar todos los requerimientos y/o afectaciones que se presenten por parte de los usuarios de los servicios corporativos. La no utilización de la herramienta dificulta la debida atención y/o solución de los requerimientos, debido al manejo de los ANS que se tienen estipulados por categorías de incidencias.</t>
  </si>
  <si>
    <t>FORTALEZAS:
- Políticas de seguridad de la información en implementación y seguimiento.
- Procedimientos donde se da el paso a paso para los servicios de GSIT.
- Cuenta con manuales para los aplicativos que maneja la entidad.
-  Para cada procedimiento, documento, logro o implantación se envían campañas publicitarias.
- El programa de uso y apropiación se encuentra en implementación.
OPORTUNIDADES:</t>
  </si>
  <si>
    <t>DEBILIDADES:
- Socialización de los servicios de TI frente a la entidad.
AMENAZAS:
- Aunque se realizan campañas publicitarias por todos los medios con que cuenta la Entidad algunos colaboradores no conocen las políticas, ni los manuales, ni los procedimientos.</t>
  </si>
  <si>
    <t>La socialización de los diferentes servicios de TI, no tiene los efectos esperados de apropiación de la información, debido a que los usuarios no le dan relevancia y/o la importancia correspondiente a las socializaciones efectuadas por el proceso, lo que contribuye a que cuando se realizan cambios sustanciales en la infraestructura tecnológica, no tienen el conocimiento manifestado y por consiguiente se ven afectados por los cambios realizados siendo informados previamente de las acciones que se deben seguir.</t>
  </si>
  <si>
    <t>FORTALEZAS:
- Los procedimientos del proceso son claros y se encuentran documentados. 
- Los tiempos de respuesta y solución de las solicitudes y/o requerimiento están definidos.
- Se cuenta con un catalogo de servicios de TI, en continua actualización.
OPORTUNIDADES:
- Fortalecer los procedimientos incluyendo nuevos controles.
- Automatización de los formatos involucrados.
- Inclusión de nuevos procedimientos para fortalecer la gestión de TI tomando como base marcos de referencia tales como ITIL y COBIT5.</t>
  </si>
  <si>
    <t xml:space="preserve">DEBILIDADES:
- Ausencia de procedimientos relacionados con gestión de la capacidad y disponibilidad.
- Ausencia de equipos para soportar la gestión de la disponibilidad.
- Ausencia de un procedimiento de gestión de proveedores de TI.
AMENAZAS:
- El proceso de Talento Humano no realiza proceso de inducción y reinducción donde presenten los servicios del proceso.
- El Procedimiento Gestion Credenciales y Novedades requiere una fuerte articulación con procesos tales como: gestión del talento humano, Gestión contractual y gestión jurídica. de no lograrse este no se desarrollará apropiadamente. </t>
  </si>
  <si>
    <t>La falta de inducción y/o reinducción a los colaboradores en general de la entidad, difuculta que se tenga el conocimiento apropiado de las políticas y procedimientos tanto de TI, como de seguridad de la información y de la entidad en general, ocasionando incumplimientos en sus lineamientos.</t>
  </si>
  <si>
    <t>FORTALEZAS:
- Existe una línea de autorizaciones clara y efectiva.
- El líder directivo siempre esta dispuesto a aprender sobre el tema y apoya las decisiones que toma el líder técnico.
- El líder técnico y el líder de infraestructura tiene claro la visión de TI y las actividades que se requieren para cumplirlo.
OPORTUNIDADES:
- Involucramiento del líder de este proceso en las reuniones del comité directivo de la entidad para fortalecer las decisiones en el marco tecnológico.
- Brindar formaciones a los integrantes del equipo de este proceso.
- Lograr convenios con MinTics para fortalecer las capacidades del talento humano involucrado en el proceso.</t>
  </si>
  <si>
    <t>AMENAZAS:
- Sólo se cuenta con un colaborador de planta, lo que genera un riesgo de continuidad del proceso ante los cambios del entorno.</t>
  </si>
  <si>
    <t xml:space="preserve">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t>
  </si>
  <si>
    <t>FORTALEZAS:
- Las divulgaciones se hacen de manera oportuna y clara. 
- Para las divulgaciones se crean campañas publicitarias donde por lo general se realizan de manera extensiva por el correo electrónico, las pantallas y adicionalmente se hacen de manera presencial esto para garantizar el impacto a la mayor cantidad de colaboradores posibles.
-Las herramientas de trabajo en cada y teletrabajo ya estaban implementadas, solo se requirió un proceso de apropiación.
OPORTUNIDADES:
- Generar mediciones de la satisfacción adicionales y acciones de mejora.
- Fortalecimiento de las comunicaciones entre este proceso, gestión de recursos físicos, gestión contractual, entre otros.
- Fortalecimiento de las comunicaciones entre EGTI y GSIT mediante la definición y adopción de la gestión del cambio y definición de acciones estratégicas.</t>
  </si>
  <si>
    <t xml:space="preserve">DEBILIDADES:
- Las limitaciones en la comunicación con gestión de recursos físicos.
AMENAZAS: 
- Los procesos por lo general no están atentos a este tipo de actividades.
</t>
  </si>
  <si>
    <t>La falta de articulación con los inventarios de TI y GREF, dificulta la actualización de los inventarios de los equipos propios de la entirdad a cargo del proceso, debido a que no se reportan los cambios que se realizan sobre el inventario por parte de Almacen, generando desactualización y/o reprocesos en GSIT.</t>
  </si>
  <si>
    <t>FORTALEZAS
- Los activos de información están identificados, clasificados, valorados, controlados y se realiza el seguimiento pertinente. 
OPORTUNIDADES
- MINTIC ofrece guías para realizar la identificación, clasificación, valoración y  control de los activos de información.</t>
  </si>
  <si>
    <t>DEBILIDADES
- Actualización permanente de los activos de información
- Incorporación de la gestión de activos de información como una buena practica dentro de la cultura organizacional de la UAERMV.
- Empoderamiento de TI en la gestión de activos de la información con la OAP.
- Debilidades en el trabajo cooperativo con las diferentes dependencias de la UAERMV.
AMENAZAS
- Incertidumbre en la inclusión de todos los activos de información dentro de los artefactos de seguridad .</t>
  </si>
  <si>
    <t>La falta de compromiso por parte de áreas y/o procesos para la identificación y valoración de activos de información, dificulta conocer los activos críticos de la entidad que están a cargo de cada área y/o proceso, generando desconocimiento de estos activos y por consguiente la no aplicación de controles que contribuyan a su protección.</t>
  </si>
  <si>
    <t>Tramitar requerimientos e incidentes de TI.</t>
  </si>
  <si>
    <t xml:space="preserve">Los activos de información están identificados, clasificados, valorados, controlados y se realiza el seguimiento pertinente. </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</si>
  <si>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Sólo se cuenta con un colaborador de planta, lo que genera un riesgo de continuidad del proceso ante los cambios del entorno.</t>
  </si>
  <si>
    <t>Afectación a los dispositivos físicos de DC.
Interrupción en los servicios internos de la entidad.</t>
  </si>
  <si>
    <t xml:space="preserve">Elaborar y actualizar Plan de mantenimiento de equipos de TI.
Monitorear los controles y las actividades del mapa de riesgos.
Implementar el plan de contingencia para la materialización de riesgos. </t>
  </si>
  <si>
    <t>Perdida de la Conectividad con los Servicios Office 365.
Indisponibilidad de Carpetas de Red e Impresoras.</t>
  </si>
  <si>
    <t>Monitorear los controles y las actividades del mapa de riesgos.</t>
  </si>
  <si>
    <t>Indisponibilidad del Servicio de Correo Electrónico y herramientas de Colaboración (Teams, Sharepoint, Onedrive etc).</t>
  </si>
  <si>
    <t>Hacer seguimiento a la mesa de ayuda
Monitorear los controles y las actividades del mapa de riesgos.</t>
  </si>
  <si>
    <t>Indisponibilidad del acceso a la heramienta de Aranda para solicitud de requerimientos de MDA.
Incumplimientos en la atención de los requerimientos en la MDA afectando ANS.</t>
  </si>
  <si>
    <t>Monitorear los controles y las actividades del mapa de riesgos.
Determinar las acciones  correctivas y de mejora .
Implementar el plan de contingencia para la materialización de riesgos</t>
  </si>
  <si>
    <t>Indisponibilidad del acceso a la información almacenada en las carpetas de red.</t>
  </si>
  <si>
    <t>Elaborar y actualizar Plan de mantenimiento de equipos de TI.
Monitorear los controles y las actividades del mapa de riesgos.</t>
  </si>
  <si>
    <t xml:space="preserve">Indisponibilidad del equipo de computo por fallos en sus componentes físicos y lógicos.
</t>
  </si>
  <si>
    <t>FORTALEZAS:
- La entidad cuenta con el aplicativo ARANDA que permite realizar solicitudes al instante.
- Los Analistas responsables de la mesa de ayuda tienen como valor fundamental el servicio al cliente.
- Se creo una estrategia que consiste en tener presencia en todas las sedes el mayor tiempo posible para que los colaboradores se sientan respaldados por el proceso.
- Se estructuraron y centralizaron todas las redes y comunicaciones de la infraestructura tecnológica.
- Programación constante de transferencias de conocimiento sobre las herramientas tecnológicas de la entidad.
-Este proceso está articulado con el de Estrategia y Gobierno de TI, permitiendo desplegar la cadena de valor de TI.
OPORTUNIDADES:
-Socialización masiva del uso para el uso de la mesa de ayuda, este año se propuso una campaña pero no se implementó completamente.
-Fortalecimiento de la articulación con los procesos de gestión de recursos físicos y Gestión documental.
-Ampliación de las funcionalidades de la aplicación de la mesa de ayuda para brindar mayor precisión y oportunidad en los servicios prestados.</t>
  </si>
  <si>
    <t xml:space="preserve">Elaborar y actualizar Plan de mantenimiento de equipos de TI.
Solicitar la adquisición de elementos tecnológicos. 
Monitorear los controles y las actividades del mapa de riesgos.
</t>
  </si>
  <si>
    <t>Indisponibilidad en los accesos de los servicios de red.</t>
  </si>
  <si>
    <t>Cada vez que se realice un Mantenimietno Preventivo</t>
  </si>
  <si>
    <t>Acta de Mantenimiento realizado.</t>
  </si>
  <si>
    <t>Realizar monitoreo del funcionamiento del dispositivo posterior a la instalación de la actualización</t>
  </si>
  <si>
    <t>Realizar Seguimiento a los elementos incluidos en Plan de Adquisiciones</t>
  </si>
  <si>
    <t>Cuando se incorporen adquisiciones en el Plan de Adquisiciones</t>
  </si>
  <si>
    <t>Reporte de Monitoreo Realizado</t>
  </si>
  <si>
    <t>Reporte del Seguimiento Realizado</t>
  </si>
  <si>
    <t>Ofrecer servicios de Tecnología de la  Información de calidad y oportunos, proporcionando soporte tecnológico y  soluciones efectivas a los requerimientos de los  procesos de la UAERMV .</t>
  </si>
  <si>
    <t>El proceso toma como punto de partida las diferentes necesidades de soporte tecnológico de la UAERMV, materializadas mediante solicitudes de servicio, se desarrolla a través de diferentes atenciones a la solicitudes y se finaliza al dar cierre a dichas solicitudes.</t>
  </si>
  <si>
    <t>Especialista Seguridad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</si>
</sst>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89"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2"/>
      <color theme="1"/>
      <name val="Arial"/>
      <family val="2"/>
    </font>
    <font>
      <b/>
      <sz val="22"/>
      <color theme="1"/>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1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6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3" fillId="19" borderId="36" xfId="0" applyFont="1" applyFill="1" applyBorder="1" applyAlignment="1">
      <alignment horizontal="center" vertical="center" textRotation="90" wrapText="1"/>
    </xf>
    <xf numFmtId="0" fontId="65" fillId="0" borderId="8" xfId="0" applyFont="1" applyBorder="1"/>
    <xf numFmtId="0" fontId="66" fillId="20" borderId="6" xfId="0" applyFont="1" applyFill="1" applyBorder="1" applyAlignment="1">
      <alignment horizontal="center" vertical="center" textRotation="90" wrapText="1"/>
    </xf>
    <xf numFmtId="0" fontId="65" fillId="0" borderId="0" xfId="0" applyFont="1"/>
    <xf numFmtId="0" fontId="65" fillId="20" borderId="36" xfId="0" applyFont="1" applyFill="1" applyBorder="1"/>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67" fillId="0" borderId="0" xfId="0" applyFont="1" applyAlignment="1">
      <alignment vertical="center" wrapText="1"/>
    </xf>
    <xf numFmtId="0" fontId="67" fillId="0" borderId="73"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22" xfId="0" applyFont="1" applyBorder="1" applyAlignment="1">
      <alignment vertical="center" wrapText="1"/>
    </xf>
    <xf numFmtId="0" fontId="67" fillId="0" borderId="27" xfId="0" applyFont="1" applyBorder="1" applyAlignment="1">
      <alignment vertical="center" wrapText="1"/>
    </xf>
    <xf numFmtId="0" fontId="72" fillId="0" borderId="77" xfId="0" applyFont="1" applyBorder="1" applyAlignment="1">
      <alignment horizontal="justify" vertical="center" wrapText="1"/>
    </xf>
    <xf numFmtId="0" fontId="72" fillId="0" borderId="79" xfId="0" applyFont="1" applyBorder="1" applyAlignment="1">
      <alignment horizontal="justify" vertical="center" wrapText="1"/>
    </xf>
    <xf numFmtId="0" fontId="71" fillId="16" borderId="77" xfId="0" applyFont="1" applyFill="1" applyBorder="1" applyAlignment="1">
      <alignment horizontal="center" vertical="center" wrapText="1"/>
    </xf>
    <xf numFmtId="0" fontId="71" fillId="16" borderId="79" xfId="0" applyFont="1" applyFill="1" applyBorder="1" applyAlignment="1">
      <alignment horizontal="center" vertical="center" wrapText="1"/>
    </xf>
    <xf numFmtId="0" fontId="71" fillId="16" borderId="81" xfId="0" applyFont="1" applyFill="1" applyBorder="1" applyAlignment="1">
      <alignment horizontal="center" vertical="center" wrapText="1"/>
    </xf>
    <xf numFmtId="0" fontId="69" fillId="16" borderId="29" xfId="0" applyFont="1" applyFill="1" applyBorder="1" applyAlignment="1">
      <alignment horizontal="center" vertical="center" wrapText="1"/>
    </xf>
    <xf numFmtId="0" fontId="69" fillId="16" borderId="30" xfId="0" applyFont="1" applyFill="1" applyBorder="1" applyAlignment="1">
      <alignment horizontal="center" vertical="center" wrapText="1"/>
    </xf>
    <xf numFmtId="0" fontId="71" fillId="19" borderId="69" xfId="0" applyFont="1" applyFill="1" applyBorder="1" applyAlignment="1">
      <alignment horizontal="center" vertical="center" wrapText="1"/>
    </xf>
    <xf numFmtId="0" fontId="71" fillId="19" borderId="36" xfId="0" applyFont="1" applyFill="1" applyBorder="1" applyAlignment="1">
      <alignment horizontal="center" vertical="center" wrapText="1"/>
    </xf>
    <xf numFmtId="0" fontId="72" fillId="0" borderId="10" xfId="0" applyFont="1" applyBorder="1" applyAlignment="1">
      <alignment horizontal="justify" vertical="center" wrapText="1"/>
    </xf>
    <xf numFmtId="0" fontId="74" fillId="24" borderId="89" xfId="0" applyFont="1" applyFill="1" applyBorder="1" applyAlignment="1">
      <alignment horizontal="left" vertical="center" wrapText="1" readingOrder="1"/>
    </xf>
    <xf numFmtId="0" fontId="74" fillId="25" borderId="89" xfId="0" applyFont="1" applyFill="1" applyBorder="1" applyAlignment="1">
      <alignment horizontal="left" vertical="center" wrapText="1" readingOrder="1"/>
    </xf>
    <xf numFmtId="0" fontId="80" fillId="0" borderId="84" xfId="0" applyFont="1" applyBorder="1" applyAlignment="1">
      <alignment vertical="center" wrapText="1"/>
    </xf>
    <xf numFmtId="0" fontId="79" fillId="0" borderId="84" xfId="0" applyFont="1" applyBorder="1" applyAlignment="1">
      <alignment vertical="center"/>
    </xf>
    <xf numFmtId="0" fontId="79" fillId="0" borderId="84" xfId="0" applyFont="1" applyBorder="1" applyAlignment="1">
      <alignment vertical="center" wrapText="1"/>
    </xf>
    <xf numFmtId="0" fontId="79" fillId="26" borderId="0" xfId="0" applyFont="1" applyFill="1" applyAlignment="1">
      <alignment horizontal="center" vertical="center"/>
    </xf>
    <xf numFmtId="0" fontId="71" fillId="26" borderId="69" xfId="0" applyFont="1" applyFill="1" applyBorder="1" applyAlignment="1">
      <alignment horizontal="center" vertical="center" wrapText="1"/>
    </xf>
    <xf numFmtId="0" fontId="71" fillId="26" borderId="36" xfId="0" applyFont="1" applyFill="1" applyBorder="1" applyAlignment="1">
      <alignment horizontal="center" vertical="center" wrapText="1"/>
    </xf>
    <xf numFmtId="0" fontId="67" fillId="0" borderId="74" xfId="0" applyFont="1" applyBorder="1" applyAlignment="1">
      <alignment horizontal="center" vertical="center" wrapText="1"/>
    </xf>
    <xf numFmtId="0" fontId="67" fillId="0" borderId="75"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76" fillId="0" borderId="90" xfId="0" applyFont="1" applyBorder="1" applyAlignment="1" applyProtection="1">
      <alignment horizontal="center" vertical="center" wrapText="1"/>
      <protection locked="0"/>
    </xf>
    <xf numFmtId="0" fontId="76" fillId="0" borderId="90" xfId="0" applyFont="1" applyBorder="1" applyAlignment="1" applyProtection="1">
      <alignment horizontal="justify" vertical="center" wrapText="1"/>
      <protection locked="0"/>
    </xf>
    <xf numFmtId="0" fontId="76" fillId="0" borderId="90" xfId="0" applyFont="1" applyBorder="1" applyAlignment="1" applyProtection="1">
      <alignment horizontal="justify" vertical="center"/>
      <protection locked="0"/>
    </xf>
    <xf numFmtId="0" fontId="76" fillId="0" borderId="90" xfId="0" applyFont="1" applyBorder="1" applyAlignment="1" applyProtection="1">
      <alignment horizontal="center" vertical="center"/>
      <protection hidden="1"/>
    </xf>
    <xf numFmtId="0" fontId="76" fillId="0" borderId="90" xfId="0" applyFont="1" applyBorder="1" applyAlignment="1" applyProtection="1">
      <alignment horizontal="center" vertical="center" textRotation="90"/>
      <protection locked="0"/>
    </xf>
    <xf numFmtId="9" fontId="76" fillId="0" borderId="90" xfId="0" applyNumberFormat="1" applyFont="1" applyBorder="1" applyAlignment="1" applyProtection="1">
      <alignment horizontal="center" vertical="center"/>
      <protection hidden="1"/>
    </xf>
    <xf numFmtId="164" fontId="76" fillId="0" borderId="90" xfId="1" applyNumberFormat="1" applyFont="1" applyFill="1" applyBorder="1" applyAlignment="1">
      <alignment horizontal="center" vertical="center"/>
    </xf>
    <xf numFmtId="0" fontId="77" fillId="0" borderId="90" xfId="0" applyFont="1" applyBorder="1" applyAlignment="1" applyProtection="1">
      <alignment horizontal="center" vertical="center" textRotation="90" wrapText="1"/>
      <protection hidden="1"/>
    </xf>
    <xf numFmtId="0" fontId="77" fillId="0" borderId="90" xfId="0" applyFont="1" applyBorder="1" applyAlignment="1" applyProtection="1">
      <alignment horizontal="center" vertical="center" textRotation="90"/>
      <protection hidden="1"/>
    </xf>
    <xf numFmtId="0" fontId="76" fillId="0" borderId="90" xfId="0" applyFont="1" applyBorder="1" applyAlignment="1" applyProtection="1">
      <alignment horizontal="center" vertical="center" textRotation="90" wrapText="1"/>
      <protection locked="0"/>
    </xf>
    <xf numFmtId="0" fontId="76" fillId="0" borderId="90" xfId="0" applyFont="1" applyBorder="1" applyAlignment="1" applyProtection="1">
      <alignment horizontal="center" vertical="center"/>
      <protection locked="0"/>
    </xf>
    <xf numFmtId="14" fontId="76" fillId="0" borderId="90" xfId="0" applyNumberFormat="1" applyFont="1" applyBorder="1" applyAlignment="1" applyProtection="1">
      <alignment horizontal="center" vertical="center"/>
      <protection locked="0"/>
    </xf>
    <xf numFmtId="0" fontId="76" fillId="0" borderId="0" xfId="0" applyFont="1"/>
    <xf numFmtId="0" fontId="76" fillId="0" borderId="90" xfId="0" applyFont="1" applyBorder="1" applyAlignment="1" applyProtection="1">
      <alignment horizontal="justify" vertical="top" wrapText="1"/>
      <protection locked="0"/>
    </xf>
    <xf numFmtId="0" fontId="81" fillId="3" borderId="0" xfId="0" applyFont="1" applyFill="1"/>
    <xf numFmtId="0" fontId="81" fillId="0" borderId="0" xfId="0" applyFont="1"/>
    <xf numFmtId="0" fontId="76" fillId="3" borderId="0" xfId="0" applyFont="1" applyFill="1" applyAlignment="1">
      <alignment horizontal="center" vertical="center"/>
    </xf>
    <xf numFmtId="0" fontId="76" fillId="3" borderId="0" xfId="0" applyFont="1" applyFill="1" applyAlignment="1">
      <alignment horizontal="left" vertical="center"/>
    </xf>
    <xf numFmtId="0" fontId="76" fillId="3" borderId="0" xfId="0" applyFont="1" applyFill="1"/>
    <xf numFmtId="0" fontId="76" fillId="3" borderId="0" xfId="0" applyFont="1" applyFill="1" applyAlignment="1">
      <alignment horizontal="center"/>
    </xf>
    <xf numFmtId="0" fontId="77" fillId="0" borderId="0" xfId="0" applyFont="1" applyAlignment="1">
      <alignment horizontal="left" vertical="center"/>
    </xf>
    <xf numFmtId="0" fontId="76" fillId="0" borderId="0" xfId="0" applyFont="1" applyAlignment="1" applyProtection="1">
      <alignment horizontal="left" vertical="center" wrapText="1"/>
      <protection locked="0"/>
    </xf>
    <xf numFmtId="0" fontId="77" fillId="0" borderId="0" xfId="0" applyFont="1"/>
    <xf numFmtId="0" fontId="76" fillId="0" borderId="0" xfId="0" applyFont="1" applyAlignment="1">
      <alignment horizontal="left" wrapText="1"/>
    </xf>
    <xf numFmtId="0" fontId="77" fillId="16" borderId="90" xfId="0" applyFont="1" applyFill="1" applyBorder="1" applyAlignment="1">
      <alignment horizontal="center" vertical="center" textRotation="90"/>
    </xf>
    <xf numFmtId="0" fontId="77" fillId="3" borderId="0" xfId="0" applyFont="1" applyFill="1" applyAlignment="1">
      <alignment horizontal="center" vertical="center"/>
    </xf>
    <xf numFmtId="0" fontId="77" fillId="0" borderId="0" xfId="0" applyFont="1" applyAlignment="1">
      <alignment horizontal="center" vertical="center"/>
    </xf>
    <xf numFmtId="0" fontId="77" fillId="2" borderId="0" xfId="0" applyFont="1" applyFill="1" applyAlignment="1">
      <alignment horizontal="center" vertical="center"/>
    </xf>
    <xf numFmtId="0" fontId="76" fillId="0" borderId="90" xfId="0" applyFont="1" applyBorder="1" applyAlignment="1">
      <alignment horizontal="center" vertical="center"/>
    </xf>
    <xf numFmtId="0" fontId="76" fillId="0" borderId="0" xfId="0" applyFont="1" applyAlignment="1">
      <alignment vertical="center"/>
    </xf>
    <xf numFmtId="0" fontId="76" fillId="0" borderId="3" xfId="0" applyFont="1" applyBorder="1" applyAlignment="1">
      <alignment horizontal="center" vertical="center"/>
    </xf>
    <xf numFmtId="0" fontId="76" fillId="0" borderId="0" xfId="0" applyFont="1" applyAlignment="1">
      <alignment wrapText="1"/>
    </xf>
    <xf numFmtId="0" fontId="76" fillId="0" borderId="0" xfId="0" applyFont="1" applyAlignment="1">
      <alignment horizontal="center" vertical="center"/>
    </xf>
    <xf numFmtId="0" fontId="76" fillId="0" borderId="0" xfId="0" applyFont="1" applyAlignment="1">
      <alignment horizontal="center"/>
    </xf>
    <xf numFmtId="166" fontId="29" fillId="0" borderId="64" xfId="0" applyNumberFormat="1" applyFont="1" applyBorder="1" applyAlignment="1">
      <alignment horizontal="center" vertical="center" wrapText="1" readingOrder="1"/>
    </xf>
    <xf numFmtId="0" fontId="76" fillId="0" borderId="91" xfId="0" applyFont="1" applyBorder="1" applyAlignment="1" applyProtection="1">
      <alignment horizontal="center" vertical="center" wrapText="1"/>
      <protection locked="0"/>
    </xf>
    <xf numFmtId="0" fontId="76" fillId="0" borderId="99" xfId="0" applyFont="1" applyBorder="1" applyAlignment="1" applyProtection="1">
      <alignment horizontal="center" vertical="center" wrapText="1"/>
      <protection locked="0"/>
    </xf>
    <xf numFmtId="0" fontId="76" fillId="0" borderId="92" xfId="0" applyFont="1" applyBorder="1" applyAlignment="1" applyProtection="1">
      <alignment horizontal="center" vertical="center" wrapText="1"/>
      <protection locked="0"/>
    </xf>
    <xf numFmtId="0" fontId="77"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79" fillId="0" borderId="24" xfId="0" applyFont="1" applyBorder="1"/>
    <xf numFmtId="0" fontId="79" fillId="0" borderId="25" xfId="0" applyFont="1" applyBorder="1"/>
    <xf numFmtId="0" fontId="0" fillId="0" borderId="25" xfId="0" applyBorder="1"/>
    <xf numFmtId="0" fontId="0" fillId="0" borderId="36" xfId="0" applyBorder="1"/>
    <xf numFmtId="0" fontId="82" fillId="0" borderId="90" xfId="0" applyFont="1" applyBorder="1" applyAlignment="1" applyProtection="1">
      <alignment horizontal="justify" vertical="center" wrapText="1"/>
      <protection locked="0"/>
    </xf>
    <xf numFmtId="0" fontId="83" fillId="28" borderId="109" xfId="0" applyFont="1" applyFill="1" applyBorder="1" applyAlignment="1" applyProtection="1">
      <alignment horizontal="center" vertical="center" wrapText="1"/>
      <protection hidden="1"/>
    </xf>
    <xf numFmtId="0" fontId="83" fillId="28" borderId="110" xfId="0" applyFont="1" applyFill="1" applyBorder="1" applyAlignment="1" applyProtection="1">
      <alignment horizontal="center" vertical="center" wrapText="1"/>
      <protection hidden="1"/>
    </xf>
    <xf numFmtId="0" fontId="83"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67" fillId="0" borderId="0" xfId="0" applyFont="1" applyAlignment="1">
      <alignment vertical="center"/>
    </xf>
    <xf numFmtId="0" fontId="79" fillId="0" borderId="70" xfId="0" applyFont="1" applyBorder="1" applyAlignment="1">
      <alignment vertical="center"/>
    </xf>
    <xf numFmtId="0" fontId="79" fillId="3" borderId="0" xfId="0" applyFont="1" applyFill="1"/>
    <xf numFmtId="0" fontId="77" fillId="21" borderId="92" xfId="0" applyFont="1" applyFill="1" applyBorder="1" applyAlignment="1">
      <alignment horizontal="center" vertical="center" wrapText="1"/>
    </xf>
    <xf numFmtId="0" fontId="77" fillId="21" borderId="91" xfId="0" applyFont="1" applyFill="1" applyBorder="1" applyAlignment="1">
      <alignment horizontal="center" vertical="center" wrapText="1"/>
    </xf>
    <xf numFmtId="0" fontId="75" fillId="0" borderId="0" xfId="0" applyFont="1" applyAlignment="1">
      <alignment vertical="center"/>
    </xf>
    <xf numFmtId="0" fontId="85" fillId="0" borderId="0" xfId="0" applyFont="1" applyAlignment="1">
      <alignment vertical="center"/>
    </xf>
    <xf numFmtId="0" fontId="76" fillId="3" borderId="0" xfId="0" applyFont="1" applyFill="1" applyAlignment="1">
      <alignment wrapText="1"/>
    </xf>
    <xf numFmtId="0" fontId="76" fillId="0" borderId="0" xfId="0" applyFont="1" applyAlignment="1" applyProtection="1">
      <alignment vertical="center"/>
      <protection locked="0"/>
    </xf>
    <xf numFmtId="0" fontId="76" fillId="3" borderId="0" xfId="0" applyFont="1" applyFill="1" applyAlignment="1" applyProtection="1">
      <alignment vertical="center" wrapText="1"/>
      <protection locked="0"/>
    </xf>
    <xf numFmtId="0" fontId="77" fillId="3" borderId="0" xfId="0" applyFont="1" applyFill="1"/>
    <xf numFmtId="0" fontId="76" fillId="23" borderId="0" xfId="0" applyFont="1" applyFill="1" applyAlignment="1">
      <alignment horizontal="center" vertical="center"/>
    </xf>
    <xf numFmtId="0" fontId="76" fillId="23" borderId="0" xfId="0" applyFont="1" applyFill="1"/>
    <xf numFmtId="0" fontId="76" fillId="23" borderId="0" xfId="0" applyFont="1" applyFill="1" applyAlignment="1">
      <alignment horizontal="center"/>
    </xf>
    <xf numFmtId="0" fontId="76" fillId="23" borderId="0" xfId="0" applyFont="1" applyFill="1" applyAlignment="1">
      <alignment wrapText="1"/>
    </xf>
    <xf numFmtId="14" fontId="76" fillId="0" borderId="90" xfId="0" applyNumberFormat="1" applyFont="1" applyBorder="1" applyAlignment="1" applyProtection="1">
      <alignment horizontal="center" vertical="center" wrapText="1"/>
      <protection locked="0"/>
    </xf>
    <xf numFmtId="0" fontId="81" fillId="3" borderId="0" xfId="0" applyFont="1" applyFill="1" applyAlignment="1">
      <alignment wrapText="1"/>
    </xf>
    <xf numFmtId="9" fontId="76" fillId="0" borderId="90" xfId="1" applyFont="1" applyFill="1" applyBorder="1" applyAlignment="1">
      <alignment horizontal="center" vertical="center"/>
    </xf>
    <xf numFmtId="0" fontId="62" fillId="0" borderId="85" xfId="0" applyFont="1" applyBorder="1" applyAlignment="1">
      <alignment horizontal="center" vertical="center" wrapText="1"/>
    </xf>
    <xf numFmtId="0" fontId="62" fillId="0" borderId="85" xfId="0" applyFont="1" applyBorder="1" applyAlignment="1">
      <alignment vertical="center" wrapText="1"/>
    </xf>
    <xf numFmtId="0" fontId="60" fillId="3" borderId="68" xfId="0" applyFont="1" applyFill="1" applyBorder="1" applyAlignment="1">
      <alignment horizontal="justify" vertical="center" wrapText="1"/>
    </xf>
    <xf numFmtId="0" fontId="62" fillId="0" borderId="85" xfId="0" applyFont="1" applyBorder="1" applyAlignment="1">
      <alignment horizontal="left" vertical="center" wrapText="1"/>
    </xf>
    <xf numFmtId="0" fontId="60" fillId="0" borderId="68" xfId="0" applyFont="1" applyBorder="1" applyAlignment="1">
      <alignment horizontal="justify" vertical="center" wrapText="1"/>
    </xf>
    <xf numFmtId="0" fontId="60" fillId="0" borderId="34" xfId="0" applyFont="1" applyBorder="1" applyAlignment="1">
      <alignment horizontal="left" vertical="center" wrapText="1"/>
    </xf>
    <xf numFmtId="0" fontId="59" fillId="0" borderId="117" xfId="0" applyFont="1" applyBorder="1" applyAlignment="1">
      <alignment horizontal="left" vertical="center" wrapText="1"/>
    </xf>
    <xf numFmtId="0" fontId="62" fillId="0" borderId="86" xfId="0" applyFont="1" applyBorder="1" applyAlignment="1">
      <alignmen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3" fillId="22" borderId="87" xfId="0" applyFont="1" applyFill="1" applyBorder="1" applyAlignment="1">
      <alignment horizontal="center" vertical="center"/>
    </xf>
    <xf numFmtId="0" fontId="73" fillId="22" borderId="88" xfId="0" applyFont="1" applyFill="1" applyBorder="1" applyAlignment="1">
      <alignment horizontal="center" vertical="center"/>
    </xf>
    <xf numFmtId="0" fontId="60" fillId="3" borderId="68" xfId="0" applyFont="1" applyFill="1" applyBorder="1" applyAlignment="1">
      <alignment horizontal="left" vertical="center" wrapText="1"/>
    </xf>
    <xf numFmtId="0" fontId="60" fillId="3" borderId="72" xfId="0" applyFont="1" applyFill="1" applyBorder="1" applyAlignment="1">
      <alignment horizontal="left" vertical="center" wrapText="1"/>
    </xf>
    <xf numFmtId="0" fontId="62" fillId="0" borderId="68" xfId="0" applyFont="1" applyBorder="1" applyAlignment="1">
      <alignment horizontal="center" vertical="center" wrapText="1"/>
    </xf>
    <xf numFmtId="0" fontId="62" fillId="0" borderId="116" xfId="0" applyFont="1" applyBorder="1" applyAlignment="1">
      <alignment horizontal="center" vertical="center" wrapText="1"/>
    </xf>
    <xf numFmtId="0" fontId="71" fillId="0" borderId="71" xfId="0" applyFont="1" applyBorder="1" applyAlignment="1">
      <alignment horizontal="center" vertical="center" wrapText="1"/>
    </xf>
    <xf numFmtId="0" fontId="71" fillId="0" borderId="70" xfId="0" applyFont="1" applyBorder="1" applyAlignment="1">
      <alignment horizontal="center" vertical="center" wrapText="1"/>
    </xf>
    <xf numFmtId="0" fontId="71" fillId="0" borderId="83" xfId="0" applyFont="1" applyBorder="1" applyAlignment="1">
      <alignment horizontal="center" vertical="center" wrapText="1"/>
    </xf>
    <xf numFmtId="0" fontId="71" fillId="0" borderId="68" xfId="0" applyFont="1" applyBorder="1" applyAlignment="1">
      <alignment horizontal="center" vertical="center" wrapText="1"/>
    </xf>
    <xf numFmtId="0" fontId="76" fillId="3" borderId="24" xfId="0" applyFont="1" applyFill="1" applyBorder="1" applyAlignment="1" applyProtection="1">
      <alignment horizontal="center" vertical="center" wrapText="1"/>
      <protection locked="0"/>
    </xf>
    <xf numFmtId="0" fontId="76" fillId="3" borderId="25" xfId="0" applyFont="1" applyFill="1" applyBorder="1" applyAlignment="1" applyProtection="1">
      <alignment horizontal="center" vertical="center" wrapText="1"/>
      <protection locked="0"/>
    </xf>
    <xf numFmtId="0" fontId="76" fillId="3" borderId="36" xfId="0" applyFont="1" applyFill="1" applyBorder="1" applyAlignment="1" applyProtection="1">
      <alignment horizontal="center" vertical="center" wrapText="1"/>
      <protection locked="0"/>
    </xf>
    <xf numFmtId="0" fontId="75" fillId="0" borderId="5" xfId="0" applyFont="1" applyBorder="1" applyAlignment="1">
      <alignment horizontal="center" vertical="center"/>
    </xf>
    <xf numFmtId="0" fontId="75" fillId="0" borderId="12" xfId="0" applyFont="1" applyBorder="1" applyAlignment="1">
      <alignment horizontal="center" vertical="center"/>
    </xf>
    <xf numFmtId="0" fontId="75" fillId="0" borderId="6" xfId="0" applyFont="1" applyBorder="1" applyAlignment="1">
      <alignment horizontal="center" vertical="center"/>
    </xf>
    <xf numFmtId="0" fontId="75" fillId="0" borderId="9" xfId="0" applyFont="1" applyBorder="1" applyAlignment="1">
      <alignment horizontal="center" vertical="center"/>
    </xf>
    <xf numFmtId="0" fontId="75" fillId="0" borderId="11" xfId="0" applyFont="1" applyBorder="1" applyAlignment="1">
      <alignment horizontal="center" vertical="center"/>
    </xf>
    <xf numFmtId="0" fontId="75" fillId="0" borderId="10" xfId="0" applyFont="1" applyBorder="1" applyAlignment="1">
      <alignment horizontal="center" vertical="center"/>
    </xf>
    <xf numFmtId="0" fontId="75" fillId="0" borderId="24" xfId="0" applyFont="1" applyBorder="1" applyAlignment="1">
      <alignment horizontal="left" vertical="center"/>
    </xf>
    <xf numFmtId="0" fontId="75" fillId="0" borderId="25" xfId="0" applyFont="1" applyBorder="1" applyAlignment="1">
      <alignment horizontal="left" vertical="center"/>
    </xf>
    <xf numFmtId="0" fontId="75" fillId="0" borderId="36" xfId="0" applyFont="1" applyBorder="1" applyAlignment="1">
      <alignment horizontal="left" vertical="center"/>
    </xf>
    <xf numFmtId="0" fontId="77" fillId="0" borderId="90" xfId="0" applyFont="1" applyBorder="1" applyAlignment="1">
      <alignment horizontal="center" vertical="center"/>
    </xf>
    <xf numFmtId="0" fontId="76" fillId="0" borderId="90" xfId="0" applyFont="1" applyBorder="1" applyAlignment="1" applyProtection="1">
      <alignment horizontal="center" vertical="center" wrapText="1"/>
      <protection locked="0"/>
    </xf>
    <xf numFmtId="0" fontId="81" fillId="0" borderId="94" xfId="0" applyFont="1" applyBorder="1" applyAlignment="1">
      <alignment horizontal="center" vertical="center"/>
    </xf>
    <xf numFmtId="0" fontId="81" fillId="0" borderId="95" xfId="0" applyFont="1" applyBorder="1" applyAlignment="1">
      <alignment horizontal="center" vertical="center"/>
    </xf>
    <xf numFmtId="0" fontId="81" fillId="0" borderId="113" xfId="0" applyFont="1" applyBorder="1" applyAlignment="1">
      <alignment horizontal="center" vertical="center"/>
    </xf>
    <xf numFmtId="0" fontId="81" fillId="0" borderId="96" xfId="0" applyFont="1" applyBorder="1" applyAlignment="1">
      <alignment horizontal="center" vertical="center"/>
    </xf>
    <xf numFmtId="0" fontId="81" fillId="0" borderId="90" xfId="0" applyFont="1" applyBorder="1" applyAlignment="1">
      <alignment horizontal="center" vertical="center"/>
    </xf>
    <xf numFmtId="0" fontId="81" fillId="0" borderId="115"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4" xfId="0" applyFont="1" applyBorder="1" applyAlignment="1">
      <alignment horizontal="center" vertical="center"/>
    </xf>
    <xf numFmtId="0" fontId="76" fillId="0" borderId="90" xfId="0" applyFont="1" applyBorder="1" applyAlignment="1" applyProtection="1">
      <alignment horizontal="center" vertical="center"/>
      <protection locked="0"/>
    </xf>
    <xf numFmtId="0" fontId="77" fillId="0" borderId="90" xfId="0" applyFont="1" applyBorder="1" applyAlignment="1" applyProtection="1">
      <alignment horizontal="center" vertical="center" wrapText="1"/>
      <protection hidden="1"/>
    </xf>
    <xf numFmtId="9" fontId="76" fillId="0" borderId="90" xfId="0" applyNumberFormat="1" applyFont="1" applyBorder="1" applyAlignment="1" applyProtection="1">
      <alignment horizontal="center" vertical="center" wrapText="1"/>
      <protection hidden="1"/>
    </xf>
    <xf numFmtId="0" fontId="76" fillId="0" borderId="91" xfId="0" applyFont="1" applyBorder="1" applyAlignment="1" applyProtection="1">
      <alignment horizontal="center" vertical="center" wrapText="1"/>
      <protection locked="0"/>
    </xf>
    <xf numFmtId="0" fontId="76" fillId="0" borderId="99" xfId="0" applyFont="1" applyBorder="1" applyAlignment="1" applyProtection="1">
      <alignment horizontal="center" vertical="center" wrapText="1"/>
      <protection locked="0"/>
    </xf>
    <xf numFmtId="0" fontId="76" fillId="0" borderId="92" xfId="0" applyFont="1" applyBorder="1" applyAlignment="1" applyProtection="1">
      <alignment horizontal="center" vertical="center" wrapText="1"/>
      <protection locked="0"/>
    </xf>
    <xf numFmtId="0" fontId="76" fillId="3" borderId="0" xfId="0" applyFont="1" applyFill="1" applyAlignment="1">
      <alignment horizontal="left" wrapText="1"/>
    </xf>
    <xf numFmtId="0" fontId="75" fillId="0" borderId="0" xfId="0" applyFont="1" applyAlignment="1">
      <alignment horizontal="center" vertical="center"/>
    </xf>
    <xf numFmtId="0" fontId="75" fillId="0" borderId="0" xfId="0" applyFont="1" applyAlignment="1">
      <alignment horizontal="left" vertical="center"/>
    </xf>
    <xf numFmtId="0" fontId="77" fillId="21" borderId="100" xfId="0" applyFont="1" applyFill="1" applyBorder="1" applyAlignment="1">
      <alignment horizontal="left" vertical="center"/>
    </xf>
    <xf numFmtId="0" fontId="77" fillId="21" borderId="101" xfId="0" applyFont="1" applyFill="1" applyBorder="1" applyAlignment="1">
      <alignment horizontal="left" vertical="center"/>
    </xf>
    <xf numFmtId="0" fontId="77" fillId="21" borderId="102" xfId="0" applyFont="1" applyFill="1" applyBorder="1" applyAlignment="1">
      <alignment horizontal="left" vertical="center"/>
    </xf>
    <xf numFmtId="0" fontId="77" fillId="21" borderId="103" xfId="0" applyFont="1" applyFill="1" applyBorder="1" applyAlignment="1">
      <alignment horizontal="left" vertical="center"/>
    </xf>
    <xf numFmtId="0" fontId="77" fillId="21" borderId="104" xfId="0" applyFont="1" applyFill="1" applyBorder="1" applyAlignment="1">
      <alignment horizontal="left" vertical="center"/>
    </xf>
    <xf numFmtId="0" fontId="77" fillId="21" borderId="105" xfId="0" applyFont="1" applyFill="1" applyBorder="1" applyAlignment="1">
      <alignment horizontal="left" vertical="center"/>
    </xf>
    <xf numFmtId="0" fontId="77" fillId="3" borderId="0" xfId="0" applyFont="1" applyFill="1" applyAlignment="1">
      <alignment horizontal="left" vertical="center"/>
    </xf>
    <xf numFmtId="0" fontId="87" fillId="0" borderId="24" xfId="0" applyFont="1" applyBorder="1" applyAlignment="1" applyProtection="1">
      <alignment horizontal="center" vertical="center"/>
      <protection locked="0"/>
    </xf>
    <xf numFmtId="0" fontId="87" fillId="0" borderId="25" xfId="0" applyFont="1" applyBorder="1" applyAlignment="1" applyProtection="1">
      <alignment horizontal="center" vertical="center"/>
      <protection locked="0"/>
    </xf>
    <xf numFmtId="0" fontId="87" fillId="0" borderId="36" xfId="0" applyFont="1" applyBorder="1" applyAlignment="1" applyProtection="1">
      <alignment horizontal="center" vertical="center"/>
      <protection locked="0"/>
    </xf>
    <xf numFmtId="0" fontId="77" fillId="0" borderId="90" xfId="0" applyFont="1" applyBorder="1" applyAlignment="1" applyProtection="1">
      <alignment horizontal="center" vertical="center"/>
      <protection hidden="1"/>
    </xf>
    <xf numFmtId="9" fontId="76" fillId="0" borderId="90" xfId="0" applyNumberFormat="1" applyFont="1" applyBorder="1" applyAlignment="1" applyProtection="1">
      <alignment horizontal="center" vertical="center" wrapText="1"/>
      <protection locked="0"/>
    </xf>
    <xf numFmtId="0" fontId="77" fillId="27" borderId="106" xfId="0" applyFont="1" applyFill="1" applyBorder="1" applyAlignment="1">
      <alignment horizontal="center" vertical="center"/>
    </xf>
    <xf numFmtId="0" fontId="77" fillId="27" borderId="107" xfId="0" applyFont="1" applyFill="1" applyBorder="1" applyAlignment="1">
      <alignment horizontal="center" vertical="center"/>
    </xf>
    <xf numFmtId="0" fontId="77" fillId="27" borderId="108" xfId="0" applyFont="1" applyFill="1" applyBorder="1" applyAlignment="1">
      <alignment horizontal="center" vertical="center"/>
    </xf>
    <xf numFmtId="0" fontId="77" fillId="16" borderId="90" xfId="0" applyFont="1" applyFill="1" applyBorder="1" applyAlignment="1">
      <alignment horizontal="center" vertical="center"/>
    </xf>
    <xf numFmtId="0" fontId="77" fillId="27" borderId="90" xfId="0" applyFont="1" applyFill="1" applyBorder="1" applyAlignment="1">
      <alignment horizontal="center" vertical="center" wrapText="1"/>
    </xf>
    <xf numFmtId="0" fontId="76" fillId="0" borderId="2" xfId="0" applyFont="1" applyBorder="1" applyAlignment="1">
      <alignment horizontal="left" vertical="center" wrapText="1"/>
    </xf>
    <xf numFmtId="0" fontId="76" fillId="0" borderId="21" xfId="0" applyFont="1" applyBorder="1" applyAlignment="1">
      <alignment horizontal="left" vertical="center" wrapText="1"/>
    </xf>
    <xf numFmtId="0" fontId="76" fillId="0" borderId="90" xfId="0" applyFont="1" applyBorder="1" applyAlignment="1" applyProtection="1">
      <alignment horizontal="left" vertical="center" wrapText="1"/>
      <protection locked="0"/>
    </xf>
    <xf numFmtId="0" fontId="88" fillId="0" borderId="90" xfId="0" applyFont="1" applyBorder="1" applyAlignment="1" applyProtection="1">
      <alignment horizontal="center" vertical="top" wrapText="1"/>
      <protection locked="0"/>
    </xf>
    <xf numFmtId="0" fontId="76" fillId="0" borderId="90" xfId="0" applyFont="1" applyBorder="1" applyAlignment="1" applyProtection="1">
      <alignment horizontal="center" vertical="top" wrapText="1"/>
      <protection locked="0"/>
    </xf>
    <xf numFmtId="0" fontId="77" fillId="27" borderId="90" xfId="0" applyFont="1" applyFill="1" applyBorder="1" applyAlignment="1">
      <alignment horizontal="center" vertical="center" textRotation="90"/>
    </xf>
    <xf numFmtId="0" fontId="77" fillId="27" borderId="90" xfId="0" applyFont="1" applyFill="1" applyBorder="1" applyAlignment="1">
      <alignment horizontal="center" vertical="center"/>
    </xf>
    <xf numFmtId="0" fontId="76" fillId="0" borderId="90" xfId="0" applyFont="1" applyBorder="1" applyAlignment="1" applyProtection="1">
      <alignment horizontal="justify" vertical="center" wrapText="1"/>
      <protection locked="0"/>
    </xf>
    <xf numFmtId="0" fontId="77" fillId="29" borderId="91" xfId="0" applyFont="1" applyFill="1" applyBorder="1" applyAlignment="1">
      <alignment horizontal="center" vertical="center" wrapText="1"/>
    </xf>
    <xf numFmtId="0" fontId="77" fillId="29" borderId="92" xfId="0" applyFont="1" applyFill="1" applyBorder="1" applyAlignment="1">
      <alignment horizontal="center" vertical="center" wrapText="1"/>
    </xf>
    <xf numFmtId="0" fontId="77" fillId="16" borderId="90" xfId="0" applyFont="1" applyFill="1" applyBorder="1" applyAlignment="1">
      <alignment horizontal="center" vertical="center" wrapText="1"/>
    </xf>
    <xf numFmtId="0" fontId="77" fillId="16" borderId="90" xfId="0" applyFont="1" applyFill="1" applyBorder="1" applyAlignment="1">
      <alignment horizontal="center" vertical="center" textRotation="90" wrapText="1"/>
    </xf>
    <xf numFmtId="0" fontId="77" fillId="29" borderId="106" xfId="0" applyFont="1" applyFill="1" applyBorder="1" applyAlignment="1">
      <alignment horizontal="center" vertical="center"/>
    </xf>
    <xf numFmtId="0" fontId="77" fillId="29" borderId="107" xfId="0" applyFont="1" applyFill="1" applyBorder="1" applyAlignment="1">
      <alignment horizontal="center" vertical="center"/>
    </xf>
    <xf numFmtId="0" fontId="77" fillId="29" borderId="108" xfId="0" applyFont="1" applyFill="1" applyBorder="1" applyAlignment="1">
      <alignment horizontal="center" vertical="center"/>
    </xf>
    <xf numFmtId="0" fontId="77" fillId="16" borderId="106" xfId="0" applyFont="1" applyFill="1" applyBorder="1" applyAlignment="1">
      <alignment horizontal="center" vertical="center"/>
    </xf>
    <xf numFmtId="0" fontId="77" fillId="16" borderId="107" xfId="0" applyFont="1" applyFill="1" applyBorder="1" applyAlignment="1">
      <alignment horizontal="center" vertical="center"/>
    </xf>
    <xf numFmtId="0" fontId="77" fillId="16" borderId="108" xfId="0" applyFont="1" applyFill="1" applyBorder="1" applyAlignment="1">
      <alignment horizontal="center" vertical="center"/>
    </xf>
    <xf numFmtId="0" fontId="77" fillId="16" borderId="106" xfId="0" applyFont="1" applyFill="1" applyBorder="1" applyAlignment="1">
      <alignment horizontal="center" vertical="center" wrapText="1"/>
    </xf>
    <xf numFmtId="0" fontId="77" fillId="16" borderId="107" xfId="0" applyFont="1" applyFill="1" applyBorder="1" applyAlignment="1">
      <alignment horizontal="center" vertical="center" wrapText="1"/>
    </xf>
    <xf numFmtId="0" fontId="77" fillId="16" borderId="108" xfId="0" applyFont="1" applyFill="1" applyBorder="1" applyAlignment="1">
      <alignment horizontal="center" vertical="center" wrapText="1"/>
    </xf>
    <xf numFmtId="0" fontId="77" fillId="21" borderId="112" xfId="0" applyFont="1" applyFill="1" applyBorder="1" applyAlignment="1">
      <alignment horizontal="center" vertical="center" wrapText="1"/>
    </xf>
    <xf numFmtId="0" fontId="77" fillId="21" borderId="93" xfId="0" applyFont="1" applyFill="1" applyBorder="1" applyAlignment="1">
      <alignment horizontal="center" vertical="center" wrapText="1"/>
    </xf>
    <xf numFmtId="0" fontId="77" fillId="16" borderId="92" xfId="0" applyFont="1" applyFill="1" applyBorder="1" applyAlignment="1">
      <alignment horizontal="center" vertical="center"/>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2" fillId="26" borderId="0" xfId="0" applyFont="1" applyFill="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7" xfId="0" applyFont="1" applyBorder="1" applyAlignment="1">
      <alignment horizontal="center" vertical="center" wrapText="1"/>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86" fillId="26" borderId="0" xfId="0" applyFont="1" applyFill="1" applyAlignment="1">
      <alignment horizontal="center" vertical="center" wrapText="1"/>
    </xf>
    <xf numFmtId="0" fontId="21" fillId="26" borderId="0" xfId="0" applyFont="1" applyFill="1" applyAlignment="1">
      <alignment horizontal="center" vertical="center" wrapText="1"/>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10" xfId="0" applyFont="1" applyBorder="1" applyAlignment="1">
      <alignment horizontal="center" vertical="center"/>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38" fillId="0" borderId="12" xfId="0" applyFont="1" applyBorder="1" applyAlignment="1">
      <alignment horizontal="center" vertical="center" wrapText="1"/>
    </xf>
    <xf numFmtId="0" fontId="70" fillId="21" borderId="34" xfId="0" applyFont="1" applyFill="1" applyBorder="1" applyAlignment="1">
      <alignment horizontal="center" vertical="center" wrapText="1"/>
    </xf>
    <xf numFmtId="0" fontId="70" fillId="21" borderId="35" xfId="0" applyFont="1" applyFill="1" applyBorder="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22" xfId="0" applyFont="1" applyBorder="1" applyAlignment="1">
      <alignment horizontal="left" vertical="center" wrapText="1"/>
    </xf>
    <xf numFmtId="0" fontId="67" fillId="0" borderId="76" xfId="0" applyFont="1" applyBorder="1" applyAlignment="1">
      <alignment horizontal="left" vertical="center" wrapText="1"/>
    </xf>
    <xf numFmtId="0" fontId="70" fillId="21" borderId="33" xfId="0" applyFont="1" applyFill="1" applyBorder="1" applyAlignment="1">
      <alignment horizontal="center" vertical="center" wrapText="1"/>
    </xf>
    <xf numFmtId="0" fontId="68" fillId="16" borderId="24" xfId="0" applyFont="1" applyFill="1" applyBorder="1" applyAlignment="1">
      <alignment horizontal="center" vertical="center" wrapText="1"/>
    </xf>
    <xf numFmtId="0" fontId="68" fillId="16" borderId="25" xfId="0" applyFont="1" applyFill="1" applyBorder="1" applyAlignment="1">
      <alignment horizontal="center" vertical="center" wrapText="1"/>
    </xf>
    <xf numFmtId="0" fontId="68" fillId="16" borderId="36" xfId="0" applyFont="1" applyFill="1" applyBorder="1" applyAlignment="1">
      <alignment horizontal="center" vertical="center" wrapText="1"/>
    </xf>
    <xf numFmtId="0" fontId="69" fillId="16" borderId="73" xfId="0" applyFont="1" applyFill="1" applyBorder="1" applyAlignment="1">
      <alignment horizontal="center" vertical="center" wrapText="1"/>
    </xf>
    <xf numFmtId="0" fontId="69" fillId="16" borderId="28" xfId="0" applyFont="1" applyFill="1" applyBorder="1" applyAlignment="1">
      <alignment horizontal="center" vertical="center" wrapText="1"/>
    </xf>
    <xf numFmtId="0" fontId="69" fillId="16" borderId="74" xfId="0" applyFont="1" applyFill="1" applyBorder="1" applyAlignment="1">
      <alignment horizontal="center" vertical="center" wrapText="1"/>
    </xf>
    <xf numFmtId="0" fontId="69" fillId="16" borderId="29" xfId="0" applyFont="1" applyFill="1" applyBorder="1" applyAlignment="1">
      <alignment horizontal="center" vertical="center" wrapText="1"/>
    </xf>
    <xf numFmtId="0" fontId="69" fillId="16" borderId="75" xfId="0" applyFont="1" applyFill="1" applyBorder="1" applyAlignment="1">
      <alignment horizontal="center" vertical="center" wrapText="1"/>
    </xf>
    <xf numFmtId="0" fontId="67" fillId="0" borderId="74" xfId="0" applyFont="1" applyBorder="1" applyAlignment="1">
      <alignment horizontal="left" vertical="center" wrapText="1"/>
    </xf>
    <xf numFmtId="0" fontId="77" fillId="21" borderId="106" xfId="0" applyFont="1" applyFill="1" applyBorder="1" applyAlignment="1">
      <alignment horizontal="center" vertical="center" wrapText="1"/>
    </xf>
    <xf numFmtId="0" fontId="77" fillId="21" borderId="108" xfId="0" applyFont="1" applyFill="1" applyBorder="1" applyAlignment="1">
      <alignment horizontal="center" vertical="center" wrapText="1"/>
    </xf>
    <xf numFmtId="0" fontId="77" fillId="17" borderId="90" xfId="0" applyFont="1" applyFill="1" applyBorder="1" applyAlignment="1">
      <alignment horizontal="center" vertical="center" wrapText="1"/>
    </xf>
    <xf numFmtId="0" fontId="77" fillId="17" borderId="91" xfId="0" applyFont="1" applyFill="1" applyBorder="1" applyAlignment="1">
      <alignment horizontal="center" vertical="center" wrapText="1"/>
    </xf>
    <xf numFmtId="0" fontId="77" fillId="17" borderId="92"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1" fillId="16" borderId="82" xfId="0" applyFont="1" applyFill="1" applyBorder="1" applyAlignment="1">
      <alignment horizontal="center" vertical="center" wrapText="1"/>
    </xf>
    <xf numFmtId="0" fontId="71" fillId="16" borderId="80" xfId="0" applyFont="1" applyFill="1" applyBorder="1" applyAlignment="1">
      <alignment horizontal="center" vertical="center" wrapText="1"/>
    </xf>
    <xf numFmtId="0" fontId="71" fillId="16" borderId="78" xfId="0" applyFont="1" applyFill="1" applyBorder="1" applyAlignment="1">
      <alignment horizontal="center" vertical="center" wrapText="1"/>
    </xf>
    <xf numFmtId="0" fontId="72" fillId="0" borderId="82" xfId="0" applyFont="1" applyBorder="1" applyAlignment="1">
      <alignment horizontal="justify" vertical="center" wrapText="1"/>
    </xf>
    <xf numFmtId="0" fontId="72" fillId="0" borderId="80" xfId="0" applyFont="1" applyBorder="1" applyAlignment="1">
      <alignment horizontal="justify" vertical="center" wrapText="1"/>
    </xf>
    <xf numFmtId="0" fontId="72"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14" fontId="76" fillId="0" borderId="90" xfId="0" applyNumberFormat="1" applyFont="1" applyFill="1" applyBorder="1" applyAlignment="1" applyProtection="1">
      <alignment horizontal="center" vertical="center" wrapText="1"/>
      <protection locked="0"/>
    </xf>
    <xf numFmtId="0" fontId="76" fillId="0" borderId="90" xfId="0" applyFont="1" applyFill="1" applyBorder="1" applyAlignment="1" applyProtection="1">
      <alignment horizontal="center" vertical="center" wrapText="1"/>
      <protection locked="0"/>
    </xf>
  </cellXfs>
  <cellStyles count="7">
    <cellStyle name="Moneda" xfId="5" builtinId="4"/>
    <cellStyle name="Moneda 2" xfId="6" xr:uid="{EB2D9614-327D-41C4-8635-16D31BAE2C4D}"/>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29</xdr:row>
      <xdr:rowOff>8559</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8"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30" zoomScale="110" zoomScaleNormal="110" workbookViewId="0">
      <selection activeCell="E36" sqref="E36:F3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79" t="s">
        <v>0</v>
      </c>
      <c r="C2" s="280"/>
      <c r="D2" s="280"/>
      <c r="E2" s="280"/>
      <c r="F2" s="280"/>
      <c r="G2" s="280"/>
      <c r="H2" s="281"/>
    </row>
    <row r="3" spans="2:8" x14ac:dyDescent="0.25">
      <c r="B3" s="67"/>
      <c r="C3" s="68"/>
      <c r="D3" s="68"/>
      <c r="E3" s="68"/>
      <c r="F3" s="68"/>
      <c r="G3" s="68"/>
      <c r="H3" s="69"/>
    </row>
    <row r="4" spans="2:8" ht="63" customHeight="1" x14ac:dyDescent="0.25">
      <c r="B4" s="282" t="s">
        <v>1</v>
      </c>
      <c r="C4" s="283"/>
      <c r="D4" s="283"/>
      <c r="E4" s="283"/>
      <c r="F4" s="283"/>
      <c r="G4" s="283"/>
      <c r="H4" s="284"/>
    </row>
    <row r="5" spans="2:8" ht="63" customHeight="1" x14ac:dyDescent="0.25">
      <c r="B5" s="285"/>
      <c r="C5" s="286"/>
      <c r="D5" s="286"/>
      <c r="E5" s="286"/>
      <c r="F5" s="286"/>
      <c r="G5" s="286"/>
      <c r="H5" s="287"/>
    </row>
    <row r="6" spans="2:8" ht="16.5" x14ac:dyDescent="0.25">
      <c r="B6" s="288" t="s">
        <v>2</v>
      </c>
      <c r="C6" s="289"/>
      <c r="D6" s="289"/>
      <c r="E6" s="289"/>
      <c r="F6" s="289"/>
      <c r="G6" s="289"/>
      <c r="H6" s="290"/>
    </row>
    <row r="7" spans="2:8" ht="95.25" customHeight="1" x14ac:dyDescent="0.25">
      <c r="B7" s="298" t="s">
        <v>3</v>
      </c>
      <c r="C7" s="299"/>
      <c r="D7" s="299"/>
      <c r="E7" s="299"/>
      <c r="F7" s="299"/>
      <c r="G7" s="299"/>
      <c r="H7" s="300"/>
    </row>
    <row r="8" spans="2:8" ht="16.5" x14ac:dyDescent="0.25">
      <c r="B8" s="101"/>
      <c r="C8" s="102"/>
      <c r="D8" s="102"/>
      <c r="E8" s="102"/>
      <c r="F8" s="102"/>
      <c r="G8" s="102"/>
      <c r="H8" s="103"/>
    </row>
    <row r="9" spans="2:8" ht="16.5" customHeight="1" x14ac:dyDescent="0.25">
      <c r="B9" s="291" t="s">
        <v>4</v>
      </c>
      <c r="C9" s="292"/>
      <c r="D9" s="292"/>
      <c r="E9" s="292"/>
      <c r="F9" s="292"/>
      <c r="G9" s="292"/>
      <c r="H9" s="293"/>
    </row>
    <row r="10" spans="2:8" ht="44.25" customHeight="1" x14ac:dyDescent="0.25">
      <c r="B10" s="291"/>
      <c r="C10" s="292"/>
      <c r="D10" s="292"/>
      <c r="E10" s="292"/>
      <c r="F10" s="292"/>
      <c r="G10" s="292"/>
      <c r="H10" s="293"/>
    </row>
    <row r="11" spans="2:8" ht="15.75" thickBot="1" x14ac:dyDescent="0.3">
      <c r="B11" s="90"/>
      <c r="C11" s="93"/>
      <c r="D11" s="98"/>
      <c r="E11" s="99"/>
      <c r="F11" s="99"/>
      <c r="G11" s="100"/>
      <c r="H11" s="94"/>
    </row>
    <row r="12" spans="2:8" ht="15.75" thickTop="1" x14ac:dyDescent="0.25">
      <c r="B12" s="90"/>
      <c r="C12" s="294" t="s">
        <v>5</v>
      </c>
      <c r="D12" s="295"/>
      <c r="E12" s="296" t="s">
        <v>6</v>
      </c>
      <c r="F12" s="297"/>
      <c r="G12" s="93"/>
      <c r="H12" s="94"/>
    </row>
    <row r="13" spans="2:8" ht="35.25" customHeight="1" x14ac:dyDescent="0.25">
      <c r="B13" s="90"/>
      <c r="C13" s="266" t="s">
        <v>7</v>
      </c>
      <c r="D13" s="267"/>
      <c r="E13" s="268" t="s">
        <v>8</v>
      </c>
      <c r="F13" s="269"/>
      <c r="G13" s="93"/>
      <c r="H13" s="94"/>
    </row>
    <row r="14" spans="2:8" ht="17.25" customHeight="1" x14ac:dyDescent="0.25">
      <c r="B14" s="90"/>
      <c r="C14" s="266" t="s">
        <v>9</v>
      </c>
      <c r="D14" s="267"/>
      <c r="E14" s="268" t="s">
        <v>10</v>
      </c>
      <c r="F14" s="269"/>
      <c r="G14" s="93"/>
      <c r="H14" s="94"/>
    </row>
    <row r="15" spans="2:8" ht="19.5" customHeight="1" x14ac:dyDescent="0.25">
      <c r="B15" s="90"/>
      <c r="C15" s="266" t="s">
        <v>11</v>
      </c>
      <c r="D15" s="267"/>
      <c r="E15" s="268" t="s">
        <v>12</v>
      </c>
      <c r="F15" s="269"/>
      <c r="G15" s="93"/>
      <c r="H15" s="94"/>
    </row>
    <row r="16" spans="2:8" ht="69.75" customHeight="1" x14ac:dyDescent="0.25">
      <c r="B16" s="90"/>
      <c r="C16" s="266" t="s">
        <v>13</v>
      </c>
      <c r="D16" s="267"/>
      <c r="E16" s="268" t="s">
        <v>14</v>
      </c>
      <c r="F16" s="269"/>
      <c r="G16" s="93"/>
      <c r="H16" s="94"/>
    </row>
    <row r="17" spans="2:8" ht="34.5" customHeight="1" x14ac:dyDescent="0.25">
      <c r="B17" s="90"/>
      <c r="C17" s="270" t="s">
        <v>15</v>
      </c>
      <c r="D17" s="271"/>
      <c r="E17" s="262" t="s">
        <v>16</v>
      </c>
      <c r="F17" s="263"/>
      <c r="G17" s="93"/>
      <c r="H17" s="94"/>
    </row>
    <row r="18" spans="2:8" ht="27.75" customHeight="1" x14ac:dyDescent="0.25">
      <c r="B18" s="90"/>
      <c r="C18" s="270" t="s">
        <v>17</v>
      </c>
      <c r="D18" s="271"/>
      <c r="E18" s="262" t="s">
        <v>18</v>
      </c>
      <c r="F18" s="263"/>
      <c r="G18" s="93"/>
      <c r="H18" s="94"/>
    </row>
    <row r="19" spans="2:8" ht="28.5" customHeight="1" x14ac:dyDescent="0.25">
      <c r="B19" s="90"/>
      <c r="C19" s="270" t="s">
        <v>19</v>
      </c>
      <c r="D19" s="271"/>
      <c r="E19" s="262" t="s">
        <v>20</v>
      </c>
      <c r="F19" s="263"/>
      <c r="G19" s="93"/>
      <c r="H19" s="94"/>
    </row>
    <row r="20" spans="2:8" ht="72.75" customHeight="1" x14ac:dyDescent="0.25">
      <c r="B20" s="90"/>
      <c r="C20" s="270" t="s">
        <v>21</v>
      </c>
      <c r="D20" s="271"/>
      <c r="E20" s="262" t="s">
        <v>22</v>
      </c>
      <c r="F20" s="263"/>
      <c r="G20" s="93"/>
      <c r="H20" s="94"/>
    </row>
    <row r="21" spans="2:8" ht="64.5" customHeight="1" x14ac:dyDescent="0.25">
      <c r="B21" s="90"/>
      <c r="C21" s="270" t="s">
        <v>23</v>
      </c>
      <c r="D21" s="271"/>
      <c r="E21" s="262" t="s">
        <v>24</v>
      </c>
      <c r="F21" s="263"/>
      <c r="G21" s="93"/>
      <c r="H21" s="94"/>
    </row>
    <row r="22" spans="2:8" ht="71.25" customHeight="1" x14ac:dyDescent="0.25">
      <c r="B22" s="90"/>
      <c r="C22" s="270" t="s">
        <v>25</v>
      </c>
      <c r="D22" s="271"/>
      <c r="E22" s="262" t="s">
        <v>26</v>
      </c>
      <c r="F22" s="263"/>
      <c r="G22" s="93"/>
      <c r="H22" s="94"/>
    </row>
    <row r="23" spans="2:8" ht="55.5" customHeight="1" x14ac:dyDescent="0.25">
      <c r="B23" s="90"/>
      <c r="C23" s="264" t="s">
        <v>27</v>
      </c>
      <c r="D23" s="265"/>
      <c r="E23" s="262" t="s">
        <v>28</v>
      </c>
      <c r="F23" s="263"/>
      <c r="G23" s="93"/>
      <c r="H23" s="94"/>
    </row>
    <row r="24" spans="2:8" ht="42" customHeight="1" x14ac:dyDescent="0.25">
      <c r="B24" s="90"/>
      <c r="C24" s="264" t="s">
        <v>29</v>
      </c>
      <c r="D24" s="265"/>
      <c r="E24" s="262" t="s">
        <v>30</v>
      </c>
      <c r="F24" s="263"/>
      <c r="G24" s="93"/>
      <c r="H24" s="94"/>
    </row>
    <row r="25" spans="2:8" ht="59.25" customHeight="1" x14ac:dyDescent="0.25">
      <c r="B25" s="90"/>
      <c r="C25" s="264" t="s">
        <v>31</v>
      </c>
      <c r="D25" s="265"/>
      <c r="E25" s="262" t="s">
        <v>32</v>
      </c>
      <c r="F25" s="263"/>
      <c r="G25" s="93"/>
      <c r="H25" s="94"/>
    </row>
    <row r="26" spans="2:8" ht="23.25" customHeight="1" x14ac:dyDescent="0.25">
      <c r="B26" s="90"/>
      <c r="C26" s="264" t="s">
        <v>33</v>
      </c>
      <c r="D26" s="265"/>
      <c r="E26" s="262" t="s">
        <v>34</v>
      </c>
      <c r="F26" s="263"/>
      <c r="G26" s="93"/>
      <c r="H26" s="94"/>
    </row>
    <row r="27" spans="2:8" ht="30.75" customHeight="1" x14ac:dyDescent="0.25">
      <c r="B27" s="90"/>
      <c r="C27" s="264" t="s">
        <v>35</v>
      </c>
      <c r="D27" s="265"/>
      <c r="E27" s="262" t="s">
        <v>36</v>
      </c>
      <c r="F27" s="263"/>
      <c r="G27" s="93"/>
      <c r="H27" s="94"/>
    </row>
    <row r="28" spans="2:8" ht="35.25" customHeight="1" x14ac:dyDescent="0.25">
      <c r="B28" s="90"/>
      <c r="C28" s="264" t="s">
        <v>37</v>
      </c>
      <c r="D28" s="265"/>
      <c r="E28" s="262" t="s">
        <v>38</v>
      </c>
      <c r="F28" s="263"/>
      <c r="G28" s="93"/>
      <c r="H28" s="94"/>
    </row>
    <row r="29" spans="2:8" ht="33" customHeight="1" x14ac:dyDescent="0.25">
      <c r="B29" s="90"/>
      <c r="C29" s="264" t="s">
        <v>37</v>
      </c>
      <c r="D29" s="265"/>
      <c r="E29" s="262" t="s">
        <v>38</v>
      </c>
      <c r="F29" s="263"/>
      <c r="G29" s="93"/>
      <c r="H29" s="94"/>
    </row>
    <row r="30" spans="2:8" ht="30" customHeight="1" x14ac:dyDescent="0.25">
      <c r="B30" s="90"/>
      <c r="C30" s="264" t="s">
        <v>39</v>
      </c>
      <c r="D30" s="265"/>
      <c r="E30" s="262" t="s">
        <v>40</v>
      </c>
      <c r="F30" s="263"/>
      <c r="G30" s="93"/>
      <c r="H30" s="94"/>
    </row>
    <row r="31" spans="2:8" ht="35.25" customHeight="1" x14ac:dyDescent="0.25">
      <c r="B31" s="90"/>
      <c r="C31" s="264" t="s">
        <v>41</v>
      </c>
      <c r="D31" s="265"/>
      <c r="E31" s="262" t="s">
        <v>42</v>
      </c>
      <c r="F31" s="263"/>
      <c r="G31" s="93"/>
      <c r="H31" s="94"/>
    </row>
    <row r="32" spans="2:8" ht="31.5" customHeight="1" x14ac:dyDescent="0.25">
      <c r="B32" s="90"/>
      <c r="C32" s="264" t="s">
        <v>43</v>
      </c>
      <c r="D32" s="265"/>
      <c r="E32" s="262" t="s">
        <v>44</v>
      </c>
      <c r="F32" s="263"/>
      <c r="G32" s="93"/>
      <c r="H32" s="94"/>
    </row>
    <row r="33" spans="2:8" ht="35.25" customHeight="1" x14ac:dyDescent="0.25">
      <c r="B33" s="90"/>
      <c r="C33" s="264" t="s">
        <v>45</v>
      </c>
      <c r="D33" s="265"/>
      <c r="E33" s="262" t="s">
        <v>46</v>
      </c>
      <c r="F33" s="263"/>
      <c r="G33" s="93"/>
      <c r="H33" s="94"/>
    </row>
    <row r="34" spans="2:8" ht="59.25" customHeight="1" x14ac:dyDescent="0.25">
      <c r="B34" s="90"/>
      <c r="C34" s="264" t="s">
        <v>47</v>
      </c>
      <c r="D34" s="265"/>
      <c r="E34" s="262" t="s">
        <v>48</v>
      </c>
      <c r="F34" s="263"/>
      <c r="G34" s="93"/>
      <c r="H34" s="94"/>
    </row>
    <row r="35" spans="2:8" ht="29.25" customHeight="1" x14ac:dyDescent="0.25">
      <c r="B35" s="90"/>
      <c r="C35" s="264" t="s">
        <v>49</v>
      </c>
      <c r="D35" s="265"/>
      <c r="E35" s="262" t="s">
        <v>50</v>
      </c>
      <c r="F35" s="263"/>
      <c r="G35" s="93"/>
      <c r="H35" s="94"/>
    </row>
    <row r="36" spans="2:8" ht="82.5" customHeight="1" x14ac:dyDescent="0.25">
      <c r="B36" s="90"/>
      <c r="C36" s="264" t="s">
        <v>51</v>
      </c>
      <c r="D36" s="265"/>
      <c r="E36" s="262" t="s">
        <v>52</v>
      </c>
      <c r="F36" s="263"/>
      <c r="G36" s="93"/>
      <c r="H36" s="94"/>
    </row>
    <row r="37" spans="2:8" ht="46.5" customHeight="1" x14ac:dyDescent="0.25">
      <c r="B37" s="90"/>
      <c r="C37" s="264" t="s">
        <v>53</v>
      </c>
      <c r="D37" s="265"/>
      <c r="E37" s="262" t="s">
        <v>54</v>
      </c>
      <c r="F37" s="263"/>
      <c r="G37" s="93"/>
      <c r="H37" s="94"/>
    </row>
    <row r="38" spans="2:8" ht="6.75" customHeight="1" thickBot="1" x14ac:dyDescent="0.3">
      <c r="B38" s="90"/>
      <c r="C38" s="275"/>
      <c r="D38" s="276"/>
      <c r="E38" s="277"/>
      <c r="F38" s="278"/>
      <c r="G38" s="93"/>
      <c r="H38" s="94"/>
    </row>
    <row r="39" spans="2:8" ht="15.75" thickTop="1" x14ac:dyDescent="0.25">
      <c r="B39" s="90"/>
      <c r="C39" s="91"/>
      <c r="D39" s="91"/>
      <c r="E39" s="92"/>
      <c r="F39" s="92"/>
      <c r="G39" s="93"/>
      <c r="H39" s="94"/>
    </row>
    <row r="40" spans="2:8" ht="21" customHeight="1" x14ac:dyDescent="0.25">
      <c r="B40" s="272" t="s">
        <v>55</v>
      </c>
      <c r="C40" s="273"/>
      <c r="D40" s="273"/>
      <c r="E40" s="273"/>
      <c r="F40" s="273"/>
      <c r="G40" s="273"/>
      <c r="H40" s="274"/>
    </row>
    <row r="41" spans="2:8" ht="20.25" customHeight="1" x14ac:dyDescent="0.25">
      <c r="B41" s="272" t="s">
        <v>56</v>
      </c>
      <c r="C41" s="273"/>
      <c r="D41" s="273"/>
      <c r="E41" s="273"/>
      <c r="F41" s="273"/>
      <c r="G41" s="273"/>
      <c r="H41" s="274"/>
    </row>
    <row r="42" spans="2:8" ht="20.25" customHeight="1" x14ac:dyDescent="0.25">
      <c r="B42" s="272" t="s">
        <v>57</v>
      </c>
      <c r="C42" s="273"/>
      <c r="D42" s="273"/>
      <c r="E42" s="273"/>
      <c r="F42" s="273"/>
      <c r="G42" s="273"/>
      <c r="H42" s="274"/>
    </row>
    <row r="43" spans="2:8" ht="20.25" customHeight="1" x14ac:dyDescent="0.25">
      <c r="B43" s="272" t="s">
        <v>58</v>
      </c>
      <c r="C43" s="273"/>
      <c r="D43" s="273"/>
      <c r="E43" s="273"/>
      <c r="F43" s="273"/>
      <c r="G43" s="273"/>
      <c r="H43" s="274"/>
    </row>
    <row r="44" spans="2:8" x14ac:dyDescent="0.25">
      <c r="B44" s="272" t="s">
        <v>59</v>
      </c>
      <c r="C44" s="273"/>
      <c r="D44" s="273"/>
      <c r="E44" s="273"/>
      <c r="F44" s="273"/>
      <c r="G44" s="273"/>
      <c r="H44" s="274"/>
    </row>
    <row r="45" spans="2:8" ht="15.75" thickBot="1" x14ac:dyDescent="0.3">
      <c r="B45" s="95"/>
      <c r="C45" s="96"/>
      <c r="D45" s="96"/>
      <c r="E45" s="96"/>
      <c r="F45" s="96"/>
      <c r="G45" s="96"/>
      <c r="H45" s="97"/>
    </row>
    <row r="47" spans="2:8" x14ac:dyDescent="0.25">
      <c r="B47" s="238" t="s">
        <v>60</v>
      </c>
    </row>
    <row r="48" spans="2:8" x14ac:dyDescent="0.25">
      <c r="B48" s="66" t="s">
        <v>61</v>
      </c>
    </row>
    <row r="49" spans="2:6" ht="25.5" x14ac:dyDescent="0.25">
      <c r="B49" s="230" t="s">
        <v>62</v>
      </c>
      <c r="C49" s="230" t="s">
        <v>63</v>
      </c>
      <c r="D49" s="230" t="s">
        <v>64</v>
      </c>
      <c r="E49" s="231" t="s">
        <v>65</v>
      </c>
      <c r="F49" s="232" t="s">
        <v>66</v>
      </c>
    </row>
    <row r="50" spans="2:6" x14ac:dyDescent="0.25">
      <c r="B50" s="233" t="s">
        <v>67</v>
      </c>
      <c r="C50" s="233" t="s">
        <v>68</v>
      </c>
      <c r="D50" s="234">
        <v>44957</v>
      </c>
      <c r="E50" s="233" t="s">
        <v>68</v>
      </c>
      <c r="F50" s="233" t="s">
        <v>68</v>
      </c>
    </row>
    <row r="51" spans="2:6" ht="30" x14ac:dyDescent="0.25">
      <c r="B51" s="233" t="s">
        <v>69</v>
      </c>
      <c r="C51" s="233" t="s">
        <v>70</v>
      </c>
      <c r="D51" s="234">
        <v>45016</v>
      </c>
      <c r="E51" s="233" t="s">
        <v>71</v>
      </c>
      <c r="F51" s="235" t="s">
        <v>72</v>
      </c>
    </row>
    <row r="300" spans="3:3" ht="31.5" x14ac:dyDescent="0.25">
      <c r="C300" s="159" t="s">
        <v>73</v>
      </c>
    </row>
    <row r="301" spans="3:3" ht="47.25" x14ac:dyDescent="0.25">
      <c r="C301" s="159" t="s">
        <v>74</v>
      </c>
    </row>
    <row r="302" spans="3:3" ht="31.5" x14ac:dyDescent="0.25">
      <c r="C302" s="160" t="s">
        <v>75</v>
      </c>
    </row>
    <row r="303" spans="3:3" ht="31.5" x14ac:dyDescent="0.25">
      <c r="C303" s="159" t="s">
        <v>76</v>
      </c>
    </row>
    <row r="304" spans="3:3" ht="47.25" x14ac:dyDescent="0.25">
      <c r="C304" s="159" t="s">
        <v>77</v>
      </c>
    </row>
    <row r="305" spans="3:3" ht="31.5" x14ac:dyDescent="0.25">
      <c r="C305" s="159" t="s">
        <v>78</v>
      </c>
    </row>
    <row r="306" spans="3:3" ht="47.25" x14ac:dyDescent="0.25">
      <c r="C306" s="160" t="s">
        <v>79</v>
      </c>
    </row>
    <row r="307" spans="3:3" ht="31.5" x14ac:dyDescent="0.25">
      <c r="C307" s="159" t="s">
        <v>80</v>
      </c>
    </row>
    <row r="308" spans="3:3" ht="15.75" x14ac:dyDescent="0.25">
      <c r="C308" s="159" t="s">
        <v>81</v>
      </c>
    </row>
    <row r="309" spans="3:3" ht="15.75" x14ac:dyDescent="0.25">
      <c r="C309" s="159" t="s">
        <v>82</v>
      </c>
    </row>
    <row r="310" spans="3:3" ht="31.5" x14ac:dyDescent="0.25">
      <c r="C310" s="159" t="s">
        <v>83</v>
      </c>
    </row>
    <row r="311" spans="3:3" ht="31.5" x14ac:dyDescent="0.25">
      <c r="C311" s="159" t="s">
        <v>84</v>
      </c>
    </row>
    <row r="312" spans="3:3" ht="15.75" x14ac:dyDescent="0.25">
      <c r="C312" s="159" t="s">
        <v>85</v>
      </c>
    </row>
    <row r="313" spans="3:3" ht="15.75" x14ac:dyDescent="0.25">
      <c r="C313" s="159" t="s">
        <v>86</v>
      </c>
    </row>
    <row r="314" spans="3:3" ht="15.75" x14ac:dyDescent="0.25">
      <c r="C314" s="159" t="s">
        <v>87</v>
      </c>
    </row>
    <row r="315" spans="3:3" ht="31.5" x14ac:dyDescent="0.25">
      <c r="C315" s="159" t="s">
        <v>88</v>
      </c>
    </row>
    <row r="316" spans="3:3" ht="31.5" x14ac:dyDescent="0.25">
      <c r="C316" s="159" t="s">
        <v>89</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honeticPr fontId="84"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topLeftCell="C1"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45" t="s">
        <v>299</v>
      </c>
      <c r="C1" s="545"/>
      <c r="D1" s="545"/>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300</v>
      </c>
      <c r="D3" s="4" t="s">
        <v>250</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301</v>
      </c>
      <c r="C4" s="6" t="s">
        <v>302</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303</v>
      </c>
      <c r="C5" s="9" t="s">
        <v>304</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305</v>
      </c>
      <c r="C6" s="9" t="s">
        <v>306</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307</v>
      </c>
      <c r="C7" s="9" t="s">
        <v>308</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309</v>
      </c>
      <c r="C8" s="9" t="s">
        <v>310</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73" customFormat="1" ht="45.75" customHeight="1" x14ac:dyDescent="0.25">
      <c r="A2" s="171"/>
      <c r="B2" s="546" t="s">
        <v>311</v>
      </c>
      <c r="C2" s="546"/>
      <c r="D2" s="546"/>
      <c r="E2" s="546"/>
      <c r="F2" s="172"/>
      <c r="G2" s="171"/>
      <c r="H2" s="171"/>
      <c r="I2" s="171"/>
      <c r="J2" s="171"/>
      <c r="K2" s="171"/>
      <c r="L2" s="171"/>
      <c r="M2" s="171"/>
      <c r="N2" s="171"/>
      <c r="O2" s="171"/>
      <c r="P2" s="171"/>
      <c r="Q2" s="171"/>
      <c r="R2" s="171"/>
      <c r="S2" s="171"/>
      <c r="T2" s="171"/>
      <c r="U2" s="171"/>
    </row>
    <row r="3" spans="1:21" s="173" customFormat="1" ht="18.75" customHeight="1" x14ac:dyDescent="0.25">
      <c r="A3" s="171"/>
      <c r="B3" s="174"/>
      <c r="C3" s="171"/>
      <c r="D3" s="171"/>
      <c r="E3" s="171"/>
      <c r="F3" s="172"/>
      <c r="G3" s="171"/>
      <c r="H3" s="171"/>
      <c r="I3" s="171"/>
      <c r="J3" s="171"/>
      <c r="K3" s="171"/>
      <c r="L3" s="171"/>
      <c r="M3" s="171"/>
      <c r="N3" s="171"/>
      <c r="O3" s="171"/>
      <c r="P3" s="171"/>
      <c r="Q3" s="171"/>
      <c r="R3" s="171"/>
      <c r="S3" s="171"/>
      <c r="T3" s="171"/>
      <c r="U3" s="171"/>
    </row>
    <row r="4" spans="1:21" ht="67.5" customHeight="1" x14ac:dyDescent="0.25">
      <c r="A4" s="66"/>
      <c r="B4" s="106"/>
      <c r="C4" s="21" t="s">
        <v>312</v>
      </c>
      <c r="D4" s="21" t="s">
        <v>313</v>
      </c>
      <c r="E4" s="21" t="s">
        <v>314</v>
      </c>
      <c r="F4" s="112"/>
      <c r="G4" s="66"/>
      <c r="H4" s="66"/>
      <c r="I4" s="66"/>
      <c r="J4" s="66"/>
      <c r="K4" s="66"/>
      <c r="L4" s="66"/>
      <c r="M4" s="66"/>
      <c r="N4" s="66"/>
      <c r="O4" s="66"/>
      <c r="P4" s="66"/>
      <c r="Q4" s="66"/>
      <c r="R4" s="66"/>
      <c r="S4" s="66"/>
      <c r="T4" s="66"/>
      <c r="U4" s="66"/>
    </row>
    <row r="5" spans="1:21" ht="67.5" customHeight="1" x14ac:dyDescent="0.25">
      <c r="A5" s="86" t="s">
        <v>315</v>
      </c>
      <c r="B5" s="22" t="s">
        <v>316</v>
      </c>
      <c r="C5" s="27" t="s">
        <v>317</v>
      </c>
      <c r="D5" s="104" t="s">
        <v>318</v>
      </c>
      <c r="E5" s="209">
        <f>908526*130</f>
        <v>118108380</v>
      </c>
      <c r="F5" s="66"/>
      <c r="G5" s="66"/>
      <c r="H5" s="66"/>
      <c r="I5" s="66"/>
      <c r="J5" s="66"/>
      <c r="K5" s="66"/>
      <c r="L5" s="66"/>
      <c r="M5" s="66"/>
      <c r="N5" s="66"/>
      <c r="O5" s="66"/>
      <c r="P5" s="66"/>
      <c r="Q5" s="66"/>
      <c r="R5" s="66"/>
      <c r="S5" s="66"/>
      <c r="T5" s="66"/>
      <c r="U5" s="66"/>
    </row>
    <row r="6" spans="1:21" ht="129" customHeight="1" x14ac:dyDescent="0.25">
      <c r="A6" s="86" t="s">
        <v>319</v>
      </c>
      <c r="B6" s="23" t="s">
        <v>320</v>
      </c>
      <c r="C6" s="28" t="s">
        <v>321</v>
      </c>
      <c r="D6" s="105" t="s">
        <v>322</v>
      </c>
      <c r="E6" s="209">
        <f>908526*650</f>
        <v>590541900</v>
      </c>
      <c r="F6" s="66"/>
      <c r="G6" s="66"/>
      <c r="H6" s="66"/>
      <c r="I6" s="66"/>
      <c r="J6" s="66"/>
      <c r="K6" s="66"/>
      <c r="L6" s="66"/>
      <c r="M6" s="66"/>
      <c r="N6" s="66"/>
      <c r="O6" s="66"/>
      <c r="P6" s="66"/>
      <c r="Q6" s="66"/>
      <c r="R6" s="66"/>
      <c r="S6" s="66"/>
      <c r="T6" s="66"/>
      <c r="U6" s="66"/>
    </row>
    <row r="7" spans="1:21" ht="101.25" x14ac:dyDescent="0.25">
      <c r="A7" s="86" t="s">
        <v>256</v>
      </c>
      <c r="B7" s="24" t="s">
        <v>323</v>
      </c>
      <c r="C7" s="28" t="s">
        <v>324</v>
      </c>
      <c r="D7" s="105" t="s">
        <v>325</v>
      </c>
      <c r="E7" s="209">
        <f>908526*1300</f>
        <v>1181083800</v>
      </c>
      <c r="F7" s="66"/>
      <c r="G7" s="66"/>
      <c r="H7" s="66"/>
      <c r="I7" s="66"/>
      <c r="J7" s="66"/>
      <c r="K7" s="66"/>
      <c r="L7" s="66"/>
      <c r="M7" s="66"/>
      <c r="N7" s="66"/>
      <c r="O7" s="66"/>
      <c r="P7" s="66"/>
      <c r="Q7" s="66"/>
      <c r="R7" s="66"/>
      <c r="S7" s="66"/>
      <c r="T7" s="66"/>
      <c r="U7" s="66"/>
    </row>
    <row r="8" spans="1:21" ht="135" x14ac:dyDescent="0.25">
      <c r="A8" s="86" t="s">
        <v>326</v>
      </c>
      <c r="B8" s="25" t="s">
        <v>327</v>
      </c>
      <c r="C8" s="28" t="s">
        <v>328</v>
      </c>
      <c r="D8" s="105" t="s">
        <v>329</v>
      </c>
      <c r="E8" s="209">
        <f>908526*6500</f>
        <v>5905419000</v>
      </c>
      <c r="F8" s="66"/>
      <c r="G8" s="66"/>
      <c r="H8" s="66"/>
      <c r="I8" s="66"/>
      <c r="J8" s="66"/>
      <c r="K8" s="66"/>
      <c r="L8" s="66"/>
      <c r="M8" s="66"/>
      <c r="N8" s="66"/>
      <c r="O8" s="66"/>
      <c r="P8" s="66"/>
      <c r="Q8" s="66"/>
      <c r="R8" s="66"/>
      <c r="S8" s="66"/>
      <c r="T8" s="66"/>
      <c r="U8" s="66"/>
    </row>
    <row r="9" spans="1:21" ht="101.25" x14ac:dyDescent="0.25">
      <c r="A9" s="86" t="s">
        <v>330</v>
      </c>
      <c r="B9" s="26" t="s">
        <v>331</v>
      </c>
      <c r="C9" s="28" t="s">
        <v>332</v>
      </c>
      <c r="D9" s="105" t="s">
        <v>333</v>
      </c>
      <c r="E9" s="209"/>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334</v>
      </c>
      <c r="C12" s="108" t="s">
        <v>335</v>
      </c>
      <c r="D12" s="108" t="s">
        <v>336</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337</v>
      </c>
      <c r="C13" s="108" t="s">
        <v>338</v>
      </c>
      <c r="D13" s="108" t="s">
        <v>339</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340</v>
      </c>
      <c r="D14" s="108" t="s">
        <v>239</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341</v>
      </c>
      <c r="D15" s="108" t="s">
        <v>342</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343</v>
      </c>
      <c r="D16" s="108" t="s">
        <v>344</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256</v>
      </c>
    </row>
    <row r="209" spans="1:8" x14ac:dyDescent="0.25">
      <c r="A209" s="66"/>
      <c r="B209" s="15"/>
      <c r="C209" s="15"/>
      <c r="D209" s="15"/>
      <c r="F209" s="114" t="s">
        <v>326</v>
      </c>
    </row>
    <row r="210" spans="1:8" ht="20.25" x14ac:dyDescent="0.25">
      <c r="A210" s="66"/>
      <c r="B210" s="16" t="s">
        <v>345</v>
      </c>
      <c r="C210" s="16" t="s">
        <v>346</v>
      </c>
      <c r="D210" s="19" t="s">
        <v>345</v>
      </c>
      <c r="E210" s="19" t="s">
        <v>346</v>
      </c>
      <c r="F210" s="114" t="s">
        <v>347</v>
      </c>
    </row>
    <row r="211" spans="1:8" ht="21" x14ac:dyDescent="0.35">
      <c r="A211" s="66"/>
      <c r="B211" s="17" t="s">
        <v>348</v>
      </c>
      <c r="C211" s="117" t="s">
        <v>349</v>
      </c>
      <c r="D211" s="116" t="s">
        <v>348</v>
      </c>
      <c r="F211" s="114" t="str">
        <f>IF(NOT(ISBLANK(D211)),D211,IF(NOT(ISBLANK(E211)),"     "&amp;E211,FALSE))</f>
        <v>Afectación Económica o presupuestal</v>
      </c>
      <c r="G211" t="s">
        <v>348</v>
      </c>
      <c r="H211" t="str">
        <f>IF(NOT(ISERROR(MATCH(G211,_xlfn.ANCHORARRAY(B222),0))),F224&amp;"Por favor no seleccionar los criterios de impacto",G211)</f>
        <v>❌Por favor no seleccionar los criterios de impacto</v>
      </c>
    </row>
    <row r="212" spans="1:8" ht="21" x14ac:dyDescent="0.35">
      <c r="A212" s="66"/>
      <c r="B212" s="17" t="s">
        <v>348</v>
      </c>
      <c r="C212" s="117" t="s">
        <v>321</v>
      </c>
      <c r="E212" t="s">
        <v>349</v>
      </c>
      <c r="F212" s="114" t="str">
        <f t="shared" ref="F212:F222" si="0">IF(NOT(ISBLANK(D212)),D212,IF(NOT(ISBLANK(E212)),"     "&amp;E212,FALSE))</f>
        <v xml:space="preserve">     Afectación menor a 130 SMLMV .</v>
      </c>
    </row>
    <row r="213" spans="1:8" ht="21" x14ac:dyDescent="0.35">
      <c r="A213" s="66"/>
      <c r="B213" s="17" t="s">
        <v>348</v>
      </c>
      <c r="C213" s="117" t="s">
        <v>324</v>
      </c>
      <c r="E213" t="s">
        <v>321</v>
      </c>
      <c r="F213" s="114" t="str">
        <f t="shared" si="0"/>
        <v xml:space="preserve">     Entre 130 y 650 SMLMV </v>
      </c>
    </row>
    <row r="214" spans="1:8" ht="21" x14ac:dyDescent="0.35">
      <c r="A214" s="66"/>
      <c r="B214" s="17" t="s">
        <v>348</v>
      </c>
      <c r="C214" s="117" t="s">
        <v>328</v>
      </c>
      <c r="E214" t="s">
        <v>324</v>
      </c>
      <c r="F214" s="114" t="str">
        <f t="shared" si="0"/>
        <v xml:space="preserve">     Entre 650 y 1300 SMLMV </v>
      </c>
    </row>
    <row r="215" spans="1:8" ht="21" x14ac:dyDescent="0.35">
      <c r="A215" s="66"/>
      <c r="B215" s="17" t="s">
        <v>348</v>
      </c>
      <c r="C215" s="117" t="s">
        <v>332</v>
      </c>
      <c r="E215" t="s">
        <v>328</v>
      </c>
      <c r="F215" s="114" t="str">
        <f t="shared" si="0"/>
        <v xml:space="preserve">     Entre 1300 y 6500 SMLMV </v>
      </c>
    </row>
    <row r="216" spans="1:8" ht="21" x14ac:dyDescent="0.35">
      <c r="A216" s="66"/>
      <c r="B216" s="17" t="s">
        <v>313</v>
      </c>
      <c r="C216" s="117" t="s">
        <v>318</v>
      </c>
      <c r="E216" t="s">
        <v>332</v>
      </c>
      <c r="F216" s="114" t="str">
        <f t="shared" si="0"/>
        <v xml:space="preserve">     Mayor a 6500 SMLMV </v>
      </c>
    </row>
    <row r="217" spans="1:8" ht="63" x14ac:dyDescent="0.35">
      <c r="A217" s="66"/>
      <c r="B217" s="17" t="s">
        <v>313</v>
      </c>
      <c r="C217" s="117" t="s">
        <v>322</v>
      </c>
      <c r="D217" s="116" t="s">
        <v>313</v>
      </c>
      <c r="F217" s="114" t="str">
        <f t="shared" si="0"/>
        <v>Pérdida Reputacional</v>
      </c>
    </row>
    <row r="218" spans="1:8" ht="42" x14ac:dyDescent="0.35">
      <c r="A218" s="66"/>
      <c r="B218" s="17" t="s">
        <v>313</v>
      </c>
      <c r="C218" s="117" t="s">
        <v>325</v>
      </c>
      <c r="D218" s="116"/>
      <c r="E218" s="118" t="s">
        <v>318</v>
      </c>
      <c r="F218" s="114" t="str">
        <f t="shared" si="0"/>
        <v xml:space="preserve">     El riesgo afecta la imagen de alguna área de la organización</v>
      </c>
    </row>
    <row r="219" spans="1:8" ht="63" x14ac:dyDescent="0.35">
      <c r="A219" s="66"/>
      <c r="B219" s="17" t="s">
        <v>313</v>
      </c>
      <c r="C219" s="117" t="s">
        <v>350</v>
      </c>
      <c r="D219" s="116"/>
      <c r="E219" s="118" t="s">
        <v>322</v>
      </c>
      <c r="F219" s="114" t="str">
        <f t="shared" si="0"/>
        <v xml:space="preserve">     El riesgo afecta la imagen de la entidad internamente, de conocimiento general, nivel interno, de junta dircetiva y accionistas y/o de provedores</v>
      </c>
    </row>
    <row r="220" spans="1:8" ht="45" x14ac:dyDescent="0.35">
      <c r="A220" s="66"/>
      <c r="B220" s="17" t="s">
        <v>313</v>
      </c>
      <c r="C220" s="117" t="s">
        <v>333</v>
      </c>
      <c r="D220" s="116"/>
      <c r="E220" s="118" t="s">
        <v>325</v>
      </c>
      <c r="F220" s="114" t="str">
        <f t="shared" si="0"/>
        <v xml:space="preserve">     El riesgo afecta la imagen de la entidad con algunos usuarios de relevancia frente al logro de los objetivos</v>
      </c>
    </row>
    <row r="221" spans="1:8" ht="45" x14ac:dyDescent="0.25">
      <c r="A221" s="66"/>
      <c r="B221" s="18"/>
      <c r="C221" s="18"/>
      <c r="D221" s="116"/>
      <c r="E221" s="118" t="s">
        <v>350</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333</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351</v>
      </c>
    </row>
    <row r="225" spans="2:6" x14ac:dyDescent="0.25">
      <c r="B225" s="14"/>
      <c r="C225" s="14"/>
      <c r="F225" s="115" t="s">
        <v>352</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47" t="s">
        <v>353</v>
      </c>
      <c r="C3" s="151" t="s">
        <v>354</v>
      </c>
      <c r="D3" s="149" t="s">
        <v>355</v>
      </c>
      <c r="AX3" t="s">
        <v>353</v>
      </c>
    </row>
    <row r="4" spans="2:50" ht="48.75" thickBot="1" x14ac:dyDescent="0.3">
      <c r="B4" s="548"/>
      <c r="C4" s="152" t="s">
        <v>356</v>
      </c>
      <c r="D4" s="150" t="s">
        <v>357</v>
      </c>
      <c r="AX4" t="s">
        <v>132</v>
      </c>
    </row>
    <row r="5" spans="2:50" ht="48.75" thickBot="1" x14ac:dyDescent="0.3">
      <c r="B5" s="548"/>
      <c r="C5" s="152" t="s">
        <v>358</v>
      </c>
      <c r="D5" s="150" t="s">
        <v>359</v>
      </c>
      <c r="AX5" t="s">
        <v>360</v>
      </c>
    </row>
    <row r="6" spans="2:50" ht="36.75" thickBot="1" x14ac:dyDescent="0.3">
      <c r="B6" s="549"/>
      <c r="C6" s="152" t="s">
        <v>361</v>
      </c>
      <c r="D6" s="150" t="s">
        <v>362</v>
      </c>
    </row>
    <row r="7" spans="2:50" ht="36.75" thickBot="1" x14ac:dyDescent="0.3">
      <c r="B7" s="547" t="s">
        <v>132</v>
      </c>
      <c r="C7" s="152" t="s">
        <v>363</v>
      </c>
      <c r="D7" s="150" t="s">
        <v>364</v>
      </c>
    </row>
    <row r="8" spans="2:50" ht="108.75" thickBot="1" x14ac:dyDescent="0.3">
      <c r="B8" s="548"/>
      <c r="C8" s="152" t="s">
        <v>365</v>
      </c>
      <c r="D8" s="150" t="s">
        <v>366</v>
      </c>
    </row>
    <row r="9" spans="2:50" ht="48.75" thickBot="1" x14ac:dyDescent="0.3">
      <c r="B9" s="549"/>
      <c r="C9" s="152" t="s">
        <v>136</v>
      </c>
      <c r="D9" s="150" t="s">
        <v>367</v>
      </c>
    </row>
    <row r="10" spans="2:50" x14ac:dyDescent="0.25">
      <c r="B10" s="547" t="s">
        <v>360</v>
      </c>
      <c r="C10" s="153"/>
      <c r="D10" s="550" t="s">
        <v>368</v>
      </c>
    </row>
    <row r="11" spans="2:50" x14ac:dyDescent="0.25">
      <c r="B11" s="548"/>
      <c r="C11" s="153" t="s">
        <v>139</v>
      </c>
      <c r="D11" s="551"/>
    </row>
    <row r="12" spans="2:50" ht="15.75" thickBot="1" x14ac:dyDescent="0.3">
      <c r="B12" s="548"/>
      <c r="C12" s="152"/>
      <c r="D12" s="552"/>
    </row>
    <row r="13" spans="2:50" ht="22.5" customHeight="1" x14ac:dyDescent="0.25">
      <c r="B13" s="548"/>
      <c r="C13" s="153"/>
      <c r="D13" s="550" t="s">
        <v>369</v>
      </c>
    </row>
    <row r="14" spans="2:50" ht="22.5" customHeight="1" x14ac:dyDescent="0.25">
      <c r="B14" s="548"/>
      <c r="C14" s="153" t="s">
        <v>138</v>
      </c>
      <c r="D14" s="551"/>
    </row>
    <row r="15" spans="2:50" ht="22.5" customHeight="1" thickBot="1" x14ac:dyDescent="0.3">
      <c r="B15" s="548"/>
      <c r="C15" s="152"/>
      <c r="D15" s="552"/>
    </row>
    <row r="16" spans="2:50" ht="25.5" customHeight="1" x14ac:dyDescent="0.25">
      <c r="B16" s="548"/>
      <c r="C16" s="153"/>
      <c r="D16" s="550" t="s">
        <v>370</v>
      </c>
    </row>
    <row r="17" spans="2:4" ht="25.5" customHeight="1" x14ac:dyDescent="0.25">
      <c r="B17" s="548"/>
      <c r="C17" s="153" t="s">
        <v>140</v>
      </c>
      <c r="D17" s="551"/>
    </row>
    <row r="18" spans="2:4" ht="25.5" customHeight="1" thickBot="1" x14ac:dyDescent="0.3">
      <c r="B18" s="549"/>
      <c r="C18" s="152"/>
      <c r="D18" s="552"/>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64" t="s">
        <v>371</v>
      </c>
    </row>
    <row r="2" spans="3:6" ht="15.75" thickBot="1" x14ac:dyDescent="0.3">
      <c r="C2" s="162" t="s">
        <v>372</v>
      </c>
      <c r="E2" s="165" t="s">
        <v>145</v>
      </c>
      <c r="F2" s="166" t="s">
        <v>146</v>
      </c>
    </row>
    <row r="3" spans="3:6" ht="15.75" thickBot="1" x14ac:dyDescent="0.3">
      <c r="C3" s="162" t="s">
        <v>373</v>
      </c>
      <c r="E3" s="315" t="s">
        <v>144</v>
      </c>
      <c r="F3" s="158" t="s">
        <v>148</v>
      </c>
    </row>
    <row r="4" spans="3:6" ht="15.75" thickBot="1" x14ac:dyDescent="0.3">
      <c r="C4" s="162" t="s">
        <v>374</v>
      </c>
      <c r="E4" s="313"/>
      <c r="F4" s="158" t="s">
        <v>150</v>
      </c>
    </row>
    <row r="5" spans="3:6" ht="15.75" thickBot="1" x14ac:dyDescent="0.3">
      <c r="C5" s="162" t="s">
        <v>375</v>
      </c>
      <c r="E5" s="313"/>
      <c r="F5" s="158" t="s">
        <v>152</v>
      </c>
    </row>
    <row r="6" spans="3:6" ht="15.75" thickBot="1" x14ac:dyDescent="0.3">
      <c r="C6" s="162" t="s">
        <v>376</v>
      </c>
      <c r="E6" s="313"/>
      <c r="F6" s="158" t="s">
        <v>154</v>
      </c>
    </row>
    <row r="7" spans="3:6" ht="15.75" thickBot="1" x14ac:dyDescent="0.3">
      <c r="C7" s="163" t="s">
        <v>377</v>
      </c>
      <c r="E7" s="313"/>
      <c r="F7" s="158" t="s">
        <v>155</v>
      </c>
    </row>
    <row r="8" spans="3:6" ht="15.75" thickBot="1" x14ac:dyDescent="0.3">
      <c r="C8" s="162" t="s">
        <v>378</v>
      </c>
      <c r="E8" s="314"/>
      <c r="F8" s="158" t="s">
        <v>156</v>
      </c>
    </row>
    <row r="9" spans="3:6" ht="15.75" thickBot="1" x14ac:dyDescent="0.3">
      <c r="C9" s="162" t="s">
        <v>379</v>
      </c>
      <c r="E9" s="312" t="s">
        <v>153</v>
      </c>
      <c r="F9" s="158" t="s">
        <v>157</v>
      </c>
    </row>
    <row r="10" spans="3:6" ht="15.75" thickBot="1" x14ac:dyDescent="0.3">
      <c r="C10" s="161" t="s">
        <v>380</v>
      </c>
      <c r="E10" s="313"/>
      <c r="F10" s="158" t="s">
        <v>158</v>
      </c>
    </row>
    <row r="11" spans="3:6" ht="15.75" thickBot="1" x14ac:dyDescent="0.3">
      <c r="C11" s="237" t="s">
        <v>381</v>
      </c>
      <c r="E11" s="313"/>
      <c r="F11" s="158" t="s">
        <v>159</v>
      </c>
    </row>
    <row r="12" spans="3:6" ht="15.75" thickBot="1" x14ac:dyDescent="0.3">
      <c r="E12" s="313"/>
      <c r="F12" s="158" t="s">
        <v>160</v>
      </c>
    </row>
    <row r="13" spans="3:6" ht="15.75" thickBot="1" x14ac:dyDescent="0.3">
      <c r="E13" s="314"/>
      <c r="F13" s="158" t="s">
        <v>161</v>
      </c>
    </row>
    <row r="14" spans="3:6" ht="24.75" thickBot="1" x14ac:dyDescent="0.3">
      <c r="E14" s="312" t="s">
        <v>149</v>
      </c>
      <c r="F14" s="158" t="s">
        <v>162</v>
      </c>
    </row>
    <row r="15" spans="3:6" ht="15.75" thickBot="1" x14ac:dyDescent="0.3">
      <c r="E15" s="313"/>
      <c r="F15" s="158" t="s">
        <v>163</v>
      </c>
    </row>
    <row r="16" spans="3:6" ht="15.75" thickBot="1" x14ac:dyDescent="0.3">
      <c r="E16" s="314"/>
      <c r="F16" s="158" t="s">
        <v>164</v>
      </c>
    </row>
    <row r="17" spans="5:6" ht="15.75" thickBot="1" x14ac:dyDescent="0.3">
      <c r="E17" s="312" t="s">
        <v>151</v>
      </c>
      <c r="F17" s="158" t="s">
        <v>165</v>
      </c>
    </row>
    <row r="18" spans="5:6" ht="15.75" thickBot="1" x14ac:dyDescent="0.3">
      <c r="E18" s="313"/>
      <c r="F18" s="158" t="s">
        <v>166</v>
      </c>
    </row>
    <row r="19" spans="5:6" ht="15.75" thickBot="1" x14ac:dyDescent="0.3">
      <c r="E19" s="314"/>
      <c r="F19" s="158" t="s">
        <v>167</v>
      </c>
    </row>
    <row r="20" spans="5:6" ht="24.75" thickBot="1" x14ac:dyDescent="0.3">
      <c r="E20" s="312" t="s">
        <v>142</v>
      </c>
      <c r="F20" s="158" t="s">
        <v>168</v>
      </c>
    </row>
    <row r="21" spans="5:6" ht="15.75" thickBot="1" x14ac:dyDescent="0.3">
      <c r="E21" s="313"/>
      <c r="F21" s="158" t="s">
        <v>169</v>
      </c>
    </row>
    <row r="22" spans="5:6" ht="15.75" thickBot="1" x14ac:dyDescent="0.3">
      <c r="E22" s="313"/>
      <c r="F22" s="158" t="s">
        <v>170</v>
      </c>
    </row>
    <row r="23" spans="5:6" ht="15.75" thickBot="1" x14ac:dyDescent="0.3">
      <c r="E23" s="313"/>
      <c r="F23" s="158" t="s">
        <v>171</v>
      </c>
    </row>
    <row r="24" spans="5:6" ht="15.75" thickBot="1" x14ac:dyDescent="0.3">
      <c r="E24" s="313"/>
      <c r="F24" s="158" t="s">
        <v>172</v>
      </c>
    </row>
    <row r="25" spans="5:6" ht="24.75" thickBot="1" x14ac:dyDescent="0.3">
      <c r="E25" s="313"/>
      <c r="F25" s="158" t="s">
        <v>173</v>
      </c>
    </row>
    <row r="26" spans="5:6" ht="15.75" thickBot="1" x14ac:dyDescent="0.3">
      <c r="E26" s="313"/>
      <c r="F26" s="158" t="s">
        <v>174</v>
      </c>
    </row>
    <row r="27" spans="5:6" ht="24.75" thickBot="1" x14ac:dyDescent="0.3">
      <c r="E27" s="313"/>
      <c r="F27" s="158" t="s">
        <v>175</v>
      </c>
    </row>
    <row r="28" spans="5:6" ht="15.75" thickBot="1" x14ac:dyDescent="0.3">
      <c r="E28" s="313"/>
      <c r="F28" s="158" t="s">
        <v>176</v>
      </c>
    </row>
    <row r="29" spans="5:6" ht="15.75" thickBot="1" x14ac:dyDescent="0.3">
      <c r="E29" s="313"/>
      <c r="F29" s="158" t="s">
        <v>177</v>
      </c>
    </row>
    <row r="30" spans="5:6" ht="15.75" thickBot="1" x14ac:dyDescent="0.3">
      <c r="E30" s="314"/>
      <c r="F30" s="158" t="s">
        <v>178</v>
      </c>
    </row>
    <row r="31" spans="5:6" ht="15.75" thickBot="1" x14ac:dyDescent="0.3">
      <c r="E31" s="312" t="s">
        <v>147</v>
      </c>
      <c r="F31" s="158" t="s">
        <v>179</v>
      </c>
    </row>
    <row r="32" spans="5:6" ht="15.75" thickBot="1" x14ac:dyDescent="0.3">
      <c r="E32" s="313"/>
      <c r="F32" s="158" t="s">
        <v>180</v>
      </c>
    </row>
    <row r="33" spans="5:6" ht="15.75" thickBot="1" x14ac:dyDescent="0.3">
      <c r="E33" s="313"/>
      <c r="F33" s="158" t="s">
        <v>181</v>
      </c>
    </row>
    <row r="34" spans="5:6" ht="15.75" thickBot="1" x14ac:dyDescent="0.3">
      <c r="E34" s="313"/>
      <c r="F34" s="158" t="s">
        <v>182</v>
      </c>
    </row>
    <row r="35" spans="5:6" ht="24.75" thickBot="1" x14ac:dyDescent="0.3">
      <c r="E35" s="314"/>
      <c r="F35" s="158" t="s">
        <v>183</v>
      </c>
    </row>
    <row r="36" spans="5:6" ht="15.75" thickBot="1" x14ac:dyDescent="0.3">
      <c r="E36" s="312" t="s">
        <v>141</v>
      </c>
      <c r="F36" s="158" t="s">
        <v>184</v>
      </c>
    </row>
    <row r="37" spans="5:6" ht="15.75" thickBot="1" x14ac:dyDescent="0.3">
      <c r="E37" s="313"/>
      <c r="F37" s="158" t="s">
        <v>185</v>
      </c>
    </row>
    <row r="38" spans="5:6" ht="15.75" thickBot="1" x14ac:dyDescent="0.3">
      <c r="E38" s="313"/>
      <c r="F38" s="158" t="s">
        <v>186</v>
      </c>
    </row>
    <row r="39" spans="5:6" ht="15.75" thickBot="1" x14ac:dyDescent="0.3">
      <c r="E39" s="313"/>
      <c r="F39" s="158" t="s">
        <v>187</v>
      </c>
    </row>
    <row r="40" spans="5:6" ht="15.75" thickBot="1" x14ac:dyDescent="0.3">
      <c r="E40" s="314"/>
      <c r="F40" s="158" t="s">
        <v>188</v>
      </c>
    </row>
    <row r="41" spans="5:6" ht="15.75" thickBot="1" x14ac:dyDescent="0.3">
      <c r="E41" s="312" t="s">
        <v>143</v>
      </c>
      <c r="F41" s="158" t="s">
        <v>189</v>
      </c>
    </row>
    <row r="42" spans="5:6" ht="15.75" thickBot="1" x14ac:dyDescent="0.3">
      <c r="E42" s="313"/>
      <c r="F42" s="158" t="s">
        <v>190</v>
      </c>
    </row>
    <row r="43" spans="5:6" ht="15.75" thickBot="1" x14ac:dyDescent="0.3">
      <c r="E43" s="313"/>
      <c r="F43" s="158" t="s">
        <v>191</v>
      </c>
    </row>
    <row r="44" spans="5:6" ht="15.75" thickBot="1" x14ac:dyDescent="0.3">
      <c r="E44" s="313"/>
      <c r="F44" s="158" t="s">
        <v>192</v>
      </c>
    </row>
    <row r="45" spans="5:6" ht="24.75" thickBot="1" x14ac:dyDescent="0.3">
      <c r="E45" s="314"/>
      <c r="F45" s="158" t="s">
        <v>193</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W97" zoomScale="24"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53" t="s">
        <v>382</v>
      </c>
      <c r="C1" s="554"/>
      <c r="D1" s="554"/>
      <c r="E1" s="554"/>
      <c r="F1" s="555"/>
    </row>
    <row r="2" spans="2:6" ht="16.5" thickBot="1" x14ac:dyDescent="0.3">
      <c r="B2" s="72"/>
      <c r="C2" s="72"/>
      <c r="D2" s="72"/>
      <c r="E2" s="72"/>
      <c r="F2" s="72"/>
    </row>
    <row r="3" spans="2:6" ht="16.5" thickBot="1" x14ac:dyDescent="0.25">
      <c r="B3" s="557" t="s">
        <v>383</v>
      </c>
      <c r="C3" s="558"/>
      <c r="D3" s="558"/>
      <c r="E3" s="84" t="s">
        <v>384</v>
      </c>
      <c r="F3" s="85" t="s">
        <v>385</v>
      </c>
    </row>
    <row r="4" spans="2:6" ht="31.5" x14ac:dyDescent="0.2">
      <c r="B4" s="559" t="s">
        <v>386</v>
      </c>
      <c r="C4" s="561" t="s">
        <v>233</v>
      </c>
      <c r="D4" s="73" t="s">
        <v>240</v>
      </c>
      <c r="E4" s="74" t="s">
        <v>387</v>
      </c>
      <c r="F4" s="75">
        <v>0.25</v>
      </c>
    </row>
    <row r="5" spans="2:6" ht="47.25" x14ac:dyDescent="0.2">
      <c r="B5" s="560"/>
      <c r="C5" s="562"/>
      <c r="D5" s="76" t="s">
        <v>245</v>
      </c>
      <c r="E5" s="77" t="s">
        <v>388</v>
      </c>
      <c r="F5" s="78">
        <v>0.15</v>
      </c>
    </row>
    <row r="6" spans="2:6" ht="47.25" x14ac:dyDescent="0.2">
      <c r="B6" s="560"/>
      <c r="C6" s="562"/>
      <c r="D6" s="76" t="s">
        <v>267</v>
      </c>
      <c r="E6" s="77" t="s">
        <v>389</v>
      </c>
      <c r="F6" s="78">
        <v>0.1</v>
      </c>
    </row>
    <row r="7" spans="2:6" ht="63" x14ac:dyDescent="0.2">
      <c r="B7" s="560"/>
      <c r="C7" s="562" t="s">
        <v>234</v>
      </c>
      <c r="D7" s="76" t="s">
        <v>390</v>
      </c>
      <c r="E7" s="77" t="s">
        <v>391</v>
      </c>
      <c r="F7" s="78">
        <v>0.25</v>
      </c>
    </row>
    <row r="8" spans="2:6" ht="31.5" x14ac:dyDescent="0.2">
      <c r="B8" s="560"/>
      <c r="C8" s="562"/>
      <c r="D8" s="76" t="s">
        <v>241</v>
      </c>
      <c r="E8" s="77" t="s">
        <v>392</v>
      </c>
      <c r="F8" s="78">
        <v>0.15</v>
      </c>
    </row>
    <row r="9" spans="2:6" ht="47.25" x14ac:dyDescent="0.2">
      <c r="B9" s="560" t="s">
        <v>393</v>
      </c>
      <c r="C9" s="562" t="s">
        <v>236</v>
      </c>
      <c r="D9" s="76" t="s">
        <v>242</v>
      </c>
      <c r="E9" s="77" t="s">
        <v>394</v>
      </c>
      <c r="F9" s="79" t="s">
        <v>395</v>
      </c>
    </row>
    <row r="10" spans="2:6" ht="63" x14ac:dyDescent="0.2">
      <c r="B10" s="560"/>
      <c r="C10" s="562"/>
      <c r="D10" s="76" t="s">
        <v>246</v>
      </c>
      <c r="E10" s="77" t="s">
        <v>396</v>
      </c>
      <c r="F10" s="79" t="s">
        <v>395</v>
      </c>
    </row>
    <row r="11" spans="2:6" ht="47.25" x14ac:dyDescent="0.2">
      <c r="B11" s="560"/>
      <c r="C11" s="562" t="s">
        <v>237</v>
      </c>
      <c r="D11" s="76" t="s">
        <v>243</v>
      </c>
      <c r="E11" s="77" t="s">
        <v>397</v>
      </c>
      <c r="F11" s="79" t="s">
        <v>395</v>
      </c>
    </row>
    <row r="12" spans="2:6" ht="47.25" x14ac:dyDescent="0.2">
      <c r="B12" s="560"/>
      <c r="C12" s="562"/>
      <c r="D12" s="76" t="s">
        <v>398</v>
      </c>
      <c r="E12" s="77" t="s">
        <v>399</v>
      </c>
      <c r="F12" s="79" t="s">
        <v>395</v>
      </c>
    </row>
    <row r="13" spans="2:6" ht="31.5" x14ac:dyDescent="0.2">
      <c r="B13" s="560"/>
      <c r="C13" s="562" t="s">
        <v>238</v>
      </c>
      <c r="D13" s="76" t="s">
        <v>244</v>
      </c>
      <c r="E13" s="77" t="s">
        <v>400</v>
      </c>
      <c r="F13" s="79" t="s">
        <v>395</v>
      </c>
    </row>
    <row r="14" spans="2:6" ht="32.25" thickBot="1" x14ac:dyDescent="0.25">
      <c r="B14" s="563"/>
      <c r="C14" s="564"/>
      <c r="D14" s="80" t="s">
        <v>401</v>
      </c>
      <c r="E14" s="81" t="s">
        <v>402</v>
      </c>
      <c r="F14" s="82" t="s">
        <v>395</v>
      </c>
    </row>
    <row r="15" spans="2:6" ht="49.5" customHeight="1" x14ac:dyDescent="0.2">
      <c r="B15" s="556" t="s">
        <v>403</v>
      </c>
      <c r="C15" s="556"/>
      <c r="D15" s="556"/>
      <c r="E15" s="556"/>
      <c r="F15" s="556"/>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240</v>
      </c>
    </row>
    <row r="4" spans="1:1" x14ac:dyDescent="0.2">
      <c r="A4" s="2" t="s">
        <v>245</v>
      </c>
    </row>
    <row r="5" spans="1:1" x14ac:dyDescent="0.2">
      <c r="A5" s="2" t="s">
        <v>267</v>
      </c>
    </row>
    <row r="6" spans="1:1" x14ac:dyDescent="0.2">
      <c r="A6" s="2" t="s">
        <v>390</v>
      </c>
    </row>
    <row r="7" spans="1:1" x14ac:dyDescent="0.2">
      <c r="A7" s="2" t="s">
        <v>241</v>
      </c>
    </row>
    <row r="8" spans="1:1" x14ac:dyDescent="0.2">
      <c r="A8" s="2" t="s">
        <v>242</v>
      </c>
    </row>
    <row r="9" spans="1:1" x14ac:dyDescent="0.2">
      <c r="A9" s="2" t="s">
        <v>246</v>
      </c>
    </row>
    <row r="10" spans="1:1" x14ac:dyDescent="0.2">
      <c r="A10" s="2" t="s">
        <v>243</v>
      </c>
    </row>
    <row r="11" spans="1:1" x14ac:dyDescent="0.2">
      <c r="A11" s="2" t="s">
        <v>398</v>
      </c>
    </row>
    <row r="12" spans="1:1" x14ac:dyDescent="0.2">
      <c r="A12" s="2" t="s">
        <v>404</v>
      </c>
    </row>
    <row r="13" spans="1:1" x14ac:dyDescent="0.2">
      <c r="A13" s="2" t="s">
        <v>405</v>
      </c>
    </row>
    <row r="14" spans="1:1" x14ac:dyDescent="0.2">
      <c r="A14" s="2" t="s">
        <v>406</v>
      </c>
    </row>
    <row r="16" spans="1:1" x14ac:dyDescent="0.2">
      <c r="A16" s="2" t="s">
        <v>407</v>
      </c>
    </row>
    <row r="17" spans="1:1" x14ac:dyDescent="0.2">
      <c r="A17" s="2" t="s">
        <v>103</v>
      </c>
    </row>
    <row r="18" spans="1:1" x14ac:dyDescent="0.2">
      <c r="A18" s="2" t="s">
        <v>105</v>
      </c>
    </row>
    <row r="20" spans="1:1" x14ac:dyDescent="0.2">
      <c r="A20" s="2" t="s">
        <v>115</v>
      </c>
    </row>
    <row r="21" spans="1:1" x14ac:dyDescent="0.2">
      <c r="A21" s="2"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C10" zoomScale="50" zoomScaleNormal="50" workbookViewId="0">
      <selection activeCell="D9" sqref="D9"/>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3"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01" t="s">
        <v>90</v>
      </c>
      <c r="C2" s="301"/>
      <c r="D2" s="301"/>
      <c r="E2" s="302"/>
      <c r="F2" s="306" t="s">
        <v>91</v>
      </c>
    </row>
    <row r="3" spans="1:6" s="129" customFormat="1" ht="40.5" customHeight="1" thickBot="1" x14ac:dyDescent="0.4">
      <c r="A3" s="125"/>
      <c r="B3" s="303" t="s">
        <v>92</v>
      </c>
      <c r="C3" s="126" t="s">
        <v>93</v>
      </c>
      <c r="D3" s="127" t="s">
        <v>94</v>
      </c>
      <c r="E3" s="128" t="s">
        <v>95</v>
      </c>
      <c r="F3" s="307"/>
    </row>
    <row r="4" spans="1:6" s="129" customFormat="1" ht="228.75" customHeight="1" thickBot="1" x14ac:dyDescent="0.4">
      <c r="A4" s="125"/>
      <c r="B4" s="304"/>
      <c r="C4" s="130" t="s">
        <v>96</v>
      </c>
      <c r="D4" s="308" t="s">
        <v>518</v>
      </c>
      <c r="E4" s="308" t="s">
        <v>519</v>
      </c>
      <c r="F4" s="310" t="s">
        <v>520</v>
      </c>
    </row>
    <row r="5" spans="1:6" s="129" customFormat="1" ht="283.5" customHeight="1" thickBot="1" x14ac:dyDescent="0.4">
      <c r="A5" s="125"/>
      <c r="B5" s="304"/>
      <c r="C5" s="131" t="s">
        <v>97</v>
      </c>
      <c r="D5" s="309"/>
      <c r="E5" s="309"/>
      <c r="F5" s="311"/>
    </row>
    <row r="6" spans="1:6" s="129" customFormat="1" ht="409.5" customHeight="1" thickBot="1" x14ac:dyDescent="0.4">
      <c r="A6" s="125"/>
      <c r="B6" s="304"/>
      <c r="C6" s="133" t="s">
        <v>98</v>
      </c>
      <c r="D6" s="134" t="s">
        <v>552</v>
      </c>
      <c r="E6" s="134" t="s">
        <v>521</v>
      </c>
      <c r="F6" s="254" t="s">
        <v>522</v>
      </c>
    </row>
    <row r="7" spans="1:6" s="129" customFormat="1" ht="154.5" customHeight="1" thickBot="1" x14ac:dyDescent="0.4">
      <c r="A7" s="125"/>
      <c r="B7" s="304"/>
      <c r="C7" s="135" t="s">
        <v>99</v>
      </c>
      <c r="D7" s="132" t="s">
        <v>523</v>
      </c>
      <c r="E7" s="132" t="s">
        <v>524</v>
      </c>
      <c r="F7" s="255" t="s">
        <v>525</v>
      </c>
    </row>
    <row r="8" spans="1:6" s="129" customFormat="1" ht="289.5" thickBot="1" x14ac:dyDescent="0.4">
      <c r="A8" s="125"/>
      <c r="B8" s="304"/>
      <c r="C8" s="136" t="s">
        <v>100</v>
      </c>
      <c r="D8" s="134" t="s">
        <v>526</v>
      </c>
      <c r="E8" s="256" t="s">
        <v>527</v>
      </c>
      <c r="F8" s="257" t="s">
        <v>528</v>
      </c>
    </row>
    <row r="9" spans="1:6" s="129" customFormat="1" ht="342" thickBot="1" x14ac:dyDescent="0.4">
      <c r="A9" s="125"/>
      <c r="B9" s="304"/>
      <c r="C9" s="135" t="s">
        <v>101</v>
      </c>
      <c r="D9" s="132" t="s">
        <v>529</v>
      </c>
      <c r="E9" s="258" t="s">
        <v>530</v>
      </c>
      <c r="F9" s="255" t="s">
        <v>531</v>
      </c>
    </row>
    <row r="10" spans="1:6" s="139" customFormat="1" ht="409.6" thickBot="1" x14ac:dyDescent="0.4">
      <c r="A10" s="137"/>
      <c r="B10" s="304"/>
      <c r="C10" s="138" t="s">
        <v>102</v>
      </c>
      <c r="D10" s="132" t="s">
        <v>532</v>
      </c>
      <c r="E10" s="134" t="s">
        <v>533</v>
      </c>
      <c r="F10" s="255" t="s">
        <v>534</v>
      </c>
    </row>
    <row r="11" spans="1:6" s="139" customFormat="1" ht="303" thickBot="1" x14ac:dyDescent="0.4">
      <c r="A11" s="137"/>
      <c r="B11" s="305"/>
      <c r="C11" s="140"/>
      <c r="D11" s="259" t="s">
        <v>535</v>
      </c>
      <c r="E11" s="260" t="s">
        <v>536</v>
      </c>
      <c r="F11" s="261" t="s">
        <v>537</v>
      </c>
    </row>
    <row r="12" spans="1:6" ht="27" x14ac:dyDescent="0.35">
      <c r="D12" s="141"/>
      <c r="E12" s="142"/>
    </row>
    <row r="17" spans="4:4" x14ac:dyDescent="0.35">
      <c r="D17" s="122"/>
    </row>
    <row r="18" spans="4:4" x14ac:dyDescent="0.35">
      <c r="D18" s="122"/>
    </row>
    <row r="19" spans="4:4" x14ac:dyDescent="0.35">
      <c r="D19" s="122"/>
    </row>
  </sheetData>
  <mergeCells count="6">
    <mergeCell ref="B2:E2"/>
    <mergeCell ref="B3:B11"/>
    <mergeCell ref="F2:F3"/>
    <mergeCell ref="D4:D5"/>
    <mergeCell ref="E4:E5"/>
    <mergeCell ref="F4:F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71"/>
  <sheetViews>
    <sheetView topLeftCell="A76"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103</v>
      </c>
      <c r="E2" t="s">
        <v>104</v>
      </c>
    </row>
    <row r="3" spans="1:8" x14ac:dyDescent="0.25">
      <c r="B3" t="s">
        <v>105</v>
      </c>
      <c r="E3" t="s">
        <v>106</v>
      </c>
    </row>
    <row r="4" spans="1:8" x14ac:dyDescent="0.25">
      <c r="B4" t="s">
        <v>107</v>
      </c>
      <c r="E4" t="s">
        <v>108</v>
      </c>
    </row>
    <row r="5" spans="1:8" x14ac:dyDescent="0.25">
      <c r="B5" t="s">
        <v>109</v>
      </c>
    </row>
    <row r="7" spans="1:8" x14ac:dyDescent="0.25">
      <c r="F7" t="s">
        <v>110</v>
      </c>
      <c r="H7" t="s">
        <v>111</v>
      </c>
    </row>
    <row r="8" spans="1:8" x14ac:dyDescent="0.25">
      <c r="B8" t="s">
        <v>112</v>
      </c>
      <c r="F8" t="s">
        <v>113</v>
      </c>
      <c r="H8" t="s">
        <v>114</v>
      </c>
    </row>
    <row r="9" spans="1:8" x14ac:dyDescent="0.25">
      <c r="B9" t="s">
        <v>115</v>
      </c>
      <c r="F9" t="s">
        <v>116</v>
      </c>
      <c r="H9" t="s">
        <v>117</v>
      </c>
    </row>
    <row r="10" spans="1:8" ht="15.75" thickBot="1" x14ac:dyDescent="0.3">
      <c r="B10" t="s">
        <v>118</v>
      </c>
      <c r="H10" t="s">
        <v>119</v>
      </c>
    </row>
    <row r="11" spans="1:8" ht="15.75" thickBot="1" x14ac:dyDescent="0.3">
      <c r="A11" s="225" t="s">
        <v>23</v>
      </c>
      <c r="B11" s="226"/>
      <c r="C11" s="227"/>
      <c r="D11" s="228"/>
      <c r="H11" t="s">
        <v>120</v>
      </c>
    </row>
    <row r="12" spans="1:8" x14ac:dyDescent="0.25">
      <c r="A12" s="214" t="s">
        <v>121</v>
      </c>
      <c r="B12" s="215" t="s">
        <v>122</v>
      </c>
      <c r="D12" s="216"/>
      <c r="H12" t="s">
        <v>123</v>
      </c>
    </row>
    <row r="13" spans="1:8" x14ac:dyDescent="0.25">
      <c r="A13" s="214"/>
      <c r="B13" s="215" t="s">
        <v>124</v>
      </c>
      <c r="D13" s="216"/>
      <c r="H13" t="s">
        <v>125</v>
      </c>
    </row>
    <row r="14" spans="1:8" x14ac:dyDescent="0.25">
      <c r="A14" s="214"/>
      <c r="B14" s="215" t="s">
        <v>126</v>
      </c>
      <c r="D14" s="216"/>
      <c r="H14" t="s">
        <v>127</v>
      </c>
    </row>
    <row r="15" spans="1:8" x14ac:dyDescent="0.25">
      <c r="A15" s="214"/>
      <c r="B15" s="215" t="s">
        <v>128</v>
      </c>
      <c r="D15" s="216"/>
      <c r="H15" t="s">
        <v>129</v>
      </c>
    </row>
    <row r="16" spans="1:8" x14ac:dyDescent="0.25">
      <c r="A16" s="214"/>
      <c r="B16" s="215" t="s">
        <v>130</v>
      </c>
      <c r="D16" s="216"/>
      <c r="H16" t="s">
        <v>131</v>
      </c>
    </row>
    <row r="17" spans="1:8" x14ac:dyDescent="0.25">
      <c r="A17" s="217" t="s">
        <v>132</v>
      </c>
      <c r="B17" s="218" t="s">
        <v>133</v>
      </c>
      <c r="D17" s="216"/>
      <c r="H17" t="s">
        <v>134</v>
      </c>
    </row>
    <row r="18" spans="1:8" x14ac:dyDescent="0.25">
      <c r="A18" s="217"/>
      <c r="B18" s="218" t="s">
        <v>135</v>
      </c>
      <c r="D18" s="216"/>
      <c r="H18" t="s">
        <v>123</v>
      </c>
    </row>
    <row r="19" spans="1:8" x14ac:dyDescent="0.25">
      <c r="A19" s="217"/>
      <c r="B19" s="218" t="s">
        <v>136</v>
      </c>
      <c r="D19" s="216"/>
    </row>
    <row r="20" spans="1:8" x14ac:dyDescent="0.25">
      <c r="A20" s="219" t="s">
        <v>137</v>
      </c>
      <c r="B20" s="220" t="s">
        <v>138</v>
      </c>
      <c r="D20" s="216"/>
    </row>
    <row r="21" spans="1:8" x14ac:dyDescent="0.25">
      <c r="A21" s="219"/>
      <c r="B21" s="220" t="s">
        <v>139</v>
      </c>
      <c r="D21" s="216"/>
    </row>
    <row r="22" spans="1:8" ht="15.75" thickBot="1" x14ac:dyDescent="0.3">
      <c r="A22" s="221"/>
      <c r="B22" s="222" t="s">
        <v>140</v>
      </c>
      <c r="C22" s="223"/>
      <c r="D22" s="224"/>
    </row>
    <row r="25" spans="1:8" x14ac:dyDescent="0.25">
      <c r="B25" t="s">
        <v>141</v>
      </c>
    </row>
    <row r="26" spans="1:8" x14ac:dyDescent="0.25">
      <c r="B26" t="s">
        <v>142</v>
      </c>
    </row>
    <row r="27" spans="1:8" ht="15.75" thickBot="1" x14ac:dyDescent="0.3">
      <c r="B27" t="s">
        <v>143</v>
      </c>
    </row>
    <row r="28" spans="1:8" ht="15.75" thickBot="1" x14ac:dyDescent="0.3">
      <c r="B28" t="s">
        <v>144</v>
      </c>
      <c r="F28" s="156" t="s">
        <v>145</v>
      </c>
      <c r="G28" s="157" t="s">
        <v>146</v>
      </c>
    </row>
    <row r="29" spans="1:8" ht="15.75" thickBot="1" x14ac:dyDescent="0.3">
      <c r="B29" t="s">
        <v>147</v>
      </c>
      <c r="F29" s="315" t="s">
        <v>144</v>
      </c>
      <c r="G29" s="158" t="s">
        <v>148</v>
      </c>
    </row>
    <row r="30" spans="1:8" ht="15.75" thickBot="1" x14ac:dyDescent="0.3">
      <c r="B30" t="s">
        <v>149</v>
      </c>
      <c r="F30" s="313"/>
      <c r="G30" s="158" t="s">
        <v>150</v>
      </c>
    </row>
    <row r="31" spans="1:8" ht="15.75" thickBot="1" x14ac:dyDescent="0.3">
      <c r="B31" t="s">
        <v>151</v>
      </c>
      <c r="F31" s="313"/>
      <c r="G31" s="158" t="s">
        <v>152</v>
      </c>
    </row>
    <row r="32" spans="1:8" ht="15.75" thickBot="1" x14ac:dyDescent="0.3">
      <c r="B32" t="s">
        <v>153</v>
      </c>
      <c r="F32" s="313"/>
      <c r="G32" s="158" t="s">
        <v>154</v>
      </c>
    </row>
    <row r="33" spans="6:7" ht="15.75" thickBot="1" x14ac:dyDescent="0.3">
      <c r="F33" s="313"/>
      <c r="G33" s="158" t="s">
        <v>155</v>
      </c>
    </row>
    <row r="34" spans="6:7" ht="15.75" thickBot="1" x14ac:dyDescent="0.3">
      <c r="F34" s="314"/>
      <c r="G34" s="158" t="s">
        <v>156</v>
      </c>
    </row>
    <row r="35" spans="6:7" ht="15.75" thickBot="1" x14ac:dyDescent="0.3">
      <c r="F35" s="312" t="s">
        <v>153</v>
      </c>
      <c r="G35" s="158" t="s">
        <v>157</v>
      </c>
    </row>
    <row r="36" spans="6:7" ht="15.75" thickBot="1" x14ac:dyDescent="0.3">
      <c r="F36" s="313"/>
      <c r="G36" s="158" t="s">
        <v>158</v>
      </c>
    </row>
    <row r="37" spans="6:7" ht="15.75" thickBot="1" x14ac:dyDescent="0.3">
      <c r="F37" s="313"/>
      <c r="G37" s="158" t="s">
        <v>159</v>
      </c>
    </row>
    <row r="38" spans="6:7" ht="21.75" customHeight="1" thickBot="1" x14ac:dyDescent="0.3">
      <c r="F38" s="313"/>
      <c r="G38" s="158" t="s">
        <v>160</v>
      </c>
    </row>
    <row r="39" spans="6:7" ht="15.75" thickBot="1" x14ac:dyDescent="0.3">
      <c r="F39" s="314"/>
      <c r="G39" s="158" t="s">
        <v>161</v>
      </c>
    </row>
    <row r="40" spans="6:7" ht="45.75" customHeight="1" thickBot="1" x14ac:dyDescent="0.3">
      <c r="F40" s="312" t="s">
        <v>149</v>
      </c>
      <c r="G40" s="158" t="s">
        <v>162</v>
      </c>
    </row>
    <row r="41" spans="6:7" ht="15.75" thickBot="1" x14ac:dyDescent="0.3">
      <c r="F41" s="313"/>
      <c r="G41" s="158" t="s">
        <v>163</v>
      </c>
    </row>
    <row r="42" spans="6:7" ht="30" customHeight="1" thickBot="1" x14ac:dyDescent="0.3">
      <c r="F42" s="314"/>
      <c r="G42" s="158" t="s">
        <v>164</v>
      </c>
    </row>
    <row r="43" spans="6:7" ht="15.75" thickBot="1" x14ac:dyDescent="0.3">
      <c r="F43" s="312" t="s">
        <v>151</v>
      </c>
      <c r="G43" s="158" t="s">
        <v>165</v>
      </c>
    </row>
    <row r="44" spans="6:7" ht="15.75" thickBot="1" x14ac:dyDescent="0.3">
      <c r="F44" s="313"/>
      <c r="G44" s="158" t="s">
        <v>166</v>
      </c>
    </row>
    <row r="45" spans="6:7" ht="15.75" thickBot="1" x14ac:dyDescent="0.3">
      <c r="F45" s="314"/>
      <c r="G45" s="158" t="s">
        <v>167</v>
      </c>
    </row>
    <row r="46" spans="6:7" ht="24.75" thickBot="1" x14ac:dyDescent="0.3">
      <c r="F46" s="312" t="s">
        <v>142</v>
      </c>
      <c r="G46" s="158" t="s">
        <v>168</v>
      </c>
    </row>
    <row r="47" spans="6:7" ht="15.75" thickBot="1" x14ac:dyDescent="0.3">
      <c r="F47" s="313"/>
      <c r="G47" s="158" t="s">
        <v>169</v>
      </c>
    </row>
    <row r="48" spans="6:7" ht="15.75" thickBot="1" x14ac:dyDescent="0.3">
      <c r="F48" s="313"/>
      <c r="G48" s="158" t="s">
        <v>170</v>
      </c>
    </row>
    <row r="49" spans="6:7" ht="15.75" thickBot="1" x14ac:dyDescent="0.3">
      <c r="F49" s="313"/>
      <c r="G49" s="158" t="s">
        <v>171</v>
      </c>
    </row>
    <row r="50" spans="6:7" ht="15.75" thickBot="1" x14ac:dyDescent="0.3">
      <c r="F50" s="313"/>
      <c r="G50" s="158" t="s">
        <v>172</v>
      </c>
    </row>
    <row r="51" spans="6:7" ht="24.75" thickBot="1" x14ac:dyDescent="0.3">
      <c r="F51" s="313"/>
      <c r="G51" s="158" t="s">
        <v>173</v>
      </c>
    </row>
    <row r="52" spans="6:7" ht="15.75" thickBot="1" x14ac:dyDescent="0.3">
      <c r="F52" s="313"/>
      <c r="G52" s="158" t="s">
        <v>174</v>
      </c>
    </row>
    <row r="53" spans="6:7" ht="24.75" thickBot="1" x14ac:dyDescent="0.3">
      <c r="F53" s="313"/>
      <c r="G53" s="158" t="s">
        <v>175</v>
      </c>
    </row>
    <row r="54" spans="6:7" ht="15.75" thickBot="1" x14ac:dyDescent="0.3">
      <c r="F54" s="313"/>
      <c r="G54" s="158" t="s">
        <v>176</v>
      </c>
    </row>
    <row r="55" spans="6:7" ht="15.75" thickBot="1" x14ac:dyDescent="0.3">
      <c r="F55" s="313"/>
      <c r="G55" s="158" t="s">
        <v>177</v>
      </c>
    </row>
    <row r="56" spans="6:7" ht="15.75" thickBot="1" x14ac:dyDescent="0.3">
      <c r="F56" s="314"/>
      <c r="G56" s="158" t="s">
        <v>178</v>
      </c>
    </row>
    <row r="57" spans="6:7" ht="15.75" thickBot="1" x14ac:dyDescent="0.3">
      <c r="F57" s="312" t="s">
        <v>147</v>
      </c>
      <c r="G57" s="158" t="s">
        <v>179</v>
      </c>
    </row>
    <row r="58" spans="6:7" ht="15.75" thickBot="1" x14ac:dyDescent="0.3">
      <c r="F58" s="313"/>
      <c r="G58" s="158" t="s">
        <v>180</v>
      </c>
    </row>
    <row r="59" spans="6:7" ht="24.75" thickBot="1" x14ac:dyDescent="0.3">
      <c r="F59" s="313"/>
      <c r="G59" s="158" t="s">
        <v>181</v>
      </c>
    </row>
    <row r="60" spans="6:7" ht="15.75" thickBot="1" x14ac:dyDescent="0.3">
      <c r="F60" s="313"/>
      <c r="G60" s="158" t="s">
        <v>182</v>
      </c>
    </row>
    <row r="61" spans="6:7" ht="36.75" thickBot="1" x14ac:dyDescent="0.3">
      <c r="F61" s="314"/>
      <c r="G61" s="158" t="s">
        <v>183</v>
      </c>
    </row>
    <row r="62" spans="6:7" ht="15.75" thickBot="1" x14ac:dyDescent="0.3">
      <c r="F62" s="312" t="s">
        <v>141</v>
      </c>
      <c r="G62" s="158" t="s">
        <v>184</v>
      </c>
    </row>
    <row r="63" spans="6:7" ht="15.75" thickBot="1" x14ac:dyDescent="0.3">
      <c r="F63" s="313"/>
      <c r="G63" s="158" t="s">
        <v>185</v>
      </c>
    </row>
    <row r="64" spans="6:7" ht="15.75" thickBot="1" x14ac:dyDescent="0.3">
      <c r="F64" s="313"/>
      <c r="G64" s="158" t="s">
        <v>186</v>
      </c>
    </row>
    <row r="65" spans="6:7" ht="15.75" thickBot="1" x14ac:dyDescent="0.3">
      <c r="F65" s="313"/>
      <c r="G65" s="158" t="s">
        <v>187</v>
      </c>
    </row>
    <row r="66" spans="6:7" ht="15.75" thickBot="1" x14ac:dyDescent="0.3">
      <c r="F66" s="314"/>
      <c r="G66" s="158" t="s">
        <v>188</v>
      </c>
    </row>
    <row r="67" spans="6:7" ht="15.75" thickBot="1" x14ac:dyDescent="0.3">
      <c r="F67" s="312" t="s">
        <v>143</v>
      </c>
      <c r="G67" s="158" t="s">
        <v>189</v>
      </c>
    </row>
    <row r="68" spans="6:7" ht="15.75" thickBot="1" x14ac:dyDescent="0.3">
      <c r="F68" s="313"/>
      <c r="G68" s="158" t="s">
        <v>190</v>
      </c>
    </row>
    <row r="69" spans="6:7" ht="15.75" thickBot="1" x14ac:dyDescent="0.3">
      <c r="F69" s="313"/>
      <c r="G69" s="158" t="s">
        <v>191</v>
      </c>
    </row>
    <row r="70" spans="6:7" ht="15.75" thickBot="1" x14ac:dyDescent="0.3">
      <c r="F70" s="313"/>
      <c r="G70" s="158" t="s">
        <v>192</v>
      </c>
    </row>
    <row r="71" spans="6:7" ht="24.75" thickBot="1" x14ac:dyDescent="0.3">
      <c r="F71" s="314"/>
      <c r="G71" s="158" t="s">
        <v>193</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6"/>
  <sheetViews>
    <sheetView zoomScale="70" zoomScaleNormal="70" zoomScaleSheetLayoutView="50" zoomScalePageLayoutView="60" workbookViewId="0">
      <selection activeCell="M13" sqref="M13:M18"/>
    </sheetView>
  </sheetViews>
  <sheetFormatPr baseColWidth="10" defaultColWidth="11.42578125" defaultRowHeight="15" x14ac:dyDescent="0.2"/>
  <cols>
    <col min="1" max="1" width="6.5703125" style="207" customWidth="1"/>
    <col min="2" max="2" width="16" style="207" customWidth="1"/>
    <col min="3" max="3" width="19.140625" style="207" customWidth="1"/>
    <col min="4" max="4" width="25.28515625" style="207" customWidth="1"/>
    <col min="5" max="5" width="51.140625" style="207" customWidth="1"/>
    <col min="6" max="6" width="21" style="187" customWidth="1"/>
    <col min="7" max="7" width="17.7109375" style="187" customWidth="1"/>
    <col min="8" max="8" width="24.28515625" style="187" customWidth="1"/>
    <col min="9" max="10" width="29.42578125" style="187" customWidth="1"/>
    <col min="11" max="11" width="24.28515625" style="187" customWidth="1"/>
    <col min="12" max="12" width="19.42578125" style="187" customWidth="1"/>
    <col min="13" max="13" width="20.5703125" style="187" customWidth="1"/>
    <col min="14" max="14" width="16.7109375" style="208" customWidth="1"/>
    <col min="15" max="15" width="16.7109375" style="187" customWidth="1"/>
    <col min="16" max="16" width="20.42578125" style="187" hidden="1" customWidth="1"/>
    <col min="17" max="17" width="12.85546875" style="187" customWidth="1"/>
    <col min="18" max="18" width="35.85546875" style="187" hidden="1" customWidth="1"/>
    <col min="19" max="19" width="19" style="187" customWidth="1"/>
    <col min="20" max="20" width="17.5703125" style="187" hidden="1" customWidth="1"/>
    <col min="21" max="21" width="15" style="187" customWidth="1"/>
    <col min="22" max="22" width="16" style="187" customWidth="1"/>
    <col min="23" max="23" width="32.7109375" style="187" customWidth="1"/>
    <col min="24" max="24" width="26.85546875" style="187" hidden="1" customWidth="1"/>
    <col min="25" max="25" width="5.85546875" style="187" customWidth="1"/>
    <col min="26" max="26" width="6.85546875" style="187" customWidth="1"/>
    <col min="27" max="27" width="5" style="187" hidden="1" customWidth="1"/>
    <col min="28" max="28" width="5.5703125" style="187" customWidth="1"/>
    <col min="29" max="29" width="7.140625" style="187" customWidth="1"/>
    <col min="30" max="30" width="6.7109375" style="187" customWidth="1"/>
    <col min="31" max="31" width="7.5703125" style="187" hidden="1" customWidth="1"/>
    <col min="32" max="32" width="8.5703125" style="187" customWidth="1"/>
    <col min="33" max="37" width="10.85546875" style="187" customWidth="1"/>
    <col min="38" max="38" width="10.85546875" style="206" customWidth="1"/>
    <col min="39" max="39" width="23" style="187" customWidth="1"/>
    <col min="40" max="40" width="18.85546875" style="187" customWidth="1"/>
    <col min="41" max="41" width="23.7109375" style="187" customWidth="1"/>
    <col min="42" max="42" width="22.42578125" style="187" customWidth="1"/>
    <col min="43" max="43" width="16.42578125" style="187" customWidth="1"/>
    <col min="44" max="44" width="20.5703125" style="187" customWidth="1"/>
    <col min="45" max="16384" width="11.42578125" style="187"/>
  </cols>
  <sheetData>
    <row r="1" spans="1:272" s="190" customFormat="1" ht="20.25" x14ac:dyDescent="0.3">
      <c r="A1" s="330"/>
      <c r="B1" s="331"/>
      <c r="C1" s="332"/>
      <c r="D1" s="319" t="s">
        <v>194</v>
      </c>
      <c r="E1" s="320"/>
      <c r="F1" s="320"/>
      <c r="G1" s="320"/>
      <c r="H1" s="320"/>
      <c r="I1" s="320"/>
      <c r="J1" s="320"/>
      <c r="K1" s="320"/>
      <c r="L1" s="320"/>
      <c r="M1" s="320"/>
      <c r="N1" s="320"/>
      <c r="O1" s="320"/>
      <c r="P1" s="320"/>
      <c r="Q1" s="320"/>
      <c r="R1" s="320"/>
      <c r="S1" s="320"/>
      <c r="T1" s="321"/>
      <c r="U1" s="241"/>
      <c r="V1" s="241"/>
      <c r="W1" s="241"/>
      <c r="X1" s="346"/>
      <c r="Y1" s="346"/>
      <c r="Z1" s="346"/>
      <c r="AA1" s="346"/>
      <c r="AB1" s="346"/>
      <c r="AC1" s="346"/>
      <c r="AD1" s="346"/>
      <c r="AE1" s="346"/>
      <c r="AF1" s="346"/>
      <c r="AG1" s="346"/>
      <c r="AH1" s="346"/>
      <c r="AI1" s="346"/>
      <c r="AJ1" s="346"/>
      <c r="AK1" s="346"/>
      <c r="AL1" s="346"/>
      <c r="AM1" s="346"/>
      <c r="AN1" s="346"/>
      <c r="AO1" s="346"/>
      <c r="AP1" s="346"/>
      <c r="AQ1" s="346"/>
      <c r="AR1" s="346"/>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row>
    <row r="2" spans="1:272" s="190" customFormat="1" ht="21" thickBot="1" x14ac:dyDescent="0.35">
      <c r="A2" s="333"/>
      <c r="B2" s="334"/>
      <c r="C2" s="335"/>
      <c r="D2" s="322"/>
      <c r="E2" s="323"/>
      <c r="F2" s="323"/>
      <c r="G2" s="323"/>
      <c r="H2" s="323"/>
      <c r="I2" s="323"/>
      <c r="J2" s="323"/>
      <c r="K2" s="323"/>
      <c r="L2" s="323"/>
      <c r="M2" s="323"/>
      <c r="N2" s="323"/>
      <c r="O2" s="323"/>
      <c r="P2" s="323"/>
      <c r="Q2" s="323"/>
      <c r="R2" s="323"/>
      <c r="S2" s="323"/>
      <c r="T2" s="324"/>
      <c r="U2" s="241"/>
      <c r="V2" s="241"/>
      <c r="W2" s="241"/>
      <c r="X2" s="346"/>
      <c r="Y2" s="346"/>
      <c r="Z2" s="346"/>
      <c r="AA2" s="346"/>
      <c r="AB2" s="346"/>
      <c r="AC2" s="346"/>
      <c r="AD2" s="346"/>
      <c r="AE2" s="346"/>
      <c r="AF2" s="346"/>
      <c r="AG2" s="346"/>
      <c r="AH2" s="346"/>
      <c r="AI2" s="346"/>
      <c r="AJ2" s="346"/>
      <c r="AK2" s="346"/>
      <c r="AL2" s="346"/>
      <c r="AM2" s="346"/>
      <c r="AN2" s="346"/>
      <c r="AO2" s="346"/>
      <c r="AP2" s="346"/>
      <c r="AQ2" s="346"/>
      <c r="AR2" s="346"/>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row>
    <row r="3" spans="1:272" s="190" customFormat="1" ht="27.75" customHeight="1" thickBot="1" x14ac:dyDescent="0.35">
      <c r="A3" s="333"/>
      <c r="B3" s="334"/>
      <c r="C3" s="335"/>
      <c r="D3" s="325" t="s">
        <v>195</v>
      </c>
      <c r="E3" s="326"/>
      <c r="F3" s="326"/>
      <c r="G3" s="326"/>
      <c r="H3" s="326"/>
      <c r="I3" s="327"/>
      <c r="J3" s="325" t="s">
        <v>196</v>
      </c>
      <c r="K3" s="326"/>
      <c r="L3" s="326"/>
      <c r="M3" s="326"/>
      <c r="N3" s="326"/>
      <c r="O3" s="326"/>
      <c r="P3" s="326"/>
      <c r="Q3" s="326"/>
      <c r="R3" s="326"/>
      <c r="S3" s="326"/>
      <c r="T3" s="327"/>
      <c r="U3" s="242"/>
      <c r="V3" s="242"/>
      <c r="W3" s="241"/>
      <c r="X3" s="347"/>
      <c r="Y3" s="347"/>
      <c r="Z3" s="347"/>
      <c r="AA3" s="347"/>
      <c r="AB3" s="347"/>
      <c r="AC3" s="347"/>
      <c r="AD3" s="347"/>
      <c r="AE3" s="347"/>
      <c r="AF3" s="347"/>
      <c r="AG3" s="347"/>
      <c r="AH3" s="347"/>
      <c r="AI3" s="347"/>
      <c r="AJ3" s="347"/>
      <c r="AK3" s="347"/>
      <c r="AL3" s="347"/>
      <c r="AM3" s="347"/>
      <c r="AN3" s="347"/>
      <c r="AO3" s="347"/>
      <c r="AP3" s="347"/>
      <c r="AQ3" s="347"/>
      <c r="AR3" s="347"/>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row>
    <row r="4" spans="1:272" s="190" customFormat="1" ht="27.75" customHeight="1" thickBot="1" x14ac:dyDescent="0.35">
      <c r="A4" s="336"/>
      <c r="B4" s="337"/>
      <c r="C4" s="338"/>
      <c r="D4" s="325" t="s">
        <v>408</v>
      </c>
      <c r="E4" s="326"/>
      <c r="F4" s="326"/>
      <c r="G4" s="326"/>
      <c r="H4" s="326"/>
      <c r="I4" s="326"/>
      <c r="J4" s="326"/>
      <c r="K4" s="326"/>
      <c r="L4" s="326"/>
      <c r="M4" s="326"/>
      <c r="N4" s="326"/>
      <c r="O4" s="326"/>
      <c r="P4" s="326"/>
      <c r="Q4" s="326"/>
      <c r="R4" s="326"/>
      <c r="S4" s="326"/>
      <c r="T4" s="327"/>
      <c r="U4" s="241"/>
      <c r="V4" s="241"/>
      <c r="W4" s="241"/>
      <c r="X4" s="347"/>
      <c r="Y4" s="347"/>
      <c r="Z4" s="347"/>
      <c r="AA4" s="347"/>
      <c r="AB4" s="347"/>
      <c r="AC4" s="347"/>
      <c r="AD4" s="347"/>
      <c r="AE4" s="347"/>
      <c r="AF4" s="347"/>
      <c r="AG4" s="347"/>
      <c r="AH4" s="347"/>
      <c r="AI4" s="347"/>
      <c r="AJ4" s="347"/>
      <c r="AK4" s="347"/>
      <c r="AL4" s="347"/>
      <c r="AM4" s="347"/>
      <c r="AN4" s="347"/>
      <c r="AO4" s="347"/>
      <c r="AP4" s="347"/>
      <c r="AQ4" s="347"/>
      <c r="AR4" s="347"/>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row>
    <row r="5" spans="1:272" ht="15.75" thickBot="1" x14ac:dyDescent="0.25">
      <c r="A5" s="191"/>
      <c r="B5" s="192"/>
      <c r="C5" s="191"/>
      <c r="D5" s="191"/>
      <c r="E5" s="191"/>
      <c r="F5" s="193"/>
      <c r="G5" s="193"/>
      <c r="H5" s="193"/>
      <c r="I5" s="193"/>
      <c r="J5" s="193"/>
      <c r="K5" s="193"/>
      <c r="L5" s="193"/>
      <c r="M5" s="193"/>
      <c r="N5" s="194"/>
      <c r="O5" s="193"/>
      <c r="P5" s="193"/>
      <c r="Q5" s="193"/>
      <c r="R5" s="193"/>
      <c r="S5" s="193"/>
      <c r="T5" s="193"/>
      <c r="U5" s="193"/>
      <c r="V5" s="193"/>
      <c r="W5" s="193"/>
      <c r="X5" s="193"/>
      <c r="Y5" s="193"/>
      <c r="Z5" s="193"/>
      <c r="AA5" s="193"/>
      <c r="AB5" s="193"/>
      <c r="AC5" s="193"/>
      <c r="AD5" s="193"/>
      <c r="AE5" s="193"/>
      <c r="AF5" s="193"/>
      <c r="AG5" s="193"/>
      <c r="AH5" s="193"/>
      <c r="AI5" s="193"/>
      <c r="AJ5" s="193"/>
      <c r="AK5" s="193"/>
      <c r="AL5" s="24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row>
    <row r="6" spans="1:272" ht="27" customHeight="1" thickBot="1" x14ac:dyDescent="0.25">
      <c r="A6" s="348" t="s">
        <v>197</v>
      </c>
      <c r="B6" s="349"/>
      <c r="C6" s="355"/>
      <c r="D6" s="356"/>
      <c r="E6" s="356"/>
      <c r="F6" s="356"/>
      <c r="G6" s="356"/>
      <c r="H6" s="356"/>
      <c r="I6" s="356"/>
      <c r="J6" s="356"/>
      <c r="K6" s="356"/>
      <c r="L6" s="356"/>
      <c r="M6" s="356"/>
      <c r="N6" s="356"/>
      <c r="O6" s="356"/>
      <c r="P6" s="356"/>
      <c r="Q6" s="356"/>
      <c r="R6" s="356"/>
      <c r="S6" s="356"/>
      <c r="T6" s="357"/>
      <c r="U6" s="244"/>
      <c r="V6" s="244"/>
      <c r="W6" s="354"/>
      <c r="X6" s="354"/>
      <c r="Y6" s="354"/>
      <c r="Z6" s="345"/>
      <c r="AA6" s="345"/>
      <c r="AB6" s="345"/>
      <c r="AC6" s="345"/>
      <c r="AD6" s="345"/>
      <c r="AE6" s="345"/>
      <c r="AF6" s="345"/>
      <c r="AG6" s="345"/>
      <c r="AH6" s="345"/>
      <c r="AI6" s="345"/>
      <c r="AJ6" s="345"/>
      <c r="AK6" s="345"/>
      <c r="AL6" s="345"/>
      <c r="AM6" s="345"/>
      <c r="AN6" s="345"/>
      <c r="AO6" s="345"/>
      <c r="AP6" s="345"/>
      <c r="AQ6" s="345"/>
      <c r="AR6" s="345"/>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row>
    <row r="7" spans="1:272" ht="27" customHeight="1" thickBot="1" x14ac:dyDescent="0.3">
      <c r="A7" s="350" t="s">
        <v>198</v>
      </c>
      <c r="B7" s="351"/>
      <c r="C7" s="316"/>
      <c r="D7" s="317"/>
      <c r="E7" s="317"/>
      <c r="F7" s="317"/>
      <c r="G7" s="317"/>
      <c r="H7" s="317"/>
      <c r="I7" s="317"/>
      <c r="J7" s="317"/>
      <c r="K7" s="317"/>
      <c r="L7" s="317"/>
      <c r="M7" s="317"/>
      <c r="N7" s="317"/>
      <c r="O7" s="317"/>
      <c r="P7" s="317"/>
      <c r="Q7" s="317"/>
      <c r="R7" s="317"/>
      <c r="S7" s="317"/>
      <c r="T7" s="318"/>
      <c r="U7" s="245"/>
      <c r="V7" s="245"/>
      <c r="W7" s="246"/>
      <c r="X7" s="246"/>
      <c r="Y7" s="246"/>
      <c r="Z7" s="345"/>
      <c r="AA7" s="345"/>
      <c r="AB7" s="345"/>
      <c r="AC7" s="345"/>
      <c r="AD7" s="345"/>
      <c r="AE7" s="345"/>
      <c r="AF7" s="345"/>
      <c r="AG7" s="345"/>
      <c r="AH7" s="345"/>
      <c r="AI7" s="345"/>
      <c r="AJ7" s="345"/>
      <c r="AK7" s="345"/>
      <c r="AL7" s="345"/>
      <c r="AM7" s="345"/>
      <c r="AN7" s="345"/>
      <c r="AO7" s="345"/>
      <c r="AP7" s="345"/>
      <c r="AQ7" s="345"/>
      <c r="AR7" s="345"/>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row>
    <row r="8" spans="1:272" ht="27" customHeight="1" thickBot="1" x14ac:dyDescent="0.3">
      <c r="A8" s="352" t="s">
        <v>199</v>
      </c>
      <c r="B8" s="353"/>
      <c r="C8" s="316"/>
      <c r="D8" s="317"/>
      <c r="E8" s="317"/>
      <c r="F8" s="317"/>
      <c r="G8" s="317"/>
      <c r="H8" s="317"/>
      <c r="I8" s="317"/>
      <c r="J8" s="317"/>
      <c r="K8" s="317"/>
      <c r="L8" s="317"/>
      <c r="M8" s="317"/>
      <c r="N8" s="317"/>
      <c r="O8" s="317"/>
      <c r="P8" s="317"/>
      <c r="Q8" s="317"/>
      <c r="R8" s="317"/>
      <c r="S8" s="317"/>
      <c r="T8" s="318"/>
      <c r="U8" s="245"/>
      <c r="V8" s="245"/>
      <c r="W8" s="246"/>
      <c r="X8" s="246"/>
      <c r="Y8" s="246"/>
      <c r="Z8" s="345"/>
      <c r="AA8" s="345"/>
      <c r="AB8" s="345"/>
      <c r="AC8" s="345"/>
      <c r="AD8" s="345"/>
      <c r="AE8" s="345"/>
      <c r="AF8" s="345"/>
      <c r="AG8" s="345"/>
      <c r="AH8" s="345"/>
      <c r="AI8" s="345"/>
      <c r="AJ8" s="345"/>
      <c r="AK8" s="345"/>
      <c r="AL8" s="345"/>
      <c r="AM8" s="345"/>
      <c r="AN8" s="345"/>
      <c r="AO8" s="345"/>
      <c r="AP8" s="345"/>
      <c r="AQ8" s="345"/>
      <c r="AR8" s="345"/>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row>
    <row r="9" spans="1:272" ht="15.75" x14ac:dyDescent="0.25">
      <c r="A9" s="195"/>
      <c r="B9" s="195"/>
      <c r="C9" s="196"/>
      <c r="D9" s="196"/>
      <c r="E9" s="196"/>
      <c r="F9" s="196"/>
      <c r="G9" s="196"/>
      <c r="H9" s="196"/>
      <c r="I9" s="196"/>
      <c r="J9" s="196"/>
      <c r="K9" s="196"/>
      <c r="L9" s="196"/>
      <c r="M9" s="196"/>
      <c r="N9" s="196"/>
      <c r="O9" s="196"/>
      <c r="P9" s="196"/>
      <c r="Q9" s="196"/>
      <c r="R9" s="196"/>
      <c r="S9" s="196"/>
      <c r="T9" s="196"/>
      <c r="U9" s="196"/>
      <c r="V9" s="196"/>
      <c r="W9" s="197"/>
      <c r="X9" s="197"/>
      <c r="Y9" s="197"/>
      <c r="Z9" s="198"/>
      <c r="AA9" s="198"/>
      <c r="AB9" s="198"/>
      <c r="AC9" s="198"/>
      <c r="AD9" s="198"/>
      <c r="AE9" s="198"/>
      <c r="AF9" s="198"/>
      <c r="AG9" s="198"/>
      <c r="AH9" s="198"/>
      <c r="AI9" s="198"/>
      <c r="AJ9" s="198"/>
      <c r="AK9" s="198"/>
      <c r="AL9" s="198"/>
      <c r="AM9" s="198"/>
      <c r="AN9" s="198"/>
      <c r="AO9" s="198"/>
      <c r="AP9" s="198"/>
      <c r="AQ9" s="198"/>
      <c r="AR9" s="198"/>
    </row>
    <row r="10" spans="1:272" ht="27.75" customHeight="1" x14ac:dyDescent="0.2">
      <c r="A10" s="360" t="s">
        <v>200</v>
      </c>
      <c r="B10" s="361"/>
      <c r="C10" s="361"/>
      <c r="D10" s="361"/>
      <c r="E10" s="361"/>
      <c r="F10" s="362"/>
      <c r="G10" s="377" t="s">
        <v>201</v>
      </c>
      <c r="H10" s="378"/>
      <c r="I10" s="378"/>
      <c r="J10" s="378"/>
      <c r="K10" s="379"/>
      <c r="L10" s="386" t="s">
        <v>202</v>
      </c>
      <c r="M10" s="387"/>
      <c r="N10" s="380" t="s">
        <v>203</v>
      </c>
      <c r="O10" s="381"/>
      <c r="P10" s="381"/>
      <c r="Q10" s="381"/>
      <c r="R10" s="381"/>
      <c r="S10" s="381"/>
      <c r="T10" s="381"/>
      <c r="U10" s="381"/>
      <c r="V10" s="382"/>
      <c r="W10" s="388" t="s">
        <v>204</v>
      </c>
      <c r="X10" s="388"/>
      <c r="Y10" s="388"/>
      <c r="Z10" s="388"/>
      <c r="AA10" s="388"/>
      <c r="AB10" s="388"/>
      <c r="AC10" s="388"/>
      <c r="AD10" s="388"/>
      <c r="AE10" s="388"/>
      <c r="AF10" s="383" t="s">
        <v>205</v>
      </c>
      <c r="AG10" s="384"/>
      <c r="AH10" s="384"/>
      <c r="AI10" s="384"/>
      <c r="AJ10" s="385"/>
      <c r="AK10" s="380" t="s">
        <v>409</v>
      </c>
      <c r="AL10" s="381"/>
      <c r="AM10" s="381"/>
      <c r="AN10" s="381"/>
      <c r="AO10" s="382"/>
      <c r="AP10" s="380" t="s">
        <v>410</v>
      </c>
      <c r="AQ10" s="381"/>
      <c r="AR10" s="382"/>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row>
    <row r="11" spans="1:272" ht="15.75" x14ac:dyDescent="0.2">
      <c r="A11" s="370" t="s">
        <v>208</v>
      </c>
      <c r="B11" s="371" t="s">
        <v>15</v>
      </c>
      <c r="C11" s="364" t="s">
        <v>17</v>
      </c>
      <c r="D11" s="364" t="s">
        <v>19</v>
      </c>
      <c r="E11" s="371" t="s">
        <v>21</v>
      </c>
      <c r="F11" s="364" t="s">
        <v>23</v>
      </c>
      <c r="G11" s="373" t="s">
        <v>110</v>
      </c>
      <c r="H11" s="373" t="s">
        <v>209</v>
      </c>
      <c r="I11" s="373" t="s">
        <v>210</v>
      </c>
      <c r="J11" s="373" t="s">
        <v>211</v>
      </c>
      <c r="K11" s="373" t="s">
        <v>212</v>
      </c>
      <c r="L11" s="386"/>
      <c r="M11" s="387"/>
      <c r="N11" s="375" t="s">
        <v>213</v>
      </c>
      <c r="O11" s="375" t="s">
        <v>214</v>
      </c>
      <c r="P11" s="363" t="s">
        <v>215</v>
      </c>
      <c r="Q11" s="375" t="s">
        <v>216</v>
      </c>
      <c r="R11" s="375" t="s">
        <v>217</v>
      </c>
      <c r="S11" s="375" t="s">
        <v>218</v>
      </c>
      <c r="T11" s="363" t="s">
        <v>215</v>
      </c>
      <c r="U11" s="375" t="s">
        <v>29</v>
      </c>
      <c r="V11" s="376" t="s">
        <v>219</v>
      </c>
      <c r="W11" s="375" t="s">
        <v>31</v>
      </c>
      <c r="X11" s="375" t="s">
        <v>33</v>
      </c>
      <c r="Y11" s="375" t="s">
        <v>220</v>
      </c>
      <c r="Z11" s="375"/>
      <c r="AA11" s="375"/>
      <c r="AB11" s="375"/>
      <c r="AC11" s="375"/>
      <c r="AD11" s="375"/>
      <c r="AE11" s="376" t="s">
        <v>221</v>
      </c>
      <c r="AF11" s="376" t="s">
        <v>222</v>
      </c>
      <c r="AG11" s="376" t="s">
        <v>215</v>
      </c>
      <c r="AH11" s="376" t="s">
        <v>223</v>
      </c>
      <c r="AI11" s="376" t="s">
        <v>215</v>
      </c>
      <c r="AJ11" s="376" t="s">
        <v>224</v>
      </c>
      <c r="AK11" s="376" t="s">
        <v>49</v>
      </c>
      <c r="AL11" s="375" t="s">
        <v>225</v>
      </c>
      <c r="AM11" s="375" t="s">
        <v>226</v>
      </c>
      <c r="AN11" s="375" t="s">
        <v>227</v>
      </c>
      <c r="AO11" s="375" t="s">
        <v>228</v>
      </c>
      <c r="AP11" s="375" t="s">
        <v>225</v>
      </c>
      <c r="AQ11" s="375" t="s">
        <v>227</v>
      </c>
      <c r="AR11" s="375" t="s">
        <v>226</v>
      </c>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row>
    <row r="12" spans="1:272" s="202" customFormat="1" ht="98.25" x14ac:dyDescent="0.25">
      <c r="A12" s="370"/>
      <c r="B12" s="371"/>
      <c r="C12" s="364"/>
      <c r="D12" s="364"/>
      <c r="E12" s="371"/>
      <c r="F12" s="364"/>
      <c r="G12" s="374"/>
      <c r="H12" s="374"/>
      <c r="I12" s="374"/>
      <c r="J12" s="374"/>
      <c r="K12" s="374"/>
      <c r="L12" s="239" t="s">
        <v>411</v>
      </c>
      <c r="M12" s="239" t="s">
        <v>232</v>
      </c>
      <c r="N12" s="375"/>
      <c r="O12" s="375"/>
      <c r="P12" s="363"/>
      <c r="Q12" s="375"/>
      <c r="R12" s="375"/>
      <c r="S12" s="363"/>
      <c r="T12" s="363"/>
      <c r="U12" s="375"/>
      <c r="V12" s="376"/>
      <c r="W12" s="375"/>
      <c r="X12" s="375"/>
      <c r="Y12" s="199" t="s">
        <v>233</v>
      </c>
      <c r="Z12" s="199" t="s">
        <v>234</v>
      </c>
      <c r="AA12" s="199" t="s">
        <v>235</v>
      </c>
      <c r="AB12" s="199" t="s">
        <v>236</v>
      </c>
      <c r="AC12" s="199" t="s">
        <v>237</v>
      </c>
      <c r="AD12" s="199" t="s">
        <v>238</v>
      </c>
      <c r="AE12" s="376"/>
      <c r="AF12" s="376"/>
      <c r="AG12" s="376"/>
      <c r="AH12" s="376"/>
      <c r="AI12" s="376"/>
      <c r="AJ12" s="376"/>
      <c r="AK12" s="376"/>
      <c r="AL12" s="375"/>
      <c r="AM12" s="375"/>
      <c r="AN12" s="375"/>
      <c r="AO12" s="375"/>
      <c r="AP12" s="375"/>
      <c r="AQ12" s="375"/>
      <c r="AR12" s="375"/>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c r="IM12" s="201"/>
      <c r="IN12" s="201"/>
      <c r="IO12" s="201"/>
      <c r="IP12" s="201"/>
      <c r="IQ12" s="201"/>
      <c r="IR12" s="201"/>
      <c r="IS12" s="201"/>
      <c r="IT12" s="201"/>
      <c r="IU12" s="201"/>
      <c r="IV12" s="201"/>
      <c r="IW12" s="201"/>
      <c r="IX12" s="201"/>
      <c r="IY12" s="201"/>
      <c r="IZ12" s="201"/>
      <c r="JA12" s="201"/>
      <c r="JB12" s="201"/>
      <c r="JC12" s="201"/>
      <c r="JD12" s="201"/>
      <c r="JE12" s="201"/>
      <c r="JF12" s="201"/>
      <c r="JG12" s="201"/>
      <c r="JH12" s="201"/>
      <c r="JI12" s="201"/>
      <c r="JJ12" s="201"/>
      <c r="JK12" s="201"/>
      <c r="JL12" s="201"/>
    </row>
    <row r="13" spans="1:272" s="204" customFormat="1" x14ac:dyDescent="0.25">
      <c r="A13" s="328">
        <v>1</v>
      </c>
      <c r="B13" s="329"/>
      <c r="C13" s="329"/>
      <c r="D13" s="329"/>
      <c r="E13" s="372"/>
      <c r="F13" s="329"/>
      <c r="G13" s="342"/>
      <c r="H13" s="342"/>
      <c r="I13" s="342"/>
      <c r="J13" s="342"/>
      <c r="K13" s="342"/>
      <c r="L13" s="342"/>
      <c r="M13" s="342"/>
      <c r="N13" s="339"/>
      <c r="O13" s="340" t="str">
        <f>IF(N13&lt;=0,"",IF(N13&lt;=2,"Muy Baja",IF(N13&lt;=24,"Baja",IF(N13&lt;=500,"Media",IF(N13&lt;=5000,"Alta","Muy Alta")))))</f>
        <v/>
      </c>
      <c r="P13" s="341" t="str">
        <f>IF(O13="","",IF(O13="Muy Baja",0.2,IF(O13="Baja",0.4,IF(O13="Media",0.6,IF(O13="Alta",0.8,IF(O13="Muy Alta",1,))))))</f>
        <v/>
      </c>
      <c r="Q13" s="359"/>
      <c r="R13" s="341">
        <f>IF(NOT(ISERROR(MATCH(Q13,'Tabla Impacto'!$B$222:$B$224,0))),'Tabla Impacto'!$F$224&amp;"Por favor no seleccionar los criterios de impacto(Afectación Económica o presupuestal y Pérdida Reputacional)",Q13)</f>
        <v>0</v>
      </c>
      <c r="S13" s="340" t="str">
        <f>IF(OR(R13='Tabla Impacto'!$C$12,R13='Tabla Impacto'!$D$12),"Leve",IF(OR(R13='Tabla Impacto'!$C$13,R13='Tabla Impacto'!$D$13),"Menor",IF(OR(R13='Tabla Impacto'!$C$14,R13='Tabla Impacto'!$D$14),"Moderado",IF(OR(R13='Tabla Impacto'!$C$15,R13='Tabla Impacto'!$D$15),"Mayor",IF(OR(R13='Tabla Impacto'!$C$16,R13='Tabla Impacto'!$D$16),"Catastrófico","")))))</f>
        <v/>
      </c>
      <c r="T13" s="341" t="str">
        <f>IF(S13="","",IF(S13="Leve",0.2,IF(S13="Menor",0.4,IF(S13="Moderado",0.6,IF(S13="Mayor",0.8,IF(S13="Catastrófico",1,))))))</f>
        <v/>
      </c>
      <c r="U13" s="358"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03">
        <v>1</v>
      </c>
      <c r="W13" s="229"/>
      <c r="X13" s="178" t="str">
        <f t="shared" ref="X13:X16" si="0">IF(OR(Y13="Preventivo",Y13="Detectivo"),"Probabilidad",IF(Y13="Correctivo","Impacto",""))</f>
        <v/>
      </c>
      <c r="Y13" s="179"/>
      <c r="Z13" s="179"/>
      <c r="AA13" s="180" t="str">
        <f>IF(AND(Y13="Preventivo",Z13="Automático"),"50%",IF(AND(Y13="Preventivo",Z13="Manual"),"40%",IF(AND(Y13="Detectivo",Z13="Automático"),"40%",IF(AND(Y13="Detectivo",Z13="Manual"),"30%",IF(AND(Y13="Correctivo",Z13="Automático"),"35%",IF(AND(Y13="Correctivo",Z13="Manual"),"25%",""))))))</f>
        <v/>
      </c>
      <c r="AB13" s="179"/>
      <c r="AC13" s="179"/>
      <c r="AD13" s="179"/>
      <c r="AE13" s="181" t="str">
        <f>IFERROR(IF(X13="Probabilidad",(P13-(+P13*AA13)),IF(X13="Impacto",P13,"")),"")</f>
        <v/>
      </c>
      <c r="AF13" s="182" t="str">
        <f>IFERROR(IF(AE13="","",IF(AE13&lt;=0.2,"Muy Baja",IF(AE13&lt;=0.4,"Baja",IF(AE13&lt;=0.6,"Media",IF(AE13&lt;=0.8,"Alta","Muy Alta"))))),"")</f>
        <v/>
      </c>
      <c r="AG13" s="180" t="str">
        <f>+AE13</f>
        <v/>
      </c>
      <c r="AH13" s="182" t="str">
        <f>IFERROR(IF(AI13="","",IF(AI13&lt;=0.2,"Leve",IF(AI13&lt;=0.4,"Menor",IF(AI13&lt;=0.6,"Moderado",IF(AI13&lt;=0.8,"Mayor","Catastrófico"))))),"")</f>
        <v/>
      </c>
      <c r="AI13" s="180" t="str">
        <f>IFERROR(IF(X13="Impacto",(T13-(+T13*AA13)),IF(X13="Probabilidad",T13,"")),"")</f>
        <v/>
      </c>
      <c r="AJ13" s="183"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84"/>
      <c r="AL13" s="175"/>
      <c r="AM13" s="185"/>
      <c r="AN13" s="185"/>
      <c r="AO13" s="186"/>
      <c r="AP13" s="329"/>
      <c r="AQ13" s="329"/>
      <c r="AR13" s="329"/>
    </row>
    <row r="14" spans="1:272" ht="19.5" customHeight="1" x14ac:dyDescent="0.2">
      <c r="A14" s="328"/>
      <c r="B14" s="329"/>
      <c r="C14" s="329"/>
      <c r="D14" s="329"/>
      <c r="E14" s="372"/>
      <c r="F14" s="329"/>
      <c r="G14" s="343"/>
      <c r="H14" s="343"/>
      <c r="I14" s="343"/>
      <c r="J14" s="343"/>
      <c r="K14" s="343"/>
      <c r="L14" s="343"/>
      <c r="M14" s="343"/>
      <c r="N14" s="339"/>
      <c r="O14" s="340"/>
      <c r="P14" s="341"/>
      <c r="Q14" s="359"/>
      <c r="R14" s="341">
        <f>IF(NOT(ISERROR(MATCH(Q14,_xlfn.ANCHORARRAY(E25),0))),P27&amp;"Por favor no seleccionar los criterios de impacto",Q14)</f>
        <v>0</v>
      </c>
      <c r="S14" s="340"/>
      <c r="T14" s="341"/>
      <c r="U14" s="358"/>
      <c r="V14" s="203">
        <v>2</v>
      </c>
      <c r="W14" s="229"/>
      <c r="X14" s="178" t="str">
        <f t="shared" si="0"/>
        <v/>
      </c>
      <c r="Y14" s="179"/>
      <c r="Z14" s="179"/>
      <c r="AA14" s="180" t="str">
        <f t="shared" ref="AA14:AA18" si="1">IF(AND(Y14="Preventivo",Z14="Automático"),"50%",IF(AND(Y14="Preventivo",Z14="Manual"),"40%",IF(AND(Y14="Detectivo",Z14="Automático"),"40%",IF(AND(Y14="Detectivo",Z14="Manual"),"30%",IF(AND(Y14="Correctivo",Z14="Automático"),"35%",IF(AND(Y14="Correctivo",Z14="Manual"),"25%",""))))))</f>
        <v/>
      </c>
      <c r="AB14" s="179"/>
      <c r="AC14" s="179"/>
      <c r="AD14" s="179"/>
      <c r="AE14" s="181" t="str">
        <f>IFERROR(IF(AND(X13="Probabilidad",X14="Probabilidad"),(AG13-(+AG13*AA14)),IF(X14="Probabilidad",(P13-(+P13*AA14)),IF(X14="Impacto",AG13,""))),"")</f>
        <v/>
      </c>
      <c r="AF14" s="182" t="str">
        <f t="shared" ref="AF14:AF72" si="2">IFERROR(IF(AE14="","",IF(AE14&lt;=0.2,"Muy Baja",IF(AE14&lt;=0.4,"Baja",IF(AE14&lt;=0.6,"Media",IF(AE14&lt;=0.8,"Alta","Muy Alta"))))),"")</f>
        <v/>
      </c>
      <c r="AG14" s="180" t="str">
        <f t="shared" ref="AG14:AG18" si="3">+AE14</f>
        <v/>
      </c>
      <c r="AH14" s="182" t="str">
        <f t="shared" ref="AH14:AH72" si="4">IFERROR(IF(AI14="","",IF(AI14&lt;=0.2,"Leve",IF(AI14&lt;=0.4,"Menor",IF(AI14&lt;=0.6,"Moderado",IF(AI14&lt;=0.8,"Mayor","Catastrófico"))))),"")</f>
        <v/>
      </c>
      <c r="AI14" s="180" t="str">
        <f>IFERROR(IF(AND(X13="Impacto",X14="Impacto"),(AI13-(+AI13*AA14)),IF(X14="Impacto",($T$13-(+$T$13*AA14)),IF(X14="Probabilidad",AI13,""))),"")</f>
        <v/>
      </c>
      <c r="AJ14" s="183"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84"/>
      <c r="AL14" s="175"/>
      <c r="AM14" s="185"/>
      <c r="AN14" s="175"/>
      <c r="AO14" s="186"/>
      <c r="AP14" s="329"/>
      <c r="AQ14" s="329"/>
      <c r="AR14" s="329"/>
    </row>
    <row r="15" spans="1:272" x14ac:dyDescent="0.2">
      <c r="A15" s="328"/>
      <c r="B15" s="329"/>
      <c r="C15" s="329"/>
      <c r="D15" s="329"/>
      <c r="E15" s="372"/>
      <c r="F15" s="329"/>
      <c r="G15" s="343"/>
      <c r="H15" s="343"/>
      <c r="I15" s="343"/>
      <c r="J15" s="343"/>
      <c r="K15" s="343"/>
      <c r="L15" s="343"/>
      <c r="M15" s="343"/>
      <c r="N15" s="339"/>
      <c r="O15" s="340"/>
      <c r="P15" s="341"/>
      <c r="Q15" s="359"/>
      <c r="R15" s="341">
        <f>IF(NOT(ISERROR(MATCH(Q15,_xlfn.ANCHORARRAY(E26),0))),P28&amp;"Por favor no seleccionar los criterios de impacto",Q15)</f>
        <v>0</v>
      </c>
      <c r="S15" s="340"/>
      <c r="T15" s="341"/>
      <c r="U15" s="358"/>
      <c r="V15" s="203">
        <v>3</v>
      </c>
      <c r="W15" s="177"/>
      <c r="X15" s="178" t="str">
        <f t="shared" si="0"/>
        <v/>
      </c>
      <c r="Y15" s="179"/>
      <c r="Z15" s="179"/>
      <c r="AA15" s="180" t="str">
        <f t="shared" si="1"/>
        <v/>
      </c>
      <c r="AB15" s="179"/>
      <c r="AC15" s="179"/>
      <c r="AD15" s="179"/>
      <c r="AE15" s="181" t="str">
        <f>IFERROR(IF(AND(X14="Probabilidad",X15="Probabilidad"),(AG14-(+AG14*AA15)),IF(AND(X14="Impacto",X15="Probabilidad"),(AG13-(+AG13*AA15)),IF(X15="Impacto",AG14,""))),"")</f>
        <v/>
      </c>
      <c r="AF15" s="182" t="str">
        <f t="shared" si="2"/>
        <v/>
      </c>
      <c r="AG15" s="180" t="str">
        <f t="shared" si="3"/>
        <v/>
      </c>
      <c r="AH15" s="182" t="str">
        <f t="shared" si="4"/>
        <v/>
      </c>
      <c r="AI15" s="180" t="str">
        <f>IFERROR(IF(AND(X14="Impacto",X15="Impacto"),(AI14-(+AI14*AA15)),IF(AND(X14="Probabilidad",X15="Impacto"),(AI13-(+AI13*AA15)),IF(X15="Probabilidad",AI14,""))),"")</f>
        <v/>
      </c>
      <c r="AJ15" s="183" t="str">
        <f t="shared" si="5"/>
        <v/>
      </c>
      <c r="AK15" s="184"/>
      <c r="AL15" s="175"/>
      <c r="AM15" s="185"/>
      <c r="AN15" s="185"/>
      <c r="AO15" s="186"/>
      <c r="AP15" s="329"/>
      <c r="AQ15" s="329"/>
      <c r="AR15" s="329"/>
    </row>
    <row r="16" spans="1:272" x14ac:dyDescent="0.2">
      <c r="A16" s="328"/>
      <c r="B16" s="329"/>
      <c r="C16" s="329"/>
      <c r="D16" s="329"/>
      <c r="E16" s="372"/>
      <c r="F16" s="329"/>
      <c r="G16" s="343"/>
      <c r="H16" s="343"/>
      <c r="I16" s="343"/>
      <c r="J16" s="343"/>
      <c r="K16" s="343"/>
      <c r="L16" s="343"/>
      <c r="M16" s="343"/>
      <c r="N16" s="339"/>
      <c r="O16" s="340"/>
      <c r="P16" s="341"/>
      <c r="Q16" s="359"/>
      <c r="R16" s="341">
        <f>IF(NOT(ISERROR(MATCH(Q16,_xlfn.ANCHORARRAY(E27),0))),P29&amp;"Por favor no seleccionar los criterios de impacto",Q16)</f>
        <v>0</v>
      </c>
      <c r="S16" s="340"/>
      <c r="T16" s="341"/>
      <c r="U16" s="358"/>
      <c r="V16" s="203">
        <v>4</v>
      </c>
      <c r="W16" s="176"/>
      <c r="X16" s="178" t="str">
        <f t="shared" si="0"/>
        <v/>
      </c>
      <c r="Y16" s="179"/>
      <c r="Z16" s="179"/>
      <c r="AA16" s="180" t="str">
        <f t="shared" si="1"/>
        <v/>
      </c>
      <c r="AB16" s="179"/>
      <c r="AC16" s="179"/>
      <c r="AD16" s="179"/>
      <c r="AE16" s="181" t="str">
        <f t="shared" ref="AE16:AE18" si="6">IFERROR(IF(AND(X15="Probabilidad",X16="Probabilidad"),(AG15-(+AG15*AA16)),IF(AND(X15="Impacto",X16="Probabilidad"),(AG14-(+AG14*AA16)),IF(X16="Impacto",AG15,""))),"")</f>
        <v/>
      </c>
      <c r="AF16" s="182" t="str">
        <f t="shared" si="2"/>
        <v/>
      </c>
      <c r="AG16" s="180" t="str">
        <f t="shared" si="3"/>
        <v/>
      </c>
      <c r="AH16" s="182" t="str">
        <f t="shared" si="4"/>
        <v/>
      </c>
      <c r="AI16" s="180" t="str">
        <f t="shared" ref="AI16:AI18" si="7">IFERROR(IF(AND(X15="Impacto",X16="Impacto"),(AI15-(+AI15*AA16)),IF(AND(X15="Probabilidad",X16="Impacto"),(AI14-(+AI14*AA16)),IF(X16="Probabilidad",AI15,""))),"")</f>
        <v/>
      </c>
      <c r="AJ16" s="183"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84"/>
      <c r="AL16" s="175"/>
      <c r="AM16" s="185"/>
      <c r="AN16" s="185"/>
      <c r="AO16" s="186"/>
      <c r="AP16" s="329"/>
      <c r="AQ16" s="329"/>
      <c r="AR16" s="329"/>
    </row>
    <row r="17" spans="1:44" x14ac:dyDescent="0.2">
      <c r="A17" s="328"/>
      <c r="B17" s="329"/>
      <c r="C17" s="329"/>
      <c r="D17" s="329"/>
      <c r="E17" s="372"/>
      <c r="F17" s="329"/>
      <c r="G17" s="343"/>
      <c r="H17" s="343"/>
      <c r="I17" s="343"/>
      <c r="J17" s="343"/>
      <c r="K17" s="343"/>
      <c r="L17" s="343"/>
      <c r="M17" s="343"/>
      <c r="N17" s="339"/>
      <c r="O17" s="340"/>
      <c r="P17" s="341"/>
      <c r="Q17" s="359"/>
      <c r="R17" s="341">
        <f>IF(NOT(ISERROR(MATCH(Q17,_xlfn.ANCHORARRAY(E28),0))),P30&amp;"Por favor no seleccionar los criterios de impacto",Q17)</f>
        <v>0</v>
      </c>
      <c r="S17" s="340"/>
      <c r="T17" s="341"/>
      <c r="U17" s="358"/>
      <c r="V17" s="203">
        <v>5</v>
      </c>
      <c r="W17" s="176"/>
      <c r="X17" s="178" t="str">
        <f t="shared" ref="X17:X18" si="8">IF(OR(Y17="Preventivo",Y17="Detectivo"),"Probabilidad",IF(Y17="Correctivo","Impacto",""))</f>
        <v/>
      </c>
      <c r="Y17" s="179"/>
      <c r="Z17" s="179"/>
      <c r="AA17" s="180" t="str">
        <f t="shared" si="1"/>
        <v/>
      </c>
      <c r="AB17" s="179"/>
      <c r="AC17" s="179"/>
      <c r="AD17" s="179"/>
      <c r="AE17" s="181" t="str">
        <f t="shared" si="6"/>
        <v/>
      </c>
      <c r="AF17" s="182" t="str">
        <f t="shared" si="2"/>
        <v/>
      </c>
      <c r="AG17" s="180" t="str">
        <f t="shared" si="3"/>
        <v/>
      </c>
      <c r="AH17" s="182" t="str">
        <f t="shared" si="4"/>
        <v/>
      </c>
      <c r="AI17" s="180" t="str">
        <f t="shared" si="7"/>
        <v/>
      </c>
      <c r="AJ17" s="183" t="str">
        <f t="shared" si="5"/>
        <v/>
      </c>
      <c r="AK17" s="184"/>
      <c r="AL17" s="175"/>
      <c r="AM17" s="185"/>
      <c r="AN17" s="185"/>
      <c r="AO17" s="186"/>
      <c r="AP17" s="329"/>
      <c r="AQ17" s="329"/>
      <c r="AR17" s="329"/>
    </row>
    <row r="18" spans="1:44" x14ac:dyDescent="0.2">
      <c r="A18" s="328"/>
      <c r="B18" s="329"/>
      <c r="C18" s="329"/>
      <c r="D18" s="329"/>
      <c r="E18" s="372"/>
      <c r="F18" s="329"/>
      <c r="G18" s="344"/>
      <c r="H18" s="344"/>
      <c r="I18" s="344"/>
      <c r="J18" s="344"/>
      <c r="K18" s="344"/>
      <c r="L18" s="344"/>
      <c r="M18" s="344"/>
      <c r="N18" s="339"/>
      <c r="O18" s="340"/>
      <c r="P18" s="341"/>
      <c r="Q18" s="359"/>
      <c r="R18" s="341">
        <f>IF(NOT(ISERROR(MATCH(Q18,_xlfn.ANCHORARRAY(E29),0))),P31&amp;"Por favor no seleccionar los criterios de impacto",Q18)</f>
        <v>0</v>
      </c>
      <c r="S18" s="340"/>
      <c r="T18" s="341"/>
      <c r="U18" s="358"/>
      <c r="V18" s="203">
        <v>6</v>
      </c>
      <c r="W18" s="176"/>
      <c r="X18" s="178" t="str">
        <f t="shared" si="8"/>
        <v/>
      </c>
      <c r="Y18" s="179"/>
      <c r="Z18" s="179"/>
      <c r="AA18" s="180" t="str">
        <f t="shared" si="1"/>
        <v/>
      </c>
      <c r="AB18" s="179"/>
      <c r="AC18" s="179"/>
      <c r="AD18" s="179"/>
      <c r="AE18" s="181" t="str">
        <f t="shared" si="6"/>
        <v/>
      </c>
      <c r="AF18" s="182" t="str">
        <f t="shared" si="2"/>
        <v/>
      </c>
      <c r="AG18" s="180" t="str">
        <f t="shared" si="3"/>
        <v/>
      </c>
      <c r="AH18" s="182" t="str">
        <f t="shared" si="4"/>
        <v/>
      </c>
      <c r="AI18" s="180" t="str">
        <f t="shared" si="7"/>
        <v/>
      </c>
      <c r="AJ18" s="183" t="str">
        <f t="shared" si="5"/>
        <v/>
      </c>
      <c r="AK18" s="184"/>
      <c r="AL18" s="175"/>
      <c r="AM18" s="185"/>
      <c r="AN18" s="185"/>
      <c r="AO18" s="186"/>
      <c r="AP18" s="329"/>
      <c r="AQ18" s="329"/>
      <c r="AR18" s="329"/>
    </row>
    <row r="19" spans="1:44" x14ac:dyDescent="0.2">
      <c r="A19" s="328">
        <v>2</v>
      </c>
      <c r="B19" s="329"/>
      <c r="C19" s="329"/>
      <c r="D19" s="329"/>
      <c r="E19" s="372"/>
      <c r="F19" s="329"/>
      <c r="G19" s="342"/>
      <c r="H19" s="342"/>
      <c r="I19" s="342"/>
      <c r="J19" s="342"/>
      <c r="K19" s="342"/>
      <c r="L19" s="342"/>
      <c r="M19" s="342"/>
      <c r="N19" s="339"/>
      <c r="O19" s="340" t="str">
        <f>IF(N19&lt;=0,"",IF(N19&lt;=2,"Muy Baja",IF(N19&lt;=24,"Baja",IF(N19&lt;=500,"Media",IF(N19&lt;=5000,"Alta","Muy Alta")))))</f>
        <v/>
      </c>
      <c r="P19" s="341" t="str">
        <f>IF(O19="","",IF(O19="Muy Baja",0.2,IF(O19="Baja",0.4,IF(O19="Media",0.6,IF(O19="Alta",0.8,IF(O19="Muy Alta",1,))))))</f>
        <v/>
      </c>
      <c r="Q19" s="359"/>
      <c r="R19" s="341">
        <f>IF(NOT(ISERROR(MATCH(Q19,'Tabla Impacto'!$B$222:$B$224,0))),'Tabla Impacto'!$F$224&amp;"Por favor no seleccionar los criterios de impacto(Afectación Económica o presupuestal y Pérdida Reputacional)",Q19)</f>
        <v>0</v>
      </c>
      <c r="S19" s="340" t="str">
        <f>IF(OR(R19='Tabla Impacto'!$C$12,R19='Tabla Impacto'!$D$12),"Leve",IF(OR(R19='Tabla Impacto'!$C$13,R19='Tabla Impacto'!$D$13),"Menor",IF(OR(R19='Tabla Impacto'!$C$14,R19='Tabla Impacto'!$D$14),"Moderado",IF(OR(R19='Tabla Impacto'!$C$15,R19='Tabla Impacto'!$D$15),"Mayor",IF(OR(R19='Tabla Impacto'!$C$16,R19='Tabla Impacto'!$D$16),"Catastrófico","")))))</f>
        <v/>
      </c>
      <c r="T19" s="341" t="str">
        <f>IF(S19="","",IF(S19="Leve",0.2,IF(S19="Menor",0.4,IF(S19="Moderado",0.6,IF(S19="Mayor",0.8,IF(S19="Catastrófico",1,))))))</f>
        <v/>
      </c>
      <c r="U19" s="358"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03">
        <v>1</v>
      </c>
      <c r="W19" s="176"/>
      <c r="X19" s="178" t="str">
        <f>IF(OR(Y19="Preventivo",Y19="Detectivo"),"Probabilidad",IF(Y19="Correctivo","Impacto",""))</f>
        <v/>
      </c>
      <c r="Y19" s="179"/>
      <c r="Z19" s="179"/>
      <c r="AA19" s="180" t="str">
        <f>IF(AND(Y19="Preventivo",Z19="Automático"),"50%",IF(AND(Y19="Preventivo",Z19="Manual"),"40%",IF(AND(Y19="Detectivo",Z19="Automático"),"40%",IF(AND(Y19="Detectivo",Z19="Manual"),"30%",IF(AND(Y19="Correctivo",Z19="Automático"),"35%",IF(AND(Y19="Correctivo",Z19="Manual"),"25%",""))))))</f>
        <v/>
      </c>
      <c r="AB19" s="179"/>
      <c r="AC19" s="179"/>
      <c r="AD19" s="179"/>
      <c r="AE19" s="181" t="str">
        <f>IFERROR(IF(X19="Probabilidad",(P19-(+P19*AA19)),IF(X19="Impacto",P19,"")),"")</f>
        <v/>
      </c>
      <c r="AF19" s="182" t="str">
        <f>IFERROR(IF(AE19="","",IF(AE19&lt;=0.2,"Muy Baja",IF(AE19&lt;=0.4,"Baja",IF(AE19&lt;=0.6,"Media",IF(AE19&lt;=0.8,"Alta","Muy Alta"))))),"")</f>
        <v/>
      </c>
      <c r="AG19" s="180" t="str">
        <f>+AE19</f>
        <v/>
      </c>
      <c r="AH19" s="182" t="str">
        <f>IFERROR(IF(AI19="","",IF(AI19&lt;=0.2,"Leve",IF(AI19&lt;=0.4,"Menor",IF(AI19&lt;=0.6,"Moderado",IF(AI19&lt;=0.8,"Mayor","Catastrófico"))))),"")</f>
        <v/>
      </c>
      <c r="AI19" s="180" t="str">
        <f t="shared" ref="AI19" si="9">IFERROR(IF(X19="Impacto",(T19-(+T19*AA19)),IF(X19="Probabilidad",T19,"")),"")</f>
        <v/>
      </c>
      <c r="AJ19" s="183"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84"/>
      <c r="AL19" s="175"/>
      <c r="AM19" s="185"/>
      <c r="AN19" s="185"/>
      <c r="AO19" s="186"/>
      <c r="AP19" s="339"/>
      <c r="AQ19" s="339"/>
      <c r="AR19" s="339"/>
    </row>
    <row r="20" spans="1:44" x14ac:dyDescent="0.2">
      <c r="A20" s="328"/>
      <c r="B20" s="329"/>
      <c r="C20" s="329"/>
      <c r="D20" s="329"/>
      <c r="E20" s="372"/>
      <c r="F20" s="329"/>
      <c r="G20" s="343"/>
      <c r="H20" s="343"/>
      <c r="I20" s="343"/>
      <c r="J20" s="343"/>
      <c r="K20" s="343"/>
      <c r="L20" s="343"/>
      <c r="M20" s="343"/>
      <c r="N20" s="339"/>
      <c r="O20" s="340"/>
      <c r="P20" s="341"/>
      <c r="Q20" s="359"/>
      <c r="R20" s="341">
        <f>IF(NOT(ISERROR(MATCH(Q20,_xlfn.ANCHORARRAY(E31),0))),P33&amp;"Por favor no seleccionar los criterios de impacto",Q20)</f>
        <v>0</v>
      </c>
      <c r="S20" s="340"/>
      <c r="T20" s="341"/>
      <c r="U20" s="358"/>
      <c r="V20" s="203">
        <v>2</v>
      </c>
      <c r="W20" s="176"/>
      <c r="X20" s="178" t="str">
        <f>IF(OR(Y20="Preventivo",Y20="Detectivo"),"Probabilidad",IF(Y20="Correctivo","Impacto",""))</f>
        <v/>
      </c>
      <c r="Y20" s="179"/>
      <c r="Z20" s="179"/>
      <c r="AA20" s="180" t="str">
        <f t="shared" ref="AA20:AA24" si="10">IF(AND(Y20="Preventivo",Z20="Automático"),"50%",IF(AND(Y20="Preventivo",Z20="Manual"),"40%",IF(AND(Y20="Detectivo",Z20="Automático"),"40%",IF(AND(Y20="Detectivo",Z20="Manual"),"30%",IF(AND(Y20="Correctivo",Z20="Automático"),"35%",IF(AND(Y20="Correctivo",Z20="Manual"),"25%",""))))))</f>
        <v/>
      </c>
      <c r="AB20" s="179"/>
      <c r="AC20" s="179"/>
      <c r="AD20" s="179"/>
      <c r="AE20" s="181" t="str">
        <f>IFERROR(IF(AND(X19="Probabilidad",X20="Probabilidad"),(AG19-(+AG19*AA20)),IF(X20="Probabilidad",(P19-(+P19*AA20)),IF(X20="Impacto",AG19,""))),"")</f>
        <v/>
      </c>
      <c r="AF20" s="182" t="str">
        <f t="shared" si="2"/>
        <v/>
      </c>
      <c r="AG20" s="180" t="str">
        <f t="shared" ref="AG20:AG24" si="11">+AE20</f>
        <v/>
      </c>
      <c r="AH20" s="182" t="str">
        <f t="shared" si="4"/>
        <v/>
      </c>
      <c r="AI20" s="180" t="str">
        <f t="shared" ref="AI20" si="12">IFERROR(IF(AND(X19="Impacto",X20="Impacto"),(AI19-(+AI19*AA20)),IF(X20="Impacto",($T$13-(+$T$13*AA20)),IF(X20="Probabilidad",AI19,""))),"")</f>
        <v/>
      </c>
      <c r="AJ20" s="183"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84"/>
      <c r="AL20" s="175"/>
      <c r="AM20" s="185"/>
      <c r="AN20" s="175"/>
      <c r="AO20" s="186"/>
      <c r="AP20" s="339"/>
      <c r="AQ20" s="339"/>
      <c r="AR20" s="339"/>
    </row>
    <row r="21" spans="1:44" x14ac:dyDescent="0.2">
      <c r="A21" s="328"/>
      <c r="B21" s="329"/>
      <c r="C21" s="329"/>
      <c r="D21" s="329"/>
      <c r="E21" s="372"/>
      <c r="F21" s="329"/>
      <c r="G21" s="343"/>
      <c r="H21" s="343"/>
      <c r="I21" s="343"/>
      <c r="J21" s="343"/>
      <c r="K21" s="343"/>
      <c r="L21" s="343"/>
      <c r="M21" s="343"/>
      <c r="N21" s="339"/>
      <c r="O21" s="340"/>
      <c r="P21" s="341"/>
      <c r="Q21" s="359"/>
      <c r="R21" s="341">
        <f>IF(NOT(ISERROR(MATCH(Q21,_xlfn.ANCHORARRAY(E32),0))),P34&amp;"Por favor no seleccionar los criterios de impacto",Q21)</f>
        <v>0</v>
      </c>
      <c r="S21" s="340"/>
      <c r="T21" s="341"/>
      <c r="U21" s="358"/>
      <c r="V21" s="203">
        <v>3</v>
      </c>
      <c r="W21" s="177"/>
      <c r="X21" s="178" t="str">
        <f>IF(OR(Y21="Preventivo",Y21="Detectivo"),"Probabilidad",IF(Y21="Correctivo","Impacto",""))</f>
        <v/>
      </c>
      <c r="Y21" s="179"/>
      <c r="Z21" s="179"/>
      <c r="AA21" s="180" t="str">
        <f t="shared" si="10"/>
        <v/>
      </c>
      <c r="AB21" s="179"/>
      <c r="AC21" s="179"/>
      <c r="AD21" s="179"/>
      <c r="AE21" s="181" t="str">
        <f>IFERROR(IF(AND(X20="Probabilidad",X21="Probabilidad"),(AG20-(+AG20*AA21)),IF(AND(X20="Impacto",X21="Probabilidad"),(AG19-(+AG19*AA21)),IF(X21="Impacto",AG20,""))),"")</f>
        <v/>
      </c>
      <c r="AF21" s="182" t="str">
        <f t="shared" si="2"/>
        <v/>
      </c>
      <c r="AG21" s="180" t="str">
        <f t="shared" si="11"/>
        <v/>
      </c>
      <c r="AH21" s="182" t="str">
        <f t="shared" si="4"/>
        <v/>
      </c>
      <c r="AI21" s="180" t="str">
        <f t="shared" ref="AI21:AI72" si="14">IFERROR(IF(AND(X20="Impacto",X21="Impacto"),(AI20-(+AI20*AA21)),IF(AND(X20="Probabilidad",X21="Impacto"),(AI19-(+AI19*AA21)),IF(X21="Probabilidad",AI20,""))),"")</f>
        <v/>
      </c>
      <c r="AJ21" s="183" t="str">
        <f t="shared" si="13"/>
        <v/>
      </c>
      <c r="AK21" s="184"/>
      <c r="AL21" s="175"/>
      <c r="AM21" s="185"/>
      <c r="AN21" s="185"/>
      <c r="AO21" s="186"/>
      <c r="AP21" s="339"/>
      <c r="AQ21" s="339"/>
      <c r="AR21" s="339"/>
    </row>
    <row r="22" spans="1:44" x14ac:dyDescent="0.2">
      <c r="A22" s="328"/>
      <c r="B22" s="329"/>
      <c r="C22" s="329"/>
      <c r="D22" s="329"/>
      <c r="E22" s="372"/>
      <c r="F22" s="329"/>
      <c r="G22" s="343"/>
      <c r="H22" s="343"/>
      <c r="I22" s="343"/>
      <c r="J22" s="343"/>
      <c r="K22" s="343"/>
      <c r="L22" s="343"/>
      <c r="M22" s="343"/>
      <c r="N22" s="339"/>
      <c r="O22" s="340"/>
      <c r="P22" s="341"/>
      <c r="Q22" s="359"/>
      <c r="R22" s="341">
        <f>IF(NOT(ISERROR(MATCH(Q22,_xlfn.ANCHORARRAY(E33),0))),P35&amp;"Por favor no seleccionar los criterios de impacto",Q22)</f>
        <v>0</v>
      </c>
      <c r="S22" s="340"/>
      <c r="T22" s="341"/>
      <c r="U22" s="358"/>
      <c r="V22" s="203">
        <v>4</v>
      </c>
      <c r="W22" s="176"/>
      <c r="X22" s="178" t="str">
        <f t="shared" ref="X22:X24" si="15">IF(OR(Y22="Preventivo",Y22="Detectivo"),"Probabilidad",IF(Y22="Correctivo","Impacto",""))</f>
        <v/>
      </c>
      <c r="Y22" s="179"/>
      <c r="Z22" s="179"/>
      <c r="AA22" s="180" t="str">
        <f t="shared" si="10"/>
        <v/>
      </c>
      <c r="AB22" s="179"/>
      <c r="AC22" s="179"/>
      <c r="AD22" s="179"/>
      <c r="AE22" s="181" t="str">
        <f t="shared" ref="AE22:AE24" si="16">IFERROR(IF(AND(X21="Probabilidad",X22="Probabilidad"),(AG21-(+AG21*AA22)),IF(AND(X21="Impacto",X22="Probabilidad"),(AG20-(+AG20*AA22)),IF(X22="Impacto",AG21,""))),"")</f>
        <v/>
      </c>
      <c r="AF22" s="182" t="str">
        <f t="shared" si="2"/>
        <v/>
      </c>
      <c r="AG22" s="180" t="str">
        <f t="shared" si="11"/>
        <v/>
      </c>
      <c r="AH22" s="182" t="str">
        <f t="shared" si="4"/>
        <v/>
      </c>
      <c r="AI22" s="180" t="str">
        <f t="shared" si="14"/>
        <v/>
      </c>
      <c r="AJ22" s="183"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84"/>
      <c r="AL22" s="175"/>
      <c r="AM22" s="185"/>
      <c r="AN22" s="185"/>
      <c r="AO22" s="186"/>
      <c r="AP22" s="339"/>
      <c r="AQ22" s="339"/>
      <c r="AR22" s="339"/>
    </row>
    <row r="23" spans="1:44" x14ac:dyDescent="0.2">
      <c r="A23" s="328"/>
      <c r="B23" s="329"/>
      <c r="C23" s="329"/>
      <c r="D23" s="329"/>
      <c r="E23" s="372"/>
      <c r="F23" s="329"/>
      <c r="G23" s="343"/>
      <c r="H23" s="343"/>
      <c r="I23" s="343"/>
      <c r="J23" s="343"/>
      <c r="K23" s="343"/>
      <c r="L23" s="343"/>
      <c r="M23" s="343"/>
      <c r="N23" s="339"/>
      <c r="O23" s="340"/>
      <c r="P23" s="341"/>
      <c r="Q23" s="359"/>
      <c r="R23" s="341">
        <f>IF(NOT(ISERROR(MATCH(Q23,_xlfn.ANCHORARRAY(E34),0))),P36&amp;"Por favor no seleccionar los criterios de impacto",Q23)</f>
        <v>0</v>
      </c>
      <c r="S23" s="340"/>
      <c r="T23" s="341"/>
      <c r="U23" s="358"/>
      <c r="V23" s="203">
        <v>5</v>
      </c>
      <c r="W23" s="176"/>
      <c r="X23" s="178" t="str">
        <f t="shared" si="15"/>
        <v/>
      </c>
      <c r="Y23" s="179"/>
      <c r="Z23" s="179"/>
      <c r="AA23" s="180" t="str">
        <f t="shared" si="10"/>
        <v/>
      </c>
      <c r="AB23" s="179"/>
      <c r="AC23" s="179"/>
      <c r="AD23" s="179"/>
      <c r="AE23" s="181" t="str">
        <f t="shared" si="16"/>
        <v/>
      </c>
      <c r="AF23" s="182" t="str">
        <f t="shared" si="2"/>
        <v/>
      </c>
      <c r="AG23" s="180" t="str">
        <f t="shared" si="11"/>
        <v/>
      </c>
      <c r="AH23" s="182" t="str">
        <f t="shared" si="4"/>
        <v/>
      </c>
      <c r="AI23" s="180" t="str">
        <f t="shared" si="14"/>
        <v/>
      </c>
      <c r="AJ23" s="183"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84"/>
      <c r="AL23" s="175"/>
      <c r="AM23" s="185"/>
      <c r="AN23" s="185"/>
      <c r="AO23" s="186"/>
      <c r="AP23" s="339"/>
      <c r="AQ23" s="339"/>
      <c r="AR23" s="339"/>
    </row>
    <row r="24" spans="1:44" x14ac:dyDescent="0.2">
      <c r="A24" s="328"/>
      <c r="B24" s="329"/>
      <c r="C24" s="329"/>
      <c r="D24" s="329"/>
      <c r="E24" s="372"/>
      <c r="F24" s="329"/>
      <c r="G24" s="344"/>
      <c r="H24" s="344"/>
      <c r="I24" s="344"/>
      <c r="J24" s="344"/>
      <c r="K24" s="344"/>
      <c r="L24" s="344"/>
      <c r="M24" s="344"/>
      <c r="N24" s="339"/>
      <c r="O24" s="340"/>
      <c r="P24" s="341"/>
      <c r="Q24" s="359"/>
      <c r="R24" s="341">
        <f>IF(NOT(ISERROR(MATCH(Q24,_xlfn.ANCHORARRAY(E35),0))),P37&amp;"Por favor no seleccionar los criterios de impacto",Q24)</f>
        <v>0</v>
      </c>
      <c r="S24" s="340"/>
      <c r="T24" s="341"/>
      <c r="U24" s="358"/>
      <c r="V24" s="203">
        <v>6</v>
      </c>
      <c r="W24" s="176"/>
      <c r="X24" s="178" t="str">
        <f t="shared" si="15"/>
        <v/>
      </c>
      <c r="Y24" s="179"/>
      <c r="Z24" s="179"/>
      <c r="AA24" s="180" t="str">
        <f t="shared" si="10"/>
        <v/>
      </c>
      <c r="AB24" s="179"/>
      <c r="AC24" s="179"/>
      <c r="AD24" s="179"/>
      <c r="AE24" s="181" t="str">
        <f t="shared" si="16"/>
        <v/>
      </c>
      <c r="AF24" s="182" t="str">
        <f t="shared" si="2"/>
        <v/>
      </c>
      <c r="AG24" s="180" t="str">
        <f t="shared" si="11"/>
        <v/>
      </c>
      <c r="AH24" s="182" t="str">
        <f t="shared" si="4"/>
        <v/>
      </c>
      <c r="AI24" s="180" t="str">
        <f t="shared" si="14"/>
        <v/>
      </c>
      <c r="AJ24" s="183" t="str">
        <f t="shared" si="17"/>
        <v/>
      </c>
      <c r="AK24" s="184"/>
      <c r="AL24" s="175"/>
      <c r="AM24" s="185"/>
      <c r="AN24" s="185"/>
      <c r="AO24" s="186"/>
      <c r="AP24" s="339"/>
      <c r="AQ24" s="339"/>
      <c r="AR24" s="339"/>
    </row>
    <row r="25" spans="1:44" x14ac:dyDescent="0.2">
      <c r="A25" s="328">
        <v>3</v>
      </c>
      <c r="B25" s="329"/>
      <c r="C25" s="329"/>
      <c r="D25" s="329"/>
      <c r="E25" s="372"/>
      <c r="F25" s="329"/>
      <c r="G25" s="342"/>
      <c r="H25" s="342"/>
      <c r="I25" s="342"/>
      <c r="J25" s="342"/>
      <c r="K25" s="342"/>
      <c r="L25" s="342"/>
      <c r="M25" s="342"/>
      <c r="N25" s="339"/>
      <c r="O25" s="340" t="str">
        <f>IF(N25&lt;=0,"",IF(N25&lt;=2,"Muy Baja",IF(N25&lt;=24,"Baja",IF(N25&lt;=500,"Media",IF(N25&lt;=5000,"Alta","Muy Alta")))))</f>
        <v/>
      </c>
      <c r="P25" s="341" t="str">
        <f>IF(O25="","",IF(O25="Muy Baja",0.2,IF(O25="Baja",0.4,IF(O25="Media",0.6,IF(O25="Alta",0.8,IF(O25="Muy Alta",1,))))))</f>
        <v/>
      </c>
      <c r="Q25" s="359"/>
      <c r="R25" s="341">
        <f>IF(NOT(ISERROR(MATCH(Q25,'Tabla Impacto'!$B$222:$B$224,0))),'Tabla Impacto'!$F$224&amp;"Por favor no seleccionar los criterios de impacto(Afectación Económica o presupuestal y Pérdida Reputacional)",Q25)</f>
        <v>0</v>
      </c>
      <c r="S25" s="340" t="str">
        <f>IF(OR(R25='Tabla Impacto'!$C$12,R25='Tabla Impacto'!$D$12),"Leve",IF(OR(R25='Tabla Impacto'!$C$13,R25='Tabla Impacto'!$D$13),"Menor",IF(OR(R25='Tabla Impacto'!$C$14,R25='Tabla Impacto'!$D$14),"Moderado",IF(OR(R25='Tabla Impacto'!$C$15,R25='Tabla Impacto'!$D$15),"Mayor",IF(OR(R25='Tabla Impacto'!$C$16,R25='Tabla Impacto'!$D$16),"Catastrófico","")))))</f>
        <v/>
      </c>
      <c r="T25" s="341" t="str">
        <f>IF(S25="","",IF(S25="Leve",0.2,IF(S25="Menor",0.4,IF(S25="Moderado",0.6,IF(S25="Mayor",0.8,IF(S25="Catastrófico",1,))))))</f>
        <v/>
      </c>
      <c r="U25" s="358"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03">
        <v>1</v>
      </c>
      <c r="W25" s="176"/>
      <c r="X25" s="178" t="str">
        <f>IF(OR(Y25="Preventivo",Y25="Detectivo"),"Probabilidad",IF(Y25="Correctivo","Impacto",""))</f>
        <v/>
      </c>
      <c r="Y25" s="179"/>
      <c r="Z25" s="179"/>
      <c r="AA25" s="180" t="str">
        <f>IF(AND(Y25="Preventivo",Z25="Automático"),"50%",IF(AND(Y25="Preventivo",Z25="Manual"),"40%",IF(AND(Y25="Detectivo",Z25="Automático"),"40%",IF(AND(Y25="Detectivo",Z25="Manual"),"30%",IF(AND(Y25="Correctivo",Z25="Automático"),"35%",IF(AND(Y25="Correctivo",Z25="Manual"),"25%",""))))))</f>
        <v/>
      </c>
      <c r="AB25" s="179"/>
      <c r="AC25" s="179"/>
      <c r="AD25" s="179"/>
      <c r="AE25" s="181" t="str">
        <f>IFERROR(IF(X25="Probabilidad",(P25-(+P25*AA25)),IF(X25="Impacto",P25,"")),"")</f>
        <v/>
      </c>
      <c r="AF25" s="182" t="str">
        <f>IFERROR(IF(AE25="","",IF(AE25&lt;=0.2,"Muy Baja",IF(AE25&lt;=0.4,"Baja",IF(AE25&lt;=0.6,"Media",IF(AE25&lt;=0.8,"Alta","Muy Alta"))))),"")</f>
        <v/>
      </c>
      <c r="AG25" s="180" t="str">
        <f>+AE25</f>
        <v/>
      </c>
      <c r="AH25" s="182" t="str">
        <f>IFERROR(IF(AI25="","",IF(AI25&lt;=0.2,"Leve",IF(AI25&lt;=0.4,"Menor",IF(AI25&lt;=0.6,"Moderado",IF(AI25&lt;=0.8,"Mayor","Catastrófico"))))),"")</f>
        <v/>
      </c>
      <c r="AI25" s="180" t="str">
        <f t="shared" ref="AI25" si="18">IFERROR(IF(X25="Impacto",(T25-(+T25*AA25)),IF(X25="Probabilidad",T25,"")),"")</f>
        <v/>
      </c>
      <c r="AJ25" s="183"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84"/>
      <c r="AL25" s="175"/>
      <c r="AM25" s="185"/>
      <c r="AN25" s="185"/>
      <c r="AO25" s="186"/>
      <c r="AP25" s="339"/>
      <c r="AQ25" s="339"/>
      <c r="AR25" s="339"/>
    </row>
    <row r="26" spans="1:44" x14ac:dyDescent="0.2">
      <c r="A26" s="328"/>
      <c r="B26" s="329"/>
      <c r="C26" s="329"/>
      <c r="D26" s="329"/>
      <c r="E26" s="372"/>
      <c r="F26" s="329"/>
      <c r="G26" s="343"/>
      <c r="H26" s="343"/>
      <c r="I26" s="343"/>
      <c r="J26" s="343"/>
      <c r="K26" s="343"/>
      <c r="L26" s="343"/>
      <c r="M26" s="343"/>
      <c r="N26" s="339"/>
      <c r="O26" s="340"/>
      <c r="P26" s="341"/>
      <c r="Q26" s="359"/>
      <c r="R26" s="341">
        <f>IF(NOT(ISERROR(MATCH(Q26,_xlfn.ANCHORARRAY(E37),0))),P39&amp;"Por favor no seleccionar los criterios de impacto",Q26)</f>
        <v>0</v>
      </c>
      <c r="S26" s="340"/>
      <c r="T26" s="341"/>
      <c r="U26" s="358"/>
      <c r="V26" s="203">
        <v>2</v>
      </c>
      <c r="W26" s="176"/>
      <c r="X26" s="178" t="str">
        <f>IF(OR(Y26="Preventivo",Y26="Detectivo"),"Probabilidad",IF(Y26="Correctivo","Impacto",""))</f>
        <v/>
      </c>
      <c r="Y26" s="179"/>
      <c r="Z26" s="179"/>
      <c r="AA26" s="180" t="str">
        <f t="shared" ref="AA26:AA30" si="19">IF(AND(Y26="Preventivo",Z26="Automático"),"50%",IF(AND(Y26="Preventivo",Z26="Manual"),"40%",IF(AND(Y26="Detectivo",Z26="Automático"),"40%",IF(AND(Y26="Detectivo",Z26="Manual"),"30%",IF(AND(Y26="Correctivo",Z26="Automático"),"35%",IF(AND(Y26="Correctivo",Z26="Manual"),"25%",""))))))</f>
        <v/>
      </c>
      <c r="AB26" s="179"/>
      <c r="AC26" s="179"/>
      <c r="AD26" s="179"/>
      <c r="AE26" s="181" t="str">
        <f>IFERROR(IF(AND(X25="Probabilidad",X26="Probabilidad"),(AG25-(+AG25*AA26)),IF(X26="Probabilidad",(P25-(+P25*AA26)),IF(X26="Impacto",AG25,""))),"")</f>
        <v/>
      </c>
      <c r="AF26" s="182" t="str">
        <f t="shared" si="2"/>
        <v/>
      </c>
      <c r="AG26" s="180" t="str">
        <f t="shared" ref="AG26:AG30" si="20">+AE26</f>
        <v/>
      </c>
      <c r="AH26" s="182" t="str">
        <f t="shared" si="4"/>
        <v/>
      </c>
      <c r="AI26" s="180" t="str">
        <f t="shared" ref="AI26" si="21">IFERROR(IF(AND(X25="Impacto",X26="Impacto"),(AI25-(+AI25*AA26)),IF(X26="Impacto",($T$13-(+$T$13*AA26)),IF(X26="Probabilidad",AI25,""))),"")</f>
        <v/>
      </c>
      <c r="AJ26" s="183"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84"/>
      <c r="AL26" s="175"/>
      <c r="AM26" s="185"/>
      <c r="AN26" s="185"/>
      <c r="AO26" s="186"/>
      <c r="AP26" s="339"/>
      <c r="AQ26" s="339"/>
      <c r="AR26" s="339"/>
    </row>
    <row r="27" spans="1:44" x14ac:dyDescent="0.2">
      <c r="A27" s="328"/>
      <c r="B27" s="329"/>
      <c r="C27" s="329"/>
      <c r="D27" s="329"/>
      <c r="E27" s="372"/>
      <c r="F27" s="329"/>
      <c r="G27" s="343"/>
      <c r="H27" s="343"/>
      <c r="I27" s="343"/>
      <c r="J27" s="343"/>
      <c r="K27" s="343"/>
      <c r="L27" s="343"/>
      <c r="M27" s="343"/>
      <c r="N27" s="339"/>
      <c r="O27" s="340"/>
      <c r="P27" s="341"/>
      <c r="Q27" s="359"/>
      <c r="R27" s="341">
        <f>IF(NOT(ISERROR(MATCH(Q27,_xlfn.ANCHORARRAY(E38),0))),P40&amp;"Por favor no seleccionar los criterios de impacto",Q27)</f>
        <v>0</v>
      </c>
      <c r="S27" s="340"/>
      <c r="T27" s="341"/>
      <c r="U27" s="358"/>
      <c r="V27" s="203">
        <v>3</v>
      </c>
      <c r="W27" s="176"/>
      <c r="X27" s="178" t="str">
        <f>IF(OR(Y27="Preventivo",Y27="Detectivo"),"Probabilidad",IF(Y27="Correctivo","Impacto",""))</f>
        <v/>
      </c>
      <c r="Y27" s="179"/>
      <c r="Z27" s="179"/>
      <c r="AA27" s="180" t="str">
        <f t="shared" si="19"/>
        <v/>
      </c>
      <c r="AB27" s="179"/>
      <c r="AC27" s="179"/>
      <c r="AD27" s="179"/>
      <c r="AE27" s="181" t="str">
        <f>IFERROR(IF(AND(X26="Probabilidad",X27="Probabilidad"),(AG26-(+AG26*AA27)),IF(AND(X26="Impacto",X27="Probabilidad"),(AG25-(+AG25*AA27)),IF(X27="Impacto",AG26,""))),"")</f>
        <v/>
      </c>
      <c r="AF27" s="182" t="str">
        <f t="shared" si="2"/>
        <v/>
      </c>
      <c r="AG27" s="180" t="str">
        <f t="shared" si="20"/>
        <v/>
      </c>
      <c r="AH27" s="182" t="str">
        <f t="shared" si="4"/>
        <v/>
      </c>
      <c r="AI27" s="180" t="str">
        <f t="shared" ref="AI27" si="23">IFERROR(IF(AND(X26="Impacto",X27="Impacto"),(AI26-(+AI26*AA27)),IF(AND(X26="Probabilidad",X27="Impacto"),(AI25-(+AI25*AA27)),IF(X27="Probabilidad",AI26,""))),"")</f>
        <v/>
      </c>
      <c r="AJ27" s="183" t="str">
        <f t="shared" si="22"/>
        <v/>
      </c>
      <c r="AK27" s="184"/>
      <c r="AL27" s="175"/>
      <c r="AM27" s="185"/>
      <c r="AN27" s="185"/>
      <c r="AO27" s="186"/>
      <c r="AP27" s="339"/>
      <c r="AQ27" s="339"/>
      <c r="AR27" s="339"/>
    </row>
    <row r="28" spans="1:44" x14ac:dyDescent="0.2">
      <c r="A28" s="328"/>
      <c r="B28" s="329"/>
      <c r="C28" s="329"/>
      <c r="D28" s="329"/>
      <c r="E28" s="372"/>
      <c r="F28" s="329"/>
      <c r="G28" s="343"/>
      <c r="H28" s="343"/>
      <c r="I28" s="343"/>
      <c r="J28" s="343"/>
      <c r="K28" s="343"/>
      <c r="L28" s="343"/>
      <c r="M28" s="343"/>
      <c r="N28" s="339"/>
      <c r="O28" s="340"/>
      <c r="P28" s="341"/>
      <c r="Q28" s="359"/>
      <c r="R28" s="341">
        <f>IF(NOT(ISERROR(MATCH(Q28,_xlfn.ANCHORARRAY(E39),0))),P41&amp;"Por favor no seleccionar los criterios de impacto",Q28)</f>
        <v>0</v>
      </c>
      <c r="S28" s="340"/>
      <c r="T28" s="341"/>
      <c r="U28" s="358"/>
      <c r="V28" s="203">
        <v>4</v>
      </c>
      <c r="W28" s="176"/>
      <c r="X28" s="178" t="str">
        <f t="shared" ref="X28:X30" si="24">IF(OR(Y28="Preventivo",Y28="Detectivo"),"Probabilidad",IF(Y28="Correctivo","Impacto",""))</f>
        <v/>
      </c>
      <c r="Y28" s="179"/>
      <c r="Z28" s="179"/>
      <c r="AA28" s="180" t="str">
        <f t="shared" si="19"/>
        <v/>
      </c>
      <c r="AB28" s="179"/>
      <c r="AC28" s="179"/>
      <c r="AD28" s="179"/>
      <c r="AE28" s="181" t="str">
        <f t="shared" ref="AE28:AE30" si="25">IFERROR(IF(AND(X27="Probabilidad",X28="Probabilidad"),(AG27-(+AG27*AA28)),IF(AND(X27="Impacto",X28="Probabilidad"),(AG26-(+AG26*AA28)),IF(X28="Impacto",AG27,""))),"")</f>
        <v/>
      </c>
      <c r="AF28" s="182" t="str">
        <f t="shared" si="2"/>
        <v/>
      </c>
      <c r="AG28" s="180" t="str">
        <f t="shared" si="20"/>
        <v/>
      </c>
      <c r="AH28" s="182" t="str">
        <f t="shared" si="4"/>
        <v/>
      </c>
      <c r="AI28" s="180" t="str">
        <f t="shared" si="14"/>
        <v/>
      </c>
      <c r="AJ28" s="183"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84"/>
      <c r="AL28" s="175"/>
      <c r="AM28" s="185"/>
      <c r="AN28" s="185"/>
      <c r="AO28" s="186"/>
      <c r="AP28" s="339"/>
      <c r="AQ28" s="339"/>
      <c r="AR28" s="339"/>
    </row>
    <row r="29" spans="1:44" x14ac:dyDescent="0.2">
      <c r="A29" s="328"/>
      <c r="B29" s="329"/>
      <c r="C29" s="329"/>
      <c r="D29" s="329"/>
      <c r="E29" s="372"/>
      <c r="F29" s="329"/>
      <c r="G29" s="343"/>
      <c r="H29" s="343"/>
      <c r="I29" s="343"/>
      <c r="J29" s="343"/>
      <c r="K29" s="343"/>
      <c r="L29" s="343"/>
      <c r="M29" s="343"/>
      <c r="N29" s="339"/>
      <c r="O29" s="340"/>
      <c r="P29" s="341"/>
      <c r="Q29" s="359"/>
      <c r="R29" s="341">
        <f>IF(NOT(ISERROR(MATCH(Q29,_xlfn.ANCHORARRAY(E40),0))),P42&amp;"Por favor no seleccionar los criterios de impacto",Q29)</f>
        <v>0</v>
      </c>
      <c r="S29" s="340"/>
      <c r="T29" s="341"/>
      <c r="U29" s="358"/>
      <c r="V29" s="203">
        <v>5</v>
      </c>
      <c r="W29" s="176"/>
      <c r="X29" s="178" t="str">
        <f t="shared" si="24"/>
        <v/>
      </c>
      <c r="Y29" s="179"/>
      <c r="Z29" s="179"/>
      <c r="AA29" s="180" t="str">
        <f t="shared" si="19"/>
        <v/>
      </c>
      <c r="AB29" s="179"/>
      <c r="AC29" s="179"/>
      <c r="AD29" s="179"/>
      <c r="AE29" s="181" t="str">
        <f t="shared" si="25"/>
        <v/>
      </c>
      <c r="AF29" s="182" t="str">
        <f t="shared" si="2"/>
        <v/>
      </c>
      <c r="AG29" s="180" t="str">
        <f t="shared" si="20"/>
        <v/>
      </c>
      <c r="AH29" s="182" t="str">
        <f t="shared" si="4"/>
        <v/>
      </c>
      <c r="AI29" s="180" t="str">
        <f t="shared" si="14"/>
        <v/>
      </c>
      <c r="AJ29" s="183"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84"/>
      <c r="AL29" s="175"/>
      <c r="AM29" s="185"/>
      <c r="AN29" s="185"/>
      <c r="AO29" s="186"/>
      <c r="AP29" s="339"/>
      <c r="AQ29" s="339"/>
      <c r="AR29" s="339"/>
    </row>
    <row r="30" spans="1:44" x14ac:dyDescent="0.2">
      <c r="A30" s="328"/>
      <c r="B30" s="329"/>
      <c r="C30" s="329"/>
      <c r="D30" s="329"/>
      <c r="E30" s="372"/>
      <c r="F30" s="329"/>
      <c r="G30" s="344"/>
      <c r="H30" s="344"/>
      <c r="I30" s="344"/>
      <c r="J30" s="344"/>
      <c r="K30" s="344"/>
      <c r="L30" s="344"/>
      <c r="M30" s="344"/>
      <c r="N30" s="339"/>
      <c r="O30" s="340"/>
      <c r="P30" s="341"/>
      <c r="Q30" s="359"/>
      <c r="R30" s="341">
        <f>IF(NOT(ISERROR(MATCH(Q30,_xlfn.ANCHORARRAY(E41),0))),P43&amp;"Por favor no seleccionar los criterios de impacto",Q30)</f>
        <v>0</v>
      </c>
      <c r="S30" s="340"/>
      <c r="T30" s="341"/>
      <c r="U30" s="358"/>
      <c r="V30" s="203">
        <v>6</v>
      </c>
      <c r="W30" s="176"/>
      <c r="X30" s="178" t="str">
        <f t="shared" si="24"/>
        <v/>
      </c>
      <c r="Y30" s="179"/>
      <c r="Z30" s="179"/>
      <c r="AA30" s="180" t="str">
        <f t="shared" si="19"/>
        <v/>
      </c>
      <c r="AB30" s="179"/>
      <c r="AC30" s="179"/>
      <c r="AD30" s="179"/>
      <c r="AE30" s="181" t="str">
        <f t="shared" si="25"/>
        <v/>
      </c>
      <c r="AF30" s="182" t="str">
        <f t="shared" si="2"/>
        <v/>
      </c>
      <c r="AG30" s="180" t="str">
        <f t="shared" si="20"/>
        <v/>
      </c>
      <c r="AH30" s="182" t="str">
        <f t="shared" si="4"/>
        <v/>
      </c>
      <c r="AI30" s="180" t="str">
        <f t="shared" si="14"/>
        <v/>
      </c>
      <c r="AJ30" s="183" t="str">
        <f t="shared" si="26"/>
        <v/>
      </c>
      <c r="AK30" s="184"/>
      <c r="AL30" s="175"/>
      <c r="AM30" s="185"/>
      <c r="AN30" s="185"/>
      <c r="AO30" s="186"/>
      <c r="AP30" s="339"/>
      <c r="AQ30" s="339"/>
      <c r="AR30" s="339"/>
    </row>
    <row r="31" spans="1:44" x14ac:dyDescent="0.2">
      <c r="A31" s="328">
        <v>4</v>
      </c>
      <c r="B31" s="329"/>
      <c r="C31" s="329"/>
      <c r="D31" s="329"/>
      <c r="E31" s="368"/>
      <c r="F31" s="329"/>
      <c r="G31" s="342"/>
      <c r="H31" s="342"/>
      <c r="I31" s="342"/>
      <c r="J31" s="342"/>
      <c r="K31" s="342"/>
      <c r="L31" s="342"/>
      <c r="M31" s="342"/>
      <c r="N31" s="339"/>
      <c r="O31" s="340" t="str">
        <f>IF(N31&lt;=0,"",IF(N31&lt;=2,"Muy Baja",IF(N31&lt;=24,"Baja",IF(N31&lt;=500,"Media",IF(N31&lt;=5000,"Alta","Muy Alta")))))</f>
        <v/>
      </c>
      <c r="P31" s="341" t="str">
        <f>IF(O31="","",IF(O31="Muy Baja",0.2,IF(O31="Baja",0.4,IF(O31="Media",0.6,IF(O31="Alta",0.8,IF(O31="Muy Alta",1,))))))</f>
        <v/>
      </c>
      <c r="Q31" s="359"/>
      <c r="R31" s="341">
        <f>IF(NOT(ISERROR(MATCH(Q31,'Tabla Impacto'!$B$222:$B$224,0))),'Tabla Impacto'!$F$224&amp;"Por favor no seleccionar los criterios de impacto(Afectación Económica o presupuestal y Pérdida Reputacional)",Q31)</f>
        <v>0</v>
      </c>
      <c r="S31" s="340" t="str">
        <f>IF(OR(R31='Tabla Impacto'!$C$12,R31='Tabla Impacto'!$D$12),"Leve",IF(OR(R31='Tabla Impacto'!$C$13,R31='Tabla Impacto'!$D$13),"Menor",IF(OR(R31='Tabla Impacto'!$C$14,R31='Tabla Impacto'!$D$14),"Moderado",IF(OR(R31='Tabla Impacto'!$C$15,R31='Tabla Impacto'!$D$15),"Mayor",IF(OR(R31='Tabla Impacto'!$C$16,R31='Tabla Impacto'!$D$16),"Catastrófico","")))))</f>
        <v/>
      </c>
      <c r="T31" s="341" t="str">
        <f>IF(S31="","",IF(S31="Leve",0.2,IF(S31="Menor",0.4,IF(S31="Moderado",0.6,IF(S31="Mayor",0.8,IF(S31="Catastrófico",1,))))))</f>
        <v/>
      </c>
      <c r="U31" s="358"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03">
        <v>1</v>
      </c>
      <c r="W31" s="176"/>
      <c r="X31" s="178" t="str">
        <f>IF(OR(Y31="Preventivo",Y31="Detectivo"),"Probabilidad",IF(Y31="Correctivo","Impacto",""))</f>
        <v/>
      </c>
      <c r="Y31" s="179"/>
      <c r="Z31" s="179"/>
      <c r="AA31" s="180" t="str">
        <f>IF(AND(Y31="Preventivo",Z31="Automático"),"50%",IF(AND(Y31="Preventivo",Z31="Manual"),"40%",IF(AND(Y31="Detectivo",Z31="Automático"),"40%",IF(AND(Y31="Detectivo",Z31="Manual"),"30%",IF(AND(Y31="Correctivo",Z31="Automático"),"35%",IF(AND(Y31="Correctivo",Z31="Manual"),"25%",""))))))</f>
        <v/>
      </c>
      <c r="AB31" s="179"/>
      <c r="AC31" s="179"/>
      <c r="AD31" s="179"/>
      <c r="AE31" s="181" t="str">
        <f>IFERROR(IF(X31="Probabilidad",(P31-(+P31*AA31)),IF(X31="Impacto",P31,"")),"")</f>
        <v/>
      </c>
      <c r="AF31" s="182" t="str">
        <f>IFERROR(IF(AE31="","",IF(AE31&lt;=0.2,"Muy Baja",IF(AE31&lt;=0.4,"Baja",IF(AE31&lt;=0.6,"Media",IF(AE31&lt;=0.8,"Alta","Muy Alta"))))),"")</f>
        <v/>
      </c>
      <c r="AG31" s="180" t="str">
        <f>+AE31</f>
        <v/>
      </c>
      <c r="AH31" s="182" t="str">
        <f>IFERROR(IF(AI31="","",IF(AI31&lt;=0.2,"Leve",IF(AI31&lt;=0.4,"Menor",IF(AI31&lt;=0.6,"Moderado",IF(AI31&lt;=0.8,"Mayor","Catastrófico"))))),"")</f>
        <v/>
      </c>
      <c r="AI31" s="180" t="str">
        <f t="shared" ref="AI31" si="27">IFERROR(IF(X31="Impacto",(T31-(+T31*AA31)),IF(X31="Probabilidad",T31,"")),"")</f>
        <v/>
      </c>
      <c r="AJ31" s="183"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84"/>
      <c r="AL31" s="175"/>
      <c r="AM31" s="185"/>
      <c r="AN31" s="185"/>
      <c r="AO31" s="186"/>
      <c r="AP31" s="339"/>
      <c r="AQ31" s="339"/>
      <c r="AR31" s="339"/>
    </row>
    <row r="32" spans="1:44" x14ac:dyDescent="0.2">
      <c r="A32" s="328"/>
      <c r="B32" s="329"/>
      <c r="C32" s="329"/>
      <c r="D32" s="329"/>
      <c r="E32" s="369"/>
      <c r="F32" s="329"/>
      <c r="G32" s="343"/>
      <c r="H32" s="343"/>
      <c r="I32" s="343"/>
      <c r="J32" s="343"/>
      <c r="K32" s="343"/>
      <c r="L32" s="343"/>
      <c r="M32" s="343"/>
      <c r="N32" s="339"/>
      <c r="O32" s="340"/>
      <c r="P32" s="341"/>
      <c r="Q32" s="359"/>
      <c r="R32" s="341">
        <f>IF(NOT(ISERROR(MATCH(Q32,_xlfn.ANCHORARRAY(E43),0))),P45&amp;"Por favor no seleccionar los criterios de impacto",Q32)</f>
        <v>0</v>
      </c>
      <c r="S32" s="340"/>
      <c r="T32" s="341"/>
      <c r="U32" s="358"/>
      <c r="V32" s="203">
        <v>2</v>
      </c>
      <c r="W32" s="176"/>
      <c r="X32" s="178" t="str">
        <f>IF(OR(Y32="Preventivo",Y32="Detectivo"),"Probabilidad",IF(Y32="Correctivo","Impacto",""))</f>
        <v/>
      </c>
      <c r="Y32" s="179"/>
      <c r="Z32" s="179"/>
      <c r="AA32" s="180" t="str">
        <f t="shared" ref="AA32:AA36" si="28">IF(AND(Y32="Preventivo",Z32="Automático"),"50%",IF(AND(Y32="Preventivo",Z32="Manual"),"40%",IF(AND(Y32="Detectivo",Z32="Automático"),"40%",IF(AND(Y32="Detectivo",Z32="Manual"),"30%",IF(AND(Y32="Correctivo",Z32="Automático"),"35%",IF(AND(Y32="Correctivo",Z32="Manual"),"25%",""))))))</f>
        <v/>
      </c>
      <c r="AB32" s="179"/>
      <c r="AC32" s="179"/>
      <c r="AD32" s="179"/>
      <c r="AE32" s="181" t="str">
        <f>IFERROR(IF(AND(X31="Probabilidad",X32="Probabilidad"),(AG31-(+AG31*AA32)),IF(X32="Probabilidad",(P31-(+P31*AA32)),IF(X32="Impacto",AG31,""))),"")</f>
        <v/>
      </c>
      <c r="AF32" s="182" t="str">
        <f t="shared" si="2"/>
        <v/>
      </c>
      <c r="AG32" s="180" t="str">
        <f t="shared" ref="AG32:AG36" si="29">+AE32</f>
        <v/>
      </c>
      <c r="AH32" s="182" t="str">
        <f t="shared" si="4"/>
        <v/>
      </c>
      <c r="AI32" s="180" t="str">
        <f t="shared" ref="AI32" si="30">IFERROR(IF(AND(X31="Impacto",X32="Impacto"),(AI31-(+AI31*AA32)),IF(X32="Impacto",($T$13-(+$T$13*AA32)),IF(X32="Probabilidad",AI31,""))),"")</f>
        <v/>
      </c>
      <c r="AJ32" s="183"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84"/>
      <c r="AL32" s="175"/>
      <c r="AM32" s="185"/>
      <c r="AN32" s="185"/>
      <c r="AO32" s="186"/>
      <c r="AP32" s="339"/>
      <c r="AQ32" s="339"/>
      <c r="AR32" s="339"/>
    </row>
    <row r="33" spans="1:44" x14ac:dyDescent="0.2">
      <c r="A33" s="328"/>
      <c r="B33" s="329"/>
      <c r="C33" s="329"/>
      <c r="D33" s="329"/>
      <c r="E33" s="369"/>
      <c r="F33" s="329"/>
      <c r="G33" s="343"/>
      <c r="H33" s="343"/>
      <c r="I33" s="343"/>
      <c r="J33" s="343"/>
      <c r="K33" s="343"/>
      <c r="L33" s="343"/>
      <c r="M33" s="343"/>
      <c r="N33" s="339"/>
      <c r="O33" s="340"/>
      <c r="P33" s="341"/>
      <c r="Q33" s="359"/>
      <c r="R33" s="341">
        <f>IF(NOT(ISERROR(MATCH(Q33,_xlfn.ANCHORARRAY(E44),0))),P46&amp;"Por favor no seleccionar los criterios de impacto",Q33)</f>
        <v>0</v>
      </c>
      <c r="S33" s="340"/>
      <c r="T33" s="341"/>
      <c r="U33" s="358"/>
      <c r="V33" s="203">
        <v>3</v>
      </c>
      <c r="W33" s="177"/>
      <c r="X33" s="178" t="str">
        <f>IF(OR(Y33="Preventivo",Y33="Detectivo"),"Probabilidad",IF(Y33="Correctivo","Impacto",""))</f>
        <v/>
      </c>
      <c r="Y33" s="179"/>
      <c r="Z33" s="179"/>
      <c r="AA33" s="180" t="str">
        <f t="shared" si="28"/>
        <v/>
      </c>
      <c r="AB33" s="179"/>
      <c r="AC33" s="179"/>
      <c r="AD33" s="179"/>
      <c r="AE33" s="181" t="str">
        <f>IFERROR(IF(AND(X32="Probabilidad",X33="Probabilidad"),(AG32-(+AG32*AA33)),IF(AND(X32="Impacto",X33="Probabilidad"),(AG31-(+AG31*AA33)),IF(X33="Impacto",AG32,""))),"")</f>
        <v/>
      </c>
      <c r="AF33" s="182" t="str">
        <f t="shared" si="2"/>
        <v/>
      </c>
      <c r="AG33" s="180" t="str">
        <f t="shared" si="29"/>
        <v/>
      </c>
      <c r="AH33" s="182" t="str">
        <f t="shared" si="4"/>
        <v/>
      </c>
      <c r="AI33" s="180" t="str">
        <f t="shared" ref="AI33" si="32">IFERROR(IF(AND(X32="Impacto",X33="Impacto"),(AI32-(+AI32*AA33)),IF(AND(X32="Probabilidad",X33="Impacto"),(AI31-(+AI31*AA33)),IF(X33="Probabilidad",AI32,""))),"")</f>
        <v/>
      </c>
      <c r="AJ33" s="183" t="str">
        <f t="shared" si="31"/>
        <v/>
      </c>
      <c r="AK33" s="184"/>
      <c r="AL33" s="175"/>
      <c r="AM33" s="185"/>
      <c r="AN33" s="185"/>
      <c r="AO33" s="186"/>
      <c r="AP33" s="339"/>
      <c r="AQ33" s="339"/>
      <c r="AR33" s="339"/>
    </row>
    <row r="34" spans="1:44" x14ac:dyDescent="0.2">
      <c r="A34" s="328"/>
      <c r="B34" s="329"/>
      <c r="C34" s="329"/>
      <c r="D34" s="329"/>
      <c r="E34" s="369"/>
      <c r="F34" s="329"/>
      <c r="G34" s="343"/>
      <c r="H34" s="343"/>
      <c r="I34" s="343"/>
      <c r="J34" s="343"/>
      <c r="K34" s="343"/>
      <c r="L34" s="343"/>
      <c r="M34" s="343"/>
      <c r="N34" s="339"/>
      <c r="O34" s="340"/>
      <c r="P34" s="341"/>
      <c r="Q34" s="359"/>
      <c r="R34" s="341">
        <f>IF(NOT(ISERROR(MATCH(Q34,_xlfn.ANCHORARRAY(E45),0))),P47&amp;"Por favor no seleccionar los criterios de impacto",Q34)</f>
        <v>0</v>
      </c>
      <c r="S34" s="340"/>
      <c r="T34" s="341"/>
      <c r="U34" s="358"/>
      <c r="V34" s="203">
        <v>4</v>
      </c>
      <c r="W34" s="176"/>
      <c r="X34" s="178" t="str">
        <f t="shared" ref="X34:X36" si="33">IF(OR(Y34="Preventivo",Y34="Detectivo"),"Probabilidad",IF(Y34="Correctivo","Impacto",""))</f>
        <v/>
      </c>
      <c r="Y34" s="179"/>
      <c r="Z34" s="179"/>
      <c r="AA34" s="180" t="str">
        <f t="shared" si="28"/>
        <v/>
      </c>
      <c r="AB34" s="179"/>
      <c r="AC34" s="179"/>
      <c r="AD34" s="179"/>
      <c r="AE34" s="181" t="str">
        <f t="shared" ref="AE34:AE36" si="34">IFERROR(IF(AND(X33="Probabilidad",X34="Probabilidad"),(AG33-(+AG33*AA34)),IF(AND(X33="Impacto",X34="Probabilidad"),(AG32-(+AG32*AA34)),IF(X34="Impacto",AG33,""))),"")</f>
        <v/>
      </c>
      <c r="AF34" s="182" t="str">
        <f t="shared" si="2"/>
        <v/>
      </c>
      <c r="AG34" s="180" t="str">
        <f t="shared" si="29"/>
        <v/>
      </c>
      <c r="AH34" s="182" t="str">
        <f t="shared" si="4"/>
        <v/>
      </c>
      <c r="AI34" s="180" t="str">
        <f t="shared" si="14"/>
        <v/>
      </c>
      <c r="AJ34" s="183"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84"/>
      <c r="AL34" s="175"/>
      <c r="AM34" s="185"/>
      <c r="AN34" s="185"/>
      <c r="AO34" s="186"/>
      <c r="AP34" s="339"/>
      <c r="AQ34" s="339"/>
      <c r="AR34" s="339"/>
    </row>
    <row r="35" spans="1:44" x14ac:dyDescent="0.2">
      <c r="A35" s="328"/>
      <c r="B35" s="329"/>
      <c r="C35" s="329"/>
      <c r="D35" s="329"/>
      <c r="E35" s="369"/>
      <c r="F35" s="329"/>
      <c r="G35" s="343"/>
      <c r="H35" s="343"/>
      <c r="I35" s="343"/>
      <c r="J35" s="343"/>
      <c r="K35" s="343"/>
      <c r="L35" s="343"/>
      <c r="M35" s="343"/>
      <c r="N35" s="339"/>
      <c r="O35" s="340"/>
      <c r="P35" s="341"/>
      <c r="Q35" s="359"/>
      <c r="R35" s="341">
        <f>IF(NOT(ISERROR(MATCH(Q35,_xlfn.ANCHORARRAY(E46),0))),P48&amp;"Por favor no seleccionar los criterios de impacto",Q35)</f>
        <v>0</v>
      </c>
      <c r="S35" s="340"/>
      <c r="T35" s="341"/>
      <c r="U35" s="358"/>
      <c r="V35" s="203">
        <v>5</v>
      </c>
      <c r="W35" s="176"/>
      <c r="X35" s="178" t="str">
        <f t="shared" si="33"/>
        <v/>
      </c>
      <c r="Y35" s="179"/>
      <c r="Z35" s="179"/>
      <c r="AA35" s="180" t="str">
        <f t="shared" si="28"/>
        <v/>
      </c>
      <c r="AB35" s="179"/>
      <c r="AC35" s="179"/>
      <c r="AD35" s="179"/>
      <c r="AE35" s="181" t="str">
        <f t="shared" si="34"/>
        <v/>
      </c>
      <c r="AF35" s="182" t="str">
        <f>IFERROR(IF(AE35="","",IF(AE35&lt;=0.2,"Muy Baja",IF(AE35&lt;=0.4,"Baja",IF(AE35&lt;=0.6,"Media",IF(AE35&lt;=0.8,"Alta","Muy Alta"))))),"")</f>
        <v/>
      </c>
      <c r="AG35" s="180" t="str">
        <f t="shared" si="29"/>
        <v/>
      </c>
      <c r="AH35" s="182" t="str">
        <f t="shared" si="4"/>
        <v/>
      </c>
      <c r="AI35" s="180" t="str">
        <f t="shared" si="14"/>
        <v/>
      </c>
      <c r="AJ35" s="183"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4"/>
      <c r="AL35" s="175"/>
      <c r="AM35" s="185"/>
      <c r="AN35" s="185"/>
      <c r="AO35" s="186"/>
      <c r="AP35" s="339"/>
      <c r="AQ35" s="339"/>
      <c r="AR35" s="339"/>
    </row>
    <row r="36" spans="1:44" x14ac:dyDescent="0.2">
      <c r="A36" s="328"/>
      <c r="B36" s="329"/>
      <c r="C36" s="329"/>
      <c r="D36" s="329"/>
      <c r="E36" s="369"/>
      <c r="F36" s="329"/>
      <c r="G36" s="344"/>
      <c r="H36" s="344"/>
      <c r="I36" s="344"/>
      <c r="J36" s="344"/>
      <c r="K36" s="344"/>
      <c r="L36" s="344"/>
      <c r="M36" s="344"/>
      <c r="N36" s="339"/>
      <c r="O36" s="340"/>
      <c r="P36" s="341"/>
      <c r="Q36" s="359"/>
      <c r="R36" s="341">
        <f>IF(NOT(ISERROR(MATCH(Q36,_xlfn.ANCHORARRAY(E47),0))),P49&amp;"Por favor no seleccionar los criterios de impacto",Q36)</f>
        <v>0</v>
      </c>
      <c r="S36" s="340"/>
      <c r="T36" s="341"/>
      <c r="U36" s="358"/>
      <c r="V36" s="203">
        <v>6</v>
      </c>
      <c r="W36" s="176"/>
      <c r="X36" s="178" t="str">
        <f t="shared" si="33"/>
        <v/>
      </c>
      <c r="Y36" s="179"/>
      <c r="Z36" s="179"/>
      <c r="AA36" s="180" t="str">
        <f t="shared" si="28"/>
        <v/>
      </c>
      <c r="AB36" s="179"/>
      <c r="AC36" s="179"/>
      <c r="AD36" s="179"/>
      <c r="AE36" s="181" t="str">
        <f t="shared" si="34"/>
        <v/>
      </c>
      <c r="AF36" s="182" t="str">
        <f t="shared" si="2"/>
        <v/>
      </c>
      <c r="AG36" s="180" t="str">
        <f t="shared" si="29"/>
        <v/>
      </c>
      <c r="AH36" s="182" t="str">
        <f t="shared" si="4"/>
        <v/>
      </c>
      <c r="AI36" s="180" t="str">
        <f t="shared" si="14"/>
        <v/>
      </c>
      <c r="AJ36" s="183" t="str">
        <f t="shared" si="35"/>
        <v/>
      </c>
      <c r="AK36" s="184"/>
      <c r="AL36" s="175"/>
      <c r="AM36" s="185"/>
      <c r="AN36" s="185"/>
      <c r="AO36" s="186"/>
      <c r="AP36" s="339"/>
      <c r="AQ36" s="339"/>
      <c r="AR36" s="339"/>
    </row>
    <row r="37" spans="1:44" x14ac:dyDescent="0.2">
      <c r="A37" s="328">
        <v>5</v>
      </c>
      <c r="B37" s="329"/>
      <c r="C37" s="329"/>
      <c r="D37" s="329"/>
      <c r="E37" s="329"/>
      <c r="F37" s="329"/>
      <c r="G37" s="342"/>
      <c r="H37" s="342"/>
      <c r="I37" s="342"/>
      <c r="J37" s="342"/>
      <c r="K37" s="342"/>
      <c r="L37" s="342"/>
      <c r="M37" s="342"/>
      <c r="N37" s="339"/>
      <c r="O37" s="340" t="str">
        <f>IF(N37&lt;=0,"",IF(N37&lt;=2,"Muy Baja",IF(N37&lt;=24,"Baja",IF(N37&lt;=500,"Media",IF(N37&lt;=5000,"Alta","Muy Alta")))))</f>
        <v/>
      </c>
      <c r="P37" s="341" t="str">
        <f>IF(O37="","",IF(O37="Muy Baja",0.2,IF(O37="Baja",0.4,IF(O37="Media",0.6,IF(O37="Alta",0.8,IF(O37="Muy Alta",1,))))))</f>
        <v/>
      </c>
      <c r="Q37" s="359"/>
      <c r="R37" s="341">
        <f>IF(NOT(ISERROR(MATCH(Q37,'Tabla Impacto'!$B$222:$B$224,0))),'Tabla Impacto'!$F$224&amp;"Por favor no seleccionar los criterios de impacto(Afectación Económica o presupuestal y Pérdida Reputacional)",Q37)</f>
        <v>0</v>
      </c>
      <c r="S37" s="340" t="str">
        <f>IF(OR(R37='Tabla Impacto'!$C$12,R37='Tabla Impacto'!$D$12),"Leve",IF(OR(R37='Tabla Impacto'!$C$13,R37='Tabla Impacto'!$D$13),"Menor",IF(OR(R37='Tabla Impacto'!$C$14,R37='Tabla Impacto'!$D$14),"Moderado",IF(OR(R37='Tabla Impacto'!$C$15,R37='Tabla Impacto'!$D$15),"Mayor",IF(OR(R37='Tabla Impacto'!$C$16,R37='Tabla Impacto'!$D$16),"Catastrófico","")))))</f>
        <v/>
      </c>
      <c r="T37" s="341" t="str">
        <f>IF(S37="","",IF(S37="Leve",0.2,IF(S37="Menor",0.4,IF(S37="Moderado",0.6,IF(S37="Mayor",0.8,IF(S37="Catastrófico",1,))))))</f>
        <v/>
      </c>
      <c r="U37" s="358"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03">
        <v>1</v>
      </c>
      <c r="W37" s="176"/>
      <c r="X37" s="178" t="str">
        <f>IF(OR(Y37="Preventivo",Y37="Detectivo"),"Probabilidad",IF(Y37="Correctivo","Impacto",""))</f>
        <v/>
      </c>
      <c r="Y37" s="179"/>
      <c r="Z37" s="179"/>
      <c r="AA37" s="180" t="str">
        <f>IF(AND(Y37="Preventivo",Z37="Automático"),"50%",IF(AND(Y37="Preventivo",Z37="Manual"),"40%",IF(AND(Y37="Detectivo",Z37="Automático"),"40%",IF(AND(Y37="Detectivo",Z37="Manual"),"30%",IF(AND(Y37="Correctivo",Z37="Automático"),"35%",IF(AND(Y37="Correctivo",Z37="Manual"),"25%",""))))))</f>
        <v/>
      </c>
      <c r="AB37" s="179"/>
      <c r="AC37" s="179"/>
      <c r="AD37" s="179"/>
      <c r="AE37" s="181" t="str">
        <f>IFERROR(IF(X37="Probabilidad",(P37-(+P37*AA37)),IF(X37="Impacto",P37,"")),"")</f>
        <v/>
      </c>
      <c r="AF37" s="182" t="str">
        <f>IFERROR(IF(AE37="","",IF(AE37&lt;=0.2,"Muy Baja",IF(AE37&lt;=0.4,"Baja",IF(AE37&lt;=0.6,"Media",IF(AE37&lt;=0.8,"Alta","Muy Alta"))))),"")</f>
        <v/>
      </c>
      <c r="AG37" s="180" t="str">
        <f>+AE37</f>
        <v/>
      </c>
      <c r="AH37" s="182" t="str">
        <f>IFERROR(IF(AI37="","",IF(AI37&lt;=0.2,"Leve",IF(AI37&lt;=0.4,"Menor",IF(AI37&lt;=0.6,"Moderado",IF(AI37&lt;=0.8,"Mayor","Catastrófico"))))),"")</f>
        <v/>
      </c>
      <c r="AI37" s="180" t="str">
        <f t="shared" ref="AI37" si="36">IFERROR(IF(X37="Impacto",(T37-(+T37*AA37)),IF(X37="Probabilidad",T37,"")),"")</f>
        <v/>
      </c>
      <c r="AJ37" s="183"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4"/>
      <c r="AL37" s="175"/>
      <c r="AM37" s="185"/>
      <c r="AN37" s="185"/>
      <c r="AO37" s="186"/>
      <c r="AP37" s="339"/>
      <c r="AQ37" s="339"/>
      <c r="AR37" s="339"/>
    </row>
    <row r="38" spans="1:44" x14ac:dyDescent="0.2">
      <c r="A38" s="328"/>
      <c r="B38" s="329"/>
      <c r="C38" s="329"/>
      <c r="D38" s="329"/>
      <c r="E38" s="329"/>
      <c r="F38" s="329"/>
      <c r="G38" s="343"/>
      <c r="H38" s="343"/>
      <c r="I38" s="343"/>
      <c r="J38" s="343"/>
      <c r="K38" s="343"/>
      <c r="L38" s="343"/>
      <c r="M38" s="343"/>
      <c r="N38" s="339"/>
      <c r="O38" s="340"/>
      <c r="P38" s="341"/>
      <c r="Q38" s="359"/>
      <c r="R38" s="341">
        <f>IF(NOT(ISERROR(MATCH(Q38,_xlfn.ANCHORARRAY(E49),0))),P51&amp;"Por favor no seleccionar los criterios de impacto",Q38)</f>
        <v>0</v>
      </c>
      <c r="S38" s="340"/>
      <c r="T38" s="341"/>
      <c r="U38" s="358"/>
      <c r="V38" s="203">
        <v>2</v>
      </c>
      <c r="W38" s="176"/>
      <c r="X38" s="178" t="str">
        <f>IF(OR(Y38="Preventivo",Y38="Detectivo"),"Probabilidad",IF(Y38="Correctivo","Impacto",""))</f>
        <v/>
      </c>
      <c r="Y38" s="179"/>
      <c r="Z38" s="179"/>
      <c r="AA38" s="180" t="str">
        <f t="shared" ref="AA38:AA42" si="37">IF(AND(Y38="Preventivo",Z38="Automático"),"50%",IF(AND(Y38="Preventivo",Z38="Manual"),"40%",IF(AND(Y38="Detectivo",Z38="Automático"),"40%",IF(AND(Y38="Detectivo",Z38="Manual"),"30%",IF(AND(Y38="Correctivo",Z38="Automático"),"35%",IF(AND(Y38="Correctivo",Z38="Manual"),"25%",""))))))</f>
        <v/>
      </c>
      <c r="AB38" s="179"/>
      <c r="AC38" s="179"/>
      <c r="AD38" s="179"/>
      <c r="AE38" s="181" t="str">
        <f>IFERROR(IF(AND(X37="Probabilidad",X38="Probabilidad"),(AG37-(+AG37*AA38)),IF(X38="Probabilidad",(P37-(+P37*AA38)),IF(X38="Impacto",AG37,""))),"")</f>
        <v/>
      </c>
      <c r="AF38" s="182" t="str">
        <f t="shared" si="2"/>
        <v/>
      </c>
      <c r="AG38" s="180" t="str">
        <f t="shared" ref="AG38:AG42" si="38">+AE38</f>
        <v/>
      </c>
      <c r="AH38" s="182" t="str">
        <f t="shared" si="4"/>
        <v/>
      </c>
      <c r="AI38" s="180" t="str">
        <f t="shared" ref="AI38" si="39">IFERROR(IF(AND(X37="Impacto",X38="Impacto"),(AI37-(+AI37*AA38)),IF(X38="Impacto",($T$13-(+$T$13*AA38)),IF(X38="Probabilidad",AI37,""))),"")</f>
        <v/>
      </c>
      <c r="AJ38" s="183"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84"/>
      <c r="AL38" s="175"/>
      <c r="AM38" s="185"/>
      <c r="AN38" s="185"/>
      <c r="AO38" s="186"/>
      <c r="AP38" s="339"/>
      <c r="AQ38" s="339"/>
      <c r="AR38" s="339"/>
    </row>
    <row r="39" spans="1:44" x14ac:dyDescent="0.2">
      <c r="A39" s="328"/>
      <c r="B39" s="329"/>
      <c r="C39" s="329"/>
      <c r="D39" s="329"/>
      <c r="E39" s="329"/>
      <c r="F39" s="329"/>
      <c r="G39" s="343"/>
      <c r="H39" s="343"/>
      <c r="I39" s="343"/>
      <c r="J39" s="343"/>
      <c r="K39" s="343"/>
      <c r="L39" s="343"/>
      <c r="M39" s="343"/>
      <c r="N39" s="339"/>
      <c r="O39" s="340"/>
      <c r="P39" s="341"/>
      <c r="Q39" s="359"/>
      <c r="R39" s="341">
        <f>IF(NOT(ISERROR(MATCH(Q39,_xlfn.ANCHORARRAY(E50),0))),P52&amp;"Por favor no seleccionar los criterios de impacto",Q39)</f>
        <v>0</v>
      </c>
      <c r="S39" s="340"/>
      <c r="T39" s="341"/>
      <c r="U39" s="358"/>
      <c r="V39" s="203">
        <v>3</v>
      </c>
      <c r="W39" s="177"/>
      <c r="X39" s="178" t="str">
        <f>IF(OR(Y39="Preventivo",Y39="Detectivo"),"Probabilidad",IF(Y39="Correctivo","Impacto",""))</f>
        <v/>
      </c>
      <c r="Y39" s="179"/>
      <c r="Z39" s="179"/>
      <c r="AA39" s="180" t="str">
        <f t="shared" si="37"/>
        <v/>
      </c>
      <c r="AB39" s="179"/>
      <c r="AC39" s="179"/>
      <c r="AD39" s="179"/>
      <c r="AE39" s="181" t="str">
        <f>IFERROR(IF(AND(X38="Probabilidad",X39="Probabilidad"),(AG38-(+AG38*AA39)),IF(AND(X38="Impacto",X39="Probabilidad"),(AG37-(+AG37*AA39)),IF(X39="Impacto",AG38,""))),"")</f>
        <v/>
      </c>
      <c r="AF39" s="182" t="str">
        <f t="shared" si="2"/>
        <v/>
      </c>
      <c r="AG39" s="180" t="str">
        <f t="shared" si="38"/>
        <v/>
      </c>
      <c r="AH39" s="182" t="str">
        <f t="shared" si="4"/>
        <v/>
      </c>
      <c r="AI39" s="180" t="str">
        <f t="shared" ref="AI39" si="41">IFERROR(IF(AND(X38="Impacto",X39="Impacto"),(AI38-(+AI38*AA39)),IF(AND(X38="Probabilidad",X39="Impacto"),(AI37-(+AI37*AA39)),IF(X39="Probabilidad",AI38,""))),"")</f>
        <v/>
      </c>
      <c r="AJ39" s="183" t="str">
        <f t="shared" si="40"/>
        <v/>
      </c>
      <c r="AK39" s="184"/>
      <c r="AL39" s="175"/>
      <c r="AM39" s="185"/>
      <c r="AN39" s="185"/>
      <c r="AO39" s="186"/>
      <c r="AP39" s="339"/>
      <c r="AQ39" s="339"/>
      <c r="AR39" s="339"/>
    </row>
    <row r="40" spans="1:44" x14ac:dyDescent="0.2">
      <c r="A40" s="328"/>
      <c r="B40" s="329"/>
      <c r="C40" s="329"/>
      <c r="D40" s="329"/>
      <c r="E40" s="329"/>
      <c r="F40" s="329"/>
      <c r="G40" s="343"/>
      <c r="H40" s="343"/>
      <c r="I40" s="343"/>
      <c r="J40" s="343"/>
      <c r="K40" s="343"/>
      <c r="L40" s="343"/>
      <c r="M40" s="343"/>
      <c r="N40" s="339"/>
      <c r="O40" s="340"/>
      <c r="P40" s="341"/>
      <c r="Q40" s="359"/>
      <c r="R40" s="341">
        <f>IF(NOT(ISERROR(MATCH(Q40,_xlfn.ANCHORARRAY(E51),0))),P53&amp;"Por favor no seleccionar los criterios de impacto",Q40)</f>
        <v>0</v>
      </c>
      <c r="S40" s="340"/>
      <c r="T40" s="341"/>
      <c r="U40" s="358"/>
      <c r="V40" s="203">
        <v>4</v>
      </c>
      <c r="W40" s="176"/>
      <c r="X40" s="178" t="str">
        <f t="shared" ref="X40:X42" si="42">IF(OR(Y40="Preventivo",Y40="Detectivo"),"Probabilidad",IF(Y40="Correctivo","Impacto",""))</f>
        <v/>
      </c>
      <c r="Y40" s="179"/>
      <c r="Z40" s="179"/>
      <c r="AA40" s="180" t="str">
        <f t="shared" si="37"/>
        <v/>
      </c>
      <c r="AB40" s="179"/>
      <c r="AC40" s="179"/>
      <c r="AD40" s="179"/>
      <c r="AE40" s="181" t="str">
        <f t="shared" ref="AE40:AE42" si="43">IFERROR(IF(AND(X39="Probabilidad",X40="Probabilidad"),(AG39-(+AG39*AA40)),IF(AND(X39="Impacto",X40="Probabilidad"),(AG38-(+AG38*AA40)),IF(X40="Impacto",AG39,""))),"")</f>
        <v/>
      </c>
      <c r="AF40" s="182" t="str">
        <f t="shared" si="2"/>
        <v/>
      </c>
      <c r="AG40" s="180" t="str">
        <f t="shared" si="38"/>
        <v/>
      </c>
      <c r="AH40" s="182" t="str">
        <f t="shared" si="4"/>
        <v/>
      </c>
      <c r="AI40" s="180" t="str">
        <f t="shared" si="14"/>
        <v/>
      </c>
      <c r="AJ40" s="183"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84"/>
      <c r="AL40" s="175"/>
      <c r="AM40" s="185"/>
      <c r="AN40" s="185"/>
      <c r="AO40" s="186"/>
      <c r="AP40" s="339"/>
      <c r="AQ40" s="339"/>
      <c r="AR40" s="339"/>
    </row>
    <row r="41" spans="1:44" x14ac:dyDescent="0.2">
      <c r="A41" s="328"/>
      <c r="B41" s="329"/>
      <c r="C41" s="329"/>
      <c r="D41" s="329"/>
      <c r="E41" s="329"/>
      <c r="F41" s="329"/>
      <c r="G41" s="343"/>
      <c r="H41" s="343"/>
      <c r="I41" s="343"/>
      <c r="J41" s="343"/>
      <c r="K41" s="343"/>
      <c r="L41" s="343"/>
      <c r="M41" s="343"/>
      <c r="N41" s="339"/>
      <c r="O41" s="340"/>
      <c r="P41" s="341"/>
      <c r="Q41" s="359"/>
      <c r="R41" s="341">
        <f>IF(NOT(ISERROR(MATCH(Q41,_xlfn.ANCHORARRAY(E52),0))),P54&amp;"Por favor no seleccionar los criterios de impacto",Q41)</f>
        <v>0</v>
      </c>
      <c r="S41" s="340"/>
      <c r="T41" s="341"/>
      <c r="U41" s="358"/>
      <c r="V41" s="203">
        <v>5</v>
      </c>
      <c r="W41" s="176"/>
      <c r="X41" s="178" t="str">
        <f t="shared" si="42"/>
        <v/>
      </c>
      <c r="Y41" s="179"/>
      <c r="Z41" s="179"/>
      <c r="AA41" s="180" t="str">
        <f t="shared" si="37"/>
        <v/>
      </c>
      <c r="AB41" s="179"/>
      <c r="AC41" s="179"/>
      <c r="AD41" s="179"/>
      <c r="AE41" s="181" t="str">
        <f t="shared" si="43"/>
        <v/>
      </c>
      <c r="AF41" s="182" t="str">
        <f t="shared" si="2"/>
        <v/>
      </c>
      <c r="AG41" s="180" t="str">
        <f t="shared" si="38"/>
        <v/>
      </c>
      <c r="AH41" s="182" t="str">
        <f t="shared" si="4"/>
        <v/>
      </c>
      <c r="AI41" s="180" t="str">
        <f t="shared" si="14"/>
        <v/>
      </c>
      <c r="AJ41" s="183"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84"/>
      <c r="AL41" s="175"/>
      <c r="AM41" s="185"/>
      <c r="AN41" s="185"/>
      <c r="AO41" s="186"/>
      <c r="AP41" s="339"/>
      <c r="AQ41" s="339"/>
      <c r="AR41" s="339"/>
    </row>
    <row r="42" spans="1:44" x14ac:dyDescent="0.2">
      <c r="A42" s="328"/>
      <c r="B42" s="329"/>
      <c r="C42" s="329"/>
      <c r="D42" s="329"/>
      <c r="E42" s="329"/>
      <c r="F42" s="329"/>
      <c r="G42" s="344"/>
      <c r="H42" s="344"/>
      <c r="I42" s="344"/>
      <c r="J42" s="344"/>
      <c r="K42" s="344"/>
      <c r="L42" s="344"/>
      <c r="M42" s="344"/>
      <c r="N42" s="339"/>
      <c r="O42" s="340"/>
      <c r="P42" s="341"/>
      <c r="Q42" s="359"/>
      <c r="R42" s="341">
        <f>IF(NOT(ISERROR(MATCH(Q42,_xlfn.ANCHORARRAY(E53),0))),P55&amp;"Por favor no seleccionar los criterios de impacto",Q42)</f>
        <v>0</v>
      </c>
      <c r="S42" s="340"/>
      <c r="T42" s="341"/>
      <c r="U42" s="358"/>
      <c r="V42" s="203">
        <v>6</v>
      </c>
      <c r="W42" s="176"/>
      <c r="X42" s="178" t="str">
        <f t="shared" si="42"/>
        <v/>
      </c>
      <c r="Y42" s="179"/>
      <c r="Z42" s="179"/>
      <c r="AA42" s="180" t="str">
        <f t="shared" si="37"/>
        <v/>
      </c>
      <c r="AB42" s="179"/>
      <c r="AC42" s="179"/>
      <c r="AD42" s="179"/>
      <c r="AE42" s="181" t="str">
        <f t="shared" si="43"/>
        <v/>
      </c>
      <c r="AF42" s="182" t="str">
        <f t="shared" si="2"/>
        <v/>
      </c>
      <c r="AG42" s="180" t="str">
        <f t="shared" si="38"/>
        <v/>
      </c>
      <c r="AH42" s="182" t="str">
        <f t="shared" si="4"/>
        <v/>
      </c>
      <c r="AI42" s="180" t="str">
        <f t="shared" si="14"/>
        <v/>
      </c>
      <c r="AJ42" s="183" t="str">
        <f t="shared" si="44"/>
        <v/>
      </c>
      <c r="AK42" s="184"/>
      <c r="AL42" s="175"/>
      <c r="AM42" s="185"/>
      <c r="AN42" s="185"/>
      <c r="AO42" s="186"/>
      <c r="AP42" s="339"/>
      <c r="AQ42" s="339"/>
      <c r="AR42" s="339"/>
    </row>
    <row r="43" spans="1:44" x14ac:dyDescent="0.2">
      <c r="A43" s="328">
        <v>6</v>
      </c>
      <c r="B43" s="329"/>
      <c r="C43" s="329"/>
      <c r="D43" s="329"/>
      <c r="E43" s="342"/>
      <c r="F43" s="329"/>
      <c r="G43" s="342"/>
      <c r="H43" s="342"/>
      <c r="I43" s="342"/>
      <c r="J43" s="342"/>
      <c r="K43" s="342"/>
      <c r="L43" s="342"/>
      <c r="M43" s="342"/>
      <c r="N43" s="339"/>
      <c r="O43" s="340" t="str">
        <f>IF(N43&lt;=0,"",IF(N43&lt;=2,"Muy Baja",IF(N43&lt;=24,"Baja",IF(N43&lt;=500,"Media",IF(N43&lt;=5000,"Alta","Muy Alta")))))</f>
        <v/>
      </c>
      <c r="P43" s="341" t="str">
        <f>IF(O43="","",IF(O43="Muy Baja",0.2,IF(O43="Baja",0.4,IF(O43="Media",0.6,IF(O43="Alta",0.8,IF(O43="Muy Alta",1,))))))</f>
        <v/>
      </c>
      <c r="Q43" s="359"/>
      <c r="R43" s="341">
        <f>IF(NOT(ISERROR(MATCH(Q43,'Tabla Impacto'!$B$222:$B$224,0))),'Tabla Impacto'!$F$224&amp;"Por favor no seleccionar los criterios de impacto(Afectación Económica o presupuestal y Pérdida Reputacional)",Q43)</f>
        <v>0</v>
      </c>
      <c r="S43" s="340" t="str">
        <f>IF(OR(R43='Tabla Impacto'!$C$12,R43='Tabla Impacto'!$D$12),"Leve",IF(OR(R43='Tabla Impacto'!$C$13,R43='Tabla Impacto'!$D$13),"Menor",IF(OR(R43='Tabla Impacto'!$C$14,R43='Tabla Impacto'!$D$14),"Moderado",IF(OR(R43='Tabla Impacto'!$C$15,R43='Tabla Impacto'!$D$15),"Mayor",IF(OR(R43='Tabla Impacto'!$C$16,R43='Tabla Impacto'!$D$16),"Catastrófico","")))))</f>
        <v/>
      </c>
      <c r="T43" s="341" t="str">
        <f>IF(S43="","",IF(S43="Leve",0.2,IF(S43="Menor",0.4,IF(S43="Moderado",0.6,IF(S43="Mayor",0.8,IF(S43="Catastrófico",1,))))))</f>
        <v/>
      </c>
      <c r="U43" s="358"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03">
        <v>1</v>
      </c>
      <c r="W43" s="176"/>
      <c r="X43" s="178" t="str">
        <f>IF(OR(Y43="Preventivo",Y43="Detectivo"),"Probabilidad",IF(Y43="Correctivo","Impacto",""))</f>
        <v/>
      </c>
      <c r="Y43" s="179"/>
      <c r="Z43" s="179"/>
      <c r="AA43" s="180" t="str">
        <f>IF(AND(Y43="Preventivo",Z43="Automático"),"50%",IF(AND(Y43="Preventivo",Z43="Manual"),"40%",IF(AND(Y43="Detectivo",Z43="Automático"),"40%",IF(AND(Y43="Detectivo",Z43="Manual"),"30%",IF(AND(Y43="Correctivo",Z43="Automático"),"35%",IF(AND(Y43="Correctivo",Z43="Manual"),"25%",""))))))</f>
        <v/>
      </c>
      <c r="AB43" s="179"/>
      <c r="AC43" s="179"/>
      <c r="AD43" s="179"/>
      <c r="AE43" s="181" t="str">
        <f>IFERROR(IF(X43="Probabilidad",(P43-(+P43*AA43)),IF(X43="Impacto",P43,"")),"")</f>
        <v/>
      </c>
      <c r="AF43" s="182" t="str">
        <f>IFERROR(IF(AE43="","",IF(AE43&lt;=0.2,"Muy Baja",IF(AE43&lt;=0.4,"Baja",IF(AE43&lt;=0.6,"Media",IF(AE43&lt;=0.8,"Alta","Muy Alta"))))),"")</f>
        <v/>
      </c>
      <c r="AG43" s="180" t="str">
        <f>+AE43</f>
        <v/>
      </c>
      <c r="AH43" s="182" t="str">
        <f>IFERROR(IF(AI43="","",IF(AI43&lt;=0.2,"Leve",IF(AI43&lt;=0.4,"Menor",IF(AI43&lt;=0.6,"Moderado",IF(AI43&lt;=0.8,"Mayor","Catastrófico"))))),"")</f>
        <v/>
      </c>
      <c r="AI43" s="180" t="str">
        <f t="shared" ref="AI43" si="45">IFERROR(IF(X43="Impacto",(T43-(+T43*AA43)),IF(X43="Probabilidad",T43,"")),"")</f>
        <v/>
      </c>
      <c r="AJ43" s="183"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79"/>
      <c r="AL43" s="175"/>
      <c r="AM43" s="185"/>
      <c r="AN43" s="185"/>
      <c r="AO43" s="186"/>
      <c r="AP43" s="339"/>
      <c r="AQ43" s="339"/>
      <c r="AR43" s="339"/>
    </row>
    <row r="44" spans="1:44" x14ac:dyDescent="0.2">
      <c r="A44" s="328"/>
      <c r="B44" s="329"/>
      <c r="C44" s="329"/>
      <c r="D44" s="329"/>
      <c r="E44" s="343"/>
      <c r="F44" s="329"/>
      <c r="G44" s="343"/>
      <c r="H44" s="343"/>
      <c r="I44" s="343"/>
      <c r="J44" s="343"/>
      <c r="K44" s="343"/>
      <c r="L44" s="343"/>
      <c r="M44" s="343"/>
      <c r="N44" s="339"/>
      <c r="O44" s="340"/>
      <c r="P44" s="341"/>
      <c r="Q44" s="359"/>
      <c r="R44" s="341">
        <f>IF(NOT(ISERROR(MATCH(Q44,_xlfn.ANCHORARRAY(E55),0))),P57&amp;"Por favor no seleccionar los criterios de impacto",Q44)</f>
        <v>0</v>
      </c>
      <c r="S44" s="340"/>
      <c r="T44" s="341"/>
      <c r="U44" s="358"/>
      <c r="V44" s="203">
        <v>2</v>
      </c>
      <c r="W44" s="176"/>
      <c r="X44" s="178" t="str">
        <f>IF(OR(Y44="Preventivo",Y44="Detectivo"),"Probabilidad",IF(Y44="Correctivo","Impacto",""))</f>
        <v/>
      </c>
      <c r="Y44" s="179"/>
      <c r="Z44" s="179"/>
      <c r="AA44" s="180" t="str">
        <f t="shared" ref="AA44:AA48" si="46">IF(AND(Y44="Preventivo",Z44="Automático"),"50%",IF(AND(Y44="Preventivo",Z44="Manual"),"40%",IF(AND(Y44="Detectivo",Z44="Automático"),"40%",IF(AND(Y44="Detectivo",Z44="Manual"),"30%",IF(AND(Y44="Correctivo",Z44="Automático"),"35%",IF(AND(Y44="Correctivo",Z44="Manual"),"25%",""))))))</f>
        <v/>
      </c>
      <c r="AB44" s="179"/>
      <c r="AC44" s="179"/>
      <c r="AD44" s="179"/>
      <c r="AE44" s="181" t="str">
        <f>IFERROR(IF(AND(X43="Probabilidad",X44="Probabilidad"),(AG43-(+AG43*AA44)),IF(X44="Probabilidad",(P43-(+P43*AA44)),IF(X44="Impacto",AG43,""))),"")</f>
        <v/>
      </c>
      <c r="AF44" s="182" t="str">
        <f t="shared" si="2"/>
        <v/>
      </c>
      <c r="AG44" s="180" t="str">
        <f t="shared" ref="AG44:AG48" si="47">+AE44</f>
        <v/>
      </c>
      <c r="AH44" s="182" t="str">
        <f t="shared" si="4"/>
        <v/>
      </c>
      <c r="AI44" s="180" t="str">
        <f t="shared" ref="AI44" si="48">IFERROR(IF(AND(X43="Impacto",X44="Impacto"),(AI43-(+AI43*AA44)),IF(X44="Impacto",($T$13-(+$T$13*AA44)),IF(X44="Probabilidad",AI43,""))),"")</f>
        <v/>
      </c>
      <c r="AJ44" s="183"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84"/>
      <c r="AL44" s="175"/>
      <c r="AM44" s="185"/>
      <c r="AN44" s="185"/>
      <c r="AO44" s="186"/>
      <c r="AP44" s="339"/>
      <c r="AQ44" s="339"/>
      <c r="AR44" s="339"/>
    </row>
    <row r="45" spans="1:44" x14ac:dyDescent="0.2">
      <c r="A45" s="328"/>
      <c r="B45" s="329"/>
      <c r="C45" s="329"/>
      <c r="D45" s="329"/>
      <c r="E45" s="343"/>
      <c r="F45" s="329"/>
      <c r="G45" s="343"/>
      <c r="H45" s="343"/>
      <c r="I45" s="343"/>
      <c r="J45" s="343"/>
      <c r="K45" s="343"/>
      <c r="L45" s="343"/>
      <c r="M45" s="343"/>
      <c r="N45" s="339"/>
      <c r="O45" s="340"/>
      <c r="P45" s="341"/>
      <c r="Q45" s="359"/>
      <c r="R45" s="341">
        <f>IF(NOT(ISERROR(MATCH(Q45,_xlfn.ANCHORARRAY(E56),0))),P58&amp;"Por favor no seleccionar los criterios de impacto",Q45)</f>
        <v>0</v>
      </c>
      <c r="S45" s="340"/>
      <c r="T45" s="341"/>
      <c r="U45" s="358"/>
      <c r="V45" s="203">
        <v>3</v>
      </c>
      <c r="W45" s="177"/>
      <c r="X45" s="178" t="str">
        <f>IF(OR(Y45="Preventivo",Y45="Detectivo"),"Probabilidad",IF(Y45="Correctivo","Impacto",""))</f>
        <v/>
      </c>
      <c r="Y45" s="179"/>
      <c r="Z45" s="179"/>
      <c r="AA45" s="180" t="str">
        <f t="shared" si="46"/>
        <v/>
      </c>
      <c r="AB45" s="179"/>
      <c r="AC45" s="179"/>
      <c r="AD45" s="179"/>
      <c r="AE45" s="181" t="str">
        <f>IFERROR(IF(AND(X44="Probabilidad",X45="Probabilidad"),(AG44-(+AG44*AA45)),IF(AND(X44="Impacto",X45="Probabilidad"),(AG43-(+AG43*AA45)),IF(X45="Impacto",AG44,""))),"")</f>
        <v/>
      </c>
      <c r="AF45" s="182" t="str">
        <f t="shared" si="2"/>
        <v/>
      </c>
      <c r="AG45" s="180" t="str">
        <f t="shared" si="47"/>
        <v/>
      </c>
      <c r="AH45" s="182" t="str">
        <f t="shared" si="4"/>
        <v/>
      </c>
      <c r="AI45" s="180" t="str">
        <f t="shared" ref="AI45" si="50">IFERROR(IF(AND(X44="Impacto",X45="Impacto"),(AI44-(+AI44*AA45)),IF(AND(X44="Probabilidad",X45="Impacto"),(AI43-(+AI43*AA45)),IF(X45="Probabilidad",AI44,""))),"")</f>
        <v/>
      </c>
      <c r="AJ45" s="183" t="str">
        <f t="shared" si="49"/>
        <v/>
      </c>
      <c r="AK45" s="184"/>
      <c r="AL45" s="175"/>
      <c r="AM45" s="185"/>
      <c r="AN45" s="185"/>
      <c r="AO45" s="186"/>
      <c r="AP45" s="339"/>
      <c r="AQ45" s="339"/>
      <c r="AR45" s="339"/>
    </row>
    <row r="46" spans="1:44" x14ac:dyDescent="0.2">
      <c r="A46" s="328"/>
      <c r="B46" s="329"/>
      <c r="C46" s="329"/>
      <c r="D46" s="329"/>
      <c r="E46" s="343"/>
      <c r="F46" s="329"/>
      <c r="G46" s="343"/>
      <c r="H46" s="343"/>
      <c r="I46" s="343"/>
      <c r="J46" s="343"/>
      <c r="K46" s="343"/>
      <c r="L46" s="343"/>
      <c r="M46" s="343"/>
      <c r="N46" s="339"/>
      <c r="O46" s="340"/>
      <c r="P46" s="341"/>
      <c r="Q46" s="359"/>
      <c r="R46" s="341">
        <f>IF(NOT(ISERROR(MATCH(Q46,_xlfn.ANCHORARRAY(E57),0))),P59&amp;"Por favor no seleccionar los criterios de impacto",Q46)</f>
        <v>0</v>
      </c>
      <c r="S46" s="340"/>
      <c r="T46" s="341"/>
      <c r="U46" s="358"/>
      <c r="V46" s="203">
        <v>4</v>
      </c>
      <c r="W46" s="176"/>
      <c r="X46" s="178" t="str">
        <f t="shared" ref="X46:X48" si="51">IF(OR(Y46="Preventivo",Y46="Detectivo"),"Probabilidad",IF(Y46="Correctivo","Impacto",""))</f>
        <v/>
      </c>
      <c r="Y46" s="179"/>
      <c r="Z46" s="179"/>
      <c r="AA46" s="180" t="str">
        <f t="shared" si="46"/>
        <v/>
      </c>
      <c r="AB46" s="179"/>
      <c r="AC46" s="179"/>
      <c r="AD46" s="179"/>
      <c r="AE46" s="181" t="str">
        <f t="shared" ref="AE46:AE48" si="52">IFERROR(IF(AND(X45="Probabilidad",X46="Probabilidad"),(AG45-(+AG45*AA46)),IF(AND(X45="Impacto",X46="Probabilidad"),(AG44-(+AG44*AA46)),IF(X46="Impacto",AG45,""))),"")</f>
        <v/>
      </c>
      <c r="AF46" s="182" t="str">
        <f t="shared" si="2"/>
        <v/>
      </c>
      <c r="AG46" s="180" t="str">
        <f t="shared" si="47"/>
        <v/>
      </c>
      <c r="AH46" s="182" t="str">
        <f t="shared" si="4"/>
        <v/>
      </c>
      <c r="AI46" s="180" t="str">
        <f t="shared" si="14"/>
        <v/>
      </c>
      <c r="AJ46" s="183"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84"/>
      <c r="AL46" s="175"/>
      <c r="AM46" s="185"/>
      <c r="AN46" s="185"/>
      <c r="AO46" s="186"/>
      <c r="AP46" s="339"/>
      <c r="AQ46" s="339"/>
      <c r="AR46" s="339"/>
    </row>
    <row r="47" spans="1:44" x14ac:dyDescent="0.2">
      <c r="A47" s="328"/>
      <c r="B47" s="329"/>
      <c r="C47" s="329"/>
      <c r="D47" s="329"/>
      <c r="E47" s="343"/>
      <c r="F47" s="329"/>
      <c r="G47" s="343"/>
      <c r="H47" s="343"/>
      <c r="I47" s="343"/>
      <c r="J47" s="343"/>
      <c r="K47" s="343"/>
      <c r="L47" s="343"/>
      <c r="M47" s="343"/>
      <c r="N47" s="339"/>
      <c r="O47" s="340"/>
      <c r="P47" s="341"/>
      <c r="Q47" s="359"/>
      <c r="R47" s="341">
        <f>IF(NOT(ISERROR(MATCH(Q47,_xlfn.ANCHORARRAY(E58),0))),P60&amp;"Por favor no seleccionar los criterios de impacto",Q47)</f>
        <v>0</v>
      </c>
      <c r="S47" s="340"/>
      <c r="T47" s="341"/>
      <c r="U47" s="358"/>
      <c r="V47" s="203">
        <v>5</v>
      </c>
      <c r="W47" s="176"/>
      <c r="X47" s="178" t="str">
        <f t="shared" si="51"/>
        <v/>
      </c>
      <c r="Y47" s="179"/>
      <c r="Z47" s="179"/>
      <c r="AA47" s="180" t="str">
        <f t="shared" si="46"/>
        <v/>
      </c>
      <c r="AB47" s="179"/>
      <c r="AC47" s="179"/>
      <c r="AD47" s="179"/>
      <c r="AE47" s="181" t="str">
        <f t="shared" si="52"/>
        <v/>
      </c>
      <c r="AF47" s="182" t="str">
        <f t="shared" si="2"/>
        <v/>
      </c>
      <c r="AG47" s="180" t="str">
        <f t="shared" si="47"/>
        <v/>
      </c>
      <c r="AH47" s="182" t="str">
        <f t="shared" si="4"/>
        <v/>
      </c>
      <c r="AI47" s="180" t="str">
        <f t="shared" si="14"/>
        <v/>
      </c>
      <c r="AJ47" s="183"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84"/>
      <c r="AL47" s="175"/>
      <c r="AM47" s="185"/>
      <c r="AN47" s="185"/>
      <c r="AO47" s="186"/>
      <c r="AP47" s="339"/>
      <c r="AQ47" s="339"/>
      <c r="AR47" s="339"/>
    </row>
    <row r="48" spans="1:44" x14ac:dyDescent="0.2">
      <c r="A48" s="328"/>
      <c r="B48" s="329"/>
      <c r="C48" s="329"/>
      <c r="D48" s="329"/>
      <c r="E48" s="344"/>
      <c r="F48" s="329"/>
      <c r="G48" s="344"/>
      <c r="H48" s="344"/>
      <c r="I48" s="344"/>
      <c r="J48" s="344"/>
      <c r="K48" s="344"/>
      <c r="L48" s="344"/>
      <c r="M48" s="344"/>
      <c r="N48" s="339"/>
      <c r="O48" s="340"/>
      <c r="P48" s="341"/>
      <c r="Q48" s="359"/>
      <c r="R48" s="341">
        <f>IF(NOT(ISERROR(MATCH(Q48,_xlfn.ANCHORARRAY(E59),0))),P61&amp;"Por favor no seleccionar los criterios de impacto",Q48)</f>
        <v>0</v>
      </c>
      <c r="S48" s="340"/>
      <c r="T48" s="341"/>
      <c r="U48" s="358"/>
      <c r="V48" s="203">
        <v>6</v>
      </c>
      <c r="W48" s="176"/>
      <c r="X48" s="178" t="str">
        <f t="shared" si="51"/>
        <v/>
      </c>
      <c r="Y48" s="179"/>
      <c r="Z48" s="179"/>
      <c r="AA48" s="180" t="str">
        <f t="shared" si="46"/>
        <v/>
      </c>
      <c r="AB48" s="179"/>
      <c r="AC48" s="179"/>
      <c r="AD48" s="179"/>
      <c r="AE48" s="181" t="str">
        <f t="shared" si="52"/>
        <v/>
      </c>
      <c r="AF48" s="182" t="str">
        <f t="shared" si="2"/>
        <v/>
      </c>
      <c r="AG48" s="180" t="str">
        <f t="shared" si="47"/>
        <v/>
      </c>
      <c r="AH48" s="182" t="str">
        <f>IFERROR(IF(AI48="","",IF(AI48&lt;=0.2,"Leve",IF(AI48&lt;=0.4,"Menor",IF(AI48&lt;=0.6,"Moderado",IF(AI48&lt;=0.8,"Mayor","Catastrófico"))))),"")</f>
        <v/>
      </c>
      <c r="AI48" s="180" t="str">
        <f t="shared" si="14"/>
        <v/>
      </c>
      <c r="AJ48" s="183"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84"/>
      <c r="AL48" s="175"/>
      <c r="AM48" s="185"/>
      <c r="AN48" s="185"/>
      <c r="AO48" s="186"/>
      <c r="AP48" s="339"/>
      <c r="AQ48" s="339"/>
      <c r="AR48" s="339"/>
    </row>
    <row r="49" spans="1:44" x14ac:dyDescent="0.2">
      <c r="A49" s="328">
        <v>7</v>
      </c>
      <c r="B49" s="329"/>
      <c r="C49" s="329"/>
      <c r="D49" s="367"/>
      <c r="E49" s="329"/>
      <c r="F49" s="329"/>
      <c r="G49" s="342"/>
      <c r="H49" s="342"/>
      <c r="I49" s="342"/>
      <c r="J49" s="342"/>
      <c r="K49" s="342"/>
      <c r="L49" s="342"/>
      <c r="M49" s="342"/>
      <c r="N49" s="339"/>
      <c r="O49" s="340" t="str">
        <f>IF(N49&lt;=0,"",IF(N49&lt;=2,"Muy Baja",IF(N49&lt;=24,"Baja",IF(N49&lt;=500,"Media",IF(N49&lt;=5000,"Alta","Muy Alta")))))</f>
        <v/>
      </c>
      <c r="P49" s="341" t="str">
        <f>IF(O49="","",IF(O49="Muy Baja",0.2,IF(O49="Baja",0.4,IF(O49="Media",0.6,IF(O49="Alta",0.8,IF(O49="Muy Alta",1,))))))</f>
        <v/>
      </c>
      <c r="Q49" s="359"/>
      <c r="R49" s="341">
        <f>IF(NOT(ISERROR(MATCH(Q49,'Tabla Impacto'!$B$222:$B$224,0))),'Tabla Impacto'!$F$224&amp;"Por favor no seleccionar los criterios de impacto(Afectación Económica o presupuestal y Pérdida Reputacional)",Q49)</f>
        <v>0</v>
      </c>
      <c r="S49" s="340" t="str">
        <f>IF(OR(R49='Tabla Impacto'!$C$12,R49='Tabla Impacto'!$D$12),"Leve",IF(OR(R49='Tabla Impacto'!$C$13,R49='Tabla Impacto'!$D$13),"Menor",IF(OR(R49='Tabla Impacto'!$C$14,R49='Tabla Impacto'!$D$14),"Moderado",IF(OR(R49='Tabla Impacto'!$C$15,R49='Tabla Impacto'!$D$15),"Mayor",IF(OR(R49='Tabla Impacto'!$C$16,R49='Tabla Impacto'!$D$16),"Catastrófico","")))))</f>
        <v/>
      </c>
      <c r="T49" s="341" t="str">
        <f>IF(S49="","",IF(S49="Leve",0.2,IF(S49="Menor",0.4,IF(S49="Moderado",0.6,IF(S49="Mayor",0.8,IF(S49="Catastrófico",1,))))))</f>
        <v/>
      </c>
      <c r="U49" s="358"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03">
        <v>1</v>
      </c>
      <c r="W49" s="188"/>
      <c r="X49" s="178" t="str">
        <f>IF(OR(Y49="Preventivo",Y49="Detectivo"),"Probabilidad",IF(Y49="Correctivo","Impacto",""))</f>
        <v/>
      </c>
      <c r="Y49" s="179"/>
      <c r="Z49" s="179"/>
      <c r="AA49" s="180" t="str">
        <f>IF(AND(Y49="Preventivo",Z49="Automático"),"50%",IF(AND(Y49="Preventivo",Z49="Manual"),"40%",IF(AND(Y49="Detectivo",Z49="Automático"),"40%",IF(AND(Y49="Detectivo",Z49="Manual"),"30%",IF(AND(Y49="Correctivo",Z49="Automático"),"35%",IF(AND(Y49="Correctivo",Z49="Manual"),"25%",""))))))</f>
        <v/>
      </c>
      <c r="AB49" s="179"/>
      <c r="AC49" s="179"/>
      <c r="AD49" s="179"/>
      <c r="AE49" s="181" t="str">
        <f>IFERROR(IF(X49="Probabilidad",(P49-(+P49*AA49)),IF(X49="Impacto",P49,"")),"")</f>
        <v/>
      </c>
      <c r="AF49" s="182" t="str">
        <f>IFERROR(IF(AE49="","",IF(AE49&lt;=0.2,"Muy Baja",IF(AE49&lt;=0.4,"Baja",IF(AE49&lt;=0.6,"Media",IF(AE49&lt;=0.8,"Alta","Muy Alta"))))),"")</f>
        <v/>
      </c>
      <c r="AG49" s="180" t="str">
        <f>+AE49</f>
        <v/>
      </c>
      <c r="AH49" s="182" t="str">
        <f>IFERROR(IF(AI49="","",IF(AI49&lt;=0.2,"Leve",IF(AI49&lt;=0.4,"Menor",IF(AI49&lt;=0.6,"Moderado",IF(AI49&lt;=0.8,"Mayor","Catastrófico"))))),"")</f>
        <v/>
      </c>
      <c r="AI49" s="180" t="str">
        <f t="shared" ref="AI49" si="54">IFERROR(IF(X49="Impacto",(T49-(+T49*AA49)),IF(X49="Probabilidad",T49,"")),"")</f>
        <v/>
      </c>
      <c r="AJ49" s="183"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84"/>
      <c r="AL49" s="175"/>
      <c r="AM49" s="185"/>
      <c r="AN49" s="185"/>
      <c r="AO49" s="186"/>
      <c r="AP49" s="339"/>
      <c r="AQ49" s="339"/>
      <c r="AR49" s="339"/>
    </row>
    <row r="50" spans="1:44" x14ac:dyDescent="0.2">
      <c r="A50" s="328"/>
      <c r="B50" s="329"/>
      <c r="C50" s="329"/>
      <c r="D50" s="367"/>
      <c r="E50" s="329"/>
      <c r="F50" s="329"/>
      <c r="G50" s="343"/>
      <c r="H50" s="343"/>
      <c r="I50" s="343"/>
      <c r="J50" s="343"/>
      <c r="K50" s="343"/>
      <c r="L50" s="343"/>
      <c r="M50" s="343"/>
      <c r="N50" s="339"/>
      <c r="O50" s="340"/>
      <c r="P50" s="341"/>
      <c r="Q50" s="359"/>
      <c r="R50" s="341">
        <f>IF(NOT(ISERROR(MATCH(Q50,_xlfn.ANCHORARRAY(E61),0))),P63&amp;"Por favor no seleccionar los criterios de impacto",Q50)</f>
        <v>0</v>
      </c>
      <c r="S50" s="340"/>
      <c r="T50" s="341"/>
      <c r="U50" s="358"/>
      <c r="V50" s="203">
        <v>2</v>
      </c>
      <c r="W50" s="176"/>
      <c r="X50" s="178" t="str">
        <f>IF(OR(Y50="Preventivo",Y50="Detectivo"),"Probabilidad",IF(Y50="Correctivo","Impacto",""))</f>
        <v/>
      </c>
      <c r="Y50" s="179"/>
      <c r="Z50" s="179"/>
      <c r="AA50" s="180" t="str">
        <f t="shared" ref="AA50:AA54" si="55">IF(AND(Y50="Preventivo",Z50="Automático"),"50%",IF(AND(Y50="Preventivo",Z50="Manual"),"40%",IF(AND(Y50="Detectivo",Z50="Automático"),"40%",IF(AND(Y50="Detectivo",Z50="Manual"),"30%",IF(AND(Y50="Correctivo",Z50="Automático"),"35%",IF(AND(Y50="Correctivo",Z50="Manual"),"25%",""))))))</f>
        <v/>
      </c>
      <c r="AB50" s="179"/>
      <c r="AC50" s="179"/>
      <c r="AD50" s="179"/>
      <c r="AE50" s="181" t="str">
        <f>IFERROR(IF(AND(X49="Probabilidad",X50="Probabilidad"),(AG49-(+AG49*AA50)),IF(X50="Probabilidad",(P49-(+P49*AA50)),IF(X50="Impacto",AG49,""))),"")</f>
        <v/>
      </c>
      <c r="AF50" s="182" t="str">
        <f t="shared" si="2"/>
        <v/>
      </c>
      <c r="AG50" s="180" t="str">
        <f t="shared" ref="AG50:AG54" si="56">+AE50</f>
        <v/>
      </c>
      <c r="AH50" s="182" t="str">
        <f t="shared" si="4"/>
        <v/>
      </c>
      <c r="AI50" s="180" t="str">
        <f t="shared" ref="AI50" si="57">IFERROR(IF(AND(X49="Impacto",X50="Impacto"),(AI49-(+AI49*AA50)),IF(X50="Impacto",($T$13-(+$T$13*AA50)),IF(X50="Probabilidad",AI49,""))),"")</f>
        <v/>
      </c>
      <c r="AJ50" s="183"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84"/>
      <c r="AL50" s="175"/>
      <c r="AM50" s="185"/>
      <c r="AN50" s="185"/>
      <c r="AO50" s="186"/>
      <c r="AP50" s="339"/>
      <c r="AQ50" s="339"/>
      <c r="AR50" s="339"/>
    </row>
    <row r="51" spans="1:44" x14ac:dyDescent="0.2">
      <c r="A51" s="328"/>
      <c r="B51" s="329"/>
      <c r="C51" s="329"/>
      <c r="D51" s="367"/>
      <c r="E51" s="329"/>
      <c r="F51" s="329"/>
      <c r="G51" s="343"/>
      <c r="H51" s="343"/>
      <c r="I51" s="343"/>
      <c r="J51" s="343"/>
      <c r="K51" s="343"/>
      <c r="L51" s="343"/>
      <c r="M51" s="343"/>
      <c r="N51" s="339"/>
      <c r="O51" s="340"/>
      <c r="P51" s="341"/>
      <c r="Q51" s="359"/>
      <c r="R51" s="341">
        <f>IF(NOT(ISERROR(MATCH(Q51,_xlfn.ANCHORARRAY(E62),0))),P64&amp;"Por favor no seleccionar los criterios de impacto",Q51)</f>
        <v>0</v>
      </c>
      <c r="S51" s="340"/>
      <c r="T51" s="341"/>
      <c r="U51" s="358"/>
      <c r="V51" s="203">
        <v>3</v>
      </c>
      <c r="W51" s="177"/>
      <c r="X51" s="178" t="str">
        <f>IF(OR(Y51="Preventivo",Y51="Detectivo"),"Probabilidad",IF(Y51="Correctivo","Impacto",""))</f>
        <v/>
      </c>
      <c r="Y51" s="179"/>
      <c r="Z51" s="179"/>
      <c r="AA51" s="180" t="str">
        <f t="shared" si="55"/>
        <v/>
      </c>
      <c r="AB51" s="179"/>
      <c r="AC51" s="179"/>
      <c r="AD51" s="179"/>
      <c r="AE51" s="181" t="str">
        <f>IFERROR(IF(AND(X50="Probabilidad",X51="Probabilidad"),(AG50-(+AG50*AA51)),IF(AND(X50="Impacto",X51="Probabilidad"),(AG49-(+AG49*AA51)),IF(X51="Impacto",AG50,""))),"")</f>
        <v/>
      </c>
      <c r="AF51" s="182" t="str">
        <f t="shared" si="2"/>
        <v/>
      </c>
      <c r="AG51" s="180" t="str">
        <f t="shared" si="56"/>
        <v/>
      </c>
      <c r="AH51" s="182" t="str">
        <f t="shared" si="4"/>
        <v/>
      </c>
      <c r="AI51" s="180" t="str">
        <f t="shared" ref="AI51" si="59">IFERROR(IF(AND(X50="Impacto",X51="Impacto"),(AI50-(+AI50*AA51)),IF(AND(X50="Probabilidad",X51="Impacto"),(AI49-(+AI49*AA51)),IF(X51="Probabilidad",AI50,""))),"")</f>
        <v/>
      </c>
      <c r="AJ51" s="183" t="str">
        <f t="shared" si="58"/>
        <v/>
      </c>
      <c r="AK51" s="184"/>
      <c r="AL51" s="175"/>
      <c r="AM51" s="185"/>
      <c r="AN51" s="185"/>
      <c r="AO51" s="186"/>
      <c r="AP51" s="339"/>
      <c r="AQ51" s="339"/>
      <c r="AR51" s="339"/>
    </row>
    <row r="52" spans="1:44" x14ac:dyDescent="0.2">
      <c r="A52" s="328"/>
      <c r="B52" s="329"/>
      <c r="C52" s="329"/>
      <c r="D52" s="367"/>
      <c r="E52" s="329"/>
      <c r="F52" s="329"/>
      <c r="G52" s="343"/>
      <c r="H52" s="343"/>
      <c r="I52" s="343"/>
      <c r="J52" s="343"/>
      <c r="K52" s="343"/>
      <c r="L52" s="343"/>
      <c r="M52" s="343"/>
      <c r="N52" s="339"/>
      <c r="O52" s="340"/>
      <c r="P52" s="341"/>
      <c r="Q52" s="359"/>
      <c r="R52" s="341">
        <f>IF(NOT(ISERROR(MATCH(Q52,_xlfn.ANCHORARRAY(E63),0))),P65&amp;"Por favor no seleccionar los criterios de impacto",Q52)</f>
        <v>0</v>
      </c>
      <c r="S52" s="340"/>
      <c r="T52" s="341"/>
      <c r="U52" s="358"/>
      <c r="V52" s="203">
        <v>4</v>
      </c>
      <c r="W52" s="176"/>
      <c r="X52" s="178" t="str">
        <f t="shared" ref="X52:X54" si="60">IF(OR(Y52="Preventivo",Y52="Detectivo"),"Probabilidad",IF(Y52="Correctivo","Impacto",""))</f>
        <v/>
      </c>
      <c r="Y52" s="179"/>
      <c r="Z52" s="179"/>
      <c r="AA52" s="180" t="str">
        <f t="shared" si="55"/>
        <v/>
      </c>
      <c r="AB52" s="179"/>
      <c r="AC52" s="179"/>
      <c r="AD52" s="179"/>
      <c r="AE52" s="181" t="str">
        <f t="shared" ref="AE52:AE54" si="61">IFERROR(IF(AND(X51="Probabilidad",X52="Probabilidad"),(AG51-(+AG51*AA52)),IF(AND(X51="Impacto",X52="Probabilidad"),(AG50-(+AG50*AA52)),IF(X52="Impacto",AG51,""))),"")</f>
        <v/>
      </c>
      <c r="AF52" s="182" t="str">
        <f t="shared" si="2"/>
        <v/>
      </c>
      <c r="AG52" s="180" t="str">
        <f t="shared" si="56"/>
        <v/>
      </c>
      <c r="AH52" s="182" t="str">
        <f t="shared" si="4"/>
        <v/>
      </c>
      <c r="AI52" s="180" t="str">
        <f t="shared" si="14"/>
        <v/>
      </c>
      <c r="AJ52" s="183"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84"/>
      <c r="AL52" s="175"/>
      <c r="AM52" s="185"/>
      <c r="AN52" s="185"/>
      <c r="AO52" s="186"/>
      <c r="AP52" s="339"/>
      <c r="AQ52" s="339"/>
      <c r="AR52" s="339"/>
    </row>
    <row r="53" spans="1:44" x14ac:dyDescent="0.2">
      <c r="A53" s="328"/>
      <c r="B53" s="329"/>
      <c r="C53" s="329"/>
      <c r="D53" s="367"/>
      <c r="E53" s="329"/>
      <c r="F53" s="329"/>
      <c r="G53" s="343"/>
      <c r="H53" s="343"/>
      <c r="I53" s="343"/>
      <c r="J53" s="343"/>
      <c r="K53" s="343"/>
      <c r="L53" s="343"/>
      <c r="M53" s="343"/>
      <c r="N53" s="339"/>
      <c r="O53" s="340"/>
      <c r="P53" s="341"/>
      <c r="Q53" s="359"/>
      <c r="R53" s="341">
        <f>IF(NOT(ISERROR(MATCH(Q53,_xlfn.ANCHORARRAY(E64),0))),P66&amp;"Por favor no seleccionar los criterios de impacto",Q53)</f>
        <v>0</v>
      </c>
      <c r="S53" s="340"/>
      <c r="T53" s="341"/>
      <c r="U53" s="358"/>
      <c r="V53" s="203">
        <v>5</v>
      </c>
      <c r="W53" s="176"/>
      <c r="X53" s="178" t="str">
        <f t="shared" si="60"/>
        <v/>
      </c>
      <c r="Y53" s="179"/>
      <c r="Z53" s="179"/>
      <c r="AA53" s="180" t="str">
        <f t="shared" si="55"/>
        <v/>
      </c>
      <c r="AB53" s="179"/>
      <c r="AC53" s="179"/>
      <c r="AD53" s="179"/>
      <c r="AE53" s="181" t="str">
        <f t="shared" si="61"/>
        <v/>
      </c>
      <c r="AF53" s="182" t="str">
        <f t="shared" si="2"/>
        <v/>
      </c>
      <c r="AG53" s="180" t="str">
        <f t="shared" si="56"/>
        <v/>
      </c>
      <c r="AH53" s="182" t="str">
        <f t="shared" si="4"/>
        <v/>
      </c>
      <c r="AI53" s="180" t="str">
        <f t="shared" si="14"/>
        <v/>
      </c>
      <c r="AJ53" s="183"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84"/>
      <c r="AL53" s="175"/>
      <c r="AM53" s="185"/>
      <c r="AN53" s="185"/>
      <c r="AO53" s="186"/>
      <c r="AP53" s="339"/>
      <c r="AQ53" s="339"/>
      <c r="AR53" s="339"/>
    </row>
    <row r="54" spans="1:44" x14ac:dyDescent="0.2">
      <c r="A54" s="328"/>
      <c r="B54" s="329"/>
      <c r="C54" s="329"/>
      <c r="D54" s="367"/>
      <c r="E54" s="329"/>
      <c r="F54" s="329"/>
      <c r="G54" s="344"/>
      <c r="H54" s="344"/>
      <c r="I54" s="344"/>
      <c r="J54" s="344"/>
      <c r="K54" s="344"/>
      <c r="L54" s="344"/>
      <c r="M54" s="344"/>
      <c r="N54" s="339"/>
      <c r="O54" s="340"/>
      <c r="P54" s="341"/>
      <c r="Q54" s="359"/>
      <c r="R54" s="341">
        <f>IF(NOT(ISERROR(MATCH(Q54,_xlfn.ANCHORARRAY(E65),0))),P67&amp;"Por favor no seleccionar los criterios de impacto",Q54)</f>
        <v>0</v>
      </c>
      <c r="S54" s="340"/>
      <c r="T54" s="341"/>
      <c r="U54" s="358"/>
      <c r="V54" s="203">
        <v>6</v>
      </c>
      <c r="W54" s="176"/>
      <c r="X54" s="178" t="str">
        <f t="shared" si="60"/>
        <v/>
      </c>
      <c r="Y54" s="179"/>
      <c r="Z54" s="179"/>
      <c r="AA54" s="180" t="str">
        <f t="shared" si="55"/>
        <v/>
      </c>
      <c r="AB54" s="179"/>
      <c r="AC54" s="179"/>
      <c r="AD54" s="179"/>
      <c r="AE54" s="181" t="str">
        <f t="shared" si="61"/>
        <v/>
      </c>
      <c r="AF54" s="182" t="str">
        <f t="shared" si="2"/>
        <v/>
      </c>
      <c r="AG54" s="180" t="str">
        <f t="shared" si="56"/>
        <v/>
      </c>
      <c r="AH54" s="182" t="str">
        <f t="shared" si="4"/>
        <v/>
      </c>
      <c r="AI54" s="180" t="str">
        <f t="shared" si="14"/>
        <v/>
      </c>
      <c r="AJ54" s="183" t="str">
        <f t="shared" si="62"/>
        <v/>
      </c>
      <c r="AK54" s="184"/>
      <c r="AL54" s="175"/>
      <c r="AM54" s="185"/>
      <c r="AN54" s="185"/>
      <c r="AO54" s="186"/>
      <c r="AP54" s="339"/>
      <c r="AQ54" s="339"/>
      <c r="AR54" s="339"/>
    </row>
    <row r="55" spans="1:44" x14ac:dyDescent="0.2">
      <c r="A55" s="328">
        <v>8</v>
      </c>
      <c r="B55" s="329"/>
      <c r="C55" s="329"/>
      <c r="D55" s="329"/>
      <c r="E55" s="329"/>
      <c r="F55" s="329"/>
      <c r="G55" s="342"/>
      <c r="H55" s="342"/>
      <c r="I55" s="342"/>
      <c r="J55" s="342"/>
      <c r="K55" s="342"/>
      <c r="L55" s="342"/>
      <c r="M55" s="342"/>
      <c r="N55" s="339"/>
      <c r="O55" s="340" t="str">
        <f>IF(N55&lt;=0,"",IF(N55&lt;=2,"Muy Baja",IF(N55&lt;=24,"Baja",IF(N55&lt;=500,"Media",IF(N55&lt;=5000,"Alta","Muy Alta")))))</f>
        <v/>
      </c>
      <c r="P55" s="341" t="str">
        <f>IF(O55="","",IF(O55="Muy Baja",0.2,IF(O55="Baja",0.4,IF(O55="Media",0.6,IF(O55="Alta",0.8,IF(O55="Muy Alta",1,))))))</f>
        <v/>
      </c>
      <c r="Q55" s="359"/>
      <c r="R55" s="341">
        <f>IF(NOT(ISERROR(MATCH(Q55,'Tabla Impacto'!$B$222:$B$224,0))),'Tabla Impacto'!$F$224&amp;"Por favor no seleccionar los criterios de impacto(Afectación Económica o presupuestal y Pérdida Reputacional)",Q55)</f>
        <v>0</v>
      </c>
      <c r="S55" s="340" t="str">
        <f>IF(OR(R55='Tabla Impacto'!$C$12,R55='Tabla Impacto'!$D$12),"Leve",IF(OR(R55='Tabla Impacto'!$C$13,R55='Tabla Impacto'!$D$13),"Menor",IF(OR(R55='Tabla Impacto'!$C$14,R55='Tabla Impacto'!$D$14),"Moderado",IF(OR(R55='Tabla Impacto'!$C$15,R55='Tabla Impacto'!$D$15),"Mayor",IF(OR(R55='Tabla Impacto'!$C$16,R55='Tabla Impacto'!$D$16),"Catastrófico","")))))</f>
        <v/>
      </c>
      <c r="T55" s="341" t="str">
        <f>IF(S55="","",IF(S55="Leve",0.2,IF(S55="Menor",0.4,IF(S55="Moderado",0.6,IF(S55="Mayor",0.8,IF(S55="Catastrófico",1,))))))</f>
        <v/>
      </c>
      <c r="U55" s="358"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03">
        <v>1</v>
      </c>
      <c r="W55" s="176"/>
      <c r="X55" s="178" t="str">
        <f>IF(OR(Y55="Preventivo",Y55="Detectivo"),"Probabilidad",IF(Y55="Correctivo","Impacto",""))</f>
        <v/>
      </c>
      <c r="Y55" s="179"/>
      <c r="Z55" s="179"/>
      <c r="AA55" s="180" t="str">
        <f>IF(AND(Y55="Preventivo",Z55="Automático"),"50%",IF(AND(Y55="Preventivo",Z55="Manual"),"40%",IF(AND(Y55="Detectivo",Z55="Automático"),"40%",IF(AND(Y55="Detectivo",Z55="Manual"),"30%",IF(AND(Y55="Correctivo",Z55="Automático"),"35%",IF(AND(Y55="Correctivo",Z55="Manual"),"25%",""))))))</f>
        <v/>
      </c>
      <c r="AB55" s="179"/>
      <c r="AC55" s="179"/>
      <c r="AD55" s="179"/>
      <c r="AE55" s="181" t="str">
        <f>IFERROR(IF(X55="Probabilidad",(P55-(+P55*AA55)),IF(X55="Impacto",P55,"")),"")</f>
        <v/>
      </c>
      <c r="AF55" s="182" t="str">
        <f>IFERROR(IF(AE55="","",IF(AE55&lt;=0.2,"Muy Baja",IF(AE55&lt;=0.4,"Baja",IF(AE55&lt;=0.6,"Media",IF(AE55&lt;=0.8,"Alta","Muy Alta"))))),"")</f>
        <v/>
      </c>
      <c r="AG55" s="180" t="str">
        <f>+AE55</f>
        <v/>
      </c>
      <c r="AH55" s="182" t="str">
        <f>IFERROR(IF(AI55="","",IF(AI55&lt;=0.2,"Leve",IF(AI55&lt;=0.4,"Menor",IF(AI55&lt;=0.6,"Moderado",IF(AI55&lt;=0.8,"Mayor","Catastrófico"))))),"")</f>
        <v/>
      </c>
      <c r="AI55" s="180" t="str">
        <f t="shared" ref="AI55" si="63">IFERROR(IF(X55="Impacto",(T55-(+T55*AA55)),IF(X55="Probabilidad",T55,"")),"")</f>
        <v/>
      </c>
      <c r="AJ55" s="183"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84"/>
      <c r="AL55" s="175"/>
      <c r="AM55" s="185"/>
      <c r="AN55" s="185"/>
      <c r="AO55" s="186"/>
      <c r="AP55" s="339"/>
      <c r="AQ55" s="339"/>
      <c r="AR55" s="339"/>
    </row>
    <row r="56" spans="1:44" x14ac:dyDescent="0.2">
      <c r="A56" s="328"/>
      <c r="B56" s="329"/>
      <c r="C56" s="329"/>
      <c r="D56" s="329"/>
      <c r="E56" s="329"/>
      <c r="F56" s="329"/>
      <c r="G56" s="343"/>
      <c r="H56" s="343"/>
      <c r="I56" s="343"/>
      <c r="J56" s="343"/>
      <c r="K56" s="343"/>
      <c r="L56" s="343"/>
      <c r="M56" s="343"/>
      <c r="N56" s="339"/>
      <c r="O56" s="340"/>
      <c r="P56" s="341"/>
      <c r="Q56" s="359"/>
      <c r="R56" s="341">
        <f>IF(NOT(ISERROR(MATCH(Q56,_xlfn.ANCHORARRAY(E67),0))),P69&amp;"Por favor no seleccionar los criterios de impacto",Q56)</f>
        <v>0</v>
      </c>
      <c r="S56" s="340"/>
      <c r="T56" s="341"/>
      <c r="U56" s="358"/>
      <c r="V56" s="203">
        <v>2</v>
      </c>
      <c r="W56" s="176"/>
      <c r="X56" s="178" t="str">
        <f>IF(OR(Y56="Preventivo",Y56="Detectivo"),"Probabilidad",IF(Y56="Correctivo","Impacto",""))</f>
        <v/>
      </c>
      <c r="Y56" s="179"/>
      <c r="Z56" s="179"/>
      <c r="AA56" s="180" t="str">
        <f t="shared" ref="AA56:AA60" si="64">IF(AND(Y56="Preventivo",Z56="Automático"),"50%",IF(AND(Y56="Preventivo",Z56="Manual"),"40%",IF(AND(Y56="Detectivo",Z56="Automático"),"40%",IF(AND(Y56="Detectivo",Z56="Manual"),"30%",IF(AND(Y56="Correctivo",Z56="Automático"),"35%",IF(AND(Y56="Correctivo",Z56="Manual"),"25%",""))))))</f>
        <v/>
      </c>
      <c r="AB56" s="179"/>
      <c r="AC56" s="179"/>
      <c r="AD56" s="179"/>
      <c r="AE56" s="181" t="str">
        <f>IFERROR(IF(AND(X55="Probabilidad",X56="Probabilidad"),(AG55-(+AG55*AA56)),IF(X56="Probabilidad",(P55-(+P55*AA56)),IF(X56="Impacto",AG55,""))),"")</f>
        <v/>
      </c>
      <c r="AF56" s="182" t="str">
        <f t="shared" si="2"/>
        <v/>
      </c>
      <c r="AG56" s="180" t="str">
        <f t="shared" ref="AG56:AG60" si="65">+AE56</f>
        <v/>
      </c>
      <c r="AH56" s="182" t="str">
        <f t="shared" si="4"/>
        <v/>
      </c>
      <c r="AI56" s="180" t="str">
        <f t="shared" ref="AI56" si="66">IFERROR(IF(AND(X55="Impacto",X56="Impacto"),(AI55-(+AI55*AA56)),IF(X56="Impacto",($T$13-(+$T$13*AA56)),IF(X56="Probabilidad",AI55,""))),"")</f>
        <v/>
      </c>
      <c r="AJ56" s="183"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84"/>
      <c r="AL56" s="175"/>
      <c r="AM56" s="185"/>
      <c r="AN56" s="185"/>
      <c r="AO56" s="186"/>
      <c r="AP56" s="339"/>
      <c r="AQ56" s="339"/>
      <c r="AR56" s="339"/>
    </row>
    <row r="57" spans="1:44" x14ac:dyDescent="0.2">
      <c r="A57" s="328"/>
      <c r="B57" s="329"/>
      <c r="C57" s="329"/>
      <c r="D57" s="329"/>
      <c r="E57" s="329"/>
      <c r="F57" s="329"/>
      <c r="G57" s="343"/>
      <c r="H57" s="343"/>
      <c r="I57" s="343"/>
      <c r="J57" s="343"/>
      <c r="K57" s="343"/>
      <c r="L57" s="343"/>
      <c r="M57" s="343"/>
      <c r="N57" s="339"/>
      <c r="O57" s="340"/>
      <c r="P57" s="341"/>
      <c r="Q57" s="359"/>
      <c r="R57" s="341">
        <f>IF(NOT(ISERROR(MATCH(Q57,_xlfn.ANCHORARRAY(E68),0))),P70&amp;"Por favor no seleccionar los criterios de impacto",Q57)</f>
        <v>0</v>
      </c>
      <c r="S57" s="340"/>
      <c r="T57" s="341"/>
      <c r="U57" s="358"/>
      <c r="V57" s="203">
        <v>3</v>
      </c>
      <c r="W57" s="177"/>
      <c r="X57" s="178" t="str">
        <f>IF(OR(Y57="Preventivo",Y57="Detectivo"),"Probabilidad",IF(Y57="Correctivo","Impacto",""))</f>
        <v/>
      </c>
      <c r="Y57" s="179"/>
      <c r="Z57" s="179"/>
      <c r="AA57" s="180" t="str">
        <f t="shared" si="64"/>
        <v/>
      </c>
      <c r="AB57" s="179"/>
      <c r="AC57" s="179"/>
      <c r="AD57" s="179"/>
      <c r="AE57" s="181" t="str">
        <f>IFERROR(IF(AND(X56="Probabilidad",X57="Probabilidad"),(AG56-(+AG56*AA57)),IF(AND(X56="Impacto",X57="Probabilidad"),(AG55-(+AG55*AA57)),IF(X57="Impacto",AG56,""))),"")</f>
        <v/>
      </c>
      <c r="AF57" s="182" t="str">
        <f t="shared" si="2"/>
        <v/>
      </c>
      <c r="AG57" s="180" t="str">
        <f t="shared" si="65"/>
        <v/>
      </c>
      <c r="AH57" s="182" t="str">
        <f t="shared" si="4"/>
        <v/>
      </c>
      <c r="AI57" s="180" t="str">
        <f t="shared" ref="AI57" si="68">IFERROR(IF(AND(X56="Impacto",X57="Impacto"),(AI56-(+AI56*AA57)),IF(AND(X56="Probabilidad",X57="Impacto"),(AI55-(+AI55*AA57)),IF(X57="Probabilidad",AI56,""))),"")</f>
        <v/>
      </c>
      <c r="AJ57" s="183" t="str">
        <f t="shared" si="67"/>
        <v/>
      </c>
      <c r="AK57" s="184"/>
      <c r="AL57" s="175"/>
      <c r="AM57" s="185"/>
      <c r="AN57" s="185"/>
      <c r="AO57" s="186"/>
      <c r="AP57" s="339"/>
      <c r="AQ57" s="339"/>
      <c r="AR57" s="339"/>
    </row>
    <row r="58" spans="1:44" x14ac:dyDescent="0.2">
      <c r="A58" s="328"/>
      <c r="B58" s="329"/>
      <c r="C58" s="329"/>
      <c r="D58" s="329"/>
      <c r="E58" s="329"/>
      <c r="F58" s="329"/>
      <c r="G58" s="343"/>
      <c r="H58" s="343"/>
      <c r="I58" s="343"/>
      <c r="J58" s="343"/>
      <c r="K58" s="343"/>
      <c r="L58" s="343"/>
      <c r="M58" s="343"/>
      <c r="N58" s="339"/>
      <c r="O58" s="340"/>
      <c r="P58" s="341"/>
      <c r="Q58" s="359"/>
      <c r="R58" s="341">
        <f>IF(NOT(ISERROR(MATCH(Q58,_xlfn.ANCHORARRAY(E69),0))),P71&amp;"Por favor no seleccionar los criterios de impacto",Q58)</f>
        <v>0</v>
      </c>
      <c r="S58" s="340"/>
      <c r="T58" s="341"/>
      <c r="U58" s="358"/>
      <c r="V58" s="203">
        <v>4</v>
      </c>
      <c r="W58" s="176"/>
      <c r="X58" s="178" t="str">
        <f t="shared" ref="X58:X60" si="69">IF(OR(Y58="Preventivo",Y58="Detectivo"),"Probabilidad",IF(Y58="Correctivo","Impacto",""))</f>
        <v/>
      </c>
      <c r="Y58" s="179"/>
      <c r="Z58" s="179"/>
      <c r="AA58" s="180" t="str">
        <f t="shared" si="64"/>
        <v/>
      </c>
      <c r="AB58" s="179"/>
      <c r="AC58" s="179"/>
      <c r="AD58" s="179"/>
      <c r="AE58" s="181" t="str">
        <f t="shared" ref="AE58:AE60" si="70">IFERROR(IF(AND(X57="Probabilidad",X58="Probabilidad"),(AG57-(+AG57*AA58)),IF(AND(X57="Impacto",X58="Probabilidad"),(AG56-(+AG56*AA58)),IF(X58="Impacto",AG57,""))),"")</f>
        <v/>
      </c>
      <c r="AF58" s="182" t="str">
        <f t="shared" si="2"/>
        <v/>
      </c>
      <c r="AG58" s="180" t="str">
        <f t="shared" si="65"/>
        <v/>
      </c>
      <c r="AH58" s="182" t="str">
        <f t="shared" si="4"/>
        <v/>
      </c>
      <c r="AI58" s="180" t="str">
        <f t="shared" si="14"/>
        <v/>
      </c>
      <c r="AJ58" s="183"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84"/>
      <c r="AL58" s="175"/>
      <c r="AM58" s="185"/>
      <c r="AN58" s="185"/>
      <c r="AO58" s="186"/>
      <c r="AP58" s="339"/>
      <c r="AQ58" s="339"/>
      <c r="AR58" s="339"/>
    </row>
    <row r="59" spans="1:44" x14ac:dyDescent="0.2">
      <c r="A59" s="328"/>
      <c r="B59" s="329"/>
      <c r="C59" s="329"/>
      <c r="D59" s="329"/>
      <c r="E59" s="329"/>
      <c r="F59" s="329"/>
      <c r="G59" s="343"/>
      <c r="H59" s="343"/>
      <c r="I59" s="343"/>
      <c r="J59" s="343"/>
      <c r="K59" s="343"/>
      <c r="L59" s="343"/>
      <c r="M59" s="343"/>
      <c r="N59" s="339"/>
      <c r="O59" s="340"/>
      <c r="P59" s="341"/>
      <c r="Q59" s="359"/>
      <c r="R59" s="341">
        <f>IF(NOT(ISERROR(MATCH(Q59,_xlfn.ANCHORARRAY(E70),0))),P72&amp;"Por favor no seleccionar los criterios de impacto",Q59)</f>
        <v>0</v>
      </c>
      <c r="S59" s="340"/>
      <c r="T59" s="341"/>
      <c r="U59" s="358"/>
      <c r="V59" s="203">
        <v>5</v>
      </c>
      <c r="W59" s="176"/>
      <c r="X59" s="178" t="str">
        <f t="shared" si="69"/>
        <v/>
      </c>
      <c r="Y59" s="179"/>
      <c r="Z59" s="179"/>
      <c r="AA59" s="180" t="str">
        <f t="shared" si="64"/>
        <v/>
      </c>
      <c r="AB59" s="179"/>
      <c r="AC59" s="179"/>
      <c r="AD59" s="179"/>
      <c r="AE59" s="181" t="str">
        <f t="shared" si="70"/>
        <v/>
      </c>
      <c r="AF59" s="182" t="str">
        <f t="shared" si="2"/>
        <v/>
      </c>
      <c r="AG59" s="180" t="str">
        <f t="shared" si="65"/>
        <v/>
      </c>
      <c r="AH59" s="182" t="str">
        <f t="shared" si="4"/>
        <v/>
      </c>
      <c r="AI59" s="180" t="str">
        <f t="shared" si="14"/>
        <v/>
      </c>
      <c r="AJ59" s="183"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84"/>
      <c r="AL59" s="175"/>
      <c r="AM59" s="185"/>
      <c r="AN59" s="185"/>
      <c r="AO59" s="186"/>
      <c r="AP59" s="339"/>
      <c r="AQ59" s="339"/>
      <c r="AR59" s="339"/>
    </row>
    <row r="60" spans="1:44" x14ac:dyDescent="0.2">
      <c r="A60" s="328"/>
      <c r="B60" s="329"/>
      <c r="C60" s="329"/>
      <c r="D60" s="329"/>
      <c r="E60" s="329"/>
      <c r="F60" s="329"/>
      <c r="G60" s="344"/>
      <c r="H60" s="344"/>
      <c r="I60" s="344"/>
      <c r="J60" s="344"/>
      <c r="K60" s="344"/>
      <c r="L60" s="344"/>
      <c r="M60" s="344"/>
      <c r="N60" s="339"/>
      <c r="O60" s="340"/>
      <c r="P60" s="341"/>
      <c r="Q60" s="359"/>
      <c r="R60" s="341">
        <f>IF(NOT(ISERROR(MATCH(Q60,_xlfn.ANCHORARRAY(E71),0))),Q73&amp;"Por favor no seleccionar los criterios de impacto",Q60)</f>
        <v>0</v>
      </c>
      <c r="S60" s="340"/>
      <c r="T60" s="341"/>
      <c r="U60" s="358"/>
      <c r="V60" s="203">
        <v>6</v>
      </c>
      <c r="W60" s="176"/>
      <c r="X60" s="178" t="str">
        <f t="shared" si="69"/>
        <v/>
      </c>
      <c r="Y60" s="179"/>
      <c r="Z60" s="179"/>
      <c r="AA60" s="180" t="str">
        <f t="shared" si="64"/>
        <v/>
      </c>
      <c r="AB60" s="179"/>
      <c r="AC60" s="179"/>
      <c r="AD60" s="179"/>
      <c r="AE60" s="181" t="str">
        <f t="shared" si="70"/>
        <v/>
      </c>
      <c r="AF60" s="182" t="str">
        <f t="shared" si="2"/>
        <v/>
      </c>
      <c r="AG60" s="180" t="str">
        <f t="shared" si="65"/>
        <v/>
      </c>
      <c r="AH60" s="182" t="str">
        <f t="shared" si="4"/>
        <v/>
      </c>
      <c r="AI60" s="180" t="str">
        <f t="shared" si="14"/>
        <v/>
      </c>
      <c r="AJ60" s="183" t="str">
        <f t="shared" si="71"/>
        <v/>
      </c>
      <c r="AK60" s="184"/>
      <c r="AL60" s="175"/>
      <c r="AM60" s="185"/>
      <c r="AN60" s="185"/>
      <c r="AO60" s="186"/>
      <c r="AP60" s="339"/>
      <c r="AQ60" s="339"/>
      <c r="AR60" s="339"/>
    </row>
    <row r="61" spans="1:44" x14ac:dyDescent="0.2">
      <c r="A61" s="328">
        <v>9</v>
      </c>
      <c r="B61" s="329"/>
      <c r="C61" s="329"/>
      <c r="D61" s="329"/>
      <c r="E61" s="329"/>
      <c r="F61" s="329"/>
      <c r="G61" s="342"/>
      <c r="H61" s="342"/>
      <c r="I61" s="210"/>
      <c r="J61" s="210"/>
      <c r="K61" s="210"/>
      <c r="L61" s="342"/>
      <c r="M61" s="342"/>
      <c r="N61" s="339"/>
      <c r="O61" s="340" t="str">
        <f>IF(N61&lt;=0,"",IF(N61&lt;=2,"Muy Baja",IF(N61&lt;=24,"Baja",IF(N61&lt;=500,"Media",IF(N61&lt;=5000,"Alta","Muy Alta")))))</f>
        <v/>
      </c>
      <c r="P61" s="341" t="str">
        <f>IF(O61="","",IF(O61="Muy Baja",0.2,IF(O61="Baja",0.4,IF(O61="Media",0.6,IF(O61="Alta",0.8,IF(O61="Muy Alta",1,))))))</f>
        <v/>
      </c>
      <c r="Q61" s="359"/>
      <c r="R61" s="341">
        <f>IF(NOT(ISERROR(MATCH(Q61,'Tabla Impacto'!$B$222:$B$224,0))),'Tabla Impacto'!$F$224&amp;"Por favor no seleccionar los criterios de impacto(Afectación Económica o presupuestal y Pérdida Reputacional)",Q61)</f>
        <v>0</v>
      </c>
      <c r="S61" s="340" t="str">
        <f>IF(OR(R61='Tabla Impacto'!$C$12,R61='Tabla Impacto'!$D$12),"Leve",IF(OR(R61='Tabla Impacto'!$C$13,R61='Tabla Impacto'!$D$13),"Menor",IF(OR(R61='Tabla Impacto'!$C$14,R61='Tabla Impacto'!$D$14),"Moderado",IF(OR(R61='Tabla Impacto'!$C$15,R61='Tabla Impacto'!$D$15),"Mayor",IF(OR(R61='Tabla Impacto'!$C$16,R61='Tabla Impacto'!$D$16),"Catastrófico","")))))</f>
        <v/>
      </c>
      <c r="T61" s="341" t="str">
        <f>IF(S61="","",IF(S61="Leve",0.2,IF(S61="Menor",0.4,IF(S61="Moderado",0.6,IF(S61="Mayor",0.8,IF(S61="Catastrófico",1,))))))</f>
        <v/>
      </c>
      <c r="U61" s="358"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03">
        <v>1</v>
      </c>
      <c r="W61" s="176"/>
      <c r="X61" s="178" t="str">
        <f>IF(OR(Y61="Preventivo",Y61="Detectivo"),"Probabilidad",IF(Y61="Correctivo","Impacto",""))</f>
        <v/>
      </c>
      <c r="Y61" s="179"/>
      <c r="Z61" s="179"/>
      <c r="AA61" s="180" t="str">
        <f>IF(AND(Y61="Preventivo",Z61="Automático"),"50%",IF(AND(Y61="Preventivo",Z61="Manual"),"40%",IF(AND(Y61="Detectivo",Z61="Automático"),"40%",IF(AND(Y61="Detectivo",Z61="Manual"),"30%",IF(AND(Y61="Correctivo",Z61="Automático"),"35%",IF(AND(Y61="Correctivo",Z61="Manual"),"25%",""))))))</f>
        <v/>
      </c>
      <c r="AB61" s="179"/>
      <c r="AC61" s="179"/>
      <c r="AD61" s="179"/>
      <c r="AE61" s="181" t="str">
        <f>IFERROR(IF(X61="Probabilidad",(P61-(+P61*AA61)),IF(X61="Impacto",P61,"")),"")</f>
        <v/>
      </c>
      <c r="AF61" s="182" t="str">
        <f>IFERROR(IF(AE61="","",IF(AE61&lt;=0.2,"Muy Baja",IF(AE61&lt;=0.4,"Baja",IF(AE61&lt;=0.6,"Media",IF(AE61&lt;=0.8,"Alta","Muy Alta"))))),"")</f>
        <v/>
      </c>
      <c r="AG61" s="180" t="str">
        <f>+AE61</f>
        <v/>
      </c>
      <c r="AH61" s="182" t="str">
        <f>IFERROR(IF(AI61="","",IF(AI61&lt;=0.2,"Leve",IF(AI61&lt;=0.4,"Menor",IF(AI61&lt;=0.6,"Moderado",IF(AI61&lt;=0.8,"Mayor","Catastrófico"))))),"")</f>
        <v/>
      </c>
      <c r="AI61" s="180" t="str">
        <f t="shared" ref="AI61" si="72">IFERROR(IF(X61="Impacto",(T61-(+T61*AA61)),IF(X61="Probabilidad",T61,"")),"")</f>
        <v/>
      </c>
      <c r="AJ61" s="183"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84"/>
      <c r="AL61" s="175"/>
      <c r="AM61" s="185"/>
      <c r="AN61" s="185"/>
      <c r="AO61" s="186"/>
      <c r="AP61" s="339"/>
      <c r="AQ61" s="339"/>
      <c r="AR61" s="339"/>
    </row>
    <row r="62" spans="1:44" x14ac:dyDescent="0.2">
      <c r="A62" s="328"/>
      <c r="B62" s="329"/>
      <c r="C62" s="329"/>
      <c r="D62" s="329"/>
      <c r="E62" s="329"/>
      <c r="F62" s="329"/>
      <c r="G62" s="343"/>
      <c r="H62" s="343"/>
      <c r="I62" s="211"/>
      <c r="J62" s="211"/>
      <c r="K62" s="211"/>
      <c r="L62" s="343"/>
      <c r="M62" s="343"/>
      <c r="N62" s="339"/>
      <c r="O62" s="340"/>
      <c r="P62" s="341"/>
      <c r="Q62" s="359"/>
      <c r="R62" s="341">
        <f>IF(NOT(ISERROR(MATCH(Q62,_xlfn.ANCHORARRAY(F73),0))),Q75&amp;"Por favor no seleccionar los criterios de impacto",Q62)</f>
        <v>0</v>
      </c>
      <c r="S62" s="340"/>
      <c r="T62" s="341"/>
      <c r="U62" s="358"/>
      <c r="V62" s="203">
        <v>2</v>
      </c>
      <c r="W62" s="176"/>
      <c r="X62" s="178" t="str">
        <f>IF(OR(Y62="Preventivo",Y62="Detectivo"),"Probabilidad",IF(Y62="Correctivo","Impacto",""))</f>
        <v/>
      </c>
      <c r="Y62" s="179"/>
      <c r="Z62" s="179"/>
      <c r="AA62" s="180" t="str">
        <f t="shared" ref="AA62:AA66" si="73">IF(AND(Y62="Preventivo",Z62="Automático"),"50%",IF(AND(Y62="Preventivo",Z62="Manual"),"40%",IF(AND(Y62="Detectivo",Z62="Automático"),"40%",IF(AND(Y62="Detectivo",Z62="Manual"),"30%",IF(AND(Y62="Correctivo",Z62="Automático"),"35%",IF(AND(Y62="Correctivo",Z62="Manual"),"25%",""))))))</f>
        <v/>
      </c>
      <c r="AB62" s="179"/>
      <c r="AC62" s="179"/>
      <c r="AD62" s="179"/>
      <c r="AE62" s="181" t="str">
        <f>IFERROR(IF(AND(X61="Probabilidad",X62="Probabilidad"),(AG61-(+AG61*AA62)),IF(X62="Probabilidad",(P61-(+P61*AA62)),IF(X62="Impacto",AG61,""))),"")</f>
        <v/>
      </c>
      <c r="AF62" s="182" t="str">
        <f t="shared" si="2"/>
        <v/>
      </c>
      <c r="AG62" s="180" t="str">
        <f t="shared" ref="AG62:AG66" si="74">+AE62</f>
        <v/>
      </c>
      <c r="AH62" s="182" t="str">
        <f t="shared" si="4"/>
        <v/>
      </c>
      <c r="AI62" s="180" t="str">
        <f t="shared" ref="AI62" si="75">IFERROR(IF(AND(X61="Impacto",X62="Impacto"),(AI61-(+AI61*AA62)),IF(X62="Impacto",($T$13-(+$T$13*AA62)),IF(X62="Probabilidad",AI61,""))),"")</f>
        <v/>
      </c>
      <c r="AJ62" s="183"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84"/>
      <c r="AL62" s="175"/>
      <c r="AM62" s="185"/>
      <c r="AN62" s="185"/>
      <c r="AO62" s="186"/>
      <c r="AP62" s="339"/>
      <c r="AQ62" s="339"/>
      <c r="AR62" s="339"/>
    </row>
    <row r="63" spans="1:44" x14ac:dyDescent="0.2">
      <c r="A63" s="328"/>
      <c r="B63" s="329"/>
      <c r="C63" s="329"/>
      <c r="D63" s="329"/>
      <c r="E63" s="329"/>
      <c r="F63" s="329"/>
      <c r="G63" s="343"/>
      <c r="H63" s="343"/>
      <c r="I63" s="211"/>
      <c r="J63" s="211"/>
      <c r="K63" s="211"/>
      <c r="L63" s="343"/>
      <c r="M63" s="343"/>
      <c r="N63" s="339"/>
      <c r="O63" s="340"/>
      <c r="P63" s="341"/>
      <c r="Q63" s="359"/>
      <c r="R63" s="341">
        <f>IF(NOT(ISERROR(MATCH(Q63,_xlfn.ANCHORARRAY(F74),0))),Q76&amp;"Por favor no seleccionar los criterios de impacto",Q63)</f>
        <v>0</v>
      </c>
      <c r="S63" s="340"/>
      <c r="T63" s="341"/>
      <c r="U63" s="358"/>
      <c r="V63" s="203">
        <v>3</v>
      </c>
      <c r="W63" s="176"/>
      <c r="X63" s="178" t="str">
        <f>IF(OR(Y63="Preventivo",Y63="Detectivo"),"Probabilidad",IF(Y63="Correctivo","Impacto",""))</f>
        <v/>
      </c>
      <c r="Y63" s="179"/>
      <c r="Z63" s="179"/>
      <c r="AA63" s="180" t="str">
        <f t="shared" si="73"/>
        <v/>
      </c>
      <c r="AB63" s="179"/>
      <c r="AC63" s="179"/>
      <c r="AD63" s="179"/>
      <c r="AE63" s="181" t="str">
        <f>IFERROR(IF(AND(X62="Probabilidad",X63="Probabilidad"),(AG62-(+AG62*AA63)),IF(AND(X62="Impacto",X63="Probabilidad"),(AG61-(+AG61*AA63)),IF(X63="Impacto",AG62,""))),"")</f>
        <v/>
      </c>
      <c r="AF63" s="182" t="str">
        <f t="shared" si="2"/>
        <v/>
      </c>
      <c r="AG63" s="180" t="str">
        <f t="shared" si="74"/>
        <v/>
      </c>
      <c r="AH63" s="182" t="str">
        <f t="shared" si="4"/>
        <v/>
      </c>
      <c r="AI63" s="180" t="str">
        <f t="shared" ref="AI63" si="77">IFERROR(IF(AND(X62="Impacto",X63="Impacto"),(AI62-(+AI62*AA63)),IF(AND(X62="Probabilidad",X63="Impacto"),(AI61-(+AI61*AA63)),IF(X63="Probabilidad",AI62,""))),"")</f>
        <v/>
      </c>
      <c r="AJ63" s="183" t="str">
        <f t="shared" si="76"/>
        <v/>
      </c>
      <c r="AK63" s="184"/>
      <c r="AL63" s="175"/>
      <c r="AM63" s="185"/>
      <c r="AN63" s="185"/>
      <c r="AO63" s="186"/>
      <c r="AP63" s="339"/>
      <c r="AQ63" s="339"/>
      <c r="AR63" s="339"/>
    </row>
    <row r="64" spans="1:44" x14ac:dyDescent="0.2">
      <c r="A64" s="328"/>
      <c r="B64" s="329"/>
      <c r="C64" s="329"/>
      <c r="D64" s="329"/>
      <c r="E64" s="329"/>
      <c r="F64" s="329"/>
      <c r="G64" s="343"/>
      <c r="H64" s="343"/>
      <c r="I64" s="211"/>
      <c r="J64" s="211"/>
      <c r="K64" s="211"/>
      <c r="L64" s="343"/>
      <c r="M64" s="343"/>
      <c r="N64" s="339"/>
      <c r="O64" s="340"/>
      <c r="P64" s="341"/>
      <c r="Q64" s="359"/>
      <c r="R64" s="341">
        <f>IF(NOT(ISERROR(MATCH(Q64,_xlfn.ANCHORARRAY(F75),0))),Q77&amp;"Por favor no seleccionar los criterios de impacto",Q64)</f>
        <v>0</v>
      </c>
      <c r="S64" s="340"/>
      <c r="T64" s="341"/>
      <c r="U64" s="358"/>
      <c r="V64" s="203">
        <v>4</v>
      </c>
      <c r="W64" s="176"/>
      <c r="X64" s="178" t="str">
        <f t="shared" ref="X64:X66" si="78">IF(OR(Y64="Preventivo",Y64="Detectivo"),"Probabilidad",IF(Y64="Correctivo","Impacto",""))</f>
        <v/>
      </c>
      <c r="Y64" s="179"/>
      <c r="Z64" s="179"/>
      <c r="AA64" s="180" t="str">
        <f t="shared" si="73"/>
        <v/>
      </c>
      <c r="AB64" s="179"/>
      <c r="AC64" s="179"/>
      <c r="AD64" s="179"/>
      <c r="AE64" s="181" t="str">
        <f t="shared" ref="AE64:AE66" si="79">IFERROR(IF(AND(X63="Probabilidad",X64="Probabilidad"),(AG63-(+AG63*AA64)),IF(AND(X63="Impacto",X64="Probabilidad"),(AG62-(+AG62*AA64)),IF(X64="Impacto",AG63,""))),"")</f>
        <v/>
      </c>
      <c r="AF64" s="182" t="str">
        <f t="shared" si="2"/>
        <v/>
      </c>
      <c r="AG64" s="180" t="str">
        <f t="shared" si="74"/>
        <v/>
      </c>
      <c r="AH64" s="182" t="str">
        <f t="shared" si="4"/>
        <v/>
      </c>
      <c r="AI64" s="180" t="str">
        <f t="shared" si="14"/>
        <v/>
      </c>
      <c r="AJ64" s="183"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84"/>
      <c r="AL64" s="175"/>
      <c r="AM64" s="185"/>
      <c r="AN64" s="185"/>
      <c r="AO64" s="186"/>
      <c r="AP64" s="339"/>
      <c r="AQ64" s="339"/>
      <c r="AR64" s="339"/>
    </row>
    <row r="65" spans="1:44" x14ac:dyDescent="0.2">
      <c r="A65" s="328"/>
      <c r="B65" s="329"/>
      <c r="C65" s="329"/>
      <c r="D65" s="329"/>
      <c r="E65" s="329"/>
      <c r="F65" s="329"/>
      <c r="G65" s="343"/>
      <c r="H65" s="343"/>
      <c r="I65" s="211"/>
      <c r="J65" s="211"/>
      <c r="K65" s="211"/>
      <c r="L65" s="343"/>
      <c r="M65" s="343"/>
      <c r="N65" s="339"/>
      <c r="O65" s="340"/>
      <c r="P65" s="341"/>
      <c r="Q65" s="359"/>
      <c r="R65" s="341">
        <f>IF(NOT(ISERROR(MATCH(Q65,_xlfn.ANCHORARRAY(F76),0))),Q78&amp;"Por favor no seleccionar los criterios de impacto",Q65)</f>
        <v>0</v>
      </c>
      <c r="S65" s="340"/>
      <c r="T65" s="341"/>
      <c r="U65" s="358"/>
      <c r="V65" s="203">
        <v>5</v>
      </c>
      <c r="W65" s="176"/>
      <c r="X65" s="178" t="str">
        <f t="shared" si="78"/>
        <v/>
      </c>
      <c r="Y65" s="179"/>
      <c r="Z65" s="179"/>
      <c r="AA65" s="180" t="str">
        <f t="shared" si="73"/>
        <v/>
      </c>
      <c r="AB65" s="179"/>
      <c r="AC65" s="179"/>
      <c r="AD65" s="179"/>
      <c r="AE65" s="181" t="str">
        <f t="shared" si="79"/>
        <v/>
      </c>
      <c r="AF65" s="182" t="str">
        <f t="shared" si="2"/>
        <v/>
      </c>
      <c r="AG65" s="180" t="str">
        <f t="shared" si="74"/>
        <v/>
      </c>
      <c r="AH65" s="182" t="str">
        <f t="shared" si="4"/>
        <v/>
      </c>
      <c r="AI65" s="180" t="str">
        <f t="shared" si="14"/>
        <v/>
      </c>
      <c r="AJ65" s="183"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84"/>
      <c r="AL65" s="175"/>
      <c r="AM65" s="185"/>
      <c r="AN65" s="185"/>
      <c r="AO65" s="186"/>
      <c r="AP65" s="339"/>
      <c r="AQ65" s="339"/>
      <c r="AR65" s="339"/>
    </row>
    <row r="66" spans="1:44" x14ac:dyDescent="0.2">
      <c r="A66" s="328"/>
      <c r="B66" s="329"/>
      <c r="C66" s="329"/>
      <c r="D66" s="329"/>
      <c r="E66" s="329"/>
      <c r="F66" s="329"/>
      <c r="G66" s="344"/>
      <c r="H66" s="344"/>
      <c r="I66" s="212"/>
      <c r="J66" s="212"/>
      <c r="K66" s="212"/>
      <c r="L66" s="344"/>
      <c r="M66" s="344"/>
      <c r="N66" s="339"/>
      <c r="O66" s="340"/>
      <c r="P66" s="341"/>
      <c r="Q66" s="359"/>
      <c r="R66" s="341">
        <f>IF(NOT(ISERROR(MATCH(Q66,_xlfn.ANCHORARRAY(F77),0))),Q79&amp;"Por favor no seleccionar los criterios de impacto",Q66)</f>
        <v>0</v>
      </c>
      <c r="S66" s="340"/>
      <c r="T66" s="341"/>
      <c r="U66" s="358"/>
      <c r="V66" s="203">
        <v>6</v>
      </c>
      <c r="W66" s="176"/>
      <c r="X66" s="178" t="str">
        <f t="shared" si="78"/>
        <v/>
      </c>
      <c r="Y66" s="179"/>
      <c r="Z66" s="179"/>
      <c r="AA66" s="180" t="str">
        <f t="shared" si="73"/>
        <v/>
      </c>
      <c r="AB66" s="179"/>
      <c r="AC66" s="179"/>
      <c r="AD66" s="179"/>
      <c r="AE66" s="181" t="str">
        <f t="shared" si="79"/>
        <v/>
      </c>
      <c r="AF66" s="182" t="str">
        <f t="shared" si="2"/>
        <v/>
      </c>
      <c r="AG66" s="180" t="str">
        <f t="shared" si="74"/>
        <v/>
      </c>
      <c r="AH66" s="182" t="str">
        <f t="shared" si="4"/>
        <v/>
      </c>
      <c r="AI66" s="180" t="str">
        <f t="shared" si="14"/>
        <v/>
      </c>
      <c r="AJ66" s="183" t="str">
        <f t="shared" si="80"/>
        <v/>
      </c>
      <c r="AK66" s="184"/>
      <c r="AL66" s="175"/>
      <c r="AM66" s="185"/>
      <c r="AN66" s="185"/>
      <c r="AO66" s="186"/>
      <c r="AP66" s="339"/>
      <c r="AQ66" s="339"/>
      <c r="AR66" s="339"/>
    </row>
    <row r="67" spans="1:44" x14ac:dyDescent="0.2">
      <c r="A67" s="328">
        <v>10</v>
      </c>
      <c r="B67" s="329"/>
      <c r="C67" s="329"/>
      <c r="D67" s="329"/>
      <c r="E67" s="329"/>
      <c r="F67" s="329"/>
      <c r="G67" s="342"/>
      <c r="H67" s="342"/>
      <c r="I67" s="210"/>
      <c r="J67" s="210"/>
      <c r="K67" s="210"/>
      <c r="L67" s="342"/>
      <c r="M67" s="342"/>
      <c r="N67" s="339"/>
      <c r="O67" s="340" t="str">
        <f>IF(N67&lt;=0,"",IF(N67&lt;=2,"Muy Baja",IF(N67&lt;=24,"Baja",IF(N67&lt;=500,"Media",IF(N67&lt;=5000,"Alta","Muy Alta")))))</f>
        <v/>
      </c>
      <c r="P67" s="341" t="str">
        <f>IF(O67="","",IF(O67="Muy Baja",0.2,IF(O67="Baja",0.4,IF(O67="Media",0.6,IF(O67="Alta",0.8,IF(O67="Muy Alta",1,))))))</f>
        <v/>
      </c>
      <c r="Q67" s="359"/>
      <c r="R67" s="341">
        <f>IF(NOT(ISERROR(MATCH(Q67,'Tabla Impacto'!$B$222:$B$224,0))),'Tabla Impacto'!$F$224&amp;"Por favor no seleccionar los criterios de impacto(Afectación Económica o presupuestal y Pérdida Reputacional)",Q67)</f>
        <v>0</v>
      </c>
      <c r="S67" s="340" t="str">
        <f>IF(OR(R67='Tabla Impacto'!$C$12,R67='Tabla Impacto'!$D$12),"Leve",IF(OR(R67='Tabla Impacto'!$C$13,R67='Tabla Impacto'!$D$13),"Menor",IF(OR(R67='Tabla Impacto'!$C$14,R67='Tabla Impacto'!$D$14),"Moderado",IF(OR(R67='Tabla Impacto'!$C$15,R67='Tabla Impacto'!$D$15),"Mayor",IF(OR(R67='Tabla Impacto'!$C$16,R67='Tabla Impacto'!$D$16),"Catastrófico","")))))</f>
        <v/>
      </c>
      <c r="T67" s="341" t="str">
        <f>IF(S67="","",IF(S67="Leve",0.2,IF(S67="Menor",0.4,IF(S67="Moderado",0.6,IF(S67="Mayor",0.8,IF(S67="Catastrófico",1,))))))</f>
        <v/>
      </c>
      <c r="U67" s="358"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03">
        <v>1</v>
      </c>
      <c r="W67" s="176"/>
      <c r="X67" s="178" t="str">
        <f>IF(OR(Y67="Preventivo",Y67="Detectivo"),"Probabilidad",IF(Y67="Correctivo","Impacto",""))</f>
        <v/>
      </c>
      <c r="Y67" s="179"/>
      <c r="Z67" s="179"/>
      <c r="AA67" s="180" t="str">
        <f>IF(AND(Y67="Preventivo",Z67="Automático"),"50%",IF(AND(Y67="Preventivo",Z67="Manual"),"40%",IF(AND(Y67="Detectivo",Z67="Automático"),"40%",IF(AND(Y67="Detectivo",Z67="Manual"),"30%",IF(AND(Y67="Correctivo",Z67="Automático"),"35%",IF(AND(Y67="Correctivo",Z67="Manual"),"25%",""))))))</f>
        <v/>
      </c>
      <c r="AB67" s="179"/>
      <c r="AC67" s="179"/>
      <c r="AD67" s="179"/>
      <c r="AE67" s="181" t="str">
        <f>IFERROR(IF(X67="Probabilidad",(P67-(+P67*AA67)),IF(X67="Impacto",P67,"")),"")</f>
        <v/>
      </c>
      <c r="AF67" s="182" t="str">
        <f>IFERROR(IF(AE67="","",IF(AE67&lt;=0.2,"Muy Baja",IF(AE67&lt;=0.4,"Baja",IF(AE67&lt;=0.6,"Media",IF(AE67&lt;=0.8,"Alta","Muy Alta"))))),"")</f>
        <v/>
      </c>
      <c r="AG67" s="180" t="str">
        <f>+AE67</f>
        <v/>
      </c>
      <c r="AH67" s="182" t="str">
        <f>IFERROR(IF(AI67="","",IF(AI67&lt;=0.2,"Leve",IF(AI67&lt;=0.4,"Menor",IF(AI67&lt;=0.6,"Moderado",IF(AI67&lt;=0.8,"Mayor","Catastrófico"))))),"")</f>
        <v/>
      </c>
      <c r="AI67" s="180" t="str">
        <f t="shared" ref="AI67" si="81">IFERROR(IF(X67="Impacto",(T67-(+T67*AA67)),IF(X67="Probabilidad",T67,"")),"")</f>
        <v/>
      </c>
      <c r="AJ67" s="183"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84"/>
      <c r="AL67" s="175"/>
      <c r="AM67" s="185"/>
      <c r="AN67" s="185"/>
      <c r="AO67" s="186"/>
      <c r="AP67" s="339"/>
      <c r="AQ67" s="339"/>
      <c r="AR67" s="339"/>
    </row>
    <row r="68" spans="1:44" x14ac:dyDescent="0.2">
      <c r="A68" s="328"/>
      <c r="B68" s="329"/>
      <c r="C68" s="329"/>
      <c r="D68" s="329"/>
      <c r="E68" s="329"/>
      <c r="F68" s="329"/>
      <c r="G68" s="343"/>
      <c r="H68" s="343"/>
      <c r="I68" s="211"/>
      <c r="J68" s="211"/>
      <c r="K68" s="211"/>
      <c r="L68" s="343"/>
      <c r="M68" s="343"/>
      <c r="N68" s="339"/>
      <c r="O68" s="340"/>
      <c r="P68" s="341"/>
      <c r="Q68" s="359"/>
      <c r="R68" s="341">
        <f>IF(NOT(ISERROR(MATCH(Q68,_xlfn.ANCHORARRAY(F79),0))),Q81&amp;"Por favor no seleccionar los criterios de impacto",Q68)</f>
        <v>0</v>
      </c>
      <c r="S68" s="340"/>
      <c r="T68" s="341"/>
      <c r="U68" s="358"/>
      <c r="V68" s="203">
        <v>2</v>
      </c>
      <c r="W68" s="176"/>
      <c r="X68" s="178" t="str">
        <f>IF(OR(Y68="Preventivo",Y68="Detectivo"),"Probabilidad",IF(Y68="Correctivo","Impacto",""))</f>
        <v/>
      </c>
      <c r="Y68" s="179"/>
      <c r="Z68" s="179"/>
      <c r="AA68" s="180" t="str">
        <f t="shared" ref="AA68:AA72" si="82">IF(AND(Y68="Preventivo",Z68="Automático"),"50%",IF(AND(Y68="Preventivo",Z68="Manual"),"40%",IF(AND(Y68="Detectivo",Z68="Automático"),"40%",IF(AND(Y68="Detectivo",Z68="Manual"),"30%",IF(AND(Y68="Correctivo",Z68="Automático"),"35%",IF(AND(Y68="Correctivo",Z68="Manual"),"25%",""))))))</f>
        <v/>
      </c>
      <c r="AB68" s="179"/>
      <c r="AC68" s="179"/>
      <c r="AD68" s="179"/>
      <c r="AE68" s="181" t="str">
        <f>IFERROR(IF(AND(X67="Probabilidad",X68="Probabilidad"),(AG67-(+AG67*AA68)),IF(X68="Probabilidad",(P67-(+P67*AA68)),IF(X68="Impacto",AG67,""))),"")</f>
        <v/>
      </c>
      <c r="AF68" s="182" t="str">
        <f t="shared" si="2"/>
        <v/>
      </c>
      <c r="AG68" s="180" t="str">
        <f t="shared" ref="AG68:AG72" si="83">+AE68</f>
        <v/>
      </c>
      <c r="AH68" s="182" t="str">
        <f t="shared" si="4"/>
        <v/>
      </c>
      <c r="AI68" s="180" t="str">
        <f t="shared" ref="AI68" si="84">IFERROR(IF(AND(X67="Impacto",X68="Impacto"),(AI67-(+AI67*AA68)),IF(X68="Impacto",($T$13-(+$T$13*AA68)),IF(X68="Probabilidad",AI67,""))),"")</f>
        <v/>
      </c>
      <c r="AJ68" s="183"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84"/>
      <c r="AL68" s="175"/>
      <c r="AM68" s="185"/>
      <c r="AN68" s="185"/>
      <c r="AO68" s="186"/>
      <c r="AP68" s="339"/>
      <c r="AQ68" s="339"/>
      <c r="AR68" s="339"/>
    </row>
    <row r="69" spans="1:44" x14ac:dyDescent="0.2">
      <c r="A69" s="328"/>
      <c r="B69" s="329"/>
      <c r="C69" s="329"/>
      <c r="D69" s="329"/>
      <c r="E69" s="329"/>
      <c r="F69" s="329"/>
      <c r="G69" s="343"/>
      <c r="H69" s="343"/>
      <c r="I69" s="211"/>
      <c r="J69" s="211"/>
      <c r="K69" s="211"/>
      <c r="L69" s="343"/>
      <c r="M69" s="343"/>
      <c r="N69" s="339"/>
      <c r="O69" s="340"/>
      <c r="P69" s="341"/>
      <c r="Q69" s="359"/>
      <c r="R69" s="341">
        <f>IF(NOT(ISERROR(MATCH(Q69,_xlfn.ANCHORARRAY(F80),0))),Q82&amp;"Por favor no seleccionar los criterios de impacto",Q69)</f>
        <v>0</v>
      </c>
      <c r="S69" s="340"/>
      <c r="T69" s="341"/>
      <c r="U69" s="358"/>
      <c r="V69" s="203">
        <v>3</v>
      </c>
      <c r="W69" s="176"/>
      <c r="X69" s="178" t="str">
        <f>IF(OR(Y69="Preventivo",Y69="Detectivo"),"Probabilidad",IF(Y69="Correctivo","Impacto",""))</f>
        <v/>
      </c>
      <c r="Y69" s="179"/>
      <c r="Z69" s="179"/>
      <c r="AA69" s="180" t="str">
        <f t="shared" si="82"/>
        <v/>
      </c>
      <c r="AB69" s="179"/>
      <c r="AC69" s="179"/>
      <c r="AD69" s="179"/>
      <c r="AE69" s="181" t="str">
        <f>IFERROR(IF(AND(X68="Probabilidad",X69="Probabilidad"),(AG68-(+AG68*AA69)),IF(AND(X68="Impacto",X69="Probabilidad"),(AG67-(+AG67*AA69)),IF(X69="Impacto",AG68,""))),"")</f>
        <v/>
      </c>
      <c r="AF69" s="182" t="str">
        <f t="shared" si="2"/>
        <v/>
      </c>
      <c r="AG69" s="180" t="str">
        <f t="shared" si="83"/>
        <v/>
      </c>
      <c r="AH69" s="182" t="str">
        <f t="shared" si="4"/>
        <v/>
      </c>
      <c r="AI69" s="180" t="str">
        <f t="shared" ref="AI69" si="86">IFERROR(IF(AND(X68="Impacto",X69="Impacto"),(AI68-(+AI68*AA69)),IF(AND(X68="Probabilidad",X69="Impacto"),(AI67-(+AI67*AA69)),IF(X69="Probabilidad",AI68,""))),"")</f>
        <v/>
      </c>
      <c r="AJ69" s="183" t="str">
        <f t="shared" si="85"/>
        <v/>
      </c>
      <c r="AK69" s="184"/>
      <c r="AL69" s="175"/>
      <c r="AM69" s="185"/>
      <c r="AN69" s="185"/>
      <c r="AO69" s="186"/>
      <c r="AP69" s="339"/>
      <c r="AQ69" s="339"/>
      <c r="AR69" s="339"/>
    </row>
    <row r="70" spans="1:44" x14ac:dyDescent="0.2">
      <c r="A70" s="328"/>
      <c r="B70" s="329"/>
      <c r="C70" s="329"/>
      <c r="D70" s="329"/>
      <c r="E70" s="329"/>
      <c r="F70" s="329"/>
      <c r="G70" s="343"/>
      <c r="H70" s="343"/>
      <c r="I70" s="211"/>
      <c r="J70" s="211"/>
      <c r="K70" s="211"/>
      <c r="L70" s="343"/>
      <c r="M70" s="343"/>
      <c r="N70" s="339"/>
      <c r="O70" s="340"/>
      <c r="P70" s="341"/>
      <c r="Q70" s="359"/>
      <c r="R70" s="341">
        <f>IF(NOT(ISERROR(MATCH(Q70,_xlfn.ANCHORARRAY(F81),0))),Q83&amp;"Por favor no seleccionar los criterios de impacto",Q70)</f>
        <v>0</v>
      </c>
      <c r="S70" s="340"/>
      <c r="T70" s="341"/>
      <c r="U70" s="358"/>
      <c r="V70" s="203">
        <v>4</v>
      </c>
      <c r="W70" s="176"/>
      <c r="X70" s="178" t="str">
        <f t="shared" ref="X70:X72" si="87">IF(OR(Y70="Preventivo",Y70="Detectivo"),"Probabilidad",IF(Y70="Correctivo","Impacto",""))</f>
        <v/>
      </c>
      <c r="Y70" s="179"/>
      <c r="Z70" s="179"/>
      <c r="AA70" s="180" t="str">
        <f t="shared" si="82"/>
        <v/>
      </c>
      <c r="AB70" s="179"/>
      <c r="AC70" s="179"/>
      <c r="AD70" s="179"/>
      <c r="AE70" s="181" t="str">
        <f t="shared" ref="AE70:AE72" si="88">IFERROR(IF(AND(X69="Probabilidad",X70="Probabilidad"),(AG69-(+AG69*AA70)),IF(AND(X69="Impacto",X70="Probabilidad"),(AG68-(+AG68*AA70)),IF(X70="Impacto",AG69,""))),"")</f>
        <v/>
      </c>
      <c r="AF70" s="182" t="str">
        <f t="shared" si="2"/>
        <v/>
      </c>
      <c r="AG70" s="180" t="str">
        <f t="shared" si="83"/>
        <v/>
      </c>
      <c r="AH70" s="182" t="str">
        <f t="shared" si="4"/>
        <v/>
      </c>
      <c r="AI70" s="180" t="str">
        <f t="shared" si="14"/>
        <v/>
      </c>
      <c r="AJ70" s="183"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84"/>
      <c r="AL70" s="175"/>
      <c r="AM70" s="185"/>
      <c r="AN70" s="185"/>
      <c r="AO70" s="186"/>
      <c r="AP70" s="339"/>
      <c r="AQ70" s="339"/>
      <c r="AR70" s="339"/>
    </row>
    <row r="71" spans="1:44" x14ac:dyDescent="0.2">
      <c r="A71" s="328"/>
      <c r="B71" s="329"/>
      <c r="C71" s="329"/>
      <c r="D71" s="329"/>
      <c r="E71" s="329"/>
      <c r="F71" s="329"/>
      <c r="G71" s="343"/>
      <c r="H71" s="343"/>
      <c r="I71" s="211"/>
      <c r="J71" s="211"/>
      <c r="K71" s="211"/>
      <c r="L71" s="343"/>
      <c r="M71" s="343"/>
      <c r="N71" s="339"/>
      <c r="O71" s="340"/>
      <c r="P71" s="341"/>
      <c r="Q71" s="359"/>
      <c r="R71" s="341">
        <f>IF(NOT(ISERROR(MATCH(Q71,_xlfn.ANCHORARRAY(F82),0))),Q84&amp;"Por favor no seleccionar los criterios de impacto",Q71)</f>
        <v>0</v>
      </c>
      <c r="S71" s="340"/>
      <c r="T71" s="341"/>
      <c r="U71" s="358"/>
      <c r="V71" s="203">
        <v>5</v>
      </c>
      <c r="W71" s="176"/>
      <c r="X71" s="178" t="str">
        <f t="shared" si="87"/>
        <v/>
      </c>
      <c r="Y71" s="179"/>
      <c r="Z71" s="179"/>
      <c r="AA71" s="180" t="str">
        <f t="shared" si="82"/>
        <v/>
      </c>
      <c r="AB71" s="179"/>
      <c r="AC71" s="179"/>
      <c r="AD71" s="179"/>
      <c r="AE71" s="181" t="str">
        <f t="shared" si="88"/>
        <v/>
      </c>
      <c r="AF71" s="182" t="str">
        <f t="shared" si="2"/>
        <v/>
      </c>
      <c r="AG71" s="180" t="str">
        <f t="shared" si="83"/>
        <v/>
      </c>
      <c r="AH71" s="182" t="str">
        <f t="shared" si="4"/>
        <v/>
      </c>
      <c r="AI71" s="180" t="str">
        <f t="shared" si="14"/>
        <v/>
      </c>
      <c r="AJ71" s="183"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84"/>
      <c r="AL71" s="175"/>
      <c r="AM71" s="185"/>
      <c r="AN71" s="185"/>
      <c r="AO71" s="186"/>
      <c r="AP71" s="339"/>
      <c r="AQ71" s="339"/>
      <c r="AR71" s="339"/>
    </row>
    <row r="72" spans="1:44" x14ac:dyDescent="0.2">
      <c r="A72" s="328"/>
      <c r="B72" s="329"/>
      <c r="C72" s="329"/>
      <c r="D72" s="329"/>
      <c r="E72" s="329"/>
      <c r="F72" s="329"/>
      <c r="G72" s="344"/>
      <c r="H72" s="344"/>
      <c r="I72" s="212"/>
      <c r="J72" s="212"/>
      <c r="K72" s="212"/>
      <c r="L72" s="344"/>
      <c r="M72" s="344"/>
      <c r="N72" s="339"/>
      <c r="O72" s="340"/>
      <c r="P72" s="341"/>
      <c r="Q72" s="359"/>
      <c r="R72" s="341">
        <f>IF(NOT(ISERROR(MATCH(Q72,_xlfn.ANCHORARRAY(F83),0))),Q85&amp;"Por favor no seleccionar los criterios de impacto",Q72)</f>
        <v>0</v>
      </c>
      <c r="S72" s="340"/>
      <c r="T72" s="341"/>
      <c r="U72" s="358"/>
      <c r="V72" s="203">
        <v>6</v>
      </c>
      <c r="W72" s="176"/>
      <c r="X72" s="178" t="str">
        <f t="shared" si="87"/>
        <v/>
      </c>
      <c r="Y72" s="179"/>
      <c r="Z72" s="179"/>
      <c r="AA72" s="180" t="str">
        <f t="shared" si="82"/>
        <v/>
      </c>
      <c r="AB72" s="179"/>
      <c r="AC72" s="179"/>
      <c r="AD72" s="179"/>
      <c r="AE72" s="181" t="str">
        <f t="shared" si="88"/>
        <v/>
      </c>
      <c r="AF72" s="182" t="str">
        <f t="shared" si="2"/>
        <v/>
      </c>
      <c r="AG72" s="180" t="str">
        <f t="shared" si="83"/>
        <v/>
      </c>
      <c r="AH72" s="182" t="str">
        <f t="shared" si="4"/>
        <v/>
      </c>
      <c r="AI72" s="180" t="str">
        <f t="shared" si="14"/>
        <v/>
      </c>
      <c r="AJ72" s="183" t="str">
        <f t="shared" si="89"/>
        <v/>
      </c>
      <c r="AK72" s="184"/>
      <c r="AL72" s="175"/>
      <c r="AM72" s="185"/>
      <c r="AN72" s="185"/>
      <c r="AO72" s="186"/>
      <c r="AP72" s="339"/>
      <c r="AQ72" s="339"/>
      <c r="AR72" s="339"/>
    </row>
    <row r="73" spans="1:44" x14ac:dyDescent="0.2">
      <c r="A73" s="205"/>
      <c r="B73" s="365" t="s">
        <v>247</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row>
    <row r="75" spans="1:44" ht="15.75" x14ac:dyDescent="0.2">
      <c r="A75" s="187"/>
      <c r="B75" s="195" t="s">
        <v>248</v>
      </c>
      <c r="C75" s="187"/>
      <c r="D75" s="187"/>
      <c r="E75" s="187"/>
      <c r="N75" s="187"/>
    </row>
    <row r="76" spans="1:44" s="248" customFormat="1" x14ac:dyDescent="0.2">
      <c r="A76" s="247"/>
      <c r="B76" s="247"/>
      <c r="C76" s="247"/>
      <c r="D76" s="247"/>
      <c r="E76" s="247"/>
      <c r="N76" s="249"/>
      <c r="AL76" s="250"/>
    </row>
  </sheetData>
  <dataConsolidate/>
  <mergeCells count="299">
    <mergeCell ref="AM11:AM12"/>
    <mergeCell ref="Q31:Q36"/>
    <mergeCell ref="L10:M11"/>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S25:S30"/>
    <mergeCell ref="R31:R36"/>
    <mergeCell ref="N13:N18"/>
    <mergeCell ref="O13:O18"/>
    <mergeCell ref="G10:K10"/>
    <mergeCell ref="C13:C18"/>
    <mergeCell ref="D13:D18"/>
    <mergeCell ref="E13:E18"/>
    <mergeCell ref="L67:L72"/>
    <mergeCell ref="M67:M72"/>
    <mergeCell ref="AP10:AR10"/>
    <mergeCell ref="AF10:AJ10"/>
    <mergeCell ref="AK10:AO10"/>
    <mergeCell ref="M37:M42"/>
    <mergeCell ref="L43:L48"/>
    <mergeCell ref="M43:M48"/>
    <mergeCell ref="L49:L54"/>
    <mergeCell ref="M49:M54"/>
    <mergeCell ref="L55:L60"/>
    <mergeCell ref="M55:M60"/>
    <mergeCell ref="L61:L66"/>
    <mergeCell ref="M61:M66"/>
    <mergeCell ref="AP61:AP66"/>
    <mergeCell ref="AQ61:AQ66"/>
    <mergeCell ref="P11:P12"/>
    <mergeCell ref="S11:S12"/>
    <mergeCell ref="AL11:AL12"/>
    <mergeCell ref="AO11:AO12"/>
    <mergeCell ref="H25:H30"/>
    <mergeCell ref="J13:J18"/>
    <mergeCell ref="K13:K18"/>
    <mergeCell ref="I19:I24"/>
    <mergeCell ref="J19:J24"/>
    <mergeCell ref="K19:K24"/>
    <mergeCell ref="I25:I30"/>
    <mergeCell ref="F19:F24"/>
    <mergeCell ref="J25:J30"/>
    <mergeCell ref="K25:K30"/>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AQ37:AQ42"/>
    <mergeCell ref="AR37:AR42"/>
    <mergeCell ref="T13:T18"/>
    <mergeCell ref="N11:N12"/>
    <mergeCell ref="O11:O12"/>
    <mergeCell ref="U11:U12"/>
    <mergeCell ref="Q11:Q12"/>
    <mergeCell ref="R11:R12"/>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S31:S36"/>
    <mergeCell ref="A13:A18"/>
    <mergeCell ref="B13:B18"/>
    <mergeCell ref="A11:A12"/>
    <mergeCell ref="E11:E12"/>
    <mergeCell ref="D11:D12"/>
    <mergeCell ref="C11:C12"/>
    <mergeCell ref="AP37:AP42"/>
    <mergeCell ref="T31:T36"/>
    <mergeCell ref="R37:R42"/>
    <mergeCell ref="S37:S42"/>
    <mergeCell ref="T37:T42"/>
    <mergeCell ref="E19:E24"/>
    <mergeCell ref="E25:E30"/>
    <mergeCell ref="B11:B12"/>
    <mergeCell ref="F13:F18"/>
    <mergeCell ref="G11:G12"/>
    <mergeCell ref="H11:H12"/>
    <mergeCell ref="I11:I12"/>
    <mergeCell ref="J11:J12"/>
    <mergeCell ref="K11:K12"/>
    <mergeCell ref="H13:H18"/>
    <mergeCell ref="H19:H24"/>
    <mergeCell ref="A31:A36"/>
    <mergeCell ref="B31:B36"/>
    <mergeCell ref="C31:C36"/>
    <mergeCell ref="D31:D36"/>
    <mergeCell ref="E31:E36"/>
    <mergeCell ref="N31:N36"/>
    <mergeCell ref="O31:O36"/>
    <mergeCell ref="P31:P36"/>
    <mergeCell ref="F31:F36"/>
    <mergeCell ref="G31:G36"/>
    <mergeCell ref="I31:I36"/>
    <mergeCell ref="J31:J36"/>
    <mergeCell ref="K31:K36"/>
    <mergeCell ref="L31:L36"/>
    <mergeCell ref="M31:M36"/>
    <mergeCell ref="H31:H36"/>
    <mergeCell ref="A37:A42"/>
    <mergeCell ref="B37:B42"/>
    <mergeCell ref="C37:C42"/>
    <mergeCell ref="A43:A48"/>
    <mergeCell ref="B43:B48"/>
    <mergeCell ref="C43:C48"/>
    <mergeCell ref="D43:D48"/>
    <mergeCell ref="E43:E48"/>
    <mergeCell ref="D37:D42"/>
    <mergeCell ref="E37:E42"/>
    <mergeCell ref="B55:B60"/>
    <mergeCell ref="C55:C60"/>
    <mergeCell ref="D55:D60"/>
    <mergeCell ref="E55:E60"/>
    <mergeCell ref="A49:A54"/>
    <mergeCell ref="B49:B54"/>
    <mergeCell ref="C49:C54"/>
    <mergeCell ref="D49:D54"/>
    <mergeCell ref="E49:E54"/>
    <mergeCell ref="A55:A60"/>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U37:U42"/>
    <mergeCell ref="T43:T48"/>
    <mergeCell ref="U43:U48"/>
    <mergeCell ref="Q49:Q54"/>
    <mergeCell ref="R49:R54"/>
    <mergeCell ref="S49:S54"/>
    <mergeCell ref="F37:F42"/>
    <mergeCell ref="F43:F48"/>
    <mergeCell ref="G37:G42"/>
    <mergeCell ref="Q43:Q48"/>
    <mergeCell ref="R43:R48"/>
    <mergeCell ref="S43:S48"/>
    <mergeCell ref="N37:N42"/>
    <mergeCell ref="O37:O42"/>
    <mergeCell ref="G49:G54"/>
    <mergeCell ref="I49:I54"/>
    <mergeCell ref="J49:J54"/>
    <mergeCell ref="K49:K54"/>
    <mergeCell ref="L37:L42"/>
    <mergeCell ref="G43:G48"/>
    <mergeCell ref="I37:I42"/>
    <mergeCell ref="J37:J42"/>
    <mergeCell ref="K37:K42"/>
    <mergeCell ref="I43:I48"/>
    <mergeCell ref="D19:D24"/>
    <mergeCell ref="Z6:AR6"/>
    <mergeCell ref="Z7:AR7"/>
    <mergeCell ref="Z8:AR8"/>
    <mergeCell ref="X1:AR2"/>
    <mergeCell ref="X3:AL3"/>
    <mergeCell ref="X4:AR4"/>
    <mergeCell ref="AM3:AR3"/>
    <mergeCell ref="A6:B6"/>
    <mergeCell ref="A7:B7"/>
    <mergeCell ref="A8:B8"/>
    <mergeCell ref="W6:Y6"/>
    <mergeCell ref="C6:T6"/>
    <mergeCell ref="C7:T7"/>
    <mergeCell ref="U13:U18"/>
    <mergeCell ref="P13:P18"/>
    <mergeCell ref="Q13:Q18"/>
    <mergeCell ref="R13:R18"/>
    <mergeCell ref="S13:S18"/>
    <mergeCell ref="G13:G18"/>
    <mergeCell ref="A10:F10"/>
    <mergeCell ref="I13:I18"/>
    <mergeCell ref="T11:T12"/>
    <mergeCell ref="F11:F12"/>
    <mergeCell ref="C8:T8"/>
    <mergeCell ref="D1:T2"/>
    <mergeCell ref="D4:T4"/>
    <mergeCell ref="J3:T3"/>
    <mergeCell ref="D3:I3"/>
    <mergeCell ref="A25:A30"/>
    <mergeCell ref="B25:B30"/>
    <mergeCell ref="C25:C30"/>
    <mergeCell ref="D25:D30"/>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'Tabla Valoración controles'!$D$4:$D$6</xm:f>
          </x14:formula1>
          <xm:sqref>Y13:Y72</xm:sqref>
        </x14:dataValidation>
        <x14:dataValidation type="list" allowBlank="1" showInputMessage="1" showErrorMessage="1" xr:uid="{00000000-0002-0000-0300-000002000000}">
          <x14:formula1>
            <xm:f>'Tabla Valoración controles'!$D$7:$D$8</xm:f>
          </x14:formula1>
          <xm:sqref>Z13:Z72</xm:sqref>
        </x14:dataValidation>
        <x14:dataValidation type="list" allowBlank="1" showInputMessage="1" showErrorMessage="1" xr:uid="{00000000-0002-0000-0300-000003000000}">
          <x14:formula1>
            <xm:f>'Tabla Valoración controles'!$D$9:$D$10</xm:f>
          </x14:formula1>
          <xm:sqref>AB13:AB72</xm:sqref>
        </x14:dataValidation>
        <x14:dataValidation type="list" allowBlank="1" showInputMessage="1" showErrorMessage="1" xr:uid="{00000000-0002-0000-0300-000004000000}">
          <x14:formula1>
            <xm:f>'Tabla Valoración controles'!$D$11:$D$12</xm:f>
          </x14:formula1>
          <xm:sqref>AC13:AC72</xm:sqref>
        </x14:dataValidation>
        <x14:dataValidation type="list" allowBlank="1" showInputMessage="1" showErrorMessage="1" xr:uid="{00000000-0002-0000-0300-000005000000}">
          <x14:formula1>
            <xm:f>'Tabla Valoración controles'!$D$13:$D$14</xm:f>
          </x14:formula1>
          <xm:sqref>AD13:AD72</xm:sqref>
        </x14:dataValidation>
        <x14:dataValidation type="list" allowBlank="1" showInputMessage="1" showErrorMessage="1" xr:uid="{00000000-0002-0000-0300-000006000000}">
          <x14:formula1>
            <xm:f>Listas!$E$2:$E$4</xm:f>
          </x14:formula1>
          <xm:sqref>B13:B72</xm:sqref>
        </x14:dataValidation>
        <x14:dataValidation type="list" allowBlank="1" showInputMessage="1" showErrorMessage="1" xr:uid="{00000000-0002-0000-0300-000007000000}">
          <x14:formula1>
            <xm:f>Listas!$B$2:$B$5</xm:f>
          </x14:formula1>
          <xm:sqref>AK13:AK72</xm:sqref>
        </x14:dataValidation>
        <x14:dataValidation type="list" allowBlank="1" showInputMessage="1" showErrorMessage="1" xr:uid="{00000000-0002-0000-0300-000008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F000000}">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00000000-0002-0000-0300-00000C000000}">
          <x14:formula1>
            <xm:f>Listas!$B$12:$B$16</xm:f>
          </x14:formula1>
          <xm:sqref>F13:F72</xm:sqref>
        </x14:dataValidation>
        <x14:dataValidation type="list" allowBlank="1" showInputMessage="1" showErrorMessage="1" xr:uid="{56974EBC-92AA-46D7-A563-12DC1F3E81D0}">
          <x14:formula1>
            <xm:f>Listas!$F$8:$F$9</xm:f>
          </x14:formula1>
          <xm:sqref>G13:G72</xm:sqref>
        </x14:dataValidation>
        <x14:dataValidation type="list" allowBlank="1" showInputMessage="1" showErrorMessage="1" xr:uid="{00000000-0002-0000-0300-000010000000}">
          <x14:formula1>
            <xm:f>Intructivo!$C$300:$C$316</xm:f>
          </x14:formula1>
          <xm:sqref>C6 U6:V6</xm:sqref>
        </x14:dataValidation>
        <x14:dataValidation type="list" allowBlank="1" showInputMessage="1" showErrorMessage="1" xr:uid="{03058C6C-7F42-42BB-9770-ED87FDA682A3}">
          <x14:formula1>
            <xm:f>Listas!$H$8:$H$12</xm:f>
          </x14:formula1>
          <xm:sqref>L13:L72</xm:sqref>
        </x14:dataValidation>
        <x14:dataValidation type="list" allowBlank="1" showInputMessage="1" showErrorMessage="1" xr:uid="{ED0225A5-353B-484A-9502-C16753E9C895}">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AG56" sqref="AG56"/>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74" t="s">
        <v>249</v>
      </c>
      <c r="C2" s="474"/>
      <c r="D2" s="474"/>
      <c r="E2" s="474"/>
      <c r="F2" s="474"/>
      <c r="G2" s="474"/>
      <c r="H2" s="474"/>
      <c r="I2" s="474"/>
      <c r="J2" s="442" t="s">
        <v>15</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74"/>
      <c r="C3" s="474"/>
      <c r="D3" s="474"/>
      <c r="E3" s="474"/>
      <c r="F3" s="474"/>
      <c r="G3" s="474"/>
      <c r="H3" s="474"/>
      <c r="I3" s="474"/>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74"/>
      <c r="C4" s="474"/>
      <c r="D4" s="474"/>
      <c r="E4" s="474"/>
      <c r="F4" s="474"/>
      <c r="G4" s="474"/>
      <c r="H4" s="474"/>
      <c r="I4" s="474"/>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389" t="s">
        <v>250</v>
      </c>
      <c r="C6" s="389"/>
      <c r="D6" s="390"/>
      <c r="E6" s="427" t="s">
        <v>251</v>
      </c>
      <c r="F6" s="428"/>
      <c r="G6" s="428"/>
      <c r="H6" s="428"/>
      <c r="I6" s="429"/>
      <c r="J6" s="438" t="str">
        <f>IF(AND('Riesgos de Gestión'!$O$13="Muy Alta",'Riesgos de Gestión'!$S$13="Leve"),CONCATENATE("R",'Riesgos de Gestión'!$A$13),"")</f>
        <v/>
      </c>
      <c r="K6" s="439"/>
      <c r="L6" s="439" t="str">
        <f>IF(AND('Riesgos de Gestión'!$O$19="Muy Alta",'Riesgos de Gestión'!$S$19="Leve"),CONCATENATE("R",'Riesgos de Gestión'!$A$19),"")</f>
        <v/>
      </c>
      <c r="M6" s="439"/>
      <c r="N6" s="439" t="str">
        <f>IF(AND('Riesgos de Gestión'!$O$25="Muy Alta",'Riesgos de Gestión'!$S$25="Leve"),CONCATENATE("R",'Riesgos de Gestión'!$A$25),"")</f>
        <v/>
      </c>
      <c r="O6" s="441"/>
      <c r="P6" s="438" t="str">
        <f>IF(AND('Riesgos de Gestión'!$O$13="Muy Alta",'Riesgos de Gestión'!$S$13="Menor"),CONCATENATE("R",'Riesgos de Gestión'!$A$13),"")</f>
        <v/>
      </c>
      <c r="Q6" s="439"/>
      <c r="R6" s="439" t="str">
        <f>IF(AND('Riesgos de Gestión'!$O$19="Muy Alta",'Riesgos de Gestión'!$S$19="Menor"),CONCATENATE("R",'Riesgos de Gestión'!$A$19),"")</f>
        <v/>
      </c>
      <c r="S6" s="439"/>
      <c r="T6" s="439" t="str">
        <f>IF(AND('Riesgos de Gestión'!$O$25="Muy Alta",'Riesgos de Gestión'!$S$25="Menor"),CONCATENATE("R",'Riesgos de Gestión'!$A$25),"")</f>
        <v/>
      </c>
      <c r="U6" s="441"/>
      <c r="V6" s="438" t="str">
        <f>IF(AND('Riesgos de Gestión'!$O$13="Muy Alta",'Riesgos de Gestión'!$S$13="Moderado"),CONCATENATE("R",'Riesgos de Gestión'!$A$13),"")</f>
        <v/>
      </c>
      <c r="W6" s="439"/>
      <c r="X6" s="439" t="str">
        <f>IF(AND('Riesgos de Gestión'!$O$19="Muy Alta",'Riesgos de Gestión'!$S$19="Moderado"),CONCATENATE("R",'Riesgos de Gestión'!$A$19),"")</f>
        <v/>
      </c>
      <c r="Y6" s="439"/>
      <c r="Z6" s="439" t="str">
        <f>IF(AND('Riesgos de Gestión'!$O$25="Muy Alta",'Riesgos de Gestión'!$S$25="Moderado"),CONCATENATE("R",'Riesgos de Gestión'!$A$25),"")</f>
        <v/>
      </c>
      <c r="AA6" s="441"/>
      <c r="AB6" s="438" t="str">
        <f>IF(AND('Riesgos de Gestión'!$O$13="Muy Alta",'Riesgos de Gestión'!$S$13="Mayor"),CONCATENATE("R",'Riesgos de Gestión'!$A$13),"")</f>
        <v/>
      </c>
      <c r="AC6" s="439"/>
      <c r="AD6" s="439" t="str">
        <f>IF(AND('Riesgos de Gestión'!$O$19="Muy Alta",'Riesgos de Gestión'!$S$19="Mayor"),CONCATENATE("R",'Riesgos de Gestión'!$A$19),"")</f>
        <v/>
      </c>
      <c r="AE6" s="439"/>
      <c r="AF6" s="439" t="str">
        <f>IF(AND('Riesgos de Gestión'!$O$25="Muy Alta",'Riesgos de Gestión'!$S$25="Mayor"),CONCATENATE("R",'Riesgos de Gestión'!$A$25),"")</f>
        <v/>
      </c>
      <c r="AG6" s="441"/>
      <c r="AH6" s="453" t="str">
        <f>IF(AND('Riesgos de Gestión'!$O$13="Muy Alta",'Riesgos de Gestión'!$S$13="Catastrófico"),CONCATENATE("R",'Riesgos de Gestión'!$A$13),"")</f>
        <v/>
      </c>
      <c r="AI6" s="454"/>
      <c r="AJ6" s="454" t="str">
        <f>IF(AND('Riesgos de Gestión'!$O$19="Muy Alta",'Riesgos de Gestión'!$S$19="Catastrófico"),CONCATENATE("R",'Riesgos de Gestión'!$A$19),"")</f>
        <v/>
      </c>
      <c r="AK6" s="454"/>
      <c r="AL6" s="454" t="str">
        <f>IF(AND('Riesgos de Gestión'!$O$25="Muy Alta",'Riesgos de Gestión'!$S$25="Catastrófico"),CONCATENATE("R",'Riesgos de Gestión'!$A$25),"")</f>
        <v/>
      </c>
      <c r="AM6" s="455"/>
      <c r="AO6" s="391" t="s">
        <v>252</v>
      </c>
      <c r="AP6" s="392"/>
      <c r="AQ6" s="392"/>
      <c r="AR6" s="392"/>
      <c r="AS6" s="392"/>
      <c r="AT6" s="39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389"/>
      <c r="C7" s="389"/>
      <c r="D7" s="390"/>
      <c r="E7" s="430"/>
      <c r="F7" s="431"/>
      <c r="G7" s="431"/>
      <c r="H7" s="431"/>
      <c r="I7" s="432"/>
      <c r="J7" s="440"/>
      <c r="K7" s="436"/>
      <c r="L7" s="436"/>
      <c r="M7" s="436"/>
      <c r="N7" s="436"/>
      <c r="O7" s="437"/>
      <c r="P7" s="440"/>
      <c r="Q7" s="436"/>
      <c r="R7" s="436"/>
      <c r="S7" s="436"/>
      <c r="T7" s="436"/>
      <c r="U7" s="437"/>
      <c r="V7" s="440"/>
      <c r="W7" s="436"/>
      <c r="X7" s="436"/>
      <c r="Y7" s="436"/>
      <c r="Z7" s="436"/>
      <c r="AA7" s="437"/>
      <c r="AB7" s="440"/>
      <c r="AC7" s="436"/>
      <c r="AD7" s="436"/>
      <c r="AE7" s="436"/>
      <c r="AF7" s="436"/>
      <c r="AG7" s="437"/>
      <c r="AH7" s="447"/>
      <c r="AI7" s="448"/>
      <c r="AJ7" s="448"/>
      <c r="AK7" s="448"/>
      <c r="AL7" s="448"/>
      <c r="AM7" s="449"/>
      <c r="AN7" s="66"/>
      <c r="AO7" s="394"/>
      <c r="AP7" s="395"/>
      <c r="AQ7" s="395"/>
      <c r="AR7" s="395"/>
      <c r="AS7" s="395"/>
      <c r="AT7" s="39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389"/>
      <c r="C8" s="389"/>
      <c r="D8" s="390"/>
      <c r="E8" s="430"/>
      <c r="F8" s="431"/>
      <c r="G8" s="431"/>
      <c r="H8" s="431"/>
      <c r="I8" s="432"/>
      <c r="J8" s="440" t="str">
        <f>IF(AND('Riesgos de Gestión'!$O$31="Muy Alta",'Riesgos de Gestión'!$S$31="Leve"),CONCATENATE("R",'Riesgos de Gestión'!$A$31),"")</f>
        <v/>
      </c>
      <c r="K8" s="436"/>
      <c r="L8" s="436" t="str">
        <f>IF(AND('Riesgos de Gestión'!$O$37="Muy Alta",'Riesgos de Gestión'!$S$37="Leve"),CONCATENATE("R",'Riesgos de Gestión'!$A$37),"")</f>
        <v/>
      </c>
      <c r="M8" s="436"/>
      <c r="N8" s="436" t="str">
        <f>IF(AND('Riesgos de Gestión'!$O$43="Muy Alta",'Riesgos de Gestión'!$S$43="Leve"),CONCATENATE("R",'Riesgos de Gestión'!$A$43),"")</f>
        <v/>
      </c>
      <c r="O8" s="437"/>
      <c r="P8" s="440" t="str">
        <f>IF(AND('Riesgos de Gestión'!$O$31="Muy Alta",'Riesgos de Gestión'!$S$31="Menor"),CONCATENATE("R",'Riesgos de Gestión'!$A$31),"")</f>
        <v/>
      </c>
      <c r="Q8" s="436"/>
      <c r="R8" s="436" t="str">
        <f>IF(AND('Riesgos de Gestión'!$O$37="Muy Alta",'Riesgos de Gestión'!$S$37="Menor"),CONCATENATE("R",'Riesgos de Gestión'!$A$37),"")</f>
        <v/>
      </c>
      <c r="S8" s="436"/>
      <c r="T8" s="436" t="str">
        <f>IF(AND('Riesgos de Gestión'!$O$43="Muy Alta",'Riesgos de Gestión'!$S$43="Menor"),CONCATENATE("R",'Riesgos de Gestión'!$A$43),"")</f>
        <v/>
      </c>
      <c r="U8" s="437"/>
      <c r="V8" s="440" t="str">
        <f>IF(AND('Riesgos de Gestión'!$O$31="Muy Alta",'Riesgos de Gestión'!$S$31="Moderado"),CONCATENATE("R",'Riesgos de Gestión'!$A$31),"")</f>
        <v/>
      </c>
      <c r="W8" s="436"/>
      <c r="X8" s="436" t="str">
        <f>IF(AND('Riesgos de Gestión'!$O$37="Muy Alta",'Riesgos de Gestión'!$S$37="Moderado"),CONCATENATE("R",'Riesgos de Gestión'!$A$37),"")</f>
        <v/>
      </c>
      <c r="Y8" s="436"/>
      <c r="Z8" s="436" t="str">
        <f>IF(AND('Riesgos de Gestión'!$O$43="Muy Alta",'Riesgos de Gestión'!$S$43="Moderado"),CONCATENATE("R",'Riesgos de Gestión'!$A$43),"")</f>
        <v/>
      </c>
      <c r="AA8" s="437"/>
      <c r="AB8" s="440" t="str">
        <f>IF(AND('Riesgos de Gestión'!$O$31="Muy Alta",'Riesgos de Gestión'!$S$31="Mayor"),CONCATENATE("R",'Riesgos de Gestión'!$A$31),"")</f>
        <v/>
      </c>
      <c r="AC8" s="436"/>
      <c r="AD8" s="436" t="str">
        <f>IF(AND('Riesgos de Gestión'!$O$37="Muy Alta",'Riesgos de Gestión'!$S$37="Mayor"),CONCATENATE("R",'Riesgos de Gestión'!$A$37),"")</f>
        <v/>
      </c>
      <c r="AE8" s="436"/>
      <c r="AF8" s="436" t="str">
        <f>IF(AND('Riesgos de Gestión'!$O$43="Muy Alta",'Riesgos de Gestión'!$S$43="Mayor"),CONCATENATE("R",'Riesgos de Gestión'!$A$43),"")</f>
        <v/>
      </c>
      <c r="AG8" s="437"/>
      <c r="AH8" s="447" t="str">
        <f>IF(AND('Riesgos de Gestión'!$O$31="Muy Alta",'Riesgos de Gestión'!$S$31="Catastrófico"),CONCATENATE("R",'Riesgos de Gestión'!$A$31),"")</f>
        <v/>
      </c>
      <c r="AI8" s="448"/>
      <c r="AJ8" s="448" t="str">
        <f>IF(AND('Riesgos de Gestión'!$O$37="Muy Alta",'Riesgos de Gestión'!$S$37="Catastrófico"),CONCATENATE("R",'Riesgos de Gestión'!$A$37),"")</f>
        <v/>
      </c>
      <c r="AK8" s="448"/>
      <c r="AL8" s="448" t="str">
        <f>IF(AND('Riesgos de Gestión'!$O$43="Muy Alta",'Riesgos de Gestión'!$S$43="Catastrófico"),CONCATENATE("R",'Riesgos de Gestión'!$A$43),"")</f>
        <v/>
      </c>
      <c r="AM8" s="449"/>
      <c r="AN8" s="66"/>
      <c r="AO8" s="394"/>
      <c r="AP8" s="395"/>
      <c r="AQ8" s="395"/>
      <c r="AR8" s="395"/>
      <c r="AS8" s="395"/>
      <c r="AT8" s="39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389"/>
      <c r="C9" s="389"/>
      <c r="D9" s="390"/>
      <c r="E9" s="430"/>
      <c r="F9" s="431"/>
      <c r="G9" s="431"/>
      <c r="H9" s="431"/>
      <c r="I9" s="432"/>
      <c r="J9" s="440"/>
      <c r="K9" s="436"/>
      <c r="L9" s="436"/>
      <c r="M9" s="436"/>
      <c r="N9" s="436"/>
      <c r="O9" s="437"/>
      <c r="P9" s="440"/>
      <c r="Q9" s="436"/>
      <c r="R9" s="436"/>
      <c r="S9" s="436"/>
      <c r="T9" s="436"/>
      <c r="U9" s="437"/>
      <c r="V9" s="440"/>
      <c r="W9" s="436"/>
      <c r="X9" s="436"/>
      <c r="Y9" s="436"/>
      <c r="Z9" s="436"/>
      <c r="AA9" s="437"/>
      <c r="AB9" s="440"/>
      <c r="AC9" s="436"/>
      <c r="AD9" s="436"/>
      <c r="AE9" s="436"/>
      <c r="AF9" s="436"/>
      <c r="AG9" s="437"/>
      <c r="AH9" s="447"/>
      <c r="AI9" s="448"/>
      <c r="AJ9" s="448"/>
      <c r="AK9" s="448"/>
      <c r="AL9" s="448"/>
      <c r="AM9" s="449"/>
      <c r="AN9" s="66"/>
      <c r="AO9" s="394"/>
      <c r="AP9" s="395"/>
      <c r="AQ9" s="395"/>
      <c r="AR9" s="395"/>
      <c r="AS9" s="395"/>
      <c r="AT9" s="39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389"/>
      <c r="C10" s="389"/>
      <c r="D10" s="390"/>
      <c r="E10" s="430"/>
      <c r="F10" s="431"/>
      <c r="G10" s="431"/>
      <c r="H10" s="431"/>
      <c r="I10" s="432"/>
      <c r="J10" s="440" t="str">
        <f>IF(AND('Riesgos de Gestión'!$O$49="Muy Alta",'Riesgos de Gestión'!$S$49="Leve"),CONCATENATE("R",'Riesgos de Gestión'!$A$49),"")</f>
        <v/>
      </c>
      <c r="K10" s="436"/>
      <c r="L10" s="436" t="str">
        <f>IF(AND('Riesgos de Gestión'!$O$55="Muy Alta",'Riesgos de Gestión'!$S$55="Leve"),CONCATENATE("R",'Riesgos de Gestión'!$A$55),"")</f>
        <v/>
      </c>
      <c r="M10" s="436"/>
      <c r="N10" s="436" t="str">
        <f>IF(AND('Riesgos de Gestión'!$O$61="Muy Alta",'Riesgos de Gestión'!$S$61="Leve"),CONCATENATE("R",'Riesgos de Gestión'!$A$61),"")</f>
        <v/>
      </c>
      <c r="O10" s="437"/>
      <c r="P10" s="440" t="str">
        <f>IF(AND('Riesgos de Gestión'!$O$49="Muy Alta",'Riesgos de Gestión'!$S$49="Menor"),CONCATENATE("R",'Riesgos de Gestión'!$A$49),"")</f>
        <v/>
      </c>
      <c r="Q10" s="436"/>
      <c r="R10" s="436" t="str">
        <f>IF(AND('Riesgos de Gestión'!$O$55="Muy Alta",'Riesgos de Gestión'!$S$55="Menor"),CONCATENATE("R",'Riesgos de Gestión'!$A$55),"")</f>
        <v/>
      </c>
      <c r="S10" s="436"/>
      <c r="T10" s="436" t="str">
        <f>IF(AND('Riesgos de Gestión'!$O$61="Muy Alta",'Riesgos de Gestión'!$S$61="Menor"),CONCATENATE("R",'Riesgos de Gestión'!$A$61),"")</f>
        <v/>
      </c>
      <c r="U10" s="437"/>
      <c r="V10" s="440" t="str">
        <f>IF(AND('Riesgos de Gestión'!$O$49="Muy Alta",'Riesgos de Gestión'!$S$49="Moderado"),CONCATENATE("R",'Riesgos de Gestión'!$A$49),"")</f>
        <v/>
      </c>
      <c r="W10" s="436"/>
      <c r="X10" s="436" t="str">
        <f>IF(AND('Riesgos de Gestión'!$O$55="Muy Alta",'Riesgos de Gestión'!$S$55="Moderado"),CONCATENATE("R",'Riesgos de Gestión'!$A$55),"")</f>
        <v/>
      </c>
      <c r="Y10" s="436"/>
      <c r="Z10" s="436" t="str">
        <f>IF(AND('Riesgos de Gestión'!$O$61="Muy Alta",'Riesgos de Gestión'!$S$61="Moderado"),CONCATENATE("R",'Riesgos de Gestión'!$A$61),"")</f>
        <v/>
      </c>
      <c r="AA10" s="437"/>
      <c r="AB10" s="440" t="str">
        <f>IF(AND('Riesgos de Gestión'!$O$49="Muy Alta",'Riesgos de Gestión'!$S$49="Mayor"),CONCATENATE("R",'Riesgos de Gestión'!$A$49),"")</f>
        <v/>
      </c>
      <c r="AC10" s="436"/>
      <c r="AD10" s="436" t="str">
        <f>IF(AND('Riesgos de Gestión'!$O$55="Muy Alta",'Riesgos de Gestión'!$S$55="Mayor"),CONCATENATE("R",'Riesgos de Gestión'!$A$55),"")</f>
        <v/>
      </c>
      <c r="AE10" s="436"/>
      <c r="AF10" s="436" t="str">
        <f>IF(AND('Riesgos de Gestión'!$O$61="Muy Alta",'Riesgos de Gestión'!$S$61="Mayor"),CONCATENATE("R",'Riesgos de Gestión'!$A$61),"")</f>
        <v/>
      </c>
      <c r="AG10" s="437"/>
      <c r="AH10" s="447" t="str">
        <f>IF(AND('Riesgos de Gestión'!$O$49="Muy Alta",'Riesgos de Gestión'!$S$49="Catastrófico"),CONCATENATE("R",'Riesgos de Gestión'!$A$49),"")</f>
        <v/>
      </c>
      <c r="AI10" s="448"/>
      <c r="AJ10" s="448" t="str">
        <f>IF(AND('Riesgos de Gestión'!$O$55="Muy Alta",'Riesgos de Gestión'!$S$55="Catastrófico"),CONCATENATE("R",'Riesgos de Gestión'!$A$55),"")</f>
        <v/>
      </c>
      <c r="AK10" s="448"/>
      <c r="AL10" s="448" t="str">
        <f>IF(AND('Riesgos de Gestión'!$O$61="Muy Alta",'Riesgos de Gestión'!$S$61="Catastrófico"),CONCATENATE("R",'Riesgos de Gestión'!$A$61),"")</f>
        <v/>
      </c>
      <c r="AM10" s="449"/>
      <c r="AN10" s="66"/>
      <c r="AO10" s="394"/>
      <c r="AP10" s="395"/>
      <c r="AQ10" s="395"/>
      <c r="AR10" s="395"/>
      <c r="AS10" s="395"/>
      <c r="AT10" s="39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389"/>
      <c r="C11" s="389"/>
      <c r="D11" s="390"/>
      <c r="E11" s="430"/>
      <c r="F11" s="431"/>
      <c r="G11" s="431"/>
      <c r="H11" s="431"/>
      <c r="I11" s="432"/>
      <c r="J11" s="440"/>
      <c r="K11" s="436"/>
      <c r="L11" s="436"/>
      <c r="M11" s="436"/>
      <c r="N11" s="436"/>
      <c r="O11" s="437"/>
      <c r="P11" s="440"/>
      <c r="Q11" s="436"/>
      <c r="R11" s="436"/>
      <c r="S11" s="436"/>
      <c r="T11" s="436"/>
      <c r="U11" s="437"/>
      <c r="V11" s="440"/>
      <c r="W11" s="436"/>
      <c r="X11" s="436"/>
      <c r="Y11" s="436"/>
      <c r="Z11" s="436"/>
      <c r="AA11" s="437"/>
      <c r="AB11" s="440"/>
      <c r="AC11" s="436"/>
      <c r="AD11" s="436"/>
      <c r="AE11" s="436"/>
      <c r="AF11" s="436"/>
      <c r="AG11" s="437"/>
      <c r="AH11" s="447"/>
      <c r="AI11" s="448"/>
      <c r="AJ11" s="448"/>
      <c r="AK11" s="448"/>
      <c r="AL11" s="448"/>
      <c r="AM11" s="449"/>
      <c r="AN11" s="66"/>
      <c r="AO11" s="394"/>
      <c r="AP11" s="395"/>
      <c r="AQ11" s="395"/>
      <c r="AR11" s="395"/>
      <c r="AS11" s="395"/>
      <c r="AT11" s="39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389"/>
      <c r="C12" s="389"/>
      <c r="D12" s="390"/>
      <c r="E12" s="430"/>
      <c r="F12" s="431"/>
      <c r="G12" s="431"/>
      <c r="H12" s="431"/>
      <c r="I12" s="432"/>
      <c r="J12" s="440" t="str">
        <f>IF(AND('Riesgos de Gestión'!$O$67="Muy Alta",'Riesgos de Gestión'!$S$67="Leve"),CONCATENATE("R",'Riesgos de Gestión'!$A$67),"")</f>
        <v/>
      </c>
      <c r="K12" s="436"/>
      <c r="L12" s="436" t="str">
        <f>IF(AND('Riesgos de Gestión'!$P$73="Muy Alta",'Riesgos de Gestión'!$T$73="Leve"),CONCATENATE("R",'Riesgos de Gestión'!$A$73),"")</f>
        <v/>
      </c>
      <c r="M12" s="436"/>
      <c r="N12" s="436" t="str">
        <f>IF(AND('Riesgos de Gestión'!$P$79="Muy Alta",'Riesgos de Gestión'!$T$79="Leve"),CONCATENATE("R",'Riesgos de Gestión'!$A$79),"")</f>
        <v/>
      </c>
      <c r="O12" s="437"/>
      <c r="P12" s="440" t="str">
        <f>IF(AND('Riesgos de Gestión'!$O$67="Muy Alta",'Riesgos de Gestión'!$S$67="Menor"),CONCATENATE("R",'Riesgos de Gestión'!$A$67),"")</f>
        <v/>
      </c>
      <c r="Q12" s="436"/>
      <c r="R12" s="436" t="str">
        <f>IF(AND('Riesgos de Gestión'!$P$73="Muy Alta",'Riesgos de Gestión'!$T$73="Menor"),CONCATENATE("R",'Riesgos de Gestión'!$A$73),"")</f>
        <v/>
      </c>
      <c r="S12" s="436"/>
      <c r="T12" s="436" t="str">
        <f>IF(AND('Riesgos de Gestión'!$P$79="Muy Alta",'Riesgos de Gestión'!$T$79="Menor"),CONCATENATE("R",'Riesgos de Gestión'!$A$79),"")</f>
        <v/>
      </c>
      <c r="U12" s="437"/>
      <c r="V12" s="440" t="str">
        <f>IF(AND('Riesgos de Gestión'!$O$67="Muy Alta",'Riesgos de Gestión'!$S$67="Moderado"),CONCATENATE("R",'Riesgos de Gestión'!$A$67),"")</f>
        <v/>
      </c>
      <c r="W12" s="436"/>
      <c r="X12" s="436" t="str">
        <f>IF(AND('Riesgos de Gestión'!$P$73="Muy Alta",'Riesgos de Gestión'!$T$73="Moderado"),CONCATENATE("R",'Riesgos de Gestión'!$A$73),"")</f>
        <v/>
      </c>
      <c r="Y12" s="436"/>
      <c r="Z12" s="436" t="str">
        <f>IF(AND('Riesgos de Gestión'!$P$79="Muy Alta",'Riesgos de Gestión'!$T$79="Moderado"),CONCATENATE("R",'Riesgos de Gestión'!$A$79),"")</f>
        <v/>
      </c>
      <c r="AA12" s="437"/>
      <c r="AB12" s="440" t="str">
        <f>IF(AND('Riesgos de Gestión'!$O$67="Muy Alta",'Riesgos de Gestión'!$S$67="Mayor"),CONCATENATE("R",'Riesgos de Gestión'!$A$67),"")</f>
        <v/>
      </c>
      <c r="AC12" s="436"/>
      <c r="AD12" s="436" t="str">
        <f>IF(AND('Riesgos de Gestión'!$P$73="Muy Alta",'Riesgos de Gestión'!$T$73="Mayor"),CONCATENATE("R",'Riesgos de Gestión'!$A$73),"")</f>
        <v/>
      </c>
      <c r="AE12" s="436"/>
      <c r="AF12" s="436" t="str">
        <f>IF(AND('Riesgos de Gestión'!$P$79="Muy Alta",'Riesgos de Gestión'!$T$79="Mayor"),CONCATENATE("R",'Riesgos de Gestión'!$A$79),"")</f>
        <v/>
      </c>
      <c r="AG12" s="437"/>
      <c r="AH12" s="447" t="str">
        <f>IF(AND('Riesgos de Gestión'!$O$67="Muy Alta",'Riesgos de Gestión'!$S$67="Catastrófico"),CONCATENATE("R",'Riesgos de Gestión'!$A$67),"")</f>
        <v/>
      </c>
      <c r="AI12" s="448"/>
      <c r="AJ12" s="448" t="str">
        <f>IF(AND('Riesgos de Gestión'!$P$73="Muy Alta",'Riesgos de Gestión'!$T$73="Catastrófico"),CONCATENATE("R",'Riesgos de Gestión'!$A$73),"")</f>
        <v/>
      </c>
      <c r="AK12" s="448"/>
      <c r="AL12" s="448" t="str">
        <f>IF(AND('Riesgos de Gestión'!$P$79="Muy Alta",'Riesgos de Gestión'!$T$79="Catastrófico"),CONCATENATE("R",'Riesgos de Gestión'!$A$79),"")</f>
        <v/>
      </c>
      <c r="AM12" s="449"/>
      <c r="AN12" s="66"/>
      <c r="AO12" s="394"/>
      <c r="AP12" s="395"/>
      <c r="AQ12" s="395"/>
      <c r="AR12" s="395"/>
      <c r="AS12" s="395"/>
      <c r="AT12" s="39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389"/>
      <c r="C13" s="389"/>
      <c r="D13" s="390"/>
      <c r="E13" s="433"/>
      <c r="F13" s="434"/>
      <c r="G13" s="434"/>
      <c r="H13" s="434"/>
      <c r="I13" s="435"/>
      <c r="J13" s="440"/>
      <c r="K13" s="436"/>
      <c r="L13" s="436"/>
      <c r="M13" s="436"/>
      <c r="N13" s="436"/>
      <c r="O13" s="437"/>
      <c r="P13" s="440"/>
      <c r="Q13" s="436"/>
      <c r="R13" s="436"/>
      <c r="S13" s="436"/>
      <c r="T13" s="436"/>
      <c r="U13" s="437"/>
      <c r="V13" s="440"/>
      <c r="W13" s="436"/>
      <c r="X13" s="436"/>
      <c r="Y13" s="436"/>
      <c r="Z13" s="436"/>
      <c r="AA13" s="437"/>
      <c r="AB13" s="440"/>
      <c r="AC13" s="436"/>
      <c r="AD13" s="436"/>
      <c r="AE13" s="436"/>
      <c r="AF13" s="436"/>
      <c r="AG13" s="437"/>
      <c r="AH13" s="450"/>
      <c r="AI13" s="451"/>
      <c r="AJ13" s="451"/>
      <c r="AK13" s="451"/>
      <c r="AL13" s="451"/>
      <c r="AM13" s="452"/>
      <c r="AN13" s="66"/>
      <c r="AO13" s="397"/>
      <c r="AP13" s="398"/>
      <c r="AQ13" s="398"/>
      <c r="AR13" s="398"/>
      <c r="AS13" s="398"/>
      <c r="AT13" s="39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389"/>
      <c r="C14" s="389"/>
      <c r="D14" s="390"/>
      <c r="E14" s="427" t="s">
        <v>253</v>
      </c>
      <c r="F14" s="428"/>
      <c r="G14" s="428"/>
      <c r="H14" s="428"/>
      <c r="I14" s="428"/>
      <c r="J14" s="462" t="str">
        <f>IF(AND('Riesgos de Gestión'!$O$13="Alta",'Riesgos de Gestión'!$S$13="Leve"),CONCATENATE("R",'Riesgos de Gestión'!$A$13),"")</f>
        <v/>
      </c>
      <c r="K14" s="463"/>
      <c r="L14" s="463" t="str">
        <f>IF(AND('Riesgos de Gestión'!$O$19="Alta",'Riesgos de Gestión'!$S$19="Leve"),CONCATENATE("R",'Riesgos de Gestión'!$A$19),"")</f>
        <v/>
      </c>
      <c r="M14" s="463"/>
      <c r="N14" s="463" t="str">
        <f>IF(AND('Riesgos de Gestión'!$O$25="Alta",'Riesgos de Gestión'!$S$25="Leve"),CONCATENATE("R",'Riesgos de Gestión'!$A$25),"")</f>
        <v/>
      </c>
      <c r="O14" s="464"/>
      <c r="P14" s="462" t="str">
        <f>IF(AND('Riesgos de Gestión'!$O$13="Alta",'Riesgos de Gestión'!$S$13="Menor"),CONCATENATE("R",'Riesgos de Gestión'!$A$13),"")</f>
        <v/>
      </c>
      <c r="Q14" s="463"/>
      <c r="R14" s="463" t="str">
        <f>IF(AND('Riesgos de Gestión'!$O$19="Alta",'Riesgos de Gestión'!$S$19="Menor"),CONCATENATE("R",'Riesgos de Gestión'!$A$19),"")</f>
        <v/>
      </c>
      <c r="S14" s="463"/>
      <c r="T14" s="463" t="str">
        <f>IF(AND('Riesgos de Gestión'!$O$25="Alta",'Riesgos de Gestión'!$S$25="Menor"),CONCATENATE("R",'Riesgos de Gestión'!$A$25),"")</f>
        <v/>
      </c>
      <c r="U14" s="464"/>
      <c r="V14" s="438" t="str">
        <f>IF(AND('Riesgos de Gestión'!$O$13="Alta",'Riesgos de Gestión'!$S$13="Moderado"),CONCATENATE("R",'Riesgos de Gestión'!$A$13),"")</f>
        <v/>
      </c>
      <c r="W14" s="439"/>
      <c r="X14" s="439" t="str">
        <f>IF(AND('Riesgos de Gestión'!$O$19="Alta",'Riesgos de Gestión'!$S$19="Moderado"),CONCATENATE("R",'Riesgos de Gestión'!$A$19),"")</f>
        <v/>
      </c>
      <c r="Y14" s="439"/>
      <c r="Z14" s="439" t="str">
        <f>IF(AND('Riesgos de Gestión'!$O$25="Alta",'Riesgos de Gestión'!$S$25="Moderado"),CONCATENATE("R",'Riesgos de Gestión'!$A$25),"")</f>
        <v/>
      </c>
      <c r="AA14" s="441"/>
      <c r="AB14" s="438" t="str">
        <f>IF(AND('Riesgos de Gestión'!$O$13="Alta",'Riesgos de Gestión'!$S$13="Mayor"),CONCATENATE("R",'Riesgos de Gestión'!$A$13),"")</f>
        <v/>
      </c>
      <c r="AC14" s="439"/>
      <c r="AD14" s="439" t="str">
        <f>IF(AND('Riesgos de Gestión'!$O$19="Alta",'Riesgos de Gestión'!$S$19="Mayor"),CONCATENATE("R",'Riesgos de Gestión'!$A$19),"")</f>
        <v/>
      </c>
      <c r="AE14" s="439"/>
      <c r="AF14" s="439" t="str">
        <f>IF(AND('Riesgos de Gestión'!$O$25="Alta",'Riesgos de Gestión'!$S$25="Mayor"),CONCATENATE("R",'Riesgos de Gestión'!$A$25),"")</f>
        <v/>
      </c>
      <c r="AG14" s="441"/>
      <c r="AH14" s="453" t="str">
        <f>IF(AND('Riesgos de Gestión'!$O$13="Alta",'Riesgos de Gestión'!$S$13="Catastrófico"),CONCATENATE("R",'Riesgos de Gestión'!$A$13),"")</f>
        <v/>
      </c>
      <c r="AI14" s="454"/>
      <c r="AJ14" s="454" t="str">
        <f>IF(AND('Riesgos de Gestión'!$O$19="Alta",'Riesgos de Gestión'!$S$19="Catastrófico"),CONCATENATE("R",'Riesgos de Gestión'!$A$19),"")</f>
        <v/>
      </c>
      <c r="AK14" s="454"/>
      <c r="AL14" s="454" t="str">
        <f>IF(AND('Riesgos de Gestión'!$O$25="Alta",'Riesgos de Gestión'!$S$25="Catastrófico"),CONCATENATE("R",'Riesgos de Gestión'!$A$25),"")</f>
        <v/>
      </c>
      <c r="AM14" s="455"/>
      <c r="AN14" s="66"/>
      <c r="AO14" s="400" t="s">
        <v>254</v>
      </c>
      <c r="AP14" s="401"/>
      <c r="AQ14" s="401"/>
      <c r="AR14" s="401"/>
      <c r="AS14" s="401"/>
      <c r="AT14" s="402"/>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389"/>
      <c r="C15" s="389"/>
      <c r="D15" s="390"/>
      <c r="E15" s="430"/>
      <c r="F15" s="431"/>
      <c r="G15" s="431"/>
      <c r="H15" s="431"/>
      <c r="I15" s="431"/>
      <c r="J15" s="456"/>
      <c r="K15" s="457"/>
      <c r="L15" s="457"/>
      <c r="M15" s="457"/>
      <c r="N15" s="457"/>
      <c r="O15" s="458"/>
      <c r="P15" s="456"/>
      <c r="Q15" s="457"/>
      <c r="R15" s="457"/>
      <c r="S15" s="457"/>
      <c r="T15" s="457"/>
      <c r="U15" s="458"/>
      <c r="V15" s="440"/>
      <c r="W15" s="436"/>
      <c r="X15" s="436"/>
      <c r="Y15" s="436"/>
      <c r="Z15" s="436"/>
      <c r="AA15" s="437"/>
      <c r="AB15" s="440"/>
      <c r="AC15" s="436"/>
      <c r="AD15" s="436"/>
      <c r="AE15" s="436"/>
      <c r="AF15" s="436"/>
      <c r="AG15" s="437"/>
      <c r="AH15" s="447"/>
      <c r="AI15" s="448"/>
      <c r="AJ15" s="448"/>
      <c r="AK15" s="448"/>
      <c r="AL15" s="448"/>
      <c r="AM15" s="449"/>
      <c r="AN15" s="66"/>
      <c r="AO15" s="403"/>
      <c r="AP15" s="404"/>
      <c r="AQ15" s="404"/>
      <c r="AR15" s="404"/>
      <c r="AS15" s="404"/>
      <c r="AT15" s="405"/>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389"/>
      <c r="C16" s="389"/>
      <c r="D16" s="390"/>
      <c r="E16" s="430"/>
      <c r="F16" s="431"/>
      <c r="G16" s="431"/>
      <c r="H16" s="431"/>
      <c r="I16" s="431"/>
      <c r="J16" s="456" t="str">
        <f>IF(AND('Riesgos de Gestión'!$O$31="Alta",'Riesgos de Gestión'!$S$31="Leve"),CONCATENATE("R",'Riesgos de Gestión'!$A$31),"")</f>
        <v/>
      </c>
      <c r="K16" s="457"/>
      <c r="L16" s="457" t="str">
        <f>IF(AND('Riesgos de Gestión'!$O$37="Alta",'Riesgos de Gestión'!$S$37="Leve"),CONCATENATE("R",'Riesgos de Gestión'!$A$37),"")</f>
        <v/>
      </c>
      <c r="M16" s="457"/>
      <c r="N16" s="457" t="str">
        <f>IF(AND('Riesgos de Gestión'!$O$43="Alta",'Riesgos de Gestión'!$S$43="Leve"),CONCATENATE("R",'Riesgos de Gestión'!$A$43),"")</f>
        <v/>
      </c>
      <c r="O16" s="458"/>
      <c r="P16" s="456" t="str">
        <f>IF(AND('Riesgos de Gestión'!$O$31="Alta",'Riesgos de Gestión'!$S$31="Menor"),CONCATENATE("R",'Riesgos de Gestión'!$A$31),"")</f>
        <v/>
      </c>
      <c r="Q16" s="457"/>
      <c r="R16" s="457" t="str">
        <f>IF(AND('Riesgos de Gestión'!$O$37="Alta",'Riesgos de Gestión'!$S$37="Menor"),CONCATENATE("R",'Riesgos de Gestión'!$A$37),"")</f>
        <v/>
      </c>
      <c r="S16" s="457"/>
      <c r="T16" s="457" t="str">
        <f>IF(AND('Riesgos de Gestión'!$O$43="Alta",'Riesgos de Gestión'!$S$43="Menor"),CONCATENATE("R",'Riesgos de Gestión'!$A$43),"")</f>
        <v/>
      </c>
      <c r="U16" s="458"/>
      <c r="V16" s="440" t="str">
        <f>IF(AND('Riesgos de Gestión'!$O$31="Alta",'Riesgos de Gestión'!$S$31="Moderado"),CONCATENATE("R",'Riesgos de Gestión'!$A$31),"")</f>
        <v/>
      </c>
      <c r="W16" s="436"/>
      <c r="X16" s="436" t="str">
        <f>IF(AND('Riesgos de Gestión'!$O$37="Alta",'Riesgos de Gestión'!$S$37="Moderado"),CONCATENATE("R",'Riesgos de Gestión'!$A$37),"")</f>
        <v/>
      </c>
      <c r="Y16" s="436"/>
      <c r="Z16" s="436" t="str">
        <f>IF(AND('Riesgos de Gestión'!$O$43="Alta",'Riesgos de Gestión'!$S$43="Moderado"),CONCATENATE("R",'Riesgos de Gestión'!$A$43),"")</f>
        <v/>
      </c>
      <c r="AA16" s="437"/>
      <c r="AB16" s="440" t="str">
        <f>IF(AND('Riesgos de Gestión'!$O$31="Alta",'Riesgos de Gestión'!$S$31="Mayor"),CONCATENATE("R",'Riesgos de Gestión'!$A$31),"")</f>
        <v/>
      </c>
      <c r="AC16" s="436"/>
      <c r="AD16" s="436" t="str">
        <f>IF(AND('Riesgos de Gestión'!$O$37="Alta",'Riesgos de Gestión'!$S$37="Mayor"),CONCATENATE("R",'Riesgos de Gestión'!$A$37),"")</f>
        <v/>
      </c>
      <c r="AE16" s="436"/>
      <c r="AF16" s="436" t="str">
        <f>IF(AND('Riesgos de Gestión'!$O$43="Alta",'Riesgos de Gestión'!$S$43="Mayor"),CONCATENATE("R",'Riesgos de Gestión'!$A$43),"")</f>
        <v/>
      </c>
      <c r="AG16" s="437"/>
      <c r="AH16" s="447" t="str">
        <f>IF(AND('Riesgos de Gestión'!$O$31="Alta",'Riesgos de Gestión'!$S$31="Catastrófico"),CONCATENATE("R",'Riesgos de Gestión'!$A$31),"")</f>
        <v/>
      </c>
      <c r="AI16" s="448"/>
      <c r="AJ16" s="448" t="str">
        <f>IF(AND('Riesgos de Gestión'!$O$37="Alta",'Riesgos de Gestión'!$S$37="Catastrófico"),CONCATENATE("R",'Riesgos de Gestión'!$A$37),"")</f>
        <v/>
      </c>
      <c r="AK16" s="448"/>
      <c r="AL16" s="448" t="str">
        <f>IF(AND('Riesgos de Gestión'!$O$43="Alta",'Riesgos de Gestión'!$S$43="Catastrófico"),CONCATENATE("R",'Riesgos de Gestión'!$A$43),"")</f>
        <v/>
      </c>
      <c r="AM16" s="449"/>
      <c r="AN16" s="66"/>
      <c r="AO16" s="403"/>
      <c r="AP16" s="404"/>
      <c r="AQ16" s="404"/>
      <c r="AR16" s="404"/>
      <c r="AS16" s="404"/>
      <c r="AT16" s="405"/>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389"/>
      <c r="C17" s="389"/>
      <c r="D17" s="390"/>
      <c r="E17" s="430"/>
      <c r="F17" s="431"/>
      <c r="G17" s="431"/>
      <c r="H17" s="431"/>
      <c r="I17" s="431"/>
      <c r="J17" s="456"/>
      <c r="K17" s="457"/>
      <c r="L17" s="457"/>
      <c r="M17" s="457"/>
      <c r="N17" s="457"/>
      <c r="O17" s="458"/>
      <c r="P17" s="456"/>
      <c r="Q17" s="457"/>
      <c r="R17" s="457"/>
      <c r="S17" s="457"/>
      <c r="T17" s="457"/>
      <c r="U17" s="458"/>
      <c r="V17" s="440"/>
      <c r="W17" s="436"/>
      <c r="X17" s="436"/>
      <c r="Y17" s="436"/>
      <c r="Z17" s="436"/>
      <c r="AA17" s="437"/>
      <c r="AB17" s="440"/>
      <c r="AC17" s="436"/>
      <c r="AD17" s="436"/>
      <c r="AE17" s="436"/>
      <c r="AF17" s="436"/>
      <c r="AG17" s="437"/>
      <c r="AH17" s="447"/>
      <c r="AI17" s="448"/>
      <c r="AJ17" s="448"/>
      <c r="AK17" s="448"/>
      <c r="AL17" s="448"/>
      <c r="AM17" s="449"/>
      <c r="AN17" s="66"/>
      <c r="AO17" s="403"/>
      <c r="AP17" s="404"/>
      <c r="AQ17" s="404"/>
      <c r="AR17" s="404"/>
      <c r="AS17" s="404"/>
      <c r="AT17" s="405"/>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389"/>
      <c r="C18" s="389"/>
      <c r="D18" s="390"/>
      <c r="E18" s="430"/>
      <c r="F18" s="431"/>
      <c r="G18" s="431"/>
      <c r="H18" s="431"/>
      <c r="I18" s="431"/>
      <c r="J18" s="456" t="str">
        <f>IF(AND('Riesgos de Gestión'!$O$49="Alta",'Riesgos de Gestión'!$S$49="Leve"),CONCATENATE("R",'Riesgos de Gestión'!$A$49),"")</f>
        <v/>
      </c>
      <c r="K18" s="457"/>
      <c r="L18" s="457" t="str">
        <f>IF(AND('Riesgos de Gestión'!$O$55="Alta",'Riesgos de Gestión'!$S$55="Leve"),CONCATENATE("R",'Riesgos de Gestión'!$A$55),"")</f>
        <v/>
      </c>
      <c r="M18" s="457"/>
      <c r="N18" s="457" t="str">
        <f>IF(AND('Riesgos de Gestión'!$O$61="Alta",'Riesgos de Gestión'!$S$61="Leve"),CONCATENATE("R",'Riesgos de Gestión'!$A$61),"")</f>
        <v/>
      </c>
      <c r="O18" s="458"/>
      <c r="P18" s="456" t="str">
        <f>IF(AND('Riesgos de Gestión'!$O$49="Alta",'Riesgos de Gestión'!$S$49="Menor"),CONCATENATE("R",'Riesgos de Gestión'!$A$49),"")</f>
        <v/>
      </c>
      <c r="Q18" s="457"/>
      <c r="R18" s="457" t="str">
        <f>IF(AND('Riesgos de Gestión'!$O$55="Alta",'Riesgos de Gestión'!$S$55="Menor"),CONCATENATE("R",'Riesgos de Gestión'!$A$55),"")</f>
        <v/>
      </c>
      <c r="S18" s="457"/>
      <c r="T18" s="457" t="str">
        <f>IF(AND('Riesgos de Gestión'!$O$61="Alta",'Riesgos de Gestión'!$S$61="Menor"),CONCATENATE("R",'Riesgos de Gestión'!$A$61),"")</f>
        <v/>
      </c>
      <c r="U18" s="458"/>
      <c r="V18" s="440" t="str">
        <f>IF(AND('Riesgos de Gestión'!$O$49="Alta",'Riesgos de Gestión'!$S$49="Moderado"),CONCATENATE("R",'Riesgos de Gestión'!$A$49),"")</f>
        <v/>
      </c>
      <c r="W18" s="436"/>
      <c r="X18" s="436" t="str">
        <f>IF(AND('Riesgos de Gestión'!$O$55="Alta",'Riesgos de Gestión'!$S$55="Moderado"),CONCATENATE("R",'Riesgos de Gestión'!$A$55),"")</f>
        <v/>
      </c>
      <c r="Y18" s="436"/>
      <c r="Z18" s="436" t="str">
        <f>IF(AND('Riesgos de Gestión'!$O$61="Alta",'Riesgos de Gestión'!$S$61="Moderado"),CONCATENATE("R",'Riesgos de Gestión'!$A$61),"")</f>
        <v/>
      </c>
      <c r="AA18" s="437"/>
      <c r="AB18" s="440" t="str">
        <f>IF(AND('Riesgos de Gestión'!$O$49="Alta",'Riesgos de Gestión'!$S$49="Mayor"),CONCATENATE("R",'Riesgos de Gestión'!$A$49),"")</f>
        <v/>
      </c>
      <c r="AC18" s="436"/>
      <c r="AD18" s="436" t="str">
        <f>IF(AND('Riesgos de Gestión'!$O$55="Alta",'Riesgos de Gestión'!$S$55="Mayor"),CONCATENATE("R",'Riesgos de Gestión'!$A$55),"")</f>
        <v/>
      </c>
      <c r="AE18" s="436"/>
      <c r="AF18" s="436" t="str">
        <f>IF(AND('Riesgos de Gestión'!$O$61="Alta",'Riesgos de Gestión'!$S$61="Mayor"),CONCATENATE("R",'Riesgos de Gestión'!$A$61),"")</f>
        <v/>
      </c>
      <c r="AG18" s="437"/>
      <c r="AH18" s="447" t="str">
        <f>IF(AND('Riesgos de Gestión'!$O$49="Alta",'Riesgos de Gestión'!$S$49="Catastrófico"),CONCATENATE("R",'Riesgos de Gestión'!$A$49),"")</f>
        <v/>
      </c>
      <c r="AI18" s="448"/>
      <c r="AJ18" s="448" t="str">
        <f>IF(AND('Riesgos de Gestión'!$O$55="Alta",'Riesgos de Gestión'!$S$55="Catastrófico"),CONCATENATE("R",'Riesgos de Gestión'!$A$55),"")</f>
        <v/>
      </c>
      <c r="AK18" s="448"/>
      <c r="AL18" s="448" t="str">
        <f>IF(AND('Riesgos de Gestión'!$O$61="Alta",'Riesgos de Gestión'!$S$61="Catastrófico"),CONCATENATE("R",'Riesgos de Gestión'!$A$61),"")</f>
        <v/>
      </c>
      <c r="AM18" s="449"/>
      <c r="AN18" s="66"/>
      <c r="AO18" s="403"/>
      <c r="AP18" s="404"/>
      <c r="AQ18" s="404"/>
      <c r="AR18" s="404"/>
      <c r="AS18" s="404"/>
      <c r="AT18" s="405"/>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389"/>
      <c r="C19" s="389"/>
      <c r="D19" s="390"/>
      <c r="E19" s="430"/>
      <c r="F19" s="431"/>
      <c r="G19" s="431"/>
      <c r="H19" s="431"/>
      <c r="I19" s="431"/>
      <c r="J19" s="456"/>
      <c r="K19" s="457"/>
      <c r="L19" s="457"/>
      <c r="M19" s="457"/>
      <c r="N19" s="457"/>
      <c r="O19" s="458"/>
      <c r="P19" s="456"/>
      <c r="Q19" s="457"/>
      <c r="R19" s="457"/>
      <c r="S19" s="457"/>
      <c r="T19" s="457"/>
      <c r="U19" s="458"/>
      <c r="V19" s="440"/>
      <c r="W19" s="436"/>
      <c r="X19" s="436"/>
      <c r="Y19" s="436"/>
      <c r="Z19" s="436"/>
      <c r="AA19" s="437"/>
      <c r="AB19" s="440"/>
      <c r="AC19" s="436"/>
      <c r="AD19" s="436"/>
      <c r="AE19" s="436"/>
      <c r="AF19" s="436"/>
      <c r="AG19" s="437"/>
      <c r="AH19" s="447"/>
      <c r="AI19" s="448"/>
      <c r="AJ19" s="448"/>
      <c r="AK19" s="448"/>
      <c r="AL19" s="448"/>
      <c r="AM19" s="449"/>
      <c r="AN19" s="66"/>
      <c r="AO19" s="403"/>
      <c r="AP19" s="404"/>
      <c r="AQ19" s="404"/>
      <c r="AR19" s="404"/>
      <c r="AS19" s="404"/>
      <c r="AT19" s="405"/>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389"/>
      <c r="C20" s="389"/>
      <c r="D20" s="390"/>
      <c r="E20" s="430"/>
      <c r="F20" s="431"/>
      <c r="G20" s="431"/>
      <c r="H20" s="431"/>
      <c r="I20" s="431"/>
      <c r="J20" s="456" t="str">
        <f>IF(AND('Riesgos de Gestión'!$O$67="Alta",'Riesgos de Gestión'!$S$67="Leve"),CONCATENATE("R",'Riesgos de Gestión'!$A$67),"")</f>
        <v/>
      </c>
      <c r="K20" s="457"/>
      <c r="L20" s="457" t="str">
        <f>IF(AND('Riesgos de Gestión'!$P$73="Alta",'Riesgos de Gestión'!$T$73="Leve"),CONCATENATE("R",'Riesgos de Gestión'!$A$73),"")</f>
        <v/>
      </c>
      <c r="M20" s="457"/>
      <c r="N20" s="457" t="str">
        <f>IF(AND('Riesgos de Gestión'!$P$79="Alta",'Riesgos de Gestión'!$T$79="Leve"),CONCATENATE("R",'Riesgos de Gestión'!$A$79),"")</f>
        <v/>
      </c>
      <c r="O20" s="458"/>
      <c r="P20" s="456" t="str">
        <f>IF(AND('Riesgos de Gestión'!$O$67="Alta",'Riesgos de Gestión'!$S$67="Menor"),CONCATENATE("R",'Riesgos de Gestión'!$A$67),"")</f>
        <v/>
      </c>
      <c r="Q20" s="457"/>
      <c r="R20" s="457" t="str">
        <f>IF(AND('Riesgos de Gestión'!$P$73="Alta",'Riesgos de Gestión'!$T$73="Menor"),CONCATENATE("R",'Riesgos de Gestión'!$A$73),"")</f>
        <v/>
      </c>
      <c r="S20" s="457"/>
      <c r="T20" s="457" t="str">
        <f>IF(AND('Riesgos de Gestión'!$P$79="Alta",'Riesgos de Gestión'!$T$79="Menor"),CONCATENATE("R",'Riesgos de Gestión'!$A$79),"")</f>
        <v/>
      </c>
      <c r="U20" s="458"/>
      <c r="V20" s="440" t="str">
        <f>IF(AND('Riesgos de Gestión'!$O$67="Alta",'Riesgos de Gestión'!$S$67="Moderado"),CONCATENATE("R",'Riesgos de Gestión'!$A$67),"")</f>
        <v/>
      </c>
      <c r="W20" s="436"/>
      <c r="X20" s="436" t="str">
        <f>IF(AND('Riesgos de Gestión'!$P$73="Alta",'Riesgos de Gestión'!$T$73="Moderado"),CONCATENATE("R",'Riesgos de Gestión'!$A$73),"")</f>
        <v/>
      </c>
      <c r="Y20" s="436"/>
      <c r="Z20" s="436" t="str">
        <f>IF(AND('Riesgos de Gestión'!$P$79="Alta",'Riesgos de Gestión'!$T$79="Moderado"),CONCATENATE("R",'Riesgos de Gestión'!$A$79),"")</f>
        <v/>
      </c>
      <c r="AA20" s="437"/>
      <c r="AB20" s="440" t="str">
        <f>IF(AND('Riesgos de Gestión'!$O$67="Alta",'Riesgos de Gestión'!$S$67="Mayor"),CONCATENATE("R",'Riesgos de Gestión'!$A$67),"")</f>
        <v/>
      </c>
      <c r="AC20" s="436"/>
      <c r="AD20" s="436" t="str">
        <f>IF(AND('Riesgos de Gestión'!$P$73="Alta",'Riesgos de Gestión'!$T$73="Mayor"),CONCATENATE("R",'Riesgos de Gestión'!$A$73),"")</f>
        <v/>
      </c>
      <c r="AE20" s="436"/>
      <c r="AF20" s="436" t="str">
        <f>IF(AND('Riesgos de Gestión'!$P$79="Alta",'Riesgos de Gestión'!$T$79="Mayor"),CONCATENATE("R",'Riesgos de Gestión'!$A$79),"")</f>
        <v/>
      </c>
      <c r="AG20" s="437"/>
      <c r="AH20" s="447" t="str">
        <f>IF(AND('Riesgos de Gestión'!$O$67="Alta",'Riesgos de Gestión'!$S$67="Catastrófico"),CONCATENATE("R",'Riesgos de Gestión'!$A$67),"")</f>
        <v/>
      </c>
      <c r="AI20" s="448"/>
      <c r="AJ20" s="448" t="str">
        <f>IF(AND('Riesgos de Gestión'!$P$73="Alta",'Riesgos de Gestión'!$T$73="Catastrófico"),CONCATENATE("R",'Riesgos de Gestión'!$A$73),"")</f>
        <v/>
      </c>
      <c r="AK20" s="448"/>
      <c r="AL20" s="448" t="str">
        <f>IF(AND('Riesgos de Gestión'!$P$79="Alta",'Riesgos de Gestión'!$T$79="Catastrófico"),CONCATENATE("R",'Riesgos de Gestión'!$A$79),"")</f>
        <v/>
      </c>
      <c r="AM20" s="449"/>
      <c r="AN20" s="66"/>
      <c r="AO20" s="403"/>
      <c r="AP20" s="404"/>
      <c r="AQ20" s="404"/>
      <c r="AR20" s="404"/>
      <c r="AS20" s="404"/>
      <c r="AT20" s="405"/>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389"/>
      <c r="C21" s="389"/>
      <c r="D21" s="390"/>
      <c r="E21" s="433"/>
      <c r="F21" s="434"/>
      <c r="G21" s="434"/>
      <c r="H21" s="434"/>
      <c r="I21" s="434"/>
      <c r="J21" s="459"/>
      <c r="K21" s="460"/>
      <c r="L21" s="460"/>
      <c r="M21" s="460"/>
      <c r="N21" s="460"/>
      <c r="O21" s="461"/>
      <c r="P21" s="459"/>
      <c r="Q21" s="460"/>
      <c r="R21" s="460"/>
      <c r="S21" s="460"/>
      <c r="T21" s="460"/>
      <c r="U21" s="461"/>
      <c r="V21" s="444"/>
      <c r="W21" s="445"/>
      <c r="X21" s="445"/>
      <c r="Y21" s="445"/>
      <c r="Z21" s="445"/>
      <c r="AA21" s="446"/>
      <c r="AB21" s="444"/>
      <c r="AC21" s="445"/>
      <c r="AD21" s="445"/>
      <c r="AE21" s="445"/>
      <c r="AF21" s="445"/>
      <c r="AG21" s="446"/>
      <c r="AH21" s="450"/>
      <c r="AI21" s="451"/>
      <c r="AJ21" s="451"/>
      <c r="AK21" s="451"/>
      <c r="AL21" s="451"/>
      <c r="AM21" s="452"/>
      <c r="AN21" s="66"/>
      <c r="AO21" s="406"/>
      <c r="AP21" s="407"/>
      <c r="AQ21" s="407"/>
      <c r="AR21" s="407"/>
      <c r="AS21" s="407"/>
      <c r="AT21" s="408"/>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389"/>
      <c r="C22" s="389"/>
      <c r="D22" s="390"/>
      <c r="E22" s="427" t="s">
        <v>255</v>
      </c>
      <c r="F22" s="428"/>
      <c r="G22" s="428"/>
      <c r="H22" s="428"/>
      <c r="I22" s="429"/>
      <c r="J22" s="462" t="str">
        <f>IF(AND('Riesgos de Gestión'!$O$13="Media",'Riesgos de Gestión'!$S$13="Leve"),CONCATENATE("R",'Riesgos de Gestión'!$A$13),"")</f>
        <v/>
      </c>
      <c r="K22" s="463"/>
      <c r="L22" s="463" t="str">
        <f>IF(AND('Riesgos de Gestión'!$O$19="Media",'Riesgos de Gestión'!$S$19="Leve"),CONCATENATE("R",'Riesgos de Gestión'!$A$19),"")</f>
        <v/>
      </c>
      <c r="M22" s="463"/>
      <c r="N22" s="463" t="str">
        <f>IF(AND('Riesgos de Gestión'!$O$25="Media",'Riesgos de Gestión'!$S$25="Leve"),CONCATENATE("R",'Riesgos de Gestión'!$A$25),"")</f>
        <v/>
      </c>
      <c r="O22" s="464"/>
      <c r="P22" s="462" t="str">
        <f>IF(AND('Riesgos de Gestión'!$O$13="Media",'Riesgos de Gestión'!$S$13="Menor"),CONCATENATE("R",'Riesgos de Gestión'!$A$13),"")</f>
        <v/>
      </c>
      <c r="Q22" s="463"/>
      <c r="R22" s="463" t="str">
        <f>IF(AND('Riesgos de Gestión'!$O$19="Media",'Riesgos de Gestión'!$S$19="Menor"),CONCATENATE("R",'Riesgos de Gestión'!$A$19),"")</f>
        <v/>
      </c>
      <c r="S22" s="463"/>
      <c r="T22" s="463" t="str">
        <f>IF(AND('Riesgos de Gestión'!$O$25="Media",'Riesgos de Gestión'!$S$25="Menor"),CONCATENATE("R",'Riesgos de Gestión'!$A$25),"")</f>
        <v/>
      </c>
      <c r="U22" s="464"/>
      <c r="V22" s="462" t="str">
        <f>IF(AND('Riesgos de Gestión'!$O$13="Media",'Riesgos de Gestión'!$S$13="Moderado"),CONCATENATE("R",'Riesgos de Gestión'!$A$13),"")</f>
        <v/>
      </c>
      <c r="W22" s="463"/>
      <c r="X22" s="463" t="str">
        <f>IF(AND('Riesgos de Gestión'!$O$19="Media",'Riesgos de Gestión'!$S$19="Moderado"),CONCATENATE("R",'Riesgos de Gestión'!$A$19),"")</f>
        <v/>
      </c>
      <c r="Y22" s="463"/>
      <c r="Z22" s="463" t="str">
        <f>IF(AND('Riesgos de Gestión'!$O$25="Media",'Riesgos de Gestión'!$S$25="Moderado"),CONCATENATE("R",'Riesgos de Gestión'!$A$25),"")</f>
        <v/>
      </c>
      <c r="AA22" s="464"/>
      <c r="AB22" s="438" t="str">
        <f>IF(AND('Riesgos de Gestión'!$O$13="Media",'Riesgos de Gestión'!$S$13="Mayor"),CONCATENATE("R",'Riesgos de Gestión'!$A$13),"")</f>
        <v/>
      </c>
      <c r="AC22" s="439"/>
      <c r="AD22" s="439" t="str">
        <f>IF(AND('Riesgos de Gestión'!$O$19="Media",'Riesgos de Gestión'!$S$19="Mayor"),CONCATENATE("R",'Riesgos de Gestión'!$A$19),"")</f>
        <v/>
      </c>
      <c r="AE22" s="439"/>
      <c r="AF22" s="439" t="str">
        <f>IF(AND('Riesgos de Gestión'!$O$25="Media",'Riesgos de Gestión'!$S$25="Mayor"),CONCATENATE("R",'Riesgos de Gestión'!$A$25),"")</f>
        <v/>
      </c>
      <c r="AG22" s="441"/>
      <c r="AH22" s="453" t="str">
        <f>IF(AND('Riesgos de Gestión'!$O$13="Media",'Riesgos de Gestión'!$S$13="Catastrófico"),CONCATENATE("R",'Riesgos de Gestión'!$A$13),"")</f>
        <v/>
      </c>
      <c r="AI22" s="454"/>
      <c r="AJ22" s="454" t="str">
        <f>IF(AND('Riesgos de Gestión'!$O$19="Media",'Riesgos de Gestión'!$S$19="Catastrófico"),CONCATENATE("R",'Riesgos de Gestión'!$A$19),"")</f>
        <v/>
      </c>
      <c r="AK22" s="454"/>
      <c r="AL22" s="454" t="str">
        <f>IF(AND('Riesgos de Gestión'!$O$25="Media",'Riesgos de Gestión'!$S$25="Catastrófico"),CONCATENATE("R",'Riesgos de Gestión'!$A$25),"")</f>
        <v/>
      </c>
      <c r="AM22" s="455"/>
      <c r="AN22" s="66"/>
      <c r="AO22" s="409" t="s">
        <v>256</v>
      </c>
      <c r="AP22" s="410"/>
      <c r="AQ22" s="410"/>
      <c r="AR22" s="410"/>
      <c r="AS22" s="410"/>
      <c r="AT22" s="41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389"/>
      <c r="C23" s="389"/>
      <c r="D23" s="390"/>
      <c r="E23" s="430"/>
      <c r="F23" s="431"/>
      <c r="G23" s="431"/>
      <c r="H23" s="431"/>
      <c r="I23" s="432"/>
      <c r="J23" s="456"/>
      <c r="K23" s="457"/>
      <c r="L23" s="457"/>
      <c r="M23" s="457"/>
      <c r="N23" s="457"/>
      <c r="O23" s="458"/>
      <c r="P23" s="456"/>
      <c r="Q23" s="457"/>
      <c r="R23" s="457"/>
      <c r="S23" s="457"/>
      <c r="T23" s="457"/>
      <c r="U23" s="458"/>
      <c r="V23" s="456"/>
      <c r="W23" s="457"/>
      <c r="X23" s="457"/>
      <c r="Y23" s="457"/>
      <c r="Z23" s="457"/>
      <c r="AA23" s="458"/>
      <c r="AB23" s="440"/>
      <c r="AC23" s="436"/>
      <c r="AD23" s="436"/>
      <c r="AE23" s="436"/>
      <c r="AF23" s="436"/>
      <c r="AG23" s="437"/>
      <c r="AH23" s="447"/>
      <c r="AI23" s="448"/>
      <c r="AJ23" s="448"/>
      <c r="AK23" s="448"/>
      <c r="AL23" s="448"/>
      <c r="AM23" s="449"/>
      <c r="AN23" s="66"/>
      <c r="AO23" s="412"/>
      <c r="AP23" s="413"/>
      <c r="AQ23" s="413"/>
      <c r="AR23" s="413"/>
      <c r="AS23" s="413"/>
      <c r="AT23" s="414"/>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389"/>
      <c r="C24" s="389"/>
      <c r="D24" s="390"/>
      <c r="E24" s="430"/>
      <c r="F24" s="431"/>
      <c r="G24" s="431"/>
      <c r="H24" s="431"/>
      <c r="I24" s="432"/>
      <c r="J24" s="456" t="str">
        <f>IF(AND('Riesgos de Gestión'!$O$31="Media",'Riesgos de Gestión'!$S$31="Leve"),CONCATENATE("R",'Riesgos de Gestión'!$A$31),"")</f>
        <v/>
      </c>
      <c r="K24" s="457"/>
      <c r="L24" s="457" t="str">
        <f>IF(AND('Riesgos de Gestión'!$O$37="Media",'Riesgos de Gestión'!$S$37="Leve"),CONCATENATE("R",'Riesgos de Gestión'!$A$37),"")</f>
        <v/>
      </c>
      <c r="M24" s="457"/>
      <c r="N24" s="457" t="str">
        <f>IF(AND('Riesgos de Gestión'!$O$43="Media",'Riesgos de Gestión'!$S$43="Leve"),CONCATENATE("R",'Riesgos de Gestión'!$A$43),"")</f>
        <v/>
      </c>
      <c r="O24" s="458"/>
      <c r="P24" s="456" t="str">
        <f>IF(AND('Riesgos de Gestión'!$O$31="Media",'Riesgos de Gestión'!$S$31="Menor"),CONCATENATE("R",'Riesgos de Gestión'!$A$31),"")</f>
        <v/>
      </c>
      <c r="Q24" s="457"/>
      <c r="R24" s="457" t="str">
        <f>IF(AND('Riesgos de Gestión'!$O$37="Media",'Riesgos de Gestión'!$S$37="Menor"),CONCATENATE("R",'Riesgos de Gestión'!$A$37),"")</f>
        <v/>
      </c>
      <c r="S24" s="457"/>
      <c r="T24" s="457" t="str">
        <f>IF(AND('Riesgos de Gestión'!$O$43="Media",'Riesgos de Gestión'!$S$43="Menor"),CONCATENATE("R",'Riesgos de Gestión'!$A$43),"")</f>
        <v/>
      </c>
      <c r="U24" s="458"/>
      <c r="V24" s="456" t="str">
        <f>IF(AND('Riesgos de Gestión'!$O$31="Media",'Riesgos de Gestión'!$S$31="Moderado"),CONCATENATE("R",'Riesgos de Gestión'!$A$31),"")</f>
        <v/>
      </c>
      <c r="W24" s="457"/>
      <c r="X24" s="457" t="str">
        <f>IF(AND('Riesgos de Gestión'!$O$37="Media",'Riesgos de Gestión'!$S$37="Moderado"),CONCATENATE("R",'Riesgos de Gestión'!$A$37),"")</f>
        <v/>
      </c>
      <c r="Y24" s="457"/>
      <c r="Z24" s="457" t="str">
        <f>IF(AND('Riesgos de Gestión'!$O$43="Media",'Riesgos de Gestión'!$S$43="Moderado"),CONCATENATE("R",'Riesgos de Gestión'!$A$43),"")</f>
        <v/>
      </c>
      <c r="AA24" s="458"/>
      <c r="AB24" s="440" t="str">
        <f>IF(AND('Riesgos de Gestión'!$O$31="Media",'Riesgos de Gestión'!$S$31="Mayor"),CONCATENATE("R",'Riesgos de Gestión'!$A$31),"")</f>
        <v/>
      </c>
      <c r="AC24" s="436"/>
      <c r="AD24" s="436" t="str">
        <f>IF(AND('Riesgos de Gestión'!$O$37="Media",'Riesgos de Gestión'!$S$37="Mayor"),CONCATENATE("R",'Riesgos de Gestión'!$A$37),"")</f>
        <v/>
      </c>
      <c r="AE24" s="436"/>
      <c r="AF24" s="436" t="str">
        <f>IF(AND('Riesgos de Gestión'!$O$43="Media",'Riesgos de Gestión'!$S$43="Mayor"),CONCATENATE("R",'Riesgos de Gestión'!$A$43),"")</f>
        <v/>
      </c>
      <c r="AG24" s="437"/>
      <c r="AH24" s="447" t="str">
        <f>IF(AND('Riesgos de Gestión'!$O$31="Media",'Riesgos de Gestión'!$S$31="Catastrófico"),CONCATENATE("R",'Riesgos de Gestión'!$A$31),"")</f>
        <v/>
      </c>
      <c r="AI24" s="448"/>
      <c r="AJ24" s="448" t="str">
        <f>IF(AND('Riesgos de Gestión'!$O$37="Media",'Riesgos de Gestión'!$S$37="Catastrófico"),CONCATENATE("R",'Riesgos de Gestión'!$A$37),"")</f>
        <v/>
      </c>
      <c r="AK24" s="448"/>
      <c r="AL24" s="448" t="str">
        <f>IF(AND('Riesgos de Gestión'!$O$43="Media",'Riesgos de Gestión'!$S$43="Catastrófico"),CONCATENATE("R",'Riesgos de Gestión'!$A$43),"")</f>
        <v/>
      </c>
      <c r="AM24" s="449"/>
      <c r="AN24" s="66"/>
      <c r="AO24" s="412"/>
      <c r="AP24" s="413"/>
      <c r="AQ24" s="413"/>
      <c r="AR24" s="413"/>
      <c r="AS24" s="413"/>
      <c r="AT24" s="414"/>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389"/>
      <c r="C25" s="389"/>
      <c r="D25" s="390"/>
      <c r="E25" s="430"/>
      <c r="F25" s="431"/>
      <c r="G25" s="431"/>
      <c r="H25" s="431"/>
      <c r="I25" s="432"/>
      <c r="J25" s="456"/>
      <c r="K25" s="457"/>
      <c r="L25" s="457"/>
      <c r="M25" s="457"/>
      <c r="N25" s="457"/>
      <c r="O25" s="458"/>
      <c r="P25" s="456"/>
      <c r="Q25" s="457"/>
      <c r="R25" s="457"/>
      <c r="S25" s="457"/>
      <c r="T25" s="457"/>
      <c r="U25" s="458"/>
      <c r="V25" s="456"/>
      <c r="W25" s="457"/>
      <c r="X25" s="457"/>
      <c r="Y25" s="457"/>
      <c r="Z25" s="457"/>
      <c r="AA25" s="458"/>
      <c r="AB25" s="440"/>
      <c r="AC25" s="436"/>
      <c r="AD25" s="436"/>
      <c r="AE25" s="436"/>
      <c r="AF25" s="436"/>
      <c r="AG25" s="437"/>
      <c r="AH25" s="447"/>
      <c r="AI25" s="448"/>
      <c r="AJ25" s="448"/>
      <c r="AK25" s="448"/>
      <c r="AL25" s="448"/>
      <c r="AM25" s="449"/>
      <c r="AN25" s="66"/>
      <c r="AO25" s="412"/>
      <c r="AP25" s="413"/>
      <c r="AQ25" s="413"/>
      <c r="AR25" s="413"/>
      <c r="AS25" s="413"/>
      <c r="AT25" s="41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389"/>
      <c r="C26" s="389"/>
      <c r="D26" s="390"/>
      <c r="E26" s="430"/>
      <c r="F26" s="431"/>
      <c r="G26" s="431"/>
      <c r="H26" s="431"/>
      <c r="I26" s="432"/>
      <c r="J26" s="456" t="str">
        <f>IF(AND('Riesgos de Gestión'!$O$49="Media",'Riesgos de Gestión'!$S$49="Leve"),CONCATENATE("R",'Riesgos de Gestión'!$A$49),"")</f>
        <v/>
      </c>
      <c r="K26" s="457"/>
      <c r="L26" s="457" t="str">
        <f>IF(AND('Riesgos de Gestión'!$O$55="Media",'Riesgos de Gestión'!$S$55="Leve"),CONCATENATE("R",'Riesgos de Gestión'!$A$55),"")</f>
        <v/>
      </c>
      <c r="M26" s="457"/>
      <c r="N26" s="457" t="str">
        <f>IF(AND('Riesgos de Gestión'!$O$61="Media",'Riesgos de Gestión'!$S$61="Leve"),CONCATENATE("R",'Riesgos de Gestión'!$A$61),"")</f>
        <v/>
      </c>
      <c r="O26" s="458"/>
      <c r="P26" s="456" t="str">
        <f>IF(AND('Riesgos de Gestión'!$O$49="Media",'Riesgos de Gestión'!$S$49="Menor"),CONCATENATE("R",'Riesgos de Gestión'!$A$49),"")</f>
        <v/>
      </c>
      <c r="Q26" s="457"/>
      <c r="R26" s="457" t="str">
        <f>IF(AND('Riesgos de Gestión'!$O$55="Media",'Riesgos de Gestión'!$S$55="Menor"),CONCATENATE("R",'Riesgos de Gestión'!$A$55),"")</f>
        <v/>
      </c>
      <c r="S26" s="457"/>
      <c r="T26" s="457" t="str">
        <f>IF(AND('Riesgos de Gestión'!$O$61="Media",'Riesgos de Gestión'!$S$61="Menor"),CONCATENATE("R",'Riesgos de Gestión'!$A$61),"")</f>
        <v/>
      </c>
      <c r="U26" s="458"/>
      <c r="V26" s="456" t="str">
        <f>IF(AND('Riesgos de Gestión'!$O$49="Media",'Riesgos de Gestión'!$S$49="Moderado"),CONCATENATE("R",'Riesgos de Gestión'!$A$49),"")</f>
        <v/>
      </c>
      <c r="W26" s="457"/>
      <c r="X26" s="457" t="str">
        <f>IF(AND('Riesgos de Gestión'!$O$55="Media",'Riesgos de Gestión'!$S$55="Moderado"),CONCATENATE("R",'Riesgos de Gestión'!$A$55),"")</f>
        <v/>
      </c>
      <c r="Y26" s="457"/>
      <c r="Z26" s="457" t="str">
        <f>IF(AND('Riesgos de Gestión'!$O$61="Media",'Riesgos de Gestión'!$S$61="Moderado"),CONCATENATE("R",'Riesgos de Gestión'!$A$61),"")</f>
        <v/>
      </c>
      <c r="AA26" s="458"/>
      <c r="AB26" s="440" t="str">
        <f>IF(AND('Riesgos de Gestión'!$O$49="Media",'Riesgos de Gestión'!$S$49="Mayor"),CONCATENATE("R",'Riesgos de Gestión'!$A$49),"")</f>
        <v/>
      </c>
      <c r="AC26" s="436"/>
      <c r="AD26" s="436" t="str">
        <f>IF(AND('Riesgos de Gestión'!$O$55="Media",'Riesgos de Gestión'!$S$55="Mayor"),CONCATENATE("R",'Riesgos de Gestión'!$A$55),"")</f>
        <v/>
      </c>
      <c r="AE26" s="436"/>
      <c r="AF26" s="436" t="str">
        <f>IF(AND('Riesgos de Gestión'!$O$61="Media",'Riesgos de Gestión'!$S$61="Mayor"),CONCATENATE("R",'Riesgos de Gestión'!$A$61),"")</f>
        <v/>
      </c>
      <c r="AG26" s="437"/>
      <c r="AH26" s="447" t="str">
        <f>IF(AND('Riesgos de Gestión'!$O$49="Media",'Riesgos de Gestión'!$S$49="Catastrófico"),CONCATENATE("R",'Riesgos de Gestión'!$A$49),"")</f>
        <v/>
      </c>
      <c r="AI26" s="448"/>
      <c r="AJ26" s="448" t="str">
        <f>IF(AND('Riesgos de Gestión'!$O$55="Media",'Riesgos de Gestión'!$S$55="Catastrófico"),CONCATENATE("R",'Riesgos de Gestión'!$A$55),"")</f>
        <v/>
      </c>
      <c r="AK26" s="448"/>
      <c r="AL26" s="448" t="str">
        <f>IF(AND('Riesgos de Gestión'!$O$61="Media",'Riesgos de Gestión'!$S$61="Catastrófico"),CONCATENATE("R",'Riesgos de Gestión'!$A$61),"")</f>
        <v/>
      </c>
      <c r="AM26" s="449"/>
      <c r="AN26" s="66"/>
      <c r="AO26" s="412"/>
      <c r="AP26" s="413"/>
      <c r="AQ26" s="413"/>
      <c r="AR26" s="413"/>
      <c r="AS26" s="413"/>
      <c r="AT26" s="41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389"/>
      <c r="C27" s="389"/>
      <c r="D27" s="390"/>
      <c r="E27" s="430"/>
      <c r="F27" s="431"/>
      <c r="G27" s="431"/>
      <c r="H27" s="431"/>
      <c r="I27" s="432"/>
      <c r="J27" s="456"/>
      <c r="K27" s="457"/>
      <c r="L27" s="457"/>
      <c r="M27" s="457"/>
      <c r="N27" s="457"/>
      <c r="O27" s="458"/>
      <c r="P27" s="456"/>
      <c r="Q27" s="457"/>
      <c r="R27" s="457"/>
      <c r="S27" s="457"/>
      <c r="T27" s="457"/>
      <c r="U27" s="458"/>
      <c r="V27" s="456"/>
      <c r="W27" s="457"/>
      <c r="X27" s="457"/>
      <c r="Y27" s="457"/>
      <c r="Z27" s="457"/>
      <c r="AA27" s="458"/>
      <c r="AB27" s="440"/>
      <c r="AC27" s="436"/>
      <c r="AD27" s="436"/>
      <c r="AE27" s="436"/>
      <c r="AF27" s="436"/>
      <c r="AG27" s="437"/>
      <c r="AH27" s="447"/>
      <c r="AI27" s="448"/>
      <c r="AJ27" s="448"/>
      <c r="AK27" s="448"/>
      <c r="AL27" s="448"/>
      <c r="AM27" s="449"/>
      <c r="AN27" s="66"/>
      <c r="AO27" s="412"/>
      <c r="AP27" s="413"/>
      <c r="AQ27" s="413"/>
      <c r="AR27" s="413"/>
      <c r="AS27" s="413"/>
      <c r="AT27" s="414"/>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389"/>
      <c r="C28" s="389"/>
      <c r="D28" s="390"/>
      <c r="E28" s="430"/>
      <c r="F28" s="431"/>
      <c r="G28" s="431"/>
      <c r="H28" s="431"/>
      <c r="I28" s="432"/>
      <c r="J28" s="456" t="str">
        <f>IF(AND('Riesgos de Gestión'!$O$67="Media",'Riesgos de Gestión'!$S$67="Leve"),CONCATENATE("R",'Riesgos de Gestión'!$A$67),"")</f>
        <v/>
      </c>
      <c r="K28" s="457"/>
      <c r="L28" s="457" t="str">
        <f>IF(AND('Riesgos de Gestión'!$P$73="Media",'Riesgos de Gestión'!$T$73="Leve"),CONCATENATE("R",'Riesgos de Gestión'!$A$73),"")</f>
        <v/>
      </c>
      <c r="M28" s="457"/>
      <c r="N28" s="457" t="str">
        <f>IF(AND('Riesgos de Gestión'!$P$79="Media",'Riesgos de Gestión'!$T$79="Leve"),CONCATENATE("R",'Riesgos de Gestión'!$A$79),"")</f>
        <v/>
      </c>
      <c r="O28" s="458"/>
      <c r="P28" s="456" t="str">
        <f>IF(AND('Riesgos de Gestión'!$O$67="Media",'Riesgos de Gestión'!$S$67="Menor"),CONCATENATE("R",'Riesgos de Gestión'!$A$67),"")</f>
        <v/>
      </c>
      <c r="Q28" s="457"/>
      <c r="R28" s="457" t="str">
        <f>IF(AND('Riesgos de Gestión'!$P$73="Media",'Riesgos de Gestión'!$T$73="Menor"),CONCATENATE("R",'Riesgos de Gestión'!$A$73),"")</f>
        <v/>
      </c>
      <c r="S28" s="457"/>
      <c r="T28" s="457" t="str">
        <f>IF(AND('Riesgos de Gestión'!$P$79="Media",'Riesgos de Gestión'!$T$79="Menor"),CONCATENATE("R",'Riesgos de Gestión'!$A$79),"")</f>
        <v/>
      </c>
      <c r="U28" s="458"/>
      <c r="V28" s="456" t="str">
        <f>IF(AND('Riesgos de Gestión'!$O$67="Media",'Riesgos de Gestión'!$S$67="Moderado"),CONCATENATE("R",'Riesgos de Gestión'!$A$67),"")</f>
        <v/>
      </c>
      <c r="W28" s="457"/>
      <c r="X28" s="457" t="str">
        <f>IF(AND('Riesgos de Gestión'!$P$73="Media",'Riesgos de Gestión'!$T$73="Moderado"),CONCATENATE("R",'Riesgos de Gestión'!$A$73),"")</f>
        <v/>
      </c>
      <c r="Y28" s="457"/>
      <c r="Z28" s="457" t="str">
        <f>IF(AND('Riesgos de Gestión'!$P$79="Media",'Riesgos de Gestión'!$T$79="Moderado"),CONCATENATE("R",'Riesgos de Gestión'!$A$79),"")</f>
        <v/>
      </c>
      <c r="AA28" s="458"/>
      <c r="AB28" s="440" t="str">
        <f>IF(AND('Riesgos de Gestión'!$O$67="Media",'Riesgos de Gestión'!$S$67="Mayor"),CONCATENATE("R",'Riesgos de Gestión'!$A$67),"")</f>
        <v/>
      </c>
      <c r="AC28" s="436"/>
      <c r="AD28" s="436" t="str">
        <f>IF(AND('Riesgos de Gestión'!$P$73="Media",'Riesgos de Gestión'!$T$73="Mayor"),CONCATENATE("R",'Riesgos de Gestión'!$A$73),"")</f>
        <v/>
      </c>
      <c r="AE28" s="436"/>
      <c r="AF28" s="436" t="str">
        <f>IF(AND('Riesgos de Gestión'!$P$79="Media",'Riesgos de Gestión'!$T$79="Mayor"),CONCATENATE("R",'Riesgos de Gestión'!$A$79),"")</f>
        <v/>
      </c>
      <c r="AG28" s="437"/>
      <c r="AH28" s="447" t="str">
        <f>IF(AND('Riesgos de Gestión'!$O$67="Media",'Riesgos de Gestión'!$S$67="Catastrófico"),CONCATENATE("R",'Riesgos de Gestión'!$A$67),"")</f>
        <v/>
      </c>
      <c r="AI28" s="448"/>
      <c r="AJ28" s="448" t="str">
        <f>IF(AND('Riesgos de Gestión'!$P$73="Media",'Riesgos de Gestión'!$T$73="Catastrófico"),CONCATENATE("R",'Riesgos de Gestión'!$A$73),"")</f>
        <v/>
      </c>
      <c r="AK28" s="448"/>
      <c r="AL28" s="448" t="str">
        <f>IF(AND('Riesgos de Gestión'!$P$79="Media",'Riesgos de Gestión'!$T$79="Catastrófico"),CONCATENATE("R",'Riesgos de Gestión'!$A$79),"")</f>
        <v/>
      </c>
      <c r="AM28" s="449"/>
      <c r="AN28" s="66"/>
      <c r="AO28" s="412"/>
      <c r="AP28" s="413"/>
      <c r="AQ28" s="413"/>
      <c r="AR28" s="413"/>
      <c r="AS28" s="413"/>
      <c r="AT28" s="414"/>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389"/>
      <c r="C29" s="389"/>
      <c r="D29" s="390"/>
      <c r="E29" s="433"/>
      <c r="F29" s="434"/>
      <c r="G29" s="434"/>
      <c r="H29" s="434"/>
      <c r="I29" s="435"/>
      <c r="J29" s="456"/>
      <c r="K29" s="457"/>
      <c r="L29" s="457"/>
      <c r="M29" s="457"/>
      <c r="N29" s="457"/>
      <c r="O29" s="458"/>
      <c r="P29" s="459"/>
      <c r="Q29" s="460"/>
      <c r="R29" s="460"/>
      <c r="S29" s="460"/>
      <c r="T29" s="460"/>
      <c r="U29" s="461"/>
      <c r="V29" s="459"/>
      <c r="W29" s="460"/>
      <c r="X29" s="460"/>
      <c r="Y29" s="460"/>
      <c r="Z29" s="460"/>
      <c r="AA29" s="461"/>
      <c r="AB29" s="444"/>
      <c r="AC29" s="445"/>
      <c r="AD29" s="445"/>
      <c r="AE29" s="445"/>
      <c r="AF29" s="445"/>
      <c r="AG29" s="446"/>
      <c r="AH29" s="450"/>
      <c r="AI29" s="451"/>
      <c r="AJ29" s="451"/>
      <c r="AK29" s="451"/>
      <c r="AL29" s="451"/>
      <c r="AM29" s="452"/>
      <c r="AN29" s="66"/>
      <c r="AO29" s="415"/>
      <c r="AP29" s="416"/>
      <c r="AQ29" s="416"/>
      <c r="AR29" s="416"/>
      <c r="AS29" s="416"/>
      <c r="AT29" s="41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389"/>
      <c r="C30" s="389"/>
      <c r="D30" s="390"/>
      <c r="E30" s="427" t="s">
        <v>257</v>
      </c>
      <c r="F30" s="428"/>
      <c r="G30" s="428"/>
      <c r="H30" s="428"/>
      <c r="I30" s="428"/>
      <c r="J30" s="471" t="str">
        <f>IF(AND('Riesgos de Gestión'!$O$13="Baja",'Riesgos de Gestión'!$S$13="Leve"),CONCATENATE("R",'Riesgos de Gestión'!$A$13),"")</f>
        <v/>
      </c>
      <c r="K30" s="472"/>
      <c r="L30" s="472" t="str">
        <f>IF(AND('Riesgos de Gestión'!$O$19="Baja",'Riesgos de Gestión'!$S$19="Leve"),CONCATENATE("R",'Riesgos de Gestión'!$A$19),"")</f>
        <v/>
      </c>
      <c r="M30" s="472"/>
      <c r="N30" s="472" t="str">
        <f>IF(AND('Riesgos de Gestión'!$O$25="Baja",'Riesgos de Gestión'!$S$25="Leve"),CONCATENATE("R",'Riesgos de Gestión'!$A$25),"")</f>
        <v/>
      </c>
      <c r="O30" s="473"/>
      <c r="P30" s="463" t="str">
        <f>IF(AND('Riesgos de Gestión'!$O$13="Baja",'Riesgos de Gestión'!$S$13="Menor"),CONCATENATE("R",'Riesgos de Gestión'!$A$13),"")</f>
        <v/>
      </c>
      <c r="Q30" s="463"/>
      <c r="R30" s="463" t="str">
        <f>IF(AND('Riesgos de Gestión'!$O$19="Baja",'Riesgos de Gestión'!$S$19="Menor"),CONCATENATE("R",'Riesgos de Gestión'!$A$19),"")</f>
        <v/>
      </c>
      <c r="S30" s="463"/>
      <c r="T30" s="463" t="str">
        <f>IF(AND('Riesgos de Gestión'!$O$25="Baja",'Riesgos de Gestión'!$S$25="Menor"),CONCATENATE("R",'Riesgos de Gestión'!$A$25),"")</f>
        <v/>
      </c>
      <c r="U30" s="464"/>
      <c r="V30" s="462" t="str">
        <f>IF(AND('Riesgos de Gestión'!$O$13="Baja",'Riesgos de Gestión'!$S$13="Moderado"),CONCATENATE("R",'Riesgos de Gestión'!$A$13),"")</f>
        <v/>
      </c>
      <c r="W30" s="463"/>
      <c r="X30" s="463" t="str">
        <f>IF(AND('Riesgos de Gestión'!$O$19="Baja",'Riesgos de Gestión'!$S$19="Moderado"),CONCATENATE("R",'Riesgos de Gestión'!$A$19),"")</f>
        <v/>
      </c>
      <c r="Y30" s="463"/>
      <c r="Z30" s="463" t="str">
        <f>IF(AND('Riesgos de Gestión'!$O$25="Baja",'Riesgos de Gestión'!$S$25="Moderado"),CONCATENATE("R",'Riesgos de Gestión'!$A$25),"")</f>
        <v/>
      </c>
      <c r="AA30" s="464"/>
      <c r="AB30" s="438" t="str">
        <f>IF(AND('Riesgos de Gestión'!$O$13="Baja",'Riesgos de Gestión'!$S$13="Mayor"),CONCATENATE("R",'Riesgos de Gestión'!$A$13),"")</f>
        <v/>
      </c>
      <c r="AC30" s="439"/>
      <c r="AD30" s="439" t="str">
        <f>IF(AND('Riesgos de Gestión'!$O$19="Baja",'Riesgos de Gestión'!$S$19="Mayor"),CONCATENATE("R",'Riesgos de Gestión'!$A$19),"")</f>
        <v/>
      </c>
      <c r="AE30" s="439"/>
      <c r="AF30" s="439" t="str">
        <f>IF(AND('Riesgos de Gestión'!$O$25="Baja",'Riesgos de Gestión'!$S$25="Mayor"),CONCATENATE("R",'Riesgos de Gestión'!$A$25),"")</f>
        <v/>
      </c>
      <c r="AG30" s="441"/>
      <c r="AH30" s="453" t="str">
        <f>IF(AND('Riesgos de Gestión'!$O$13="Baja",'Riesgos de Gestión'!$S$13="Catastrófico"),CONCATENATE("R",'Riesgos de Gestión'!$A$13),"")</f>
        <v/>
      </c>
      <c r="AI30" s="454"/>
      <c r="AJ30" s="454" t="str">
        <f>IF(AND('Riesgos de Gestión'!$O$19="Baja",'Riesgos de Gestión'!$S$19="Catastrófico"),CONCATENATE("R",'Riesgos de Gestión'!$A$19),"")</f>
        <v/>
      </c>
      <c r="AK30" s="454"/>
      <c r="AL30" s="454" t="str">
        <f>IF(AND('Riesgos de Gestión'!$O$25="Baja",'Riesgos de Gestión'!$S$25="Catastrófico"),CONCATENATE("R",'Riesgos de Gestión'!$A$25),"")</f>
        <v/>
      </c>
      <c r="AM30" s="455"/>
      <c r="AN30" s="66"/>
      <c r="AO30" s="418" t="s">
        <v>258</v>
      </c>
      <c r="AP30" s="419"/>
      <c r="AQ30" s="419"/>
      <c r="AR30" s="419"/>
      <c r="AS30" s="419"/>
      <c r="AT30" s="420"/>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389"/>
      <c r="C31" s="389"/>
      <c r="D31" s="390"/>
      <c r="E31" s="430"/>
      <c r="F31" s="431"/>
      <c r="G31" s="431"/>
      <c r="H31" s="431"/>
      <c r="I31" s="431"/>
      <c r="J31" s="467"/>
      <c r="K31" s="465"/>
      <c r="L31" s="465"/>
      <c r="M31" s="465"/>
      <c r="N31" s="465"/>
      <c r="O31" s="466"/>
      <c r="P31" s="457"/>
      <c r="Q31" s="457"/>
      <c r="R31" s="457"/>
      <c r="S31" s="457"/>
      <c r="T31" s="457"/>
      <c r="U31" s="458"/>
      <c r="V31" s="456"/>
      <c r="W31" s="457"/>
      <c r="X31" s="457"/>
      <c r="Y31" s="457"/>
      <c r="Z31" s="457"/>
      <c r="AA31" s="458"/>
      <c r="AB31" s="440"/>
      <c r="AC31" s="436"/>
      <c r="AD31" s="436"/>
      <c r="AE31" s="436"/>
      <c r="AF31" s="436"/>
      <c r="AG31" s="437"/>
      <c r="AH31" s="447"/>
      <c r="AI31" s="448"/>
      <c r="AJ31" s="448"/>
      <c r="AK31" s="448"/>
      <c r="AL31" s="448"/>
      <c r="AM31" s="449"/>
      <c r="AN31" s="66"/>
      <c r="AO31" s="421"/>
      <c r="AP31" s="422"/>
      <c r="AQ31" s="422"/>
      <c r="AR31" s="422"/>
      <c r="AS31" s="422"/>
      <c r="AT31" s="42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389"/>
      <c r="C32" s="389"/>
      <c r="D32" s="390"/>
      <c r="E32" s="430"/>
      <c r="F32" s="431"/>
      <c r="G32" s="431"/>
      <c r="H32" s="431"/>
      <c r="I32" s="431"/>
      <c r="J32" s="467" t="str">
        <f>IF(AND('Riesgos de Gestión'!$O$31="Baja",'Riesgos de Gestión'!$S$31="Leve"),CONCATENATE("R",'Riesgos de Gestión'!$A$31),"")</f>
        <v/>
      </c>
      <c r="K32" s="465"/>
      <c r="L32" s="465" t="str">
        <f>IF(AND('Riesgos de Gestión'!$O$37="Baja",'Riesgos de Gestión'!$S$37="Leve"),CONCATENATE("R",'Riesgos de Gestión'!$A$37),"")</f>
        <v/>
      </c>
      <c r="M32" s="465"/>
      <c r="N32" s="465" t="str">
        <f>IF(AND('Riesgos de Gestión'!$O$43="Baja",'Riesgos de Gestión'!$S$43="Leve"),CONCATENATE("R",'Riesgos de Gestión'!$A$43),"")</f>
        <v/>
      </c>
      <c r="O32" s="466"/>
      <c r="P32" s="457" t="str">
        <f>IF(AND('Riesgos de Gestión'!$O$31="Baja",'Riesgos de Gestión'!$S$31="Menor"),CONCATENATE("R",'Riesgos de Gestión'!$A$31),"")</f>
        <v/>
      </c>
      <c r="Q32" s="457"/>
      <c r="R32" s="457" t="str">
        <f>IF(AND('Riesgos de Gestión'!$O$37="Baja",'Riesgos de Gestión'!$S$37="Menor"),CONCATENATE("R",'Riesgos de Gestión'!$A$37),"")</f>
        <v/>
      </c>
      <c r="S32" s="457"/>
      <c r="T32" s="457" t="str">
        <f>IF(AND('Riesgos de Gestión'!$O$43="Baja",'Riesgos de Gestión'!$S$43="Menor"),CONCATENATE("R",'Riesgos de Gestión'!$A$43),"")</f>
        <v/>
      </c>
      <c r="U32" s="458"/>
      <c r="V32" s="456" t="str">
        <f>IF(AND('Riesgos de Gestión'!$O$31="Baja",'Riesgos de Gestión'!$S$31="Moderado"),CONCATENATE("R",'Riesgos de Gestión'!$A$31),"")</f>
        <v/>
      </c>
      <c r="W32" s="457"/>
      <c r="X32" s="457" t="str">
        <f>IF(AND('Riesgos de Gestión'!$O$37="Baja",'Riesgos de Gestión'!$S$37="Moderado"),CONCATENATE("R",'Riesgos de Gestión'!$A$37),"")</f>
        <v/>
      </c>
      <c r="Y32" s="457"/>
      <c r="Z32" s="457" t="str">
        <f>IF(AND('Riesgos de Gestión'!$O$43="Baja",'Riesgos de Gestión'!$S$43="Moderado"),CONCATENATE("R",'Riesgos de Gestión'!$A$43),"")</f>
        <v/>
      </c>
      <c r="AA32" s="458"/>
      <c r="AB32" s="440" t="str">
        <f>IF(AND('Riesgos de Gestión'!$O$31="Baja",'Riesgos de Gestión'!$S$31="Mayor"),CONCATENATE("R",'Riesgos de Gestión'!$A$31),"")</f>
        <v/>
      </c>
      <c r="AC32" s="436"/>
      <c r="AD32" s="436" t="str">
        <f>IF(AND('Riesgos de Gestión'!$O$37="Baja",'Riesgos de Gestión'!$S$37="Mayor"),CONCATENATE("R",'Riesgos de Gestión'!$A$37),"")</f>
        <v/>
      </c>
      <c r="AE32" s="436"/>
      <c r="AF32" s="436" t="str">
        <f>IF(AND('Riesgos de Gestión'!$O$43="Baja",'Riesgos de Gestión'!$S$43="Mayor"),CONCATENATE("R",'Riesgos de Gestión'!$A$43),"")</f>
        <v/>
      </c>
      <c r="AG32" s="437"/>
      <c r="AH32" s="447" t="str">
        <f>IF(AND('Riesgos de Gestión'!$O$31="Baja",'Riesgos de Gestión'!$S$31="Catastrófico"),CONCATENATE("R",'Riesgos de Gestión'!$A$31),"")</f>
        <v/>
      </c>
      <c r="AI32" s="448"/>
      <c r="AJ32" s="448" t="str">
        <f>IF(AND('Riesgos de Gestión'!$O$37="Baja",'Riesgos de Gestión'!$S$37="Catastrófico"),CONCATENATE("R",'Riesgos de Gestión'!$A$37),"")</f>
        <v/>
      </c>
      <c r="AK32" s="448"/>
      <c r="AL32" s="448" t="str">
        <f>IF(AND('Riesgos de Gestión'!$O$43="Baja",'Riesgos de Gestión'!$S$43="Catastrófico"),CONCATENATE("R",'Riesgos de Gestión'!$A$43),"")</f>
        <v/>
      </c>
      <c r="AM32" s="449"/>
      <c r="AN32" s="66"/>
      <c r="AO32" s="421"/>
      <c r="AP32" s="422"/>
      <c r="AQ32" s="422"/>
      <c r="AR32" s="422"/>
      <c r="AS32" s="422"/>
      <c r="AT32" s="42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389"/>
      <c r="C33" s="389"/>
      <c r="D33" s="390"/>
      <c r="E33" s="430"/>
      <c r="F33" s="431"/>
      <c r="G33" s="431"/>
      <c r="H33" s="431"/>
      <c r="I33" s="431"/>
      <c r="J33" s="467"/>
      <c r="K33" s="465"/>
      <c r="L33" s="465"/>
      <c r="M33" s="465"/>
      <c r="N33" s="465"/>
      <c r="O33" s="466"/>
      <c r="P33" s="457"/>
      <c r="Q33" s="457"/>
      <c r="R33" s="457"/>
      <c r="S33" s="457"/>
      <c r="T33" s="457"/>
      <c r="U33" s="458"/>
      <c r="V33" s="456"/>
      <c r="W33" s="457"/>
      <c r="X33" s="457"/>
      <c r="Y33" s="457"/>
      <c r="Z33" s="457"/>
      <c r="AA33" s="458"/>
      <c r="AB33" s="440"/>
      <c r="AC33" s="436"/>
      <c r="AD33" s="436"/>
      <c r="AE33" s="436"/>
      <c r="AF33" s="436"/>
      <c r="AG33" s="437"/>
      <c r="AH33" s="447"/>
      <c r="AI33" s="448"/>
      <c r="AJ33" s="448"/>
      <c r="AK33" s="448"/>
      <c r="AL33" s="448"/>
      <c r="AM33" s="449"/>
      <c r="AN33" s="66"/>
      <c r="AO33" s="421"/>
      <c r="AP33" s="422"/>
      <c r="AQ33" s="422"/>
      <c r="AR33" s="422"/>
      <c r="AS33" s="422"/>
      <c r="AT33" s="42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389"/>
      <c r="C34" s="389"/>
      <c r="D34" s="390"/>
      <c r="E34" s="430"/>
      <c r="F34" s="431"/>
      <c r="G34" s="431"/>
      <c r="H34" s="431"/>
      <c r="I34" s="431"/>
      <c r="J34" s="467" t="str">
        <f>IF(AND('Riesgos de Gestión'!$O$49="Baja",'Riesgos de Gestión'!$S$49="Leve"),CONCATENATE("R",'Riesgos de Gestión'!$A$49),"")</f>
        <v/>
      </c>
      <c r="K34" s="465"/>
      <c r="L34" s="465" t="str">
        <f>IF(AND('Riesgos de Gestión'!$O$55="Baja",'Riesgos de Gestión'!$S$55="Leve"),CONCATENATE("R",'Riesgos de Gestión'!$A$55),"")</f>
        <v/>
      </c>
      <c r="M34" s="465"/>
      <c r="N34" s="465" t="str">
        <f>IF(AND('Riesgos de Gestión'!$O$61="Baja",'Riesgos de Gestión'!$S$61="Leve"),CONCATENATE("R",'Riesgos de Gestión'!$A$61),"")</f>
        <v/>
      </c>
      <c r="O34" s="466"/>
      <c r="P34" s="457" t="str">
        <f>IF(AND('Riesgos de Gestión'!$O$49="Baja",'Riesgos de Gestión'!$S$49="Menor"),CONCATENATE("R",'Riesgos de Gestión'!$A$49),"")</f>
        <v/>
      </c>
      <c r="Q34" s="457"/>
      <c r="R34" s="457" t="str">
        <f>IF(AND('Riesgos de Gestión'!$O$55="Baja",'Riesgos de Gestión'!$S$55="Menor"),CONCATENATE("R",'Riesgos de Gestión'!$A$55),"")</f>
        <v/>
      </c>
      <c r="S34" s="457"/>
      <c r="T34" s="457" t="str">
        <f>IF(AND('Riesgos de Gestión'!$O$61="Baja",'Riesgos de Gestión'!$S$61="Menor"),CONCATENATE("R",'Riesgos de Gestión'!$A$61),"")</f>
        <v/>
      </c>
      <c r="U34" s="458"/>
      <c r="V34" s="456" t="str">
        <f>IF(AND('Riesgos de Gestión'!$O$49="Baja",'Riesgos de Gestión'!$S$49="Moderado"),CONCATENATE("R",'Riesgos de Gestión'!$A$49),"")</f>
        <v/>
      </c>
      <c r="W34" s="457"/>
      <c r="X34" s="457" t="str">
        <f>IF(AND('Riesgos de Gestión'!$O$55="Baja",'Riesgos de Gestión'!$S$55="Moderado"),CONCATENATE("R",'Riesgos de Gestión'!$A$55),"")</f>
        <v/>
      </c>
      <c r="Y34" s="457"/>
      <c r="Z34" s="457" t="str">
        <f>IF(AND('Riesgos de Gestión'!$O$61="Baja",'Riesgos de Gestión'!$S$61="Moderado"),CONCATENATE("R",'Riesgos de Gestión'!$A$61),"")</f>
        <v/>
      </c>
      <c r="AA34" s="458"/>
      <c r="AB34" s="440" t="str">
        <f>IF(AND('Riesgos de Gestión'!$O$49="Baja",'Riesgos de Gestión'!$S$49="Mayor"),CONCATENATE("R",'Riesgos de Gestión'!$A$49),"")</f>
        <v/>
      </c>
      <c r="AC34" s="436"/>
      <c r="AD34" s="436" t="str">
        <f>IF(AND('Riesgos de Gestión'!$O$55="Baja",'Riesgos de Gestión'!$S$55="Mayor"),CONCATENATE("R",'Riesgos de Gestión'!$A$55),"")</f>
        <v/>
      </c>
      <c r="AE34" s="436"/>
      <c r="AF34" s="436" t="str">
        <f>IF(AND('Riesgos de Gestión'!$O$61="Baja",'Riesgos de Gestión'!$S$61="Mayor"),CONCATENATE("R",'Riesgos de Gestión'!$A$61),"")</f>
        <v/>
      </c>
      <c r="AG34" s="437"/>
      <c r="AH34" s="447" t="str">
        <f>IF(AND('Riesgos de Gestión'!$O$49="Baja",'Riesgos de Gestión'!$S$49="Catastrófico"),CONCATENATE("R",'Riesgos de Gestión'!$A$49),"")</f>
        <v/>
      </c>
      <c r="AI34" s="448"/>
      <c r="AJ34" s="448" t="str">
        <f>IF(AND('Riesgos de Gestión'!$O$55="Baja",'Riesgos de Gestión'!$S$55="Catastrófico"),CONCATENATE("R",'Riesgos de Gestión'!$A$55),"")</f>
        <v/>
      </c>
      <c r="AK34" s="448"/>
      <c r="AL34" s="448" t="str">
        <f>IF(AND('Riesgos de Gestión'!$O$61="Baja",'Riesgos de Gestión'!$S$61="Catastrófico"),CONCATENATE("R",'Riesgos de Gestión'!$A$61),"")</f>
        <v/>
      </c>
      <c r="AM34" s="449"/>
      <c r="AN34" s="66"/>
      <c r="AO34" s="421"/>
      <c r="AP34" s="422"/>
      <c r="AQ34" s="422"/>
      <c r="AR34" s="422"/>
      <c r="AS34" s="422"/>
      <c r="AT34" s="42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389"/>
      <c r="C35" s="389"/>
      <c r="D35" s="390"/>
      <c r="E35" s="430"/>
      <c r="F35" s="431"/>
      <c r="G35" s="431"/>
      <c r="H35" s="431"/>
      <c r="I35" s="431"/>
      <c r="J35" s="467"/>
      <c r="K35" s="465"/>
      <c r="L35" s="465"/>
      <c r="M35" s="465"/>
      <c r="N35" s="465"/>
      <c r="O35" s="466"/>
      <c r="P35" s="457"/>
      <c r="Q35" s="457"/>
      <c r="R35" s="457"/>
      <c r="S35" s="457"/>
      <c r="T35" s="457"/>
      <c r="U35" s="458"/>
      <c r="V35" s="456"/>
      <c r="W35" s="457"/>
      <c r="X35" s="457"/>
      <c r="Y35" s="457"/>
      <c r="Z35" s="457"/>
      <c r="AA35" s="458"/>
      <c r="AB35" s="440"/>
      <c r="AC35" s="436"/>
      <c r="AD35" s="436"/>
      <c r="AE35" s="436"/>
      <c r="AF35" s="436"/>
      <c r="AG35" s="437"/>
      <c r="AH35" s="447"/>
      <c r="AI35" s="448"/>
      <c r="AJ35" s="448"/>
      <c r="AK35" s="448"/>
      <c r="AL35" s="448"/>
      <c r="AM35" s="449"/>
      <c r="AN35" s="66"/>
      <c r="AO35" s="421"/>
      <c r="AP35" s="422"/>
      <c r="AQ35" s="422"/>
      <c r="AR35" s="422"/>
      <c r="AS35" s="422"/>
      <c r="AT35" s="423"/>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389"/>
      <c r="C36" s="389"/>
      <c r="D36" s="390"/>
      <c r="E36" s="430"/>
      <c r="F36" s="431"/>
      <c r="G36" s="431"/>
      <c r="H36" s="431"/>
      <c r="I36" s="431"/>
      <c r="J36" s="467" t="str">
        <f>IF(AND('Riesgos de Gestión'!$O$67="Baja",'Riesgos de Gestión'!$S$67="Leve"),CONCATENATE("R",'Riesgos de Gestión'!$A$67),"")</f>
        <v/>
      </c>
      <c r="K36" s="465"/>
      <c r="L36" s="465" t="str">
        <f>IF(AND('Riesgos de Gestión'!$P$73="Baja",'Riesgos de Gestión'!$T$73="Leve"),CONCATENATE("R",'Riesgos de Gestión'!$A$73),"")</f>
        <v/>
      </c>
      <c r="M36" s="465"/>
      <c r="N36" s="465" t="str">
        <f>IF(AND('Riesgos de Gestión'!$P$79="Baja",'Riesgos de Gestión'!$T$79="Leve"),CONCATENATE("R",'Riesgos de Gestión'!$A$79),"")</f>
        <v/>
      </c>
      <c r="O36" s="466"/>
      <c r="P36" s="457" t="str">
        <f>IF(AND('Riesgos de Gestión'!$O$67="Baja",'Riesgos de Gestión'!$S$67="Menor"),CONCATENATE("R",'Riesgos de Gestión'!$A$67),"")</f>
        <v/>
      </c>
      <c r="Q36" s="457"/>
      <c r="R36" s="457" t="str">
        <f>IF(AND('Riesgos de Gestión'!$P$73="Baja",'Riesgos de Gestión'!$T$73="Menor"),CONCATENATE("R",'Riesgos de Gestión'!$A$73),"")</f>
        <v/>
      </c>
      <c r="S36" s="457"/>
      <c r="T36" s="457" t="str">
        <f>IF(AND('Riesgos de Gestión'!$P$79="Baja",'Riesgos de Gestión'!$T$79="Menor"),CONCATENATE("R",'Riesgos de Gestión'!$A$79),"")</f>
        <v/>
      </c>
      <c r="U36" s="458"/>
      <c r="V36" s="456" t="str">
        <f>IF(AND('Riesgos de Gestión'!$O$67="Baja",'Riesgos de Gestión'!$S$67="Moderado"),CONCATENATE("R",'Riesgos de Gestión'!$A$67),"")</f>
        <v/>
      </c>
      <c r="W36" s="457"/>
      <c r="X36" s="457" t="str">
        <f>IF(AND('Riesgos de Gestión'!$P$73="Baja",'Riesgos de Gestión'!$T$73="Moderado"),CONCATENATE("R",'Riesgos de Gestión'!$A$73),"")</f>
        <v/>
      </c>
      <c r="Y36" s="457"/>
      <c r="Z36" s="457" t="str">
        <f>IF(AND('Riesgos de Gestión'!$P$79="Baja",'Riesgos de Gestión'!$T$79="Moderado"),CONCATENATE("R",'Riesgos de Gestión'!$A$79),"")</f>
        <v/>
      </c>
      <c r="AA36" s="458"/>
      <c r="AB36" s="440" t="str">
        <f>IF(AND('Riesgos de Gestión'!$O$67="Baja",'Riesgos de Gestión'!$S$67="Mayor"),CONCATENATE("R",'Riesgos de Gestión'!$A$67),"")</f>
        <v/>
      </c>
      <c r="AC36" s="436"/>
      <c r="AD36" s="436" t="str">
        <f>IF(AND('Riesgos de Gestión'!$P$73="Baja",'Riesgos de Gestión'!$T$73="Mayor"),CONCATENATE("R",'Riesgos de Gestión'!$A$73),"")</f>
        <v/>
      </c>
      <c r="AE36" s="436"/>
      <c r="AF36" s="436" t="str">
        <f>IF(AND('Riesgos de Gestión'!$P$79="Baja",'Riesgos de Gestión'!$T$79="Mayor"),CONCATENATE("R",'Riesgos de Gestión'!$A$79),"")</f>
        <v/>
      </c>
      <c r="AG36" s="437"/>
      <c r="AH36" s="447" t="str">
        <f>IF(AND('Riesgos de Gestión'!$O$67="Baja",'Riesgos de Gestión'!$S$67="Catastrófico"),CONCATENATE("R",'Riesgos de Gestión'!$A$67),"")</f>
        <v/>
      </c>
      <c r="AI36" s="448"/>
      <c r="AJ36" s="448" t="str">
        <f>IF(AND('Riesgos de Gestión'!$P$73="Baja",'Riesgos de Gestión'!$T$73="Catastrófico"),CONCATENATE("R",'Riesgos de Gestión'!$A$73),"")</f>
        <v/>
      </c>
      <c r="AK36" s="448"/>
      <c r="AL36" s="448" t="str">
        <f>IF(AND('Riesgos de Gestión'!$P$79="Baja",'Riesgos de Gestión'!$T$79="Catastrófico"),CONCATENATE("R",'Riesgos de Gestión'!$A$79),"")</f>
        <v/>
      </c>
      <c r="AM36" s="449"/>
      <c r="AN36" s="66"/>
      <c r="AO36" s="421"/>
      <c r="AP36" s="422"/>
      <c r="AQ36" s="422"/>
      <c r="AR36" s="422"/>
      <c r="AS36" s="422"/>
      <c r="AT36" s="423"/>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389"/>
      <c r="C37" s="389"/>
      <c r="D37" s="390"/>
      <c r="E37" s="433"/>
      <c r="F37" s="434"/>
      <c r="G37" s="434"/>
      <c r="H37" s="434"/>
      <c r="I37" s="434"/>
      <c r="J37" s="468"/>
      <c r="K37" s="469"/>
      <c r="L37" s="469"/>
      <c r="M37" s="469"/>
      <c r="N37" s="469"/>
      <c r="O37" s="470"/>
      <c r="P37" s="460"/>
      <c r="Q37" s="460"/>
      <c r="R37" s="460"/>
      <c r="S37" s="460"/>
      <c r="T37" s="460"/>
      <c r="U37" s="461"/>
      <c r="V37" s="459"/>
      <c r="W37" s="460"/>
      <c r="X37" s="460"/>
      <c r="Y37" s="460"/>
      <c r="Z37" s="460"/>
      <c r="AA37" s="461"/>
      <c r="AB37" s="444"/>
      <c r="AC37" s="445"/>
      <c r="AD37" s="445"/>
      <c r="AE37" s="445"/>
      <c r="AF37" s="445"/>
      <c r="AG37" s="446"/>
      <c r="AH37" s="450"/>
      <c r="AI37" s="451"/>
      <c r="AJ37" s="451"/>
      <c r="AK37" s="451"/>
      <c r="AL37" s="451"/>
      <c r="AM37" s="452"/>
      <c r="AN37" s="66"/>
      <c r="AO37" s="424"/>
      <c r="AP37" s="425"/>
      <c r="AQ37" s="425"/>
      <c r="AR37" s="425"/>
      <c r="AS37" s="425"/>
      <c r="AT37" s="42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389"/>
      <c r="C38" s="389"/>
      <c r="D38" s="390"/>
      <c r="E38" s="427" t="s">
        <v>259</v>
      </c>
      <c r="F38" s="428"/>
      <c r="G38" s="428"/>
      <c r="H38" s="428"/>
      <c r="I38" s="429"/>
      <c r="J38" s="471" t="str">
        <f>IF(AND('Riesgos de Gestión'!$O$13="Muy Baja",'Riesgos de Gestión'!$S$13="Leve"),CONCATENATE("R",'Riesgos de Gestión'!$A$13),"")</f>
        <v/>
      </c>
      <c r="K38" s="472"/>
      <c r="L38" s="472" t="str">
        <f>IF(AND('Riesgos de Gestión'!$O$19="Muy Baja",'Riesgos de Gestión'!$S$19="Leve"),CONCATENATE("R",'Riesgos de Gestión'!$A$19),"")</f>
        <v/>
      </c>
      <c r="M38" s="472"/>
      <c r="N38" s="472" t="str">
        <f>IF(AND('Riesgos de Gestión'!$O$25="Muy Baja",'Riesgos de Gestión'!$S$25="Leve"),CONCATENATE("R",'Riesgos de Gestión'!$A$25),"")</f>
        <v/>
      </c>
      <c r="O38" s="473"/>
      <c r="P38" s="471" t="str">
        <f>IF(AND('Riesgos de Gestión'!$O$13="Muy Baja",'Riesgos de Gestión'!$S$13="Menor"),CONCATENATE("R",'Riesgos de Gestión'!$A$13),"")</f>
        <v/>
      </c>
      <c r="Q38" s="472"/>
      <c r="R38" s="472" t="str">
        <f>IF(AND('Riesgos de Gestión'!$O$19="Muy Baja",'Riesgos de Gestión'!$S$19="Menor"),CONCATENATE("R",'Riesgos de Gestión'!$A$19),"")</f>
        <v/>
      </c>
      <c r="S38" s="472"/>
      <c r="T38" s="472" t="str">
        <f>IF(AND('Riesgos de Gestión'!$O$25="Muy Baja",'Riesgos de Gestión'!$S$25="Menor"),CONCATENATE("R",'Riesgos de Gestión'!$A$25),"")</f>
        <v/>
      </c>
      <c r="U38" s="473"/>
      <c r="V38" s="462" t="str">
        <f>IF(AND('Riesgos de Gestión'!$O$13="Muy Baja",'Riesgos de Gestión'!$S$13="Moderado"),CONCATENATE("R",'Riesgos de Gestión'!$A$13),"")</f>
        <v/>
      </c>
      <c r="W38" s="463"/>
      <c r="X38" s="463" t="str">
        <f>IF(AND('Riesgos de Gestión'!$O$19="Muy Baja",'Riesgos de Gestión'!$S$19="Moderado"),CONCATENATE("R",'Riesgos de Gestión'!$A$19),"")</f>
        <v/>
      </c>
      <c r="Y38" s="463"/>
      <c r="Z38" s="463" t="str">
        <f>IF(AND('Riesgos de Gestión'!$O$25="Muy Baja",'Riesgos de Gestión'!$S$25="Moderado"),CONCATENATE("R",'Riesgos de Gestión'!$A$25),"")</f>
        <v/>
      </c>
      <c r="AA38" s="464"/>
      <c r="AB38" s="438" t="str">
        <f>IF(AND('Riesgos de Gestión'!$O$13="Muy Baja",'Riesgos de Gestión'!$S$13="Mayor"),CONCATENATE("R",'Riesgos de Gestión'!$A$13),"")</f>
        <v/>
      </c>
      <c r="AC38" s="439"/>
      <c r="AD38" s="439" t="str">
        <f>IF(AND('Riesgos de Gestión'!$O$19="Muy Baja",'Riesgos de Gestión'!$S$19="Mayor"),CONCATENATE("R",'Riesgos de Gestión'!$A$19),"")</f>
        <v/>
      </c>
      <c r="AE38" s="439"/>
      <c r="AF38" s="439" t="str">
        <f>IF(AND('Riesgos de Gestión'!$O$25="Muy Baja",'Riesgos de Gestión'!$S$25="Mayor"),CONCATENATE("R",'Riesgos de Gestión'!$A$25),"")</f>
        <v/>
      </c>
      <c r="AG38" s="441"/>
      <c r="AH38" s="453" t="str">
        <f>IF(AND('Riesgos de Gestión'!$O$13="Muy Baja",'Riesgos de Gestión'!$S$13="Catastrófico"),CONCATENATE("R",'Riesgos de Gestión'!$A$13),"")</f>
        <v/>
      </c>
      <c r="AI38" s="454"/>
      <c r="AJ38" s="454" t="str">
        <f>IF(AND('Riesgos de Gestión'!$O$19="Muy Baja",'Riesgos de Gestión'!$S$19="Catastrófico"),CONCATENATE("R",'Riesgos de Gestión'!$A$19),"")</f>
        <v/>
      </c>
      <c r="AK38" s="454"/>
      <c r="AL38" s="454" t="str">
        <f>IF(AND('Riesgos de Gestión'!$O$25="Muy Baja",'Riesgos de Gestión'!$S$25="Catastrófico"),CONCATENATE("R",'Riesgos de Gestión'!$A$25),"")</f>
        <v/>
      </c>
      <c r="AM38" s="45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389"/>
      <c r="C39" s="389"/>
      <c r="D39" s="390"/>
      <c r="E39" s="430"/>
      <c r="F39" s="431"/>
      <c r="G39" s="431"/>
      <c r="H39" s="431"/>
      <c r="I39" s="432"/>
      <c r="J39" s="467"/>
      <c r="K39" s="465"/>
      <c r="L39" s="465"/>
      <c r="M39" s="465"/>
      <c r="N39" s="465"/>
      <c r="O39" s="466"/>
      <c r="P39" s="467"/>
      <c r="Q39" s="465"/>
      <c r="R39" s="465"/>
      <c r="S39" s="465"/>
      <c r="T39" s="465"/>
      <c r="U39" s="466"/>
      <c r="V39" s="456"/>
      <c r="W39" s="457"/>
      <c r="X39" s="457"/>
      <c r="Y39" s="457"/>
      <c r="Z39" s="457"/>
      <c r="AA39" s="458"/>
      <c r="AB39" s="440"/>
      <c r="AC39" s="436"/>
      <c r="AD39" s="436"/>
      <c r="AE39" s="436"/>
      <c r="AF39" s="436"/>
      <c r="AG39" s="437"/>
      <c r="AH39" s="447"/>
      <c r="AI39" s="448"/>
      <c r="AJ39" s="448"/>
      <c r="AK39" s="448"/>
      <c r="AL39" s="448"/>
      <c r="AM39" s="44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389"/>
      <c r="C40" s="389"/>
      <c r="D40" s="390"/>
      <c r="E40" s="430"/>
      <c r="F40" s="431"/>
      <c r="G40" s="431"/>
      <c r="H40" s="431"/>
      <c r="I40" s="432"/>
      <c r="J40" s="467" t="str">
        <f>IF(AND('Riesgos de Gestión'!$O$31="Muy Baja",'Riesgos de Gestión'!$S$31="Leve"),CONCATENATE("R",'Riesgos de Gestión'!$A$31),"")</f>
        <v/>
      </c>
      <c r="K40" s="465"/>
      <c r="L40" s="465" t="str">
        <f>IF(AND('Riesgos de Gestión'!$O$37="Muy Baja",'Riesgos de Gestión'!$S$37="Leve"),CONCATENATE("R",'Riesgos de Gestión'!$A$37),"")</f>
        <v/>
      </c>
      <c r="M40" s="465"/>
      <c r="N40" s="465" t="str">
        <f>IF(AND('Riesgos de Gestión'!$O$43="Muy Baja",'Riesgos de Gestión'!$S$43="Leve"),CONCATENATE("R",'Riesgos de Gestión'!$A$43),"")</f>
        <v/>
      </c>
      <c r="O40" s="466"/>
      <c r="P40" s="467" t="str">
        <f>IF(AND('Riesgos de Gestión'!$O$31="Muy Baja",'Riesgos de Gestión'!$S$31="Menor"),CONCATENATE("R",'Riesgos de Gestión'!$A$31),"")</f>
        <v/>
      </c>
      <c r="Q40" s="465"/>
      <c r="R40" s="465" t="str">
        <f>IF(AND('Riesgos de Gestión'!$O$37="Muy Baja",'Riesgos de Gestión'!$S$37="Menor"),CONCATENATE("R",'Riesgos de Gestión'!$A$37),"")</f>
        <v/>
      </c>
      <c r="S40" s="465"/>
      <c r="T40" s="465" t="str">
        <f>IF(AND('Riesgos de Gestión'!$O$43="Muy Baja",'Riesgos de Gestión'!$S$43="Menor"),CONCATENATE("R",'Riesgos de Gestión'!$A$43),"")</f>
        <v/>
      </c>
      <c r="U40" s="466"/>
      <c r="V40" s="456" t="str">
        <f>IF(AND('Riesgos de Gestión'!$O$31="Muy Baja",'Riesgos de Gestión'!$S$31="Moderado"),CONCATENATE("R",'Riesgos de Gestión'!$A$31),"")</f>
        <v/>
      </c>
      <c r="W40" s="457"/>
      <c r="X40" s="457" t="str">
        <f>IF(AND('Riesgos de Gestión'!$O$37="Muy Baja",'Riesgos de Gestión'!$S$37="Moderado"),CONCATENATE("R",'Riesgos de Gestión'!$A$37),"")</f>
        <v/>
      </c>
      <c r="Y40" s="457"/>
      <c r="Z40" s="457" t="str">
        <f>IF(AND('Riesgos de Gestión'!$O$43="Muy Baja",'Riesgos de Gestión'!$S$43="Moderado"),CONCATENATE("R",'Riesgos de Gestión'!$A$43),"")</f>
        <v/>
      </c>
      <c r="AA40" s="458"/>
      <c r="AB40" s="440" t="str">
        <f>IF(AND('Riesgos de Gestión'!$O$31="Muy Baja",'Riesgos de Gestión'!$S$31="Mayor"),CONCATENATE("R",'Riesgos de Gestión'!$A$31),"")</f>
        <v/>
      </c>
      <c r="AC40" s="436"/>
      <c r="AD40" s="436" t="str">
        <f>IF(AND('Riesgos de Gestión'!$O$37="Muy Baja",'Riesgos de Gestión'!$S$37="Mayor"),CONCATENATE("R",'Riesgos de Gestión'!$A$37),"")</f>
        <v/>
      </c>
      <c r="AE40" s="436"/>
      <c r="AF40" s="436" t="str">
        <f>IF(AND('Riesgos de Gestión'!$O$43="Muy Baja",'Riesgos de Gestión'!$S$43="Mayor"),CONCATENATE("R",'Riesgos de Gestión'!$A$43),"")</f>
        <v/>
      </c>
      <c r="AG40" s="437"/>
      <c r="AH40" s="447" t="str">
        <f>IF(AND('Riesgos de Gestión'!$O$31="Muy Baja",'Riesgos de Gestión'!$S$31="Catastrófico"),CONCATENATE("R",'Riesgos de Gestión'!$A$31),"")</f>
        <v/>
      </c>
      <c r="AI40" s="448"/>
      <c r="AJ40" s="448" t="str">
        <f>IF(AND('Riesgos de Gestión'!$O$37="Muy Baja",'Riesgos de Gestión'!$S$37="Catastrófico"),CONCATENATE("R",'Riesgos de Gestión'!$A$37),"")</f>
        <v/>
      </c>
      <c r="AK40" s="448"/>
      <c r="AL40" s="448" t="str">
        <f>IF(AND('Riesgos de Gestión'!$O$43="Muy Baja",'Riesgos de Gestión'!$S$43="Catastrófico"),CONCATENATE("R",'Riesgos de Gestión'!$A$43),"")</f>
        <v/>
      </c>
      <c r="AM40" s="44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389"/>
      <c r="C41" s="389"/>
      <c r="D41" s="390"/>
      <c r="E41" s="430"/>
      <c r="F41" s="431"/>
      <c r="G41" s="431"/>
      <c r="H41" s="431"/>
      <c r="I41" s="432"/>
      <c r="J41" s="467"/>
      <c r="K41" s="465"/>
      <c r="L41" s="465"/>
      <c r="M41" s="465"/>
      <c r="N41" s="465"/>
      <c r="O41" s="466"/>
      <c r="P41" s="467"/>
      <c r="Q41" s="465"/>
      <c r="R41" s="465"/>
      <c r="S41" s="465"/>
      <c r="T41" s="465"/>
      <c r="U41" s="466"/>
      <c r="V41" s="456"/>
      <c r="W41" s="457"/>
      <c r="X41" s="457"/>
      <c r="Y41" s="457"/>
      <c r="Z41" s="457"/>
      <c r="AA41" s="458"/>
      <c r="AB41" s="440"/>
      <c r="AC41" s="436"/>
      <c r="AD41" s="436"/>
      <c r="AE41" s="436"/>
      <c r="AF41" s="436"/>
      <c r="AG41" s="437"/>
      <c r="AH41" s="447"/>
      <c r="AI41" s="448"/>
      <c r="AJ41" s="448"/>
      <c r="AK41" s="448"/>
      <c r="AL41" s="448"/>
      <c r="AM41" s="44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389"/>
      <c r="C42" s="389"/>
      <c r="D42" s="390"/>
      <c r="E42" s="430"/>
      <c r="F42" s="431"/>
      <c r="G42" s="431"/>
      <c r="H42" s="431"/>
      <c r="I42" s="432"/>
      <c r="J42" s="467" t="str">
        <f>IF(AND('Riesgos de Gestión'!$O$49="Muy Baja",'Riesgos de Gestión'!$S$49="Leve"),CONCATENATE("R",'Riesgos de Gestión'!$A$49),"")</f>
        <v/>
      </c>
      <c r="K42" s="465"/>
      <c r="L42" s="465" t="str">
        <f>IF(AND('Riesgos de Gestión'!$O$55="Muy Baja",'Riesgos de Gestión'!$S$55="Leve"),CONCATENATE("R",'Riesgos de Gestión'!$A$55),"")</f>
        <v/>
      </c>
      <c r="M42" s="465"/>
      <c r="N42" s="465" t="str">
        <f>IF(AND('Riesgos de Gestión'!$O$61="Muy Baja",'Riesgos de Gestión'!$S$61="Leve"),CONCATENATE("R",'Riesgos de Gestión'!$A$61),"")</f>
        <v/>
      </c>
      <c r="O42" s="466"/>
      <c r="P42" s="467" t="str">
        <f>IF(AND('Riesgos de Gestión'!$O$49="Muy Baja",'Riesgos de Gestión'!$S$49="Menor"),CONCATENATE("R",'Riesgos de Gestión'!$A$49),"")</f>
        <v/>
      </c>
      <c r="Q42" s="465"/>
      <c r="R42" s="465" t="str">
        <f>IF(AND('Riesgos de Gestión'!$O$55="Muy Baja",'Riesgos de Gestión'!$S$55="Menor"),CONCATENATE("R",'Riesgos de Gestión'!$A$55),"")</f>
        <v/>
      </c>
      <c r="S42" s="465"/>
      <c r="T42" s="465" t="str">
        <f>IF(AND('Riesgos de Gestión'!$O$61="Muy Baja",'Riesgos de Gestión'!$S$61="Menor"),CONCATENATE("R",'Riesgos de Gestión'!$A$61),"")</f>
        <v/>
      </c>
      <c r="U42" s="466"/>
      <c r="V42" s="456" t="str">
        <f>IF(AND('Riesgos de Gestión'!$O$49="Muy Baja",'Riesgos de Gestión'!$S$49="Moderado"),CONCATENATE("R",'Riesgos de Gestión'!$A$49),"")</f>
        <v/>
      </c>
      <c r="W42" s="457"/>
      <c r="X42" s="457" t="str">
        <f>IF(AND('Riesgos de Gestión'!$O$55="Muy Baja",'Riesgos de Gestión'!$S$55="Moderado"),CONCATENATE("R",'Riesgos de Gestión'!$A$55),"")</f>
        <v/>
      </c>
      <c r="Y42" s="457"/>
      <c r="Z42" s="457" t="str">
        <f>IF(AND('Riesgos de Gestión'!$O$61="Muy Baja",'Riesgos de Gestión'!$S$61="Moderado"),CONCATENATE("R",'Riesgos de Gestión'!$A$61),"")</f>
        <v/>
      </c>
      <c r="AA42" s="458"/>
      <c r="AB42" s="440" t="str">
        <f>IF(AND('Riesgos de Gestión'!$O$49="Muy Baja",'Riesgos de Gestión'!$S$49="Mayor"),CONCATENATE("R",'Riesgos de Gestión'!$A$49),"")</f>
        <v/>
      </c>
      <c r="AC42" s="436"/>
      <c r="AD42" s="436" t="str">
        <f>IF(AND('Riesgos de Gestión'!$O$55="Muy Baja",'Riesgos de Gestión'!$S$55="Mayor"),CONCATENATE("R",'Riesgos de Gestión'!$A$55),"")</f>
        <v/>
      </c>
      <c r="AE42" s="436"/>
      <c r="AF42" s="436" t="str">
        <f>IF(AND('Riesgos de Gestión'!$O$61="Muy Baja",'Riesgos de Gestión'!$S$61="Mayor"),CONCATENATE("R",'Riesgos de Gestión'!$A$61),"")</f>
        <v/>
      </c>
      <c r="AG42" s="437"/>
      <c r="AH42" s="447" t="str">
        <f>IF(AND('Riesgos de Gestión'!$O$49="Muy Baja",'Riesgos de Gestión'!$S$49="Catastrófico"),CONCATENATE("R",'Riesgos de Gestión'!$A$49),"")</f>
        <v/>
      </c>
      <c r="AI42" s="448"/>
      <c r="AJ42" s="448" t="str">
        <f>IF(AND('Riesgos de Gestión'!$O$55="Muy Baja",'Riesgos de Gestión'!$S$55="Catastrófico"),CONCATENATE("R",'Riesgos de Gestión'!$A$55),"")</f>
        <v/>
      </c>
      <c r="AK42" s="448"/>
      <c r="AL42" s="448" t="str">
        <f>IF(AND('Riesgos de Gestión'!$O$61="Muy Baja",'Riesgos de Gestión'!$S$61="Catastrófico"),CONCATENATE("R",'Riesgos de Gestión'!$A$61),"")</f>
        <v/>
      </c>
      <c r="AM42" s="44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389"/>
      <c r="C43" s="389"/>
      <c r="D43" s="390"/>
      <c r="E43" s="430"/>
      <c r="F43" s="431"/>
      <c r="G43" s="431"/>
      <c r="H43" s="431"/>
      <c r="I43" s="432"/>
      <c r="J43" s="467"/>
      <c r="K43" s="465"/>
      <c r="L43" s="465"/>
      <c r="M43" s="465"/>
      <c r="N43" s="465"/>
      <c r="O43" s="466"/>
      <c r="P43" s="467"/>
      <c r="Q43" s="465"/>
      <c r="R43" s="465"/>
      <c r="S43" s="465"/>
      <c r="T43" s="465"/>
      <c r="U43" s="466"/>
      <c r="V43" s="456"/>
      <c r="W43" s="457"/>
      <c r="X43" s="457"/>
      <c r="Y43" s="457"/>
      <c r="Z43" s="457"/>
      <c r="AA43" s="458"/>
      <c r="AB43" s="440"/>
      <c r="AC43" s="436"/>
      <c r="AD43" s="436"/>
      <c r="AE43" s="436"/>
      <c r="AF43" s="436"/>
      <c r="AG43" s="437"/>
      <c r="AH43" s="447"/>
      <c r="AI43" s="448"/>
      <c r="AJ43" s="448"/>
      <c r="AK43" s="448"/>
      <c r="AL43" s="448"/>
      <c r="AM43" s="44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389"/>
      <c r="C44" s="389"/>
      <c r="D44" s="390"/>
      <c r="E44" s="430"/>
      <c r="F44" s="431"/>
      <c r="G44" s="431"/>
      <c r="H44" s="431"/>
      <c r="I44" s="432"/>
      <c r="J44" s="467" t="str">
        <f>IF(AND('Riesgos de Gestión'!$O$67="Muy Baja",'Riesgos de Gestión'!$S$67="Leve"),CONCATENATE("R",'Riesgos de Gestión'!$A$67),"")</f>
        <v/>
      </c>
      <c r="K44" s="465"/>
      <c r="L44" s="465" t="str">
        <f>IF(AND('Riesgos de Gestión'!$P$73="Muy Baja",'Riesgos de Gestión'!$T$73="Leve"),CONCATENATE("R",'Riesgos de Gestión'!$A$73),"")</f>
        <v/>
      </c>
      <c r="M44" s="465"/>
      <c r="N44" s="465" t="str">
        <f>IF(AND('Riesgos de Gestión'!$P$79="Muy Baja",'Riesgos de Gestión'!$T$79="Leve"),CONCATENATE("R",'Riesgos de Gestión'!$A$79),"")</f>
        <v/>
      </c>
      <c r="O44" s="466"/>
      <c r="P44" s="467" t="str">
        <f>IF(AND('Riesgos de Gestión'!$O$67="Muy Baja",'Riesgos de Gestión'!$S$67="Menor"),CONCATENATE("R",'Riesgos de Gestión'!$A$67),"")</f>
        <v/>
      </c>
      <c r="Q44" s="465"/>
      <c r="R44" s="465" t="str">
        <f>IF(AND('Riesgos de Gestión'!$P$73="Muy Baja",'Riesgos de Gestión'!$T$73="Menor"),CONCATENATE("R",'Riesgos de Gestión'!$A$73),"")</f>
        <v/>
      </c>
      <c r="S44" s="465"/>
      <c r="T44" s="465" t="str">
        <f>IF(AND('Riesgos de Gestión'!$P$79="Muy Baja",'Riesgos de Gestión'!$T$79="Menor"),CONCATENATE("R",'Riesgos de Gestión'!$A$79),"")</f>
        <v/>
      </c>
      <c r="U44" s="466"/>
      <c r="V44" s="456" t="str">
        <f>IF(AND('Riesgos de Gestión'!$O$67="Muy Baja",'Riesgos de Gestión'!$S$67="Moderado"),CONCATENATE("R",'Riesgos de Gestión'!$A$67),"")</f>
        <v/>
      </c>
      <c r="W44" s="457"/>
      <c r="X44" s="457" t="str">
        <f>IF(AND('Riesgos de Gestión'!$P$73="Muy Baja",'Riesgos de Gestión'!$T$73="Moderado"),CONCATENATE("R",'Riesgos de Gestión'!$A$73),"")</f>
        <v/>
      </c>
      <c r="Y44" s="457"/>
      <c r="Z44" s="457" t="str">
        <f>IF(AND('Riesgos de Gestión'!$P$79="Muy Baja",'Riesgos de Gestión'!$T$79="Moderado"),CONCATENATE("R",'Riesgos de Gestión'!$A$79),"")</f>
        <v/>
      </c>
      <c r="AA44" s="458"/>
      <c r="AB44" s="440" t="str">
        <f>IF(AND('Riesgos de Gestión'!$O$67="Muy Baja",'Riesgos de Gestión'!$S$67="Mayor"),CONCATENATE("R",'Riesgos de Gestión'!$A$67),"")</f>
        <v/>
      </c>
      <c r="AC44" s="436"/>
      <c r="AD44" s="436" t="str">
        <f>IF(AND('Riesgos de Gestión'!$P$73="Muy Baja",'Riesgos de Gestión'!$T$73="Mayor"),CONCATENATE("R",'Riesgos de Gestión'!$A$73),"")</f>
        <v/>
      </c>
      <c r="AE44" s="436"/>
      <c r="AF44" s="436" t="str">
        <f>IF(AND('Riesgos de Gestión'!$P$79="Muy Baja",'Riesgos de Gestión'!$T$79="Mayor"),CONCATENATE("R",'Riesgos de Gestión'!$A$79),"")</f>
        <v/>
      </c>
      <c r="AG44" s="437"/>
      <c r="AH44" s="447" t="str">
        <f>IF(AND('Riesgos de Gestión'!$O$67="Muy Baja",'Riesgos de Gestión'!$S$67="Catastrófico"),CONCATENATE("R",'Riesgos de Gestión'!$A$67),"")</f>
        <v/>
      </c>
      <c r="AI44" s="448"/>
      <c r="AJ44" s="448" t="str">
        <f>IF(AND('Riesgos de Gestión'!$P$73="Muy Baja",'Riesgos de Gestión'!$T$73="Catastrófico"),CONCATENATE("R",'Riesgos de Gestión'!$A$73),"")</f>
        <v/>
      </c>
      <c r="AK44" s="448"/>
      <c r="AL44" s="448" t="str">
        <f>IF(AND('Riesgos de Gestión'!$P$79="Muy Baja",'Riesgos de Gestión'!$T$79="Catastrófico"),CONCATENATE("R",'Riesgos de Gestión'!$A$79),"")</f>
        <v/>
      </c>
      <c r="AM44" s="44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389"/>
      <c r="C45" s="389"/>
      <c r="D45" s="390"/>
      <c r="E45" s="433"/>
      <c r="F45" s="434"/>
      <c r="G45" s="434"/>
      <c r="H45" s="434"/>
      <c r="I45" s="435"/>
      <c r="J45" s="468"/>
      <c r="K45" s="469"/>
      <c r="L45" s="469"/>
      <c r="M45" s="469"/>
      <c r="N45" s="469"/>
      <c r="O45" s="470"/>
      <c r="P45" s="468"/>
      <c r="Q45" s="469"/>
      <c r="R45" s="469"/>
      <c r="S45" s="469"/>
      <c r="T45" s="469"/>
      <c r="U45" s="470"/>
      <c r="V45" s="459"/>
      <c r="W45" s="460"/>
      <c r="X45" s="460"/>
      <c r="Y45" s="460"/>
      <c r="Z45" s="460"/>
      <c r="AA45" s="461"/>
      <c r="AB45" s="444"/>
      <c r="AC45" s="445"/>
      <c r="AD45" s="445"/>
      <c r="AE45" s="445"/>
      <c r="AF45" s="445"/>
      <c r="AG45" s="446"/>
      <c r="AH45" s="450"/>
      <c r="AI45" s="451"/>
      <c r="AJ45" s="451"/>
      <c r="AK45" s="451"/>
      <c r="AL45" s="451"/>
      <c r="AM45" s="45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27" t="s">
        <v>260</v>
      </c>
      <c r="K46" s="428"/>
      <c r="L46" s="428"/>
      <c r="M46" s="428"/>
      <c r="N46" s="428"/>
      <c r="O46" s="429"/>
      <c r="P46" s="427" t="s">
        <v>261</v>
      </c>
      <c r="Q46" s="428"/>
      <c r="R46" s="428"/>
      <c r="S46" s="428"/>
      <c r="T46" s="428"/>
      <c r="U46" s="429"/>
      <c r="V46" s="427" t="s">
        <v>262</v>
      </c>
      <c r="W46" s="428"/>
      <c r="X46" s="428"/>
      <c r="Y46" s="428"/>
      <c r="Z46" s="428"/>
      <c r="AA46" s="429"/>
      <c r="AB46" s="427" t="s">
        <v>263</v>
      </c>
      <c r="AC46" s="443"/>
      <c r="AD46" s="428"/>
      <c r="AE46" s="428"/>
      <c r="AF46" s="428"/>
      <c r="AG46" s="429"/>
      <c r="AH46" s="427" t="s">
        <v>264</v>
      </c>
      <c r="AI46" s="428"/>
      <c r="AJ46" s="428"/>
      <c r="AK46" s="428"/>
      <c r="AL46" s="428"/>
      <c r="AM46" s="429"/>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30"/>
      <c r="K47" s="431"/>
      <c r="L47" s="431"/>
      <c r="M47" s="431"/>
      <c r="N47" s="431"/>
      <c r="O47" s="432"/>
      <c r="P47" s="430"/>
      <c r="Q47" s="431"/>
      <c r="R47" s="431"/>
      <c r="S47" s="431"/>
      <c r="T47" s="431"/>
      <c r="U47" s="432"/>
      <c r="V47" s="430"/>
      <c r="W47" s="431"/>
      <c r="X47" s="431"/>
      <c r="Y47" s="431"/>
      <c r="Z47" s="431"/>
      <c r="AA47" s="432"/>
      <c r="AB47" s="430"/>
      <c r="AC47" s="431"/>
      <c r="AD47" s="431"/>
      <c r="AE47" s="431"/>
      <c r="AF47" s="431"/>
      <c r="AG47" s="432"/>
      <c r="AH47" s="430"/>
      <c r="AI47" s="431"/>
      <c r="AJ47" s="431"/>
      <c r="AK47" s="431"/>
      <c r="AL47" s="431"/>
      <c r="AM47" s="432"/>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30"/>
      <c r="K48" s="431"/>
      <c r="L48" s="431"/>
      <c r="M48" s="431"/>
      <c r="N48" s="431"/>
      <c r="O48" s="432"/>
      <c r="P48" s="430"/>
      <c r="Q48" s="431"/>
      <c r="R48" s="431"/>
      <c r="S48" s="431"/>
      <c r="T48" s="431"/>
      <c r="U48" s="432"/>
      <c r="V48" s="430"/>
      <c r="W48" s="431"/>
      <c r="X48" s="431"/>
      <c r="Y48" s="431"/>
      <c r="Z48" s="431"/>
      <c r="AA48" s="432"/>
      <c r="AB48" s="430"/>
      <c r="AC48" s="431"/>
      <c r="AD48" s="431"/>
      <c r="AE48" s="431"/>
      <c r="AF48" s="431"/>
      <c r="AG48" s="432"/>
      <c r="AH48" s="430"/>
      <c r="AI48" s="431"/>
      <c r="AJ48" s="431"/>
      <c r="AK48" s="431"/>
      <c r="AL48" s="431"/>
      <c r="AM48" s="432"/>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30"/>
      <c r="K49" s="431"/>
      <c r="L49" s="431"/>
      <c r="M49" s="431"/>
      <c r="N49" s="431"/>
      <c r="O49" s="432"/>
      <c r="P49" s="430"/>
      <c r="Q49" s="431"/>
      <c r="R49" s="431"/>
      <c r="S49" s="431"/>
      <c r="T49" s="431"/>
      <c r="U49" s="432"/>
      <c r="V49" s="430"/>
      <c r="W49" s="431"/>
      <c r="X49" s="431"/>
      <c r="Y49" s="431"/>
      <c r="Z49" s="431"/>
      <c r="AA49" s="432"/>
      <c r="AB49" s="430"/>
      <c r="AC49" s="431"/>
      <c r="AD49" s="431"/>
      <c r="AE49" s="431"/>
      <c r="AF49" s="431"/>
      <c r="AG49" s="432"/>
      <c r="AH49" s="430"/>
      <c r="AI49" s="431"/>
      <c r="AJ49" s="431"/>
      <c r="AK49" s="431"/>
      <c r="AL49" s="431"/>
      <c r="AM49" s="432"/>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30"/>
      <c r="K50" s="431"/>
      <c r="L50" s="431"/>
      <c r="M50" s="431"/>
      <c r="N50" s="431"/>
      <c r="O50" s="432"/>
      <c r="P50" s="430"/>
      <c r="Q50" s="431"/>
      <c r="R50" s="431"/>
      <c r="S50" s="431"/>
      <c r="T50" s="431"/>
      <c r="U50" s="432"/>
      <c r="V50" s="430"/>
      <c r="W50" s="431"/>
      <c r="X50" s="431"/>
      <c r="Y50" s="431"/>
      <c r="Z50" s="431"/>
      <c r="AA50" s="432"/>
      <c r="AB50" s="430"/>
      <c r="AC50" s="431"/>
      <c r="AD50" s="431"/>
      <c r="AE50" s="431"/>
      <c r="AF50" s="431"/>
      <c r="AG50" s="432"/>
      <c r="AH50" s="430"/>
      <c r="AI50" s="431"/>
      <c r="AJ50" s="431"/>
      <c r="AK50" s="431"/>
      <c r="AL50" s="431"/>
      <c r="AM50" s="432"/>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33"/>
      <c r="K51" s="434"/>
      <c r="L51" s="434"/>
      <c r="M51" s="434"/>
      <c r="N51" s="434"/>
      <c r="O51" s="435"/>
      <c r="P51" s="433"/>
      <c r="Q51" s="434"/>
      <c r="R51" s="434"/>
      <c r="S51" s="434"/>
      <c r="T51" s="434"/>
      <c r="U51" s="435"/>
      <c r="V51" s="433"/>
      <c r="W51" s="434"/>
      <c r="X51" s="434"/>
      <c r="Y51" s="434"/>
      <c r="Z51" s="434"/>
      <c r="AA51" s="435"/>
      <c r="AB51" s="433"/>
      <c r="AC51" s="434"/>
      <c r="AD51" s="434"/>
      <c r="AE51" s="434"/>
      <c r="AF51" s="434"/>
      <c r="AG51" s="435"/>
      <c r="AH51" s="433"/>
      <c r="AI51" s="434"/>
      <c r="AJ51" s="434"/>
      <c r="AK51" s="434"/>
      <c r="AL51" s="434"/>
      <c r="AM51" s="435"/>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29"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00" t="s">
        <v>265</v>
      </c>
      <c r="C2" s="501"/>
      <c r="D2" s="501"/>
      <c r="E2" s="501"/>
      <c r="F2" s="501"/>
      <c r="G2" s="501"/>
      <c r="H2" s="501"/>
      <c r="I2" s="501"/>
      <c r="J2" s="442" t="s">
        <v>15</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01"/>
      <c r="C3" s="501"/>
      <c r="D3" s="501"/>
      <c r="E3" s="501"/>
      <c r="F3" s="501"/>
      <c r="G3" s="501"/>
      <c r="H3" s="501"/>
      <c r="I3" s="501"/>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01"/>
      <c r="C4" s="501"/>
      <c r="D4" s="501"/>
      <c r="E4" s="501"/>
      <c r="F4" s="501"/>
      <c r="G4" s="501"/>
      <c r="H4" s="501"/>
      <c r="I4" s="501"/>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389" t="s">
        <v>250</v>
      </c>
      <c r="C6" s="389"/>
      <c r="D6" s="390"/>
      <c r="E6" s="484" t="s">
        <v>251</v>
      </c>
      <c r="F6" s="485"/>
      <c r="G6" s="485"/>
      <c r="H6" s="485"/>
      <c r="I6" s="502"/>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91" t="s">
        <v>252</v>
      </c>
      <c r="AP6" s="492"/>
      <c r="AQ6" s="492"/>
      <c r="AR6" s="492"/>
      <c r="AS6" s="492"/>
      <c r="AT6" s="49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389"/>
      <c r="C7" s="389"/>
      <c r="D7" s="390"/>
      <c r="E7" s="488"/>
      <c r="F7" s="487"/>
      <c r="G7" s="487"/>
      <c r="H7" s="487"/>
      <c r="I7" s="503"/>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494"/>
      <c r="AP7" s="495"/>
      <c r="AQ7" s="495"/>
      <c r="AR7" s="495"/>
      <c r="AS7" s="495"/>
      <c r="AT7" s="49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389"/>
      <c r="C8" s="389"/>
      <c r="D8" s="390"/>
      <c r="E8" s="488"/>
      <c r="F8" s="487"/>
      <c r="G8" s="487"/>
      <c r="H8" s="487"/>
      <c r="I8" s="503"/>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494"/>
      <c r="AP8" s="495"/>
      <c r="AQ8" s="495"/>
      <c r="AR8" s="495"/>
      <c r="AS8" s="495"/>
      <c r="AT8" s="49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389"/>
      <c r="C9" s="389"/>
      <c r="D9" s="390"/>
      <c r="E9" s="488"/>
      <c r="F9" s="487"/>
      <c r="G9" s="487"/>
      <c r="H9" s="487"/>
      <c r="I9" s="503"/>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494"/>
      <c r="AP9" s="495"/>
      <c r="AQ9" s="495"/>
      <c r="AR9" s="495"/>
      <c r="AS9" s="495"/>
      <c r="AT9" s="49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389"/>
      <c r="C10" s="389"/>
      <c r="D10" s="390"/>
      <c r="E10" s="488"/>
      <c r="F10" s="487"/>
      <c r="G10" s="487"/>
      <c r="H10" s="487"/>
      <c r="I10" s="503"/>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494"/>
      <c r="AP10" s="495"/>
      <c r="AQ10" s="495"/>
      <c r="AR10" s="495"/>
      <c r="AS10" s="495"/>
      <c r="AT10" s="49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389"/>
      <c r="C11" s="389"/>
      <c r="D11" s="390"/>
      <c r="E11" s="488"/>
      <c r="F11" s="487"/>
      <c r="G11" s="487"/>
      <c r="H11" s="487"/>
      <c r="I11" s="503"/>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494"/>
      <c r="AP11" s="495"/>
      <c r="AQ11" s="495"/>
      <c r="AR11" s="495"/>
      <c r="AS11" s="495"/>
      <c r="AT11" s="49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389"/>
      <c r="C12" s="389"/>
      <c r="D12" s="390"/>
      <c r="E12" s="488"/>
      <c r="F12" s="487"/>
      <c r="G12" s="487"/>
      <c r="H12" s="487"/>
      <c r="I12" s="503"/>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494"/>
      <c r="AP12" s="495"/>
      <c r="AQ12" s="495"/>
      <c r="AR12" s="495"/>
      <c r="AS12" s="495"/>
      <c r="AT12" s="49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389"/>
      <c r="C13" s="389"/>
      <c r="D13" s="390"/>
      <c r="E13" s="488"/>
      <c r="F13" s="487"/>
      <c r="G13" s="487"/>
      <c r="H13" s="487"/>
      <c r="I13" s="503"/>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494"/>
      <c r="AP13" s="495"/>
      <c r="AQ13" s="495"/>
      <c r="AR13" s="495"/>
      <c r="AS13" s="495"/>
      <c r="AT13" s="49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389"/>
      <c r="C14" s="389"/>
      <c r="D14" s="390"/>
      <c r="E14" s="488"/>
      <c r="F14" s="487"/>
      <c r="G14" s="487"/>
      <c r="H14" s="487"/>
      <c r="I14" s="503"/>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494"/>
      <c r="AP14" s="495"/>
      <c r="AQ14" s="495"/>
      <c r="AR14" s="495"/>
      <c r="AS14" s="495"/>
      <c r="AT14" s="49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389"/>
      <c r="C15" s="389"/>
      <c r="D15" s="390"/>
      <c r="E15" s="489"/>
      <c r="F15" s="490"/>
      <c r="G15" s="490"/>
      <c r="H15" s="490"/>
      <c r="I15" s="504"/>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497"/>
      <c r="AP15" s="498"/>
      <c r="AQ15" s="498"/>
      <c r="AR15" s="498"/>
      <c r="AS15" s="498"/>
      <c r="AT15" s="49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389"/>
      <c r="C16" s="389"/>
      <c r="D16" s="390"/>
      <c r="E16" s="484" t="s">
        <v>253</v>
      </c>
      <c r="F16" s="485"/>
      <c r="G16" s="485"/>
      <c r="H16" s="485"/>
      <c r="I16" s="485"/>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75" t="s">
        <v>254</v>
      </c>
      <c r="AP16" s="476"/>
      <c r="AQ16" s="476"/>
      <c r="AR16" s="476"/>
      <c r="AS16" s="476"/>
      <c r="AT16" s="477"/>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389"/>
      <c r="C17" s="389"/>
      <c r="D17" s="390"/>
      <c r="E17" s="486"/>
      <c r="F17" s="487"/>
      <c r="G17" s="487"/>
      <c r="H17" s="487"/>
      <c r="I17" s="487"/>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478"/>
      <c r="AP17" s="479"/>
      <c r="AQ17" s="479"/>
      <c r="AR17" s="479"/>
      <c r="AS17" s="479"/>
      <c r="AT17" s="48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389"/>
      <c r="C18" s="389"/>
      <c r="D18" s="390"/>
      <c r="E18" s="488"/>
      <c r="F18" s="487"/>
      <c r="G18" s="487"/>
      <c r="H18" s="487"/>
      <c r="I18" s="487"/>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478"/>
      <c r="AP18" s="479"/>
      <c r="AQ18" s="479"/>
      <c r="AR18" s="479"/>
      <c r="AS18" s="479"/>
      <c r="AT18" s="48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389"/>
      <c r="C19" s="389"/>
      <c r="D19" s="390"/>
      <c r="E19" s="488"/>
      <c r="F19" s="487"/>
      <c r="G19" s="487"/>
      <c r="H19" s="487"/>
      <c r="I19" s="487"/>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478"/>
      <c r="AP19" s="479"/>
      <c r="AQ19" s="479"/>
      <c r="AR19" s="479"/>
      <c r="AS19" s="479"/>
      <c r="AT19" s="48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389"/>
      <c r="C20" s="389"/>
      <c r="D20" s="390"/>
      <c r="E20" s="488"/>
      <c r="F20" s="487"/>
      <c r="G20" s="487"/>
      <c r="H20" s="487"/>
      <c r="I20" s="487"/>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478"/>
      <c r="AP20" s="479"/>
      <c r="AQ20" s="479"/>
      <c r="AR20" s="479"/>
      <c r="AS20" s="479"/>
      <c r="AT20" s="48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389"/>
      <c r="C21" s="389"/>
      <c r="D21" s="390"/>
      <c r="E21" s="488"/>
      <c r="F21" s="487"/>
      <c r="G21" s="487"/>
      <c r="H21" s="487"/>
      <c r="I21" s="487"/>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478"/>
      <c r="AP21" s="479"/>
      <c r="AQ21" s="479"/>
      <c r="AR21" s="479"/>
      <c r="AS21" s="479"/>
      <c r="AT21" s="480"/>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389"/>
      <c r="C22" s="389"/>
      <c r="D22" s="390"/>
      <c r="E22" s="488"/>
      <c r="F22" s="487"/>
      <c r="G22" s="487"/>
      <c r="H22" s="487"/>
      <c r="I22" s="487"/>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478"/>
      <c r="AP22" s="479"/>
      <c r="AQ22" s="479"/>
      <c r="AR22" s="479"/>
      <c r="AS22" s="479"/>
      <c r="AT22" s="48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389"/>
      <c r="C23" s="389"/>
      <c r="D23" s="390"/>
      <c r="E23" s="488"/>
      <c r="F23" s="487"/>
      <c r="G23" s="487"/>
      <c r="H23" s="487"/>
      <c r="I23" s="487"/>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478"/>
      <c r="AP23" s="479"/>
      <c r="AQ23" s="479"/>
      <c r="AR23" s="479"/>
      <c r="AS23" s="479"/>
      <c r="AT23" s="480"/>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389"/>
      <c r="C24" s="389"/>
      <c r="D24" s="390"/>
      <c r="E24" s="488"/>
      <c r="F24" s="487"/>
      <c r="G24" s="487"/>
      <c r="H24" s="487"/>
      <c r="I24" s="487"/>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478"/>
      <c r="AP24" s="479"/>
      <c r="AQ24" s="479"/>
      <c r="AR24" s="479"/>
      <c r="AS24" s="479"/>
      <c r="AT24" s="480"/>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389"/>
      <c r="C25" s="389"/>
      <c r="D25" s="390"/>
      <c r="E25" s="489"/>
      <c r="F25" s="490"/>
      <c r="G25" s="490"/>
      <c r="H25" s="490"/>
      <c r="I25" s="490"/>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481"/>
      <c r="AP25" s="482"/>
      <c r="AQ25" s="482"/>
      <c r="AR25" s="482"/>
      <c r="AS25" s="482"/>
      <c r="AT25" s="48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389"/>
      <c r="C26" s="389"/>
      <c r="D26" s="390"/>
      <c r="E26" s="484" t="s">
        <v>255</v>
      </c>
      <c r="F26" s="485"/>
      <c r="G26" s="485"/>
      <c r="H26" s="485"/>
      <c r="I26" s="502"/>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14" t="s">
        <v>256</v>
      </c>
      <c r="AP26" s="515"/>
      <c r="AQ26" s="515"/>
      <c r="AR26" s="515"/>
      <c r="AS26" s="515"/>
      <c r="AT26" s="51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389"/>
      <c r="C27" s="389"/>
      <c r="D27" s="390"/>
      <c r="E27" s="486"/>
      <c r="F27" s="487"/>
      <c r="G27" s="487"/>
      <c r="H27" s="487"/>
      <c r="I27" s="503"/>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17"/>
      <c r="AP27" s="518"/>
      <c r="AQ27" s="518"/>
      <c r="AR27" s="518"/>
      <c r="AS27" s="518"/>
      <c r="AT27" s="51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389"/>
      <c r="C28" s="389"/>
      <c r="D28" s="390"/>
      <c r="E28" s="488"/>
      <c r="F28" s="487"/>
      <c r="G28" s="487"/>
      <c r="H28" s="487"/>
      <c r="I28" s="503"/>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17"/>
      <c r="AP28" s="518"/>
      <c r="AQ28" s="518"/>
      <c r="AR28" s="518"/>
      <c r="AS28" s="518"/>
      <c r="AT28" s="51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389"/>
      <c r="C29" s="389"/>
      <c r="D29" s="390"/>
      <c r="E29" s="488"/>
      <c r="F29" s="487"/>
      <c r="G29" s="487"/>
      <c r="H29" s="487"/>
      <c r="I29" s="503"/>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17"/>
      <c r="AP29" s="518"/>
      <c r="AQ29" s="518"/>
      <c r="AR29" s="518"/>
      <c r="AS29" s="518"/>
      <c r="AT29" s="51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389"/>
      <c r="C30" s="389"/>
      <c r="D30" s="390"/>
      <c r="E30" s="488"/>
      <c r="F30" s="487"/>
      <c r="G30" s="487"/>
      <c r="H30" s="487"/>
      <c r="I30" s="503"/>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17"/>
      <c r="AP30" s="518"/>
      <c r="AQ30" s="518"/>
      <c r="AR30" s="518"/>
      <c r="AS30" s="518"/>
      <c r="AT30" s="51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389"/>
      <c r="C31" s="389"/>
      <c r="D31" s="390"/>
      <c r="E31" s="488"/>
      <c r="F31" s="487"/>
      <c r="G31" s="487"/>
      <c r="H31" s="487"/>
      <c r="I31" s="503"/>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17"/>
      <c r="AP31" s="518"/>
      <c r="AQ31" s="518"/>
      <c r="AR31" s="518"/>
      <c r="AS31" s="518"/>
      <c r="AT31" s="51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389"/>
      <c r="C32" s="389"/>
      <c r="D32" s="390"/>
      <c r="E32" s="488"/>
      <c r="F32" s="487"/>
      <c r="G32" s="487"/>
      <c r="H32" s="487"/>
      <c r="I32" s="503"/>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17"/>
      <c r="AP32" s="518"/>
      <c r="AQ32" s="518"/>
      <c r="AR32" s="518"/>
      <c r="AS32" s="518"/>
      <c r="AT32" s="51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389"/>
      <c r="C33" s="389"/>
      <c r="D33" s="390"/>
      <c r="E33" s="488"/>
      <c r="F33" s="487"/>
      <c r="G33" s="487"/>
      <c r="H33" s="487"/>
      <c r="I33" s="503"/>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17"/>
      <c r="AP33" s="518"/>
      <c r="AQ33" s="518"/>
      <c r="AR33" s="518"/>
      <c r="AS33" s="518"/>
      <c r="AT33" s="51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389"/>
      <c r="C34" s="389"/>
      <c r="D34" s="390"/>
      <c r="E34" s="488"/>
      <c r="F34" s="487"/>
      <c r="G34" s="487"/>
      <c r="H34" s="487"/>
      <c r="I34" s="503"/>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17"/>
      <c r="AP34" s="518"/>
      <c r="AQ34" s="518"/>
      <c r="AR34" s="518"/>
      <c r="AS34" s="518"/>
      <c r="AT34" s="51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389"/>
      <c r="C35" s="389"/>
      <c r="D35" s="390"/>
      <c r="E35" s="489"/>
      <c r="F35" s="490"/>
      <c r="G35" s="490"/>
      <c r="H35" s="490"/>
      <c r="I35" s="504"/>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20"/>
      <c r="AP35" s="521"/>
      <c r="AQ35" s="521"/>
      <c r="AR35" s="521"/>
      <c r="AS35" s="521"/>
      <c r="AT35" s="52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389"/>
      <c r="C36" s="389"/>
      <c r="D36" s="390"/>
      <c r="E36" s="484" t="s">
        <v>257</v>
      </c>
      <c r="F36" s="485"/>
      <c r="G36" s="485"/>
      <c r="H36" s="485"/>
      <c r="I36" s="485"/>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05" t="s">
        <v>258</v>
      </c>
      <c r="AP36" s="506"/>
      <c r="AQ36" s="506"/>
      <c r="AR36" s="506"/>
      <c r="AS36" s="506"/>
      <c r="AT36" s="50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389"/>
      <c r="C37" s="389"/>
      <c r="D37" s="390"/>
      <c r="E37" s="486"/>
      <c r="F37" s="487"/>
      <c r="G37" s="487"/>
      <c r="H37" s="487"/>
      <c r="I37" s="487"/>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08"/>
      <c r="AP37" s="509"/>
      <c r="AQ37" s="509"/>
      <c r="AR37" s="509"/>
      <c r="AS37" s="509"/>
      <c r="AT37" s="51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389"/>
      <c r="C38" s="389"/>
      <c r="D38" s="390"/>
      <c r="E38" s="488"/>
      <c r="F38" s="487"/>
      <c r="G38" s="487"/>
      <c r="H38" s="487"/>
      <c r="I38" s="487"/>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08"/>
      <c r="AP38" s="509"/>
      <c r="AQ38" s="509"/>
      <c r="AR38" s="509"/>
      <c r="AS38" s="509"/>
      <c r="AT38" s="51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389"/>
      <c r="C39" s="389"/>
      <c r="D39" s="390"/>
      <c r="E39" s="488"/>
      <c r="F39" s="487"/>
      <c r="G39" s="487"/>
      <c r="H39" s="487"/>
      <c r="I39" s="487"/>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08"/>
      <c r="AP39" s="509"/>
      <c r="AQ39" s="509"/>
      <c r="AR39" s="509"/>
      <c r="AS39" s="509"/>
      <c r="AT39" s="51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389"/>
      <c r="C40" s="389"/>
      <c r="D40" s="390"/>
      <c r="E40" s="488"/>
      <c r="F40" s="487"/>
      <c r="G40" s="487"/>
      <c r="H40" s="487"/>
      <c r="I40" s="487"/>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08"/>
      <c r="AP40" s="509"/>
      <c r="AQ40" s="509"/>
      <c r="AR40" s="509"/>
      <c r="AS40" s="509"/>
      <c r="AT40" s="51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389"/>
      <c r="C41" s="389"/>
      <c r="D41" s="390"/>
      <c r="E41" s="488"/>
      <c r="F41" s="487"/>
      <c r="G41" s="487"/>
      <c r="H41" s="487"/>
      <c r="I41" s="487"/>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08"/>
      <c r="AP41" s="509"/>
      <c r="AQ41" s="509"/>
      <c r="AR41" s="509"/>
      <c r="AS41" s="509"/>
      <c r="AT41" s="51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389"/>
      <c r="C42" s="389"/>
      <c r="D42" s="390"/>
      <c r="E42" s="488"/>
      <c r="F42" s="487"/>
      <c r="G42" s="487"/>
      <c r="H42" s="487"/>
      <c r="I42" s="487"/>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08"/>
      <c r="AP42" s="509"/>
      <c r="AQ42" s="509"/>
      <c r="AR42" s="509"/>
      <c r="AS42" s="509"/>
      <c r="AT42" s="51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389"/>
      <c r="C43" s="389"/>
      <c r="D43" s="390"/>
      <c r="E43" s="488"/>
      <c r="F43" s="487"/>
      <c r="G43" s="487"/>
      <c r="H43" s="487"/>
      <c r="I43" s="487"/>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08"/>
      <c r="AP43" s="509"/>
      <c r="AQ43" s="509"/>
      <c r="AR43" s="509"/>
      <c r="AS43" s="509"/>
      <c r="AT43" s="51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389"/>
      <c r="C44" s="389"/>
      <c r="D44" s="390"/>
      <c r="E44" s="488"/>
      <c r="F44" s="487"/>
      <c r="G44" s="487"/>
      <c r="H44" s="487"/>
      <c r="I44" s="487"/>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08"/>
      <c r="AP44" s="509"/>
      <c r="AQ44" s="509"/>
      <c r="AR44" s="509"/>
      <c r="AS44" s="509"/>
      <c r="AT44" s="51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389"/>
      <c r="C45" s="389"/>
      <c r="D45" s="390"/>
      <c r="E45" s="489"/>
      <c r="F45" s="490"/>
      <c r="G45" s="490"/>
      <c r="H45" s="490"/>
      <c r="I45" s="490"/>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11"/>
      <c r="AP45" s="512"/>
      <c r="AQ45" s="512"/>
      <c r="AR45" s="512"/>
      <c r="AS45" s="512"/>
      <c r="AT45" s="513"/>
    </row>
    <row r="46" spans="1:80" ht="46.5" customHeight="1" x14ac:dyDescent="0.35">
      <c r="A46" s="66"/>
      <c r="B46" s="389"/>
      <c r="C46" s="389"/>
      <c r="D46" s="390"/>
      <c r="E46" s="484" t="s">
        <v>259</v>
      </c>
      <c r="F46" s="485"/>
      <c r="G46" s="485"/>
      <c r="H46" s="485"/>
      <c r="I46" s="502"/>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389"/>
      <c r="C47" s="389"/>
      <c r="D47" s="390"/>
      <c r="E47" s="486"/>
      <c r="F47" s="487"/>
      <c r="G47" s="487"/>
      <c r="H47" s="487"/>
      <c r="I47" s="503"/>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
      </c>
      <c r="S47" s="60" t="str">
        <f>IF(AND('Riesgos de Gestión'!$AF$22="Muy Baja",'Riesgos de Gestión'!$AH$22="Menor"),CONCATENATE("R2C",'Riesgos de Gestión'!$V$22),"")</f>
        <v/>
      </c>
      <c r="T47" s="60" t="str">
        <f>IF(AND('Riesgos de Gestión'!$AF$23="Muy Baja",'Riesgos de Gestión'!$AH$23="Menor"),CONCATENATE("R2C",'Riesgos de Gestión'!$V$23),"")</f>
        <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389"/>
      <c r="C48" s="389"/>
      <c r="D48" s="390"/>
      <c r="E48" s="486"/>
      <c r="F48" s="487"/>
      <c r="G48" s="487"/>
      <c r="H48" s="487"/>
      <c r="I48" s="503"/>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389"/>
      <c r="C49" s="389"/>
      <c r="D49" s="390"/>
      <c r="E49" s="488"/>
      <c r="F49" s="487"/>
      <c r="G49" s="487"/>
      <c r="H49" s="487"/>
      <c r="I49" s="503"/>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389"/>
      <c r="C50" s="389"/>
      <c r="D50" s="390"/>
      <c r="E50" s="488"/>
      <c r="F50" s="487"/>
      <c r="G50" s="487"/>
      <c r="H50" s="487"/>
      <c r="I50" s="503"/>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389"/>
      <c r="C51" s="389"/>
      <c r="D51" s="390"/>
      <c r="E51" s="488"/>
      <c r="F51" s="487"/>
      <c r="G51" s="487"/>
      <c r="H51" s="487"/>
      <c r="I51" s="503"/>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389"/>
      <c r="C52" s="389"/>
      <c r="D52" s="390"/>
      <c r="E52" s="488"/>
      <c r="F52" s="487"/>
      <c r="G52" s="487"/>
      <c r="H52" s="487"/>
      <c r="I52" s="503"/>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389"/>
      <c r="C53" s="389"/>
      <c r="D53" s="390"/>
      <c r="E53" s="488"/>
      <c r="F53" s="487"/>
      <c r="G53" s="487"/>
      <c r="H53" s="487"/>
      <c r="I53" s="503"/>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389"/>
      <c r="C54" s="389"/>
      <c r="D54" s="390"/>
      <c r="E54" s="488"/>
      <c r="F54" s="487"/>
      <c r="G54" s="487"/>
      <c r="H54" s="487"/>
      <c r="I54" s="503"/>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389"/>
      <c r="C55" s="389"/>
      <c r="D55" s="390"/>
      <c r="E55" s="489"/>
      <c r="F55" s="490"/>
      <c r="G55" s="490"/>
      <c r="H55" s="490"/>
      <c r="I55" s="504"/>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84" t="s">
        <v>260</v>
      </c>
      <c r="K56" s="485"/>
      <c r="L56" s="485"/>
      <c r="M56" s="485"/>
      <c r="N56" s="485"/>
      <c r="O56" s="502"/>
      <c r="P56" s="484" t="s">
        <v>261</v>
      </c>
      <c r="Q56" s="485"/>
      <c r="R56" s="485"/>
      <c r="S56" s="485"/>
      <c r="T56" s="485"/>
      <c r="U56" s="502"/>
      <c r="V56" s="484" t="s">
        <v>262</v>
      </c>
      <c r="W56" s="485"/>
      <c r="X56" s="485"/>
      <c r="Y56" s="485"/>
      <c r="Z56" s="485"/>
      <c r="AA56" s="502"/>
      <c r="AB56" s="484" t="s">
        <v>263</v>
      </c>
      <c r="AC56" s="523"/>
      <c r="AD56" s="485"/>
      <c r="AE56" s="485"/>
      <c r="AF56" s="485"/>
      <c r="AG56" s="502"/>
      <c r="AH56" s="484" t="s">
        <v>264</v>
      </c>
      <c r="AI56" s="485"/>
      <c r="AJ56" s="485"/>
      <c r="AK56" s="485"/>
      <c r="AL56" s="485"/>
      <c r="AM56" s="502"/>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88"/>
      <c r="K57" s="487"/>
      <c r="L57" s="487"/>
      <c r="M57" s="487"/>
      <c r="N57" s="487"/>
      <c r="O57" s="503"/>
      <c r="P57" s="488"/>
      <c r="Q57" s="487"/>
      <c r="R57" s="487"/>
      <c r="S57" s="487"/>
      <c r="T57" s="487"/>
      <c r="U57" s="503"/>
      <c r="V57" s="488"/>
      <c r="W57" s="487"/>
      <c r="X57" s="487"/>
      <c r="Y57" s="487"/>
      <c r="Z57" s="487"/>
      <c r="AA57" s="503"/>
      <c r="AB57" s="488"/>
      <c r="AC57" s="487"/>
      <c r="AD57" s="487"/>
      <c r="AE57" s="487"/>
      <c r="AF57" s="487"/>
      <c r="AG57" s="503"/>
      <c r="AH57" s="488"/>
      <c r="AI57" s="487"/>
      <c r="AJ57" s="487"/>
      <c r="AK57" s="487"/>
      <c r="AL57" s="487"/>
      <c r="AM57" s="503"/>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88"/>
      <c r="K58" s="487"/>
      <c r="L58" s="487"/>
      <c r="M58" s="487"/>
      <c r="N58" s="487"/>
      <c r="O58" s="503"/>
      <c r="P58" s="488"/>
      <c r="Q58" s="487"/>
      <c r="R58" s="487"/>
      <c r="S58" s="487"/>
      <c r="T58" s="487"/>
      <c r="U58" s="503"/>
      <c r="V58" s="488"/>
      <c r="W58" s="487"/>
      <c r="X58" s="487"/>
      <c r="Y58" s="487"/>
      <c r="Z58" s="487"/>
      <c r="AA58" s="503"/>
      <c r="AB58" s="488"/>
      <c r="AC58" s="487"/>
      <c r="AD58" s="487"/>
      <c r="AE58" s="487"/>
      <c r="AF58" s="487"/>
      <c r="AG58" s="503"/>
      <c r="AH58" s="488"/>
      <c r="AI58" s="487"/>
      <c r="AJ58" s="487"/>
      <c r="AK58" s="487"/>
      <c r="AL58" s="487"/>
      <c r="AM58" s="503"/>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88"/>
      <c r="K59" s="487"/>
      <c r="L59" s="487"/>
      <c r="M59" s="487"/>
      <c r="N59" s="487"/>
      <c r="O59" s="503"/>
      <c r="P59" s="488"/>
      <c r="Q59" s="487"/>
      <c r="R59" s="487"/>
      <c r="S59" s="487"/>
      <c r="T59" s="487"/>
      <c r="U59" s="503"/>
      <c r="V59" s="488"/>
      <c r="W59" s="487"/>
      <c r="X59" s="487"/>
      <c r="Y59" s="487"/>
      <c r="Z59" s="487"/>
      <c r="AA59" s="503"/>
      <c r="AB59" s="488"/>
      <c r="AC59" s="487"/>
      <c r="AD59" s="487"/>
      <c r="AE59" s="487"/>
      <c r="AF59" s="487"/>
      <c r="AG59" s="503"/>
      <c r="AH59" s="488"/>
      <c r="AI59" s="487"/>
      <c r="AJ59" s="487"/>
      <c r="AK59" s="487"/>
      <c r="AL59" s="487"/>
      <c r="AM59" s="503"/>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88"/>
      <c r="K60" s="487"/>
      <c r="L60" s="487"/>
      <c r="M60" s="487"/>
      <c r="N60" s="487"/>
      <c r="O60" s="503"/>
      <c r="P60" s="488"/>
      <c r="Q60" s="487"/>
      <c r="R60" s="487"/>
      <c r="S60" s="487"/>
      <c r="T60" s="487"/>
      <c r="U60" s="503"/>
      <c r="V60" s="488"/>
      <c r="W60" s="487"/>
      <c r="X60" s="487"/>
      <c r="Y60" s="487"/>
      <c r="Z60" s="487"/>
      <c r="AA60" s="503"/>
      <c r="AB60" s="488"/>
      <c r="AC60" s="487"/>
      <c r="AD60" s="487"/>
      <c r="AE60" s="487"/>
      <c r="AF60" s="487"/>
      <c r="AG60" s="503"/>
      <c r="AH60" s="488"/>
      <c r="AI60" s="487"/>
      <c r="AJ60" s="487"/>
      <c r="AK60" s="487"/>
      <c r="AL60" s="487"/>
      <c r="AM60" s="50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89"/>
      <c r="K61" s="490"/>
      <c r="L61" s="490"/>
      <c r="M61" s="490"/>
      <c r="N61" s="490"/>
      <c r="O61" s="504"/>
      <c r="P61" s="489"/>
      <c r="Q61" s="490"/>
      <c r="R61" s="490"/>
      <c r="S61" s="490"/>
      <c r="T61" s="490"/>
      <c r="U61" s="504"/>
      <c r="V61" s="489"/>
      <c r="W61" s="490"/>
      <c r="X61" s="490"/>
      <c r="Y61" s="490"/>
      <c r="Z61" s="490"/>
      <c r="AA61" s="504"/>
      <c r="AB61" s="489"/>
      <c r="AC61" s="490"/>
      <c r="AD61" s="490"/>
      <c r="AE61" s="490"/>
      <c r="AF61" s="490"/>
      <c r="AG61" s="504"/>
      <c r="AH61" s="489"/>
      <c r="AI61" s="490"/>
      <c r="AJ61" s="490"/>
      <c r="AK61" s="490"/>
      <c r="AL61" s="490"/>
      <c r="AM61" s="504"/>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4D1F-9FDD-463F-84AD-24712E22B4F0}">
  <sheetPr>
    <tabColor rgb="FF002060"/>
  </sheetPr>
  <dimension ref="A1:JL75"/>
  <sheetViews>
    <sheetView zoomScale="70" zoomScaleNormal="70" zoomScaleSheetLayoutView="40" zoomScalePageLayoutView="60" workbookViewId="0">
      <selection activeCell="D11" sqref="D11:D12"/>
    </sheetView>
  </sheetViews>
  <sheetFormatPr baseColWidth="10" defaultColWidth="11.42578125" defaultRowHeight="15" x14ac:dyDescent="0.2"/>
  <cols>
    <col min="1" max="1" width="6.5703125" style="207" customWidth="1"/>
    <col min="2" max="2" width="16" style="207" customWidth="1"/>
    <col min="3" max="3" width="19.140625" style="207" customWidth="1"/>
    <col min="4" max="4" width="25.28515625" style="207" customWidth="1"/>
    <col min="5" max="5" width="40.140625" style="207" customWidth="1"/>
    <col min="6" max="6" width="17.7109375" style="187" customWidth="1"/>
    <col min="7" max="7" width="16" style="187" customWidth="1"/>
    <col min="8" max="8" width="24.28515625" style="187" customWidth="1"/>
    <col min="9" max="10" width="28.42578125" style="187" customWidth="1"/>
    <col min="11" max="11" width="24.28515625" style="187" customWidth="1"/>
    <col min="12" max="12" width="19.42578125" style="187" customWidth="1"/>
    <col min="13" max="13" width="20.5703125" style="187" customWidth="1"/>
    <col min="14" max="14" width="14.7109375" style="208" customWidth="1"/>
    <col min="15" max="15" width="16.7109375" style="187" customWidth="1"/>
    <col min="16" max="16" width="10.42578125" style="187" hidden="1" customWidth="1"/>
    <col min="17" max="17" width="12.85546875" style="187" customWidth="1"/>
    <col min="18" max="18" width="35.85546875" style="187" hidden="1" customWidth="1"/>
    <col min="19" max="19" width="17.140625" style="187" customWidth="1"/>
    <col min="20" max="20" width="17.5703125" style="187" hidden="1" customWidth="1"/>
    <col min="21" max="21" width="15" style="187" customWidth="1"/>
    <col min="22" max="22" width="16" style="187" customWidth="1"/>
    <col min="23" max="23" width="32.7109375" style="187" customWidth="1"/>
    <col min="24" max="24" width="26.85546875" style="187" hidden="1" customWidth="1"/>
    <col min="25" max="25" width="5.85546875" style="187" customWidth="1"/>
    <col min="26" max="26" width="6.85546875" style="187" customWidth="1"/>
    <col min="27" max="27" width="5" style="187" hidden="1" customWidth="1"/>
    <col min="28" max="28" width="5.5703125" style="187" customWidth="1"/>
    <col min="29" max="29" width="7.140625" style="187" customWidth="1"/>
    <col min="30" max="30" width="6.7109375" style="187" customWidth="1"/>
    <col min="31" max="31" width="7.5703125" style="187" hidden="1" customWidth="1"/>
    <col min="32" max="32" width="8.5703125" style="187" customWidth="1"/>
    <col min="33" max="37" width="10.85546875" style="187" customWidth="1"/>
    <col min="38" max="38" width="10.85546875" style="206" customWidth="1"/>
    <col min="39" max="39" width="23" style="187" customWidth="1"/>
    <col min="40" max="40" width="18.85546875" style="187" customWidth="1"/>
    <col min="41" max="41" width="21.5703125" style="187" customWidth="1"/>
    <col min="42" max="42" width="22.42578125" style="187" customWidth="1"/>
    <col min="43" max="43" width="16.42578125" style="187" customWidth="1"/>
    <col min="44" max="44" width="20.5703125" style="187" customWidth="1"/>
    <col min="45" max="16384" width="11.42578125" style="187"/>
  </cols>
  <sheetData>
    <row r="1" spans="1:272" s="190" customFormat="1" ht="20.25" x14ac:dyDescent="0.3">
      <c r="A1" s="330"/>
      <c r="B1" s="331"/>
      <c r="C1" s="332"/>
      <c r="D1" s="319" t="s">
        <v>194</v>
      </c>
      <c r="E1" s="320"/>
      <c r="F1" s="320"/>
      <c r="G1" s="320"/>
      <c r="H1" s="320"/>
      <c r="I1" s="320"/>
      <c r="J1" s="320"/>
      <c r="K1" s="320"/>
      <c r="L1" s="320"/>
      <c r="M1" s="320"/>
      <c r="N1" s="320"/>
      <c r="O1" s="320"/>
      <c r="P1" s="320"/>
      <c r="Q1" s="320"/>
      <c r="R1" s="320"/>
      <c r="S1" s="320"/>
      <c r="T1" s="321"/>
      <c r="U1" s="241"/>
      <c r="V1" s="241"/>
      <c r="W1" s="241"/>
      <c r="X1" s="346"/>
      <c r="Y1" s="346"/>
      <c r="Z1" s="346"/>
      <c r="AA1" s="346"/>
      <c r="AB1" s="346"/>
      <c r="AC1" s="346"/>
      <c r="AD1" s="346"/>
      <c r="AE1" s="346"/>
      <c r="AF1" s="346"/>
      <c r="AG1" s="346"/>
      <c r="AH1" s="346"/>
      <c r="AI1" s="346"/>
      <c r="AJ1" s="346"/>
      <c r="AK1" s="346"/>
      <c r="AL1" s="346"/>
      <c r="AM1" s="346"/>
      <c r="AN1" s="346"/>
      <c r="AO1" s="346"/>
      <c r="AP1" s="346"/>
      <c r="AQ1" s="346"/>
      <c r="AR1" s="346"/>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row>
    <row r="2" spans="1:272" s="190" customFormat="1" ht="21" thickBot="1" x14ac:dyDescent="0.35">
      <c r="A2" s="333"/>
      <c r="B2" s="334"/>
      <c r="C2" s="335"/>
      <c r="D2" s="322"/>
      <c r="E2" s="323"/>
      <c r="F2" s="323"/>
      <c r="G2" s="323"/>
      <c r="H2" s="323"/>
      <c r="I2" s="323"/>
      <c r="J2" s="323"/>
      <c r="K2" s="323"/>
      <c r="L2" s="323"/>
      <c r="M2" s="323"/>
      <c r="N2" s="323"/>
      <c r="O2" s="323"/>
      <c r="P2" s="323"/>
      <c r="Q2" s="323"/>
      <c r="R2" s="323"/>
      <c r="S2" s="323"/>
      <c r="T2" s="324"/>
      <c r="U2" s="241"/>
      <c r="V2" s="241"/>
      <c r="W2" s="241"/>
      <c r="X2" s="346"/>
      <c r="Y2" s="346"/>
      <c r="Z2" s="346"/>
      <c r="AA2" s="346"/>
      <c r="AB2" s="346"/>
      <c r="AC2" s="346"/>
      <c r="AD2" s="346"/>
      <c r="AE2" s="346"/>
      <c r="AF2" s="346"/>
      <c r="AG2" s="346"/>
      <c r="AH2" s="346"/>
      <c r="AI2" s="346"/>
      <c r="AJ2" s="346"/>
      <c r="AK2" s="346"/>
      <c r="AL2" s="346"/>
      <c r="AM2" s="346"/>
      <c r="AN2" s="346"/>
      <c r="AO2" s="346"/>
      <c r="AP2" s="346"/>
      <c r="AQ2" s="346"/>
      <c r="AR2" s="346"/>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row>
    <row r="3" spans="1:272" s="190" customFormat="1" ht="27.75" customHeight="1" thickBot="1" x14ac:dyDescent="0.35">
      <c r="A3" s="333"/>
      <c r="B3" s="334"/>
      <c r="C3" s="335"/>
      <c r="D3" s="325" t="s">
        <v>195</v>
      </c>
      <c r="E3" s="326"/>
      <c r="F3" s="326"/>
      <c r="G3" s="326"/>
      <c r="H3" s="326"/>
      <c r="I3" s="327"/>
      <c r="J3" s="325" t="s">
        <v>196</v>
      </c>
      <c r="K3" s="326"/>
      <c r="L3" s="326"/>
      <c r="M3" s="326"/>
      <c r="N3" s="326"/>
      <c r="O3" s="326"/>
      <c r="P3" s="326"/>
      <c r="Q3" s="326"/>
      <c r="R3" s="326"/>
      <c r="S3" s="326"/>
      <c r="T3" s="327"/>
      <c r="U3" s="242"/>
      <c r="V3" s="242"/>
      <c r="W3" s="241"/>
      <c r="X3" s="347"/>
      <c r="Y3" s="347"/>
      <c r="Z3" s="347"/>
      <c r="AA3" s="347"/>
      <c r="AB3" s="347"/>
      <c r="AC3" s="347"/>
      <c r="AD3" s="347"/>
      <c r="AE3" s="347"/>
      <c r="AF3" s="347"/>
      <c r="AG3" s="347"/>
      <c r="AH3" s="347"/>
      <c r="AI3" s="347"/>
      <c r="AJ3" s="347"/>
      <c r="AK3" s="347"/>
      <c r="AL3" s="347"/>
      <c r="AM3" s="347"/>
      <c r="AN3" s="347"/>
      <c r="AO3" s="347"/>
      <c r="AP3" s="347"/>
      <c r="AQ3" s="347"/>
      <c r="AR3" s="347"/>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row>
    <row r="4" spans="1:272" s="190" customFormat="1" ht="27.75" customHeight="1" thickBot="1" x14ac:dyDescent="0.35">
      <c r="A4" s="336"/>
      <c r="B4" s="337"/>
      <c r="C4" s="338"/>
      <c r="D4" s="325" t="s">
        <v>408</v>
      </c>
      <c r="E4" s="326"/>
      <c r="F4" s="326"/>
      <c r="G4" s="326"/>
      <c r="H4" s="326"/>
      <c r="I4" s="326"/>
      <c r="J4" s="326"/>
      <c r="K4" s="326"/>
      <c r="L4" s="326"/>
      <c r="M4" s="326"/>
      <c r="N4" s="326"/>
      <c r="O4" s="326"/>
      <c r="P4" s="326"/>
      <c r="Q4" s="326"/>
      <c r="R4" s="326"/>
      <c r="S4" s="326"/>
      <c r="T4" s="327"/>
      <c r="U4" s="241"/>
      <c r="V4" s="241"/>
      <c r="W4" s="241"/>
      <c r="X4" s="347"/>
      <c r="Y4" s="347"/>
      <c r="Z4" s="347"/>
      <c r="AA4" s="347"/>
      <c r="AB4" s="347"/>
      <c r="AC4" s="347"/>
      <c r="AD4" s="347"/>
      <c r="AE4" s="347"/>
      <c r="AF4" s="347"/>
      <c r="AG4" s="347"/>
      <c r="AH4" s="347"/>
      <c r="AI4" s="347"/>
      <c r="AJ4" s="347"/>
      <c r="AK4" s="347"/>
      <c r="AL4" s="347"/>
      <c r="AM4" s="347"/>
      <c r="AN4" s="347"/>
      <c r="AO4" s="347"/>
      <c r="AP4" s="347"/>
      <c r="AQ4" s="347"/>
      <c r="AR4" s="347"/>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row>
    <row r="5" spans="1:272" ht="15.75" thickBot="1" x14ac:dyDescent="0.25">
      <c r="A5" s="191"/>
      <c r="B5" s="192"/>
      <c r="C5" s="191"/>
      <c r="D5" s="191"/>
      <c r="E5" s="191"/>
      <c r="F5" s="193"/>
      <c r="G5" s="193"/>
      <c r="H5" s="193"/>
      <c r="I5" s="193"/>
      <c r="J5" s="193"/>
      <c r="K5" s="193"/>
      <c r="L5" s="193"/>
      <c r="M5" s="193"/>
      <c r="N5" s="194"/>
      <c r="O5" s="193"/>
      <c r="P5" s="193"/>
      <c r="Q5" s="193"/>
      <c r="R5" s="193"/>
      <c r="S5" s="193"/>
      <c r="T5" s="193"/>
      <c r="U5" s="193"/>
      <c r="V5" s="193"/>
      <c r="W5" s="193"/>
      <c r="X5" s="193"/>
      <c r="Y5" s="193"/>
      <c r="Z5" s="193"/>
      <c r="AA5" s="193"/>
      <c r="AB5" s="193"/>
      <c r="AC5" s="193"/>
      <c r="AD5" s="193"/>
      <c r="AE5" s="193"/>
      <c r="AF5" s="193"/>
      <c r="AG5" s="193"/>
      <c r="AH5" s="193"/>
      <c r="AI5" s="193"/>
      <c r="AJ5" s="193"/>
      <c r="AK5" s="193"/>
      <c r="AL5" s="24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row>
    <row r="6" spans="1:272" ht="27" customHeight="1" thickBot="1" x14ac:dyDescent="0.25">
      <c r="A6" s="348" t="s">
        <v>197</v>
      </c>
      <c r="B6" s="349"/>
      <c r="C6" s="355"/>
      <c r="D6" s="356"/>
      <c r="E6" s="356"/>
      <c r="F6" s="356"/>
      <c r="G6" s="356"/>
      <c r="H6" s="356"/>
      <c r="I6" s="356"/>
      <c r="J6" s="356"/>
      <c r="K6" s="356"/>
      <c r="L6" s="356"/>
      <c r="M6" s="356"/>
      <c r="N6" s="356"/>
      <c r="O6" s="356"/>
      <c r="P6" s="356"/>
      <c r="Q6" s="356"/>
      <c r="R6" s="356"/>
      <c r="S6" s="356"/>
      <c r="T6" s="357"/>
      <c r="U6" s="244"/>
      <c r="V6" s="244"/>
      <c r="W6" s="354"/>
      <c r="X6" s="354"/>
      <c r="Y6" s="354"/>
      <c r="Z6" s="345"/>
      <c r="AA6" s="345"/>
      <c r="AB6" s="345"/>
      <c r="AC6" s="345"/>
      <c r="AD6" s="345"/>
      <c r="AE6" s="345"/>
      <c r="AF6" s="345"/>
      <c r="AG6" s="345"/>
      <c r="AH6" s="345"/>
      <c r="AI6" s="345"/>
      <c r="AJ6" s="345"/>
      <c r="AK6" s="345"/>
      <c r="AL6" s="345"/>
      <c r="AM6" s="345"/>
      <c r="AN6" s="345"/>
      <c r="AO6" s="345"/>
      <c r="AP6" s="345"/>
      <c r="AQ6" s="345"/>
      <c r="AR6" s="345"/>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row>
    <row r="7" spans="1:272" ht="27" customHeight="1" thickBot="1" x14ac:dyDescent="0.3">
      <c r="A7" s="350" t="s">
        <v>198</v>
      </c>
      <c r="B7" s="351"/>
      <c r="C7" s="316"/>
      <c r="D7" s="317"/>
      <c r="E7" s="317"/>
      <c r="F7" s="317"/>
      <c r="G7" s="317"/>
      <c r="H7" s="317"/>
      <c r="I7" s="317"/>
      <c r="J7" s="317"/>
      <c r="K7" s="317"/>
      <c r="L7" s="317"/>
      <c r="M7" s="317"/>
      <c r="N7" s="317"/>
      <c r="O7" s="317"/>
      <c r="P7" s="317"/>
      <c r="Q7" s="317"/>
      <c r="R7" s="317"/>
      <c r="S7" s="317"/>
      <c r="T7" s="318"/>
      <c r="U7" s="245"/>
      <c r="V7" s="245"/>
      <c r="W7" s="246"/>
      <c r="X7" s="246"/>
      <c r="Y7" s="246"/>
      <c r="Z7" s="345"/>
      <c r="AA7" s="345"/>
      <c r="AB7" s="345"/>
      <c r="AC7" s="345"/>
      <c r="AD7" s="345"/>
      <c r="AE7" s="345"/>
      <c r="AF7" s="345"/>
      <c r="AG7" s="345"/>
      <c r="AH7" s="345"/>
      <c r="AI7" s="345"/>
      <c r="AJ7" s="345"/>
      <c r="AK7" s="345"/>
      <c r="AL7" s="345"/>
      <c r="AM7" s="345"/>
      <c r="AN7" s="345"/>
      <c r="AO7" s="345"/>
      <c r="AP7" s="345"/>
      <c r="AQ7" s="345"/>
      <c r="AR7" s="345"/>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row>
    <row r="8" spans="1:272" ht="27" customHeight="1" thickBot="1" x14ac:dyDescent="0.3">
      <c r="A8" s="352" t="s">
        <v>199</v>
      </c>
      <c r="B8" s="353"/>
      <c r="C8" s="316"/>
      <c r="D8" s="317"/>
      <c r="E8" s="317"/>
      <c r="F8" s="317"/>
      <c r="G8" s="317"/>
      <c r="H8" s="317"/>
      <c r="I8" s="317"/>
      <c r="J8" s="317"/>
      <c r="K8" s="317"/>
      <c r="L8" s="317"/>
      <c r="M8" s="317"/>
      <c r="N8" s="317"/>
      <c r="O8" s="317"/>
      <c r="P8" s="317"/>
      <c r="Q8" s="317"/>
      <c r="R8" s="317"/>
      <c r="S8" s="317"/>
      <c r="T8" s="318"/>
      <c r="U8" s="245"/>
      <c r="V8" s="245"/>
      <c r="W8" s="246"/>
      <c r="X8" s="246"/>
      <c r="Y8" s="246"/>
      <c r="Z8" s="345"/>
      <c r="AA8" s="345"/>
      <c r="AB8" s="345"/>
      <c r="AC8" s="345"/>
      <c r="AD8" s="345"/>
      <c r="AE8" s="345"/>
      <c r="AF8" s="345"/>
      <c r="AG8" s="345"/>
      <c r="AH8" s="345"/>
      <c r="AI8" s="345"/>
      <c r="AJ8" s="345"/>
      <c r="AK8" s="345"/>
      <c r="AL8" s="345"/>
      <c r="AM8" s="345"/>
      <c r="AN8" s="345"/>
      <c r="AO8" s="345"/>
      <c r="AP8" s="345"/>
      <c r="AQ8" s="345"/>
      <c r="AR8" s="345"/>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row>
    <row r="9" spans="1:272" ht="15.75" x14ac:dyDescent="0.25">
      <c r="A9" s="195"/>
      <c r="B9" s="195"/>
      <c r="C9" s="196"/>
      <c r="D9" s="196"/>
      <c r="E9" s="196"/>
      <c r="F9" s="196"/>
      <c r="G9" s="196"/>
      <c r="H9" s="196"/>
      <c r="I9" s="196"/>
      <c r="J9" s="196"/>
      <c r="K9" s="196"/>
      <c r="L9" s="196"/>
      <c r="M9" s="196"/>
      <c r="N9" s="196"/>
      <c r="O9" s="196"/>
      <c r="P9" s="196"/>
      <c r="Q9" s="196"/>
      <c r="R9" s="196"/>
      <c r="S9" s="196"/>
      <c r="T9" s="196"/>
      <c r="U9" s="196"/>
      <c r="V9" s="196"/>
      <c r="W9" s="197"/>
      <c r="X9" s="197"/>
      <c r="Y9" s="197"/>
      <c r="Z9" s="198"/>
      <c r="AA9" s="198"/>
      <c r="AB9" s="198"/>
      <c r="AC9" s="198"/>
      <c r="AD9" s="198"/>
      <c r="AE9" s="198"/>
      <c r="AF9" s="198"/>
      <c r="AG9" s="198"/>
      <c r="AH9" s="198"/>
      <c r="AI9" s="198"/>
      <c r="AJ9" s="198"/>
      <c r="AK9" s="198"/>
      <c r="AL9" s="198"/>
      <c r="AM9" s="198"/>
      <c r="AN9" s="198"/>
      <c r="AO9" s="198"/>
      <c r="AP9" s="198"/>
      <c r="AQ9" s="198"/>
      <c r="AR9" s="198"/>
    </row>
    <row r="10" spans="1:272" ht="39" customHeight="1" x14ac:dyDescent="0.2">
      <c r="A10" s="360" t="s">
        <v>200</v>
      </c>
      <c r="B10" s="361"/>
      <c r="C10" s="361"/>
      <c r="D10" s="361"/>
      <c r="E10" s="361"/>
      <c r="F10" s="362"/>
      <c r="G10" s="377" t="s">
        <v>201</v>
      </c>
      <c r="H10" s="378"/>
      <c r="I10" s="378"/>
      <c r="J10" s="378"/>
      <c r="K10" s="379"/>
      <c r="L10" s="386" t="s">
        <v>202</v>
      </c>
      <c r="M10" s="387"/>
      <c r="N10" s="213"/>
      <c r="O10" s="213"/>
      <c r="P10" s="388" t="s">
        <v>203</v>
      </c>
      <c r="Q10" s="388"/>
      <c r="R10" s="388"/>
      <c r="S10" s="388"/>
      <c r="T10" s="388"/>
      <c r="U10" s="388"/>
      <c r="V10" s="388"/>
      <c r="W10" s="388" t="s">
        <v>204</v>
      </c>
      <c r="X10" s="388"/>
      <c r="Y10" s="388"/>
      <c r="Z10" s="388"/>
      <c r="AA10" s="388"/>
      <c r="AB10" s="388"/>
      <c r="AC10" s="388"/>
      <c r="AD10" s="388"/>
      <c r="AE10" s="388"/>
      <c r="AF10" s="380" t="s">
        <v>205</v>
      </c>
      <c r="AG10" s="381"/>
      <c r="AH10" s="381"/>
      <c r="AI10" s="381"/>
      <c r="AJ10" s="382"/>
      <c r="AK10" s="380" t="s">
        <v>409</v>
      </c>
      <c r="AL10" s="381"/>
      <c r="AM10" s="381"/>
      <c r="AN10" s="381"/>
      <c r="AO10" s="382"/>
      <c r="AP10" s="380" t="s">
        <v>410</v>
      </c>
      <c r="AQ10" s="381"/>
      <c r="AR10" s="382"/>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row>
    <row r="11" spans="1:272" ht="26.25" customHeight="1" x14ac:dyDescent="0.2">
      <c r="A11" s="370" t="s">
        <v>208</v>
      </c>
      <c r="B11" s="371" t="s">
        <v>15</v>
      </c>
      <c r="C11" s="364" t="s">
        <v>17</v>
      </c>
      <c r="D11" s="364" t="s">
        <v>19</v>
      </c>
      <c r="E11" s="371" t="s">
        <v>21</v>
      </c>
      <c r="F11" s="364" t="s">
        <v>23</v>
      </c>
      <c r="G11" s="373" t="s">
        <v>110</v>
      </c>
      <c r="H11" s="373" t="s">
        <v>266</v>
      </c>
      <c r="I11" s="373" t="s">
        <v>210</v>
      </c>
      <c r="J11" s="373" t="s">
        <v>211</v>
      </c>
      <c r="K11" s="373" t="s">
        <v>212</v>
      </c>
      <c r="L11" s="386"/>
      <c r="M11" s="387"/>
      <c r="N11" s="375" t="s">
        <v>213</v>
      </c>
      <c r="O11" s="375" t="s">
        <v>214</v>
      </c>
      <c r="P11" s="363" t="s">
        <v>215</v>
      </c>
      <c r="Q11" s="375" t="s">
        <v>216</v>
      </c>
      <c r="R11" s="375" t="s">
        <v>217</v>
      </c>
      <c r="S11" s="375" t="s">
        <v>218</v>
      </c>
      <c r="T11" s="363" t="s">
        <v>215</v>
      </c>
      <c r="U11" s="375" t="s">
        <v>29</v>
      </c>
      <c r="V11" s="376" t="s">
        <v>219</v>
      </c>
      <c r="W11" s="375" t="s">
        <v>31</v>
      </c>
      <c r="X11" s="375" t="s">
        <v>33</v>
      </c>
      <c r="Y11" s="375" t="s">
        <v>220</v>
      </c>
      <c r="Z11" s="375"/>
      <c r="AA11" s="375"/>
      <c r="AB11" s="375"/>
      <c r="AC11" s="375"/>
      <c r="AD11" s="375"/>
      <c r="AE11" s="376" t="s">
        <v>221</v>
      </c>
      <c r="AF11" s="376" t="s">
        <v>222</v>
      </c>
      <c r="AG11" s="376" t="s">
        <v>215</v>
      </c>
      <c r="AH11" s="376" t="s">
        <v>223</v>
      </c>
      <c r="AI11" s="376" t="s">
        <v>215</v>
      </c>
      <c r="AJ11" s="376" t="s">
        <v>224</v>
      </c>
      <c r="AK11" s="376" t="s">
        <v>49</v>
      </c>
      <c r="AL11" s="375" t="s">
        <v>225</v>
      </c>
      <c r="AM11" s="375" t="s">
        <v>226</v>
      </c>
      <c r="AN11" s="375" t="s">
        <v>227</v>
      </c>
      <c r="AO11" s="375" t="s">
        <v>228</v>
      </c>
      <c r="AP11" s="375" t="s">
        <v>225</v>
      </c>
      <c r="AQ11" s="375" t="s">
        <v>227</v>
      </c>
      <c r="AR11" s="375" t="s">
        <v>226</v>
      </c>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row>
    <row r="12" spans="1:272" s="202" customFormat="1" ht="73.5" customHeight="1" x14ac:dyDescent="0.25">
      <c r="A12" s="370"/>
      <c r="B12" s="371"/>
      <c r="C12" s="364"/>
      <c r="D12" s="364"/>
      <c r="E12" s="371"/>
      <c r="F12" s="364"/>
      <c r="G12" s="374"/>
      <c r="H12" s="374"/>
      <c r="I12" s="374"/>
      <c r="J12" s="374"/>
      <c r="K12" s="374"/>
      <c r="L12" s="239" t="s">
        <v>411</v>
      </c>
      <c r="M12" s="239" t="s">
        <v>232</v>
      </c>
      <c r="N12" s="375"/>
      <c r="O12" s="375"/>
      <c r="P12" s="363"/>
      <c r="Q12" s="363"/>
      <c r="R12" s="375"/>
      <c r="S12" s="363"/>
      <c r="T12" s="363"/>
      <c r="U12" s="375"/>
      <c r="V12" s="376"/>
      <c r="W12" s="375"/>
      <c r="X12" s="375"/>
      <c r="Y12" s="199" t="s">
        <v>233</v>
      </c>
      <c r="Z12" s="199" t="s">
        <v>234</v>
      </c>
      <c r="AA12" s="199" t="s">
        <v>235</v>
      </c>
      <c r="AB12" s="199" t="s">
        <v>236</v>
      </c>
      <c r="AC12" s="199" t="s">
        <v>237</v>
      </c>
      <c r="AD12" s="199" t="s">
        <v>238</v>
      </c>
      <c r="AE12" s="376"/>
      <c r="AF12" s="376"/>
      <c r="AG12" s="376"/>
      <c r="AH12" s="376"/>
      <c r="AI12" s="376"/>
      <c r="AJ12" s="376"/>
      <c r="AK12" s="376"/>
      <c r="AL12" s="375"/>
      <c r="AM12" s="375"/>
      <c r="AN12" s="375"/>
      <c r="AO12" s="375"/>
      <c r="AP12" s="375"/>
      <c r="AQ12" s="375"/>
      <c r="AR12" s="375"/>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c r="IM12" s="201"/>
      <c r="IN12" s="201"/>
      <c r="IO12" s="201"/>
      <c r="IP12" s="201"/>
      <c r="IQ12" s="201"/>
      <c r="IR12" s="201"/>
      <c r="IS12" s="201"/>
      <c r="IT12" s="201"/>
      <c r="IU12" s="201"/>
      <c r="IV12" s="201"/>
      <c r="IW12" s="201"/>
      <c r="IX12" s="201"/>
      <c r="IY12" s="201"/>
      <c r="IZ12" s="201"/>
      <c r="JA12" s="201"/>
      <c r="JB12" s="201"/>
      <c r="JC12" s="201"/>
      <c r="JD12" s="201"/>
      <c r="JE12" s="201"/>
      <c r="JF12" s="201"/>
      <c r="JG12" s="201"/>
      <c r="JH12" s="201"/>
      <c r="JI12" s="201"/>
      <c r="JJ12" s="201"/>
      <c r="JK12" s="201"/>
      <c r="JL12" s="201"/>
    </row>
    <row r="13" spans="1:272" s="204" customFormat="1" x14ac:dyDescent="0.25">
      <c r="A13" s="328">
        <v>1</v>
      </c>
      <c r="B13" s="329"/>
      <c r="C13" s="329"/>
      <c r="D13" s="329"/>
      <c r="E13" s="372"/>
      <c r="F13" s="329"/>
      <c r="G13" s="342"/>
      <c r="H13" s="342"/>
      <c r="I13" s="342"/>
      <c r="J13" s="342"/>
      <c r="K13" s="342"/>
      <c r="L13" s="342"/>
      <c r="M13" s="342"/>
      <c r="N13" s="339"/>
      <c r="O13" s="340" t="str">
        <f>IF(N13&lt;=0,"",IF(N13&lt;=2,"Muy Baja",IF(N13&lt;=24,"Baja",IF(N13&lt;=500,"Media",IF(N13&lt;=5000,"Alta","Muy Alta")))))</f>
        <v/>
      </c>
      <c r="P13" s="341" t="str">
        <f>IF(O13="","",IF(O13="Muy Baja",0.2,IF(O13="Baja",0.4,IF(O13="Media",0.6,IF(O13="Alta",0.8,IF(O13="Muy Alta",1,))))))</f>
        <v/>
      </c>
      <c r="Q13" s="359"/>
      <c r="R13" s="341">
        <f>IF(NOT(ISERROR(MATCH(Q13,'Tabla Impacto'!$B$222:$B$224,0))),'Tabla Impacto'!$F$224&amp;"Por favor no seleccionar los criterios de impacto(Afectación Económica o presupuestal y Pérdida Reputacional)",Q13)</f>
        <v>0</v>
      </c>
      <c r="S13" s="340" t="str">
        <f>IF(OR(R13='Tabla Impacto'!$C$12,R13='Tabla Impacto'!$D$12),"Leve",IF(OR(R13='Tabla Impacto'!$C$13,R13='Tabla Impacto'!$D$13),"Menor",IF(OR(R13='Tabla Impacto'!$C$14,R13='Tabla Impacto'!$D$14),"Moderado",IF(OR(R13='Tabla Impacto'!$C$15,R13='Tabla Impacto'!$D$15),"Mayor",IF(OR(R13='Tabla Impacto'!$C$16,R13='Tabla Impacto'!$D$16),"Catastrófico","")))))</f>
        <v/>
      </c>
      <c r="T13" s="341" t="str">
        <f>IF(S13="","",IF(S13="Leve",0.2,IF(S13="Menor",0.4,IF(S13="Moderado",0.6,IF(S13="Mayor",0.8,IF(S13="Catastrófico",1,))))))</f>
        <v/>
      </c>
      <c r="U13" s="358"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03">
        <v>1</v>
      </c>
      <c r="W13" s="229"/>
      <c r="X13" s="178" t="str">
        <f t="shared" ref="X13:X18" si="0">IF(OR(Y13="Preventivo",Y13="Detectivo"),"Probabilidad",IF(Y13="Correctivo","Impacto",""))</f>
        <v/>
      </c>
      <c r="Y13" s="179"/>
      <c r="Z13" s="179"/>
      <c r="AA13" s="180" t="str">
        <f>IF(AND(Y13="Preventivo",Z13="Automático"),"50%",IF(AND(Y13="Preventivo",Z13="Manual"),"40%",IF(AND(Y13="Detectivo",Z13="Automático"),"40%",IF(AND(Y13="Detectivo",Z13="Manual"),"30%",IF(AND(Y13="Correctivo",Z13="Automático"),"35%",IF(AND(Y13="Correctivo",Z13="Manual"),"25%",""))))))</f>
        <v/>
      </c>
      <c r="AB13" s="179"/>
      <c r="AC13" s="179"/>
      <c r="AD13" s="179"/>
      <c r="AE13" s="181" t="str">
        <f>IFERROR(IF(X13="Probabilidad",(P13-(+P13*AA13)),IF(X13="Impacto",P13,"")),"")</f>
        <v/>
      </c>
      <c r="AF13" s="182" t="str">
        <f>IFERROR(IF(AE13="","",IF(AE13&lt;=0.2,"Muy Baja",IF(AE13&lt;=0.4,"Baja",IF(AE13&lt;=0.6,"Media",IF(AE13&lt;=0.8,"Alta","Muy Alta"))))),"")</f>
        <v/>
      </c>
      <c r="AG13" s="180" t="str">
        <f>+AE13</f>
        <v/>
      </c>
      <c r="AH13" s="182" t="str">
        <f>IFERROR(IF(AI13="","",IF(AI13&lt;=0.2,"Leve",IF(AI13&lt;=0.4,"Menor",IF(AI13&lt;=0.6,"Moderado",IF(AI13&lt;=0.8,"Mayor","Catastrófico"))))),"")</f>
        <v/>
      </c>
      <c r="AI13" s="180" t="str">
        <f>IFERROR(IF(X13="Impacto",(T13-(+T13*AA13)),IF(X13="Probabilidad",T13,"")),"")</f>
        <v/>
      </c>
      <c r="AJ13" s="183"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84"/>
      <c r="AL13" s="175"/>
      <c r="AM13" s="185"/>
      <c r="AN13" s="185"/>
      <c r="AO13" s="186"/>
      <c r="AP13" s="329"/>
      <c r="AQ13" s="329"/>
      <c r="AR13" s="329"/>
    </row>
    <row r="14" spans="1:272" x14ac:dyDescent="0.2">
      <c r="A14" s="328"/>
      <c r="B14" s="329"/>
      <c r="C14" s="329"/>
      <c r="D14" s="329"/>
      <c r="E14" s="372"/>
      <c r="F14" s="329"/>
      <c r="G14" s="343"/>
      <c r="H14" s="343"/>
      <c r="I14" s="343"/>
      <c r="J14" s="343"/>
      <c r="K14" s="343"/>
      <c r="L14" s="343"/>
      <c r="M14" s="343"/>
      <c r="N14" s="339"/>
      <c r="O14" s="340"/>
      <c r="P14" s="341"/>
      <c r="Q14" s="359"/>
      <c r="R14" s="341">
        <f>IF(NOT(ISERROR(MATCH(Q14,_xlfn.ANCHORARRAY(E25),0))),P27&amp;"Por favor no seleccionar los criterios de impacto",Q14)</f>
        <v>0</v>
      </c>
      <c r="S14" s="340"/>
      <c r="T14" s="341"/>
      <c r="U14" s="358"/>
      <c r="V14" s="203">
        <v>2</v>
      </c>
      <c r="W14" s="229"/>
      <c r="X14" s="178" t="str">
        <f t="shared" si="0"/>
        <v/>
      </c>
      <c r="Y14" s="179"/>
      <c r="Z14" s="179"/>
      <c r="AA14" s="180" t="str">
        <f t="shared" ref="AA14:AA18" si="1">IF(AND(Y14="Preventivo",Z14="Automático"),"50%",IF(AND(Y14="Preventivo",Z14="Manual"),"40%",IF(AND(Y14="Detectivo",Z14="Automático"),"40%",IF(AND(Y14="Detectivo",Z14="Manual"),"30%",IF(AND(Y14="Correctivo",Z14="Automático"),"35%",IF(AND(Y14="Correctivo",Z14="Manual"),"25%",""))))))</f>
        <v/>
      </c>
      <c r="AB14" s="179"/>
      <c r="AC14" s="179"/>
      <c r="AD14" s="179"/>
      <c r="AE14" s="181" t="str">
        <f>IFERROR(IF(AND(X13="Probabilidad",X14="Probabilidad"),(AG13-(+AG13*AA14)),IF(X14="Probabilidad",(P13-(+P13*AA14)),IF(X14="Impacto",AG13,""))),"")</f>
        <v/>
      </c>
      <c r="AF14" s="182" t="str">
        <f t="shared" ref="AF14:AF72" si="2">IFERROR(IF(AE14="","",IF(AE14&lt;=0.2,"Muy Baja",IF(AE14&lt;=0.4,"Baja",IF(AE14&lt;=0.6,"Media",IF(AE14&lt;=0.8,"Alta","Muy Alta"))))),"")</f>
        <v/>
      </c>
      <c r="AG14" s="180" t="str">
        <f t="shared" ref="AG14:AG18" si="3">+AE14</f>
        <v/>
      </c>
      <c r="AH14" s="182" t="str">
        <f t="shared" ref="AH14:AH72" si="4">IFERROR(IF(AI14="","",IF(AI14&lt;=0.2,"Leve",IF(AI14&lt;=0.4,"Menor",IF(AI14&lt;=0.6,"Moderado",IF(AI14&lt;=0.8,"Mayor","Catastrófico"))))),"")</f>
        <v/>
      </c>
      <c r="AI14" s="180" t="str">
        <f>IFERROR(IF(AND(X13="Impacto",X14="Impacto"),(AI13-(+AI13*AA14)),IF(X14="Impacto",($T$13-(+$T$13*AA14)),IF(X14="Probabilidad",AI13,""))),"")</f>
        <v/>
      </c>
      <c r="AJ14" s="183"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84"/>
      <c r="AL14" s="175"/>
      <c r="AM14" s="185"/>
      <c r="AN14" s="175"/>
      <c r="AO14" s="186"/>
      <c r="AP14" s="329"/>
      <c r="AQ14" s="329"/>
      <c r="AR14" s="329"/>
    </row>
    <row r="15" spans="1:272" x14ac:dyDescent="0.2">
      <c r="A15" s="328"/>
      <c r="B15" s="329"/>
      <c r="C15" s="329"/>
      <c r="D15" s="329"/>
      <c r="E15" s="372"/>
      <c r="F15" s="329"/>
      <c r="G15" s="343"/>
      <c r="H15" s="343"/>
      <c r="I15" s="343"/>
      <c r="J15" s="343"/>
      <c r="K15" s="343"/>
      <c r="L15" s="343"/>
      <c r="M15" s="343"/>
      <c r="N15" s="339"/>
      <c r="O15" s="340"/>
      <c r="P15" s="341"/>
      <c r="Q15" s="359"/>
      <c r="R15" s="341">
        <f>IF(NOT(ISERROR(MATCH(Q15,_xlfn.ANCHORARRAY(E26),0))),P28&amp;"Por favor no seleccionar los criterios de impacto",Q15)</f>
        <v>0</v>
      </c>
      <c r="S15" s="340"/>
      <c r="T15" s="341"/>
      <c r="U15" s="358"/>
      <c r="V15" s="203">
        <v>3</v>
      </c>
      <c r="W15" s="177"/>
      <c r="X15" s="178" t="str">
        <f t="shared" si="0"/>
        <v/>
      </c>
      <c r="Y15" s="179"/>
      <c r="Z15" s="179"/>
      <c r="AA15" s="180" t="str">
        <f t="shared" si="1"/>
        <v/>
      </c>
      <c r="AB15" s="179"/>
      <c r="AC15" s="179"/>
      <c r="AD15" s="179"/>
      <c r="AE15" s="181" t="str">
        <f>IFERROR(IF(AND(X14="Probabilidad",X15="Probabilidad"),(AG14-(+AG14*AA15)),IF(AND(X14="Impacto",X15="Probabilidad"),(AG13-(+AG13*AA15)),IF(X15="Impacto",AG14,""))),"")</f>
        <v/>
      </c>
      <c r="AF15" s="182" t="str">
        <f t="shared" si="2"/>
        <v/>
      </c>
      <c r="AG15" s="180" t="str">
        <f t="shared" si="3"/>
        <v/>
      </c>
      <c r="AH15" s="182" t="str">
        <f t="shared" si="4"/>
        <v/>
      </c>
      <c r="AI15" s="180" t="str">
        <f>IFERROR(IF(AND(X14="Impacto",X15="Impacto"),(AI14-(+AI14*AA15)),IF(AND(X14="Probabilidad",X15="Impacto"),(AI13-(+AI13*AA15)),IF(X15="Probabilidad",AI14,""))),"")</f>
        <v/>
      </c>
      <c r="AJ15" s="183" t="str">
        <f t="shared" si="5"/>
        <v/>
      </c>
      <c r="AK15" s="184"/>
      <c r="AL15" s="175"/>
      <c r="AM15" s="185"/>
      <c r="AN15" s="185"/>
      <c r="AO15" s="186"/>
      <c r="AP15" s="329"/>
      <c r="AQ15" s="329"/>
      <c r="AR15" s="329"/>
    </row>
    <row r="16" spans="1:272" x14ac:dyDescent="0.2">
      <c r="A16" s="328"/>
      <c r="B16" s="329"/>
      <c r="C16" s="329"/>
      <c r="D16" s="329"/>
      <c r="E16" s="372"/>
      <c r="F16" s="329"/>
      <c r="G16" s="343"/>
      <c r="H16" s="343"/>
      <c r="I16" s="343"/>
      <c r="J16" s="343"/>
      <c r="K16" s="343"/>
      <c r="L16" s="343"/>
      <c r="M16" s="343"/>
      <c r="N16" s="339"/>
      <c r="O16" s="340"/>
      <c r="P16" s="341"/>
      <c r="Q16" s="359"/>
      <c r="R16" s="341">
        <f>IF(NOT(ISERROR(MATCH(Q16,_xlfn.ANCHORARRAY(E27),0))),P29&amp;"Por favor no seleccionar los criterios de impacto",Q16)</f>
        <v>0</v>
      </c>
      <c r="S16" s="340"/>
      <c r="T16" s="341"/>
      <c r="U16" s="358"/>
      <c r="V16" s="203">
        <v>4</v>
      </c>
      <c r="W16" s="176"/>
      <c r="X16" s="178" t="str">
        <f t="shared" si="0"/>
        <v/>
      </c>
      <c r="Y16" s="179"/>
      <c r="Z16" s="179"/>
      <c r="AA16" s="180" t="str">
        <f t="shared" si="1"/>
        <v/>
      </c>
      <c r="AB16" s="179"/>
      <c r="AC16" s="179"/>
      <c r="AD16" s="179"/>
      <c r="AE16" s="181" t="str">
        <f t="shared" ref="AE16:AE18" si="6">IFERROR(IF(AND(X15="Probabilidad",X16="Probabilidad"),(AG15-(+AG15*AA16)),IF(AND(X15="Impacto",X16="Probabilidad"),(AG14-(+AG14*AA16)),IF(X16="Impacto",AG15,""))),"")</f>
        <v/>
      </c>
      <c r="AF16" s="182" t="str">
        <f t="shared" si="2"/>
        <v/>
      </c>
      <c r="AG16" s="180" t="str">
        <f t="shared" si="3"/>
        <v/>
      </c>
      <c r="AH16" s="182" t="str">
        <f t="shared" si="4"/>
        <v/>
      </c>
      <c r="AI16" s="180" t="str">
        <f t="shared" ref="AI16:AI18" si="7">IFERROR(IF(AND(X15="Impacto",X16="Impacto"),(AI15-(+AI15*AA16)),IF(AND(X15="Probabilidad",X16="Impacto"),(AI14-(+AI14*AA16)),IF(X16="Probabilidad",AI15,""))),"")</f>
        <v/>
      </c>
      <c r="AJ16" s="183"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84"/>
      <c r="AL16" s="175"/>
      <c r="AM16" s="185"/>
      <c r="AN16" s="185"/>
      <c r="AO16" s="186"/>
      <c r="AP16" s="329"/>
      <c r="AQ16" s="329"/>
      <c r="AR16" s="329"/>
    </row>
    <row r="17" spans="1:44" x14ac:dyDescent="0.2">
      <c r="A17" s="328"/>
      <c r="B17" s="329"/>
      <c r="C17" s="329"/>
      <c r="D17" s="329"/>
      <c r="E17" s="372"/>
      <c r="F17" s="329"/>
      <c r="G17" s="343"/>
      <c r="H17" s="343"/>
      <c r="I17" s="343"/>
      <c r="J17" s="343"/>
      <c r="K17" s="343"/>
      <c r="L17" s="343"/>
      <c r="M17" s="343"/>
      <c r="N17" s="339"/>
      <c r="O17" s="340"/>
      <c r="P17" s="341"/>
      <c r="Q17" s="359"/>
      <c r="R17" s="341">
        <f>IF(NOT(ISERROR(MATCH(Q17,_xlfn.ANCHORARRAY(E28),0))),P30&amp;"Por favor no seleccionar los criterios de impacto",Q17)</f>
        <v>0</v>
      </c>
      <c r="S17" s="340"/>
      <c r="T17" s="341"/>
      <c r="U17" s="358"/>
      <c r="V17" s="203">
        <v>5</v>
      </c>
      <c r="W17" s="176"/>
      <c r="X17" s="178" t="str">
        <f t="shared" si="0"/>
        <v/>
      </c>
      <c r="Y17" s="179"/>
      <c r="Z17" s="179"/>
      <c r="AA17" s="180" t="str">
        <f t="shared" si="1"/>
        <v/>
      </c>
      <c r="AB17" s="179"/>
      <c r="AC17" s="179"/>
      <c r="AD17" s="179"/>
      <c r="AE17" s="181" t="str">
        <f t="shared" si="6"/>
        <v/>
      </c>
      <c r="AF17" s="182" t="str">
        <f t="shared" si="2"/>
        <v/>
      </c>
      <c r="AG17" s="180" t="str">
        <f t="shared" si="3"/>
        <v/>
      </c>
      <c r="AH17" s="182" t="str">
        <f t="shared" si="4"/>
        <v/>
      </c>
      <c r="AI17" s="180" t="str">
        <f t="shared" si="7"/>
        <v/>
      </c>
      <c r="AJ17" s="183" t="str">
        <f t="shared" si="5"/>
        <v/>
      </c>
      <c r="AK17" s="184"/>
      <c r="AL17" s="175"/>
      <c r="AM17" s="185"/>
      <c r="AN17" s="185"/>
      <c r="AO17" s="186"/>
      <c r="AP17" s="329"/>
      <c r="AQ17" s="329"/>
      <c r="AR17" s="329"/>
    </row>
    <row r="18" spans="1:44" ht="37.5" customHeight="1" x14ac:dyDescent="0.2">
      <c r="A18" s="328"/>
      <c r="B18" s="329"/>
      <c r="C18" s="329"/>
      <c r="D18" s="329"/>
      <c r="E18" s="372"/>
      <c r="F18" s="329"/>
      <c r="G18" s="344"/>
      <c r="H18" s="344"/>
      <c r="I18" s="344"/>
      <c r="J18" s="344"/>
      <c r="K18" s="344"/>
      <c r="L18" s="344"/>
      <c r="M18" s="344"/>
      <c r="N18" s="339"/>
      <c r="O18" s="340"/>
      <c r="P18" s="341"/>
      <c r="Q18" s="359"/>
      <c r="R18" s="341">
        <f>IF(NOT(ISERROR(MATCH(Q18,_xlfn.ANCHORARRAY(E29),0))),P31&amp;"Por favor no seleccionar los criterios de impacto",Q18)</f>
        <v>0</v>
      </c>
      <c r="S18" s="340"/>
      <c r="T18" s="341"/>
      <c r="U18" s="358"/>
      <c r="V18" s="203">
        <v>6</v>
      </c>
      <c r="W18" s="176"/>
      <c r="X18" s="178" t="str">
        <f t="shared" si="0"/>
        <v/>
      </c>
      <c r="Y18" s="179"/>
      <c r="Z18" s="179"/>
      <c r="AA18" s="180" t="str">
        <f t="shared" si="1"/>
        <v/>
      </c>
      <c r="AB18" s="179"/>
      <c r="AC18" s="179"/>
      <c r="AD18" s="179"/>
      <c r="AE18" s="181" t="str">
        <f t="shared" si="6"/>
        <v/>
      </c>
      <c r="AF18" s="182" t="str">
        <f t="shared" si="2"/>
        <v/>
      </c>
      <c r="AG18" s="180" t="str">
        <f t="shared" si="3"/>
        <v/>
      </c>
      <c r="AH18" s="182" t="str">
        <f t="shared" si="4"/>
        <v/>
      </c>
      <c r="AI18" s="180" t="str">
        <f t="shared" si="7"/>
        <v/>
      </c>
      <c r="AJ18" s="183" t="str">
        <f t="shared" si="5"/>
        <v/>
      </c>
      <c r="AK18" s="184"/>
      <c r="AL18" s="175"/>
      <c r="AM18" s="185"/>
      <c r="AN18" s="185"/>
      <c r="AO18" s="186"/>
      <c r="AP18" s="329"/>
      <c r="AQ18" s="329"/>
      <c r="AR18" s="329"/>
    </row>
    <row r="19" spans="1:44" ht="37.5" customHeight="1" x14ac:dyDescent="0.2">
      <c r="A19" s="328">
        <v>2</v>
      </c>
      <c r="B19" s="329"/>
      <c r="C19" s="329"/>
      <c r="D19" s="329"/>
      <c r="E19" s="372"/>
      <c r="F19" s="329"/>
      <c r="G19" s="342"/>
      <c r="H19" s="342"/>
      <c r="I19" s="342"/>
      <c r="J19" s="342"/>
      <c r="K19" s="342"/>
      <c r="L19" s="342"/>
      <c r="M19" s="342"/>
      <c r="N19" s="339"/>
      <c r="O19" s="340" t="str">
        <f>IF(N19&lt;=0,"",IF(N19&lt;=2,"Muy Baja",IF(N19&lt;=24,"Baja",IF(N19&lt;=500,"Media",IF(N19&lt;=5000,"Alta","Muy Alta")))))</f>
        <v/>
      </c>
      <c r="P19" s="341" t="str">
        <f>IF(O19="","",IF(O19="Muy Baja",0.2,IF(O19="Baja",0.4,IF(O19="Media",0.6,IF(O19="Alta",0.8,IF(O19="Muy Alta",1,))))))</f>
        <v/>
      </c>
      <c r="Q19" s="359"/>
      <c r="R19" s="341">
        <f>IF(NOT(ISERROR(MATCH(Q19,'Tabla Impacto'!$B$222:$B$224,0))),'Tabla Impacto'!$F$224&amp;"Por favor no seleccionar los criterios de impacto(Afectación Económica o presupuestal y Pérdida Reputacional)",Q19)</f>
        <v>0</v>
      </c>
      <c r="S19" s="340" t="str">
        <f>IF(OR(R19='Tabla Impacto'!$C$12,R19='Tabla Impacto'!$D$12),"Leve",IF(OR(R19='Tabla Impacto'!$C$13,R19='Tabla Impacto'!$D$13),"Menor",IF(OR(R19='Tabla Impacto'!$C$14,R19='Tabla Impacto'!$D$14),"Moderado",IF(OR(R19='Tabla Impacto'!$C$15,R19='Tabla Impacto'!$D$15),"Mayor",IF(OR(R19='Tabla Impacto'!$C$16,R19='Tabla Impacto'!$D$16),"Catastrófico","")))))</f>
        <v/>
      </c>
      <c r="T19" s="341" t="str">
        <f>IF(S19="","",IF(S19="Leve",0.2,IF(S19="Menor",0.4,IF(S19="Moderado",0.6,IF(S19="Mayor",0.8,IF(S19="Catastrófico",1,))))))</f>
        <v/>
      </c>
      <c r="U19" s="358"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03">
        <v>1</v>
      </c>
      <c r="W19" s="176"/>
      <c r="X19" s="178" t="str">
        <f>IF(OR(Y19="Preventivo",Y19="Detectivo"),"Probabilidad",IF(Y19="Correctivo","Impacto",""))</f>
        <v/>
      </c>
      <c r="Y19" s="179"/>
      <c r="Z19" s="179"/>
      <c r="AA19" s="180" t="str">
        <f>IF(AND(Y19="Preventivo",Z19="Automático"),"50%",IF(AND(Y19="Preventivo",Z19="Manual"),"40%",IF(AND(Y19="Detectivo",Z19="Automático"),"40%",IF(AND(Y19="Detectivo",Z19="Manual"),"30%",IF(AND(Y19="Correctivo",Z19="Automático"),"35%",IF(AND(Y19="Correctivo",Z19="Manual"),"25%",""))))))</f>
        <v/>
      </c>
      <c r="AB19" s="179"/>
      <c r="AC19" s="179"/>
      <c r="AD19" s="179"/>
      <c r="AE19" s="181" t="str">
        <f>IFERROR(IF(X19="Probabilidad",(P19-(+P19*AA19)),IF(X19="Impacto",P19,"")),"")</f>
        <v/>
      </c>
      <c r="AF19" s="182" t="str">
        <f>IFERROR(IF(AE19="","",IF(AE19&lt;=0.2,"Muy Baja",IF(AE19&lt;=0.4,"Baja",IF(AE19&lt;=0.6,"Media",IF(AE19&lt;=0.8,"Alta","Muy Alta"))))),"")</f>
        <v/>
      </c>
      <c r="AG19" s="180" t="str">
        <f>+AE19</f>
        <v/>
      </c>
      <c r="AH19" s="182" t="str">
        <f>IFERROR(IF(AI19="","",IF(AI19&lt;=0.2,"Leve",IF(AI19&lt;=0.4,"Menor",IF(AI19&lt;=0.6,"Moderado",IF(AI19&lt;=0.8,"Mayor","Catastrófico"))))),"")</f>
        <v/>
      </c>
      <c r="AI19" s="180" t="str">
        <f t="shared" ref="AI19" si="8">IFERROR(IF(X19="Impacto",(T19-(+T19*AA19)),IF(X19="Probabilidad",T19,"")),"")</f>
        <v/>
      </c>
      <c r="AJ19" s="183"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84"/>
      <c r="AL19" s="175"/>
      <c r="AM19" s="185"/>
      <c r="AN19" s="185"/>
      <c r="AO19" s="186"/>
      <c r="AP19" s="339"/>
      <c r="AQ19" s="339"/>
      <c r="AR19" s="339"/>
    </row>
    <row r="20" spans="1:44" ht="37.5" customHeight="1" x14ac:dyDescent="0.2">
      <c r="A20" s="328"/>
      <c r="B20" s="329"/>
      <c r="C20" s="329"/>
      <c r="D20" s="329"/>
      <c r="E20" s="372"/>
      <c r="F20" s="329"/>
      <c r="G20" s="343"/>
      <c r="H20" s="343"/>
      <c r="I20" s="343"/>
      <c r="J20" s="343"/>
      <c r="K20" s="343"/>
      <c r="L20" s="343"/>
      <c r="M20" s="343"/>
      <c r="N20" s="339"/>
      <c r="O20" s="340"/>
      <c r="P20" s="341"/>
      <c r="Q20" s="359"/>
      <c r="R20" s="341">
        <f>IF(NOT(ISERROR(MATCH(Q20,_xlfn.ANCHORARRAY(E31),0))),P33&amp;"Por favor no seleccionar los criterios de impacto",Q20)</f>
        <v>0</v>
      </c>
      <c r="S20" s="340"/>
      <c r="T20" s="341"/>
      <c r="U20" s="358"/>
      <c r="V20" s="203">
        <v>2</v>
      </c>
      <c r="W20" s="176"/>
      <c r="X20" s="178" t="str">
        <f>IF(OR(Y20="Preventivo",Y20="Detectivo"),"Probabilidad",IF(Y20="Correctivo","Impacto",""))</f>
        <v/>
      </c>
      <c r="Y20" s="179"/>
      <c r="Z20" s="179"/>
      <c r="AA20" s="180" t="str">
        <f t="shared" ref="AA20:AA24" si="9">IF(AND(Y20="Preventivo",Z20="Automático"),"50%",IF(AND(Y20="Preventivo",Z20="Manual"),"40%",IF(AND(Y20="Detectivo",Z20="Automático"),"40%",IF(AND(Y20="Detectivo",Z20="Manual"),"30%",IF(AND(Y20="Correctivo",Z20="Automático"),"35%",IF(AND(Y20="Correctivo",Z20="Manual"),"25%",""))))))</f>
        <v/>
      </c>
      <c r="AB20" s="179"/>
      <c r="AC20" s="179"/>
      <c r="AD20" s="179"/>
      <c r="AE20" s="181" t="str">
        <f>IFERROR(IF(AND(X19="Probabilidad",X20="Probabilidad"),(AG19-(+AG19*AA20)),IF(X20="Probabilidad",(P19-(+P19*AA20)),IF(X20="Impacto",AG19,""))),"")</f>
        <v/>
      </c>
      <c r="AF20" s="182" t="str">
        <f t="shared" si="2"/>
        <v/>
      </c>
      <c r="AG20" s="180" t="str">
        <f t="shared" ref="AG20:AG24" si="10">+AE20</f>
        <v/>
      </c>
      <c r="AH20" s="182" t="str">
        <f t="shared" si="4"/>
        <v/>
      </c>
      <c r="AI20" s="180" t="str">
        <f t="shared" ref="AI20" si="11">IFERROR(IF(AND(X19="Impacto",X20="Impacto"),(AI19-(+AI19*AA20)),IF(X20="Impacto",($T$13-(+$T$13*AA20)),IF(X20="Probabilidad",AI19,""))),"")</f>
        <v/>
      </c>
      <c r="AJ20" s="183"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84"/>
      <c r="AL20" s="175"/>
      <c r="AM20" s="185"/>
      <c r="AN20" s="175"/>
      <c r="AO20" s="186"/>
      <c r="AP20" s="339"/>
      <c r="AQ20" s="339"/>
      <c r="AR20" s="339"/>
    </row>
    <row r="21" spans="1:44" ht="37.5" customHeight="1" x14ac:dyDescent="0.2">
      <c r="A21" s="328"/>
      <c r="B21" s="329"/>
      <c r="C21" s="329"/>
      <c r="D21" s="329"/>
      <c r="E21" s="372"/>
      <c r="F21" s="329"/>
      <c r="G21" s="343"/>
      <c r="H21" s="343"/>
      <c r="I21" s="343"/>
      <c r="J21" s="343"/>
      <c r="K21" s="343"/>
      <c r="L21" s="343"/>
      <c r="M21" s="343"/>
      <c r="N21" s="339"/>
      <c r="O21" s="340"/>
      <c r="P21" s="341"/>
      <c r="Q21" s="359"/>
      <c r="R21" s="341">
        <f>IF(NOT(ISERROR(MATCH(Q21,_xlfn.ANCHORARRAY(E32),0))),P34&amp;"Por favor no seleccionar los criterios de impacto",Q21)</f>
        <v>0</v>
      </c>
      <c r="S21" s="340"/>
      <c r="T21" s="341"/>
      <c r="U21" s="358"/>
      <c r="V21" s="203">
        <v>3</v>
      </c>
      <c r="W21" s="177"/>
      <c r="X21" s="178" t="str">
        <f>IF(OR(Y21="Preventivo",Y21="Detectivo"),"Probabilidad",IF(Y21="Correctivo","Impacto",""))</f>
        <v/>
      </c>
      <c r="Y21" s="179"/>
      <c r="Z21" s="179"/>
      <c r="AA21" s="180" t="str">
        <f t="shared" si="9"/>
        <v/>
      </c>
      <c r="AB21" s="179"/>
      <c r="AC21" s="179"/>
      <c r="AD21" s="179"/>
      <c r="AE21" s="181" t="str">
        <f>IFERROR(IF(AND(X20="Probabilidad",X21="Probabilidad"),(AG20-(+AG20*AA21)),IF(AND(X20="Impacto",X21="Probabilidad"),(AG19-(+AG19*AA21)),IF(X21="Impacto",AG20,""))),"")</f>
        <v/>
      </c>
      <c r="AF21" s="182" t="str">
        <f t="shared" si="2"/>
        <v/>
      </c>
      <c r="AG21" s="180" t="str">
        <f t="shared" si="10"/>
        <v/>
      </c>
      <c r="AH21" s="182" t="str">
        <f t="shared" si="4"/>
        <v/>
      </c>
      <c r="AI21" s="180" t="str">
        <f t="shared" ref="AI21:AI72" si="13">IFERROR(IF(AND(X20="Impacto",X21="Impacto"),(AI20-(+AI20*AA21)),IF(AND(X20="Probabilidad",X21="Impacto"),(AI19-(+AI19*AA21)),IF(X21="Probabilidad",AI20,""))),"")</f>
        <v/>
      </c>
      <c r="AJ21" s="183" t="str">
        <f t="shared" si="12"/>
        <v/>
      </c>
      <c r="AK21" s="184"/>
      <c r="AL21" s="175"/>
      <c r="AM21" s="185"/>
      <c r="AN21" s="185"/>
      <c r="AO21" s="186"/>
      <c r="AP21" s="339"/>
      <c r="AQ21" s="339"/>
      <c r="AR21" s="339"/>
    </row>
    <row r="22" spans="1:44" ht="37.5" customHeight="1" x14ac:dyDescent="0.2">
      <c r="A22" s="328"/>
      <c r="B22" s="329"/>
      <c r="C22" s="329"/>
      <c r="D22" s="329"/>
      <c r="E22" s="372"/>
      <c r="F22" s="329"/>
      <c r="G22" s="343"/>
      <c r="H22" s="343"/>
      <c r="I22" s="343"/>
      <c r="J22" s="343"/>
      <c r="K22" s="343"/>
      <c r="L22" s="343"/>
      <c r="M22" s="343"/>
      <c r="N22" s="339"/>
      <c r="O22" s="340"/>
      <c r="P22" s="341"/>
      <c r="Q22" s="359"/>
      <c r="R22" s="341">
        <f>IF(NOT(ISERROR(MATCH(Q22,_xlfn.ANCHORARRAY(E33),0))),P35&amp;"Por favor no seleccionar los criterios de impacto",Q22)</f>
        <v>0</v>
      </c>
      <c r="S22" s="340"/>
      <c r="T22" s="341"/>
      <c r="U22" s="358"/>
      <c r="V22" s="203">
        <v>4</v>
      </c>
      <c r="W22" s="176"/>
      <c r="X22" s="178" t="str">
        <f t="shared" ref="X22:X24" si="14">IF(OR(Y22="Preventivo",Y22="Detectivo"),"Probabilidad",IF(Y22="Correctivo","Impacto",""))</f>
        <v/>
      </c>
      <c r="Y22" s="179"/>
      <c r="Z22" s="179"/>
      <c r="AA22" s="180" t="str">
        <f t="shared" si="9"/>
        <v/>
      </c>
      <c r="AB22" s="179"/>
      <c r="AC22" s="179"/>
      <c r="AD22" s="179"/>
      <c r="AE22" s="181" t="str">
        <f t="shared" ref="AE22:AE24" si="15">IFERROR(IF(AND(X21="Probabilidad",X22="Probabilidad"),(AG21-(+AG21*AA22)),IF(AND(X21="Impacto",X22="Probabilidad"),(AG20-(+AG20*AA22)),IF(X22="Impacto",AG21,""))),"")</f>
        <v/>
      </c>
      <c r="AF22" s="182" t="str">
        <f t="shared" si="2"/>
        <v/>
      </c>
      <c r="AG22" s="180" t="str">
        <f t="shared" si="10"/>
        <v/>
      </c>
      <c r="AH22" s="182" t="str">
        <f t="shared" si="4"/>
        <v/>
      </c>
      <c r="AI22" s="180" t="str">
        <f t="shared" si="13"/>
        <v/>
      </c>
      <c r="AJ22" s="183"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84"/>
      <c r="AL22" s="175"/>
      <c r="AM22" s="185"/>
      <c r="AN22" s="185"/>
      <c r="AO22" s="186"/>
      <c r="AP22" s="339"/>
      <c r="AQ22" s="339"/>
      <c r="AR22" s="339"/>
    </row>
    <row r="23" spans="1:44" ht="37.5" customHeight="1" x14ac:dyDescent="0.2">
      <c r="A23" s="328"/>
      <c r="B23" s="329"/>
      <c r="C23" s="329"/>
      <c r="D23" s="329"/>
      <c r="E23" s="372"/>
      <c r="F23" s="329"/>
      <c r="G23" s="343"/>
      <c r="H23" s="343"/>
      <c r="I23" s="343"/>
      <c r="J23" s="343"/>
      <c r="K23" s="343"/>
      <c r="L23" s="343"/>
      <c r="M23" s="343"/>
      <c r="N23" s="339"/>
      <c r="O23" s="340"/>
      <c r="P23" s="341"/>
      <c r="Q23" s="359"/>
      <c r="R23" s="341">
        <f>IF(NOT(ISERROR(MATCH(Q23,_xlfn.ANCHORARRAY(E34),0))),P36&amp;"Por favor no seleccionar los criterios de impacto",Q23)</f>
        <v>0</v>
      </c>
      <c r="S23" s="340"/>
      <c r="T23" s="341"/>
      <c r="U23" s="358"/>
      <c r="V23" s="203">
        <v>5</v>
      </c>
      <c r="W23" s="176"/>
      <c r="X23" s="178" t="str">
        <f t="shared" si="14"/>
        <v/>
      </c>
      <c r="Y23" s="179"/>
      <c r="Z23" s="179"/>
      <c r="AA23" s="180" t="str">
        <f t="shared" si="9"/>
        <v/>
      </c>
      <c r="AB23" s="179"/>
      <c r="AC23" s="179"/>
      <c r="AD23" s="179"/>
      <c r="AE23" s="181" t="str">
        <f t="shared" si="15"/>
        <v/>
      </c>
      <c r="AF23" s="182" t="str">
        <f t="shared" si="2"/>
        <v/>
      </c>
      <c r="AG23" s="180" t="str">
        <f t="shared" si="10"/>
        <v/>
      </c>
      <c r="AH23" s="182" t="str">
        <f t="shared" si="4"/>
        <v/>
      </c>
      <c r="AI23" s="180" t="str">
        <f t="shared" si="13"/>
        <v/>
      </c>
      <c r="AJ23" s="183"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84"/>
      <c r="AL23" s="175"/>
      <c r="AM23" s="185"/>
      <c r="AN23" s="185"/>
      <c r="AO23" s="186"/>
      <c r="AP23" s="339"/>
      <c r="AQ23" s="339"/>
      <c r="AR23" s="339"/>
    </row>
    <row r="24" spans="1:44" ht="37.5" customHeight="1" x14ac:dyDescent="0.2">
      <c r="A24" s="328"/>
      <c r="B24" s="329"/>
      <c r="C24" s="329"/>
      <c r="D24" s="329"/>
      <c r="E24" s="372"/>
      <c r="F24" s="329"/>
      <c r="G24" s="344"/>
      <c r="H24" s="344"/>
      <c r="I24" s="344"/>
      <c r="J24" s="344"/>
      <c r="K24" s="344"/>
      <c r="L24" s="344"/>
      <c r="M24" s="344"/>
      <c r="N24" s="339"/>
      <c r="O24" s="340"/>
      <c r="P24" s="341"/>
      <c r="Q24" s="359"/>
      <c r="R24" s="341">
        <f>IF(NOT(ISERROR(MATCH(Q24,_xlfn.ANCHORARRAY(E35),0))),P37&amp;"Por favor no seleccionar los criterios de impacto",Q24)</f>
        <v>0</v>
      </c>
      <c r="S24" s="340"/>
      <c r="T24" s="341"/>
      <c r="U24" s="358"/>
      <c r="V24" s="203">
        <v>6</v>
      </c>
      <c r="W24" s="176"/>
      <c r="X24" s="178" t="str">
        <f t="shared" si="14"/>
        <v/>
      </c>
      <c r="Y24" s="179"/>
      <c r="Z24" s="179"/>
      <c r="AA24" s="180" t="str">
        <f t="shared" si="9"/>
        <v/>
      </c>
      <c r="AB24" s="179"/>
      <c r="AC24" s="179"/>
      <c r="AD24" s="179"/>
      <c r="AE24" s="181" t="str">
        <f t="shared" si="15"/>
        <v/>
      </c>
      <c r="AF24" s="182" t="str">
        <f t="shared" si="2"/>
        <v/>
      </c>
      <c r="AG24" s="180" t="str">
        <f t="shared" si="10"/>
        <v/>
      </c>
      <c r="AH24" s="182" t="str">
        <f t="shared" si="4"/>
        <v/>
      </c>
      <c r="AI24" s="180" t="str">
        <f t="shared" si="13"/>
        <v/>
      </c>
      <c r="AJ24" s="183" t="str">
        <f t="shared" si="16"/>
        <v/>
      </c>
      <c r="AK24" s="184"/>
      <c r="AL24" s="175"/>
      <c r="AM24" s="185"/>
      <c r="AN24" s="185"/>
      <c r="AO24" s="186"/>
      <c r="AP24" s="339"/>
      <c r="AQ24" s="339"/>
      <c r="AR24" s="339"/>
    </row>
    <row r="25" spans="1:44" ht="37.5" customHeight="1" x14ac:dyDescent="0.2">
      <c r="A25" s="328">
        <v>3</v>
      </c>
      <c r="B25" s="329"/>
      <c r="C25" s="329"/>
      <c r="D25" s="329"/>
      <c r="E25" s="372"/>
      <c r="F25" s="329"/>
      <c r="G25" s="342"/>
      <c r="H25" s="342"/>
      <c r="I25" s="342"/>
      <c r="J25" s="342"/>
      <c r="K25" s="342"/>
      <c r="L25" s="342"/>
      <c r="M25" s="342"/>
      <c r="N25" s="339"/>
      <c r="O25" s="340" t="str">
        <f>IF(N25&lt;=0,"",IF(N25&lt;=2,"Muy Baja",IF(N25&lt;=24,"Baja",IF(N25&lt;=500,"Media",IF(N25&lt;=5000,"Alta","Muy Alta")))))</f>
        <v/>
      </c>
      <c r="P25" s="341" t="str">
        <f>IF(O25="","",IF(O25="Muy Baja",0.2,IF(O25="Baja",0.4,IF(O25="Media",0.6,IF(O25="Alta",0.8,IF(O25="Muy Alta",1,))))))</f>
        <v/>
      </c>
      <c r="Q25" s="359"/>
      <c r="R25" s="341">
        <f>IF(NOT(ISERROR(MATCH(Q25,'Tabla Impacto'!$B$222:$B$224,0))),'Tabla Impacto'!$F$224&amp;"Por favor no seleccionar los criterios de impacto(Afectación Económica o presupuestal y Pérdida Reputacional)",Q25)</f>
        <v>0</v>
      </c>
      <c r="S25" s="340" t="str">
        <f>IF(OR(R25='Tabla Impacto'!$C$12,R25='Tabla Impacto'!$D$12),"Leve",IF(OR(R25='Tabla Impacto'!$C$13,R25='Tabla Impacto'!$D$13),"Menor",IF(OR(R25='Tabla Impacto'!$C$14,R25='Tabla Impacto'!$D$14),"Moderado",IF(OR(R25='Tabla Impacto'!$C$15,R25='Tabla Impacto'!$D$15),"Mayor",IF(OR(R25='Tabla Impacto'!$C$16,R25='Tabla Impacto'!$D$16),"Catastrófico","")))))</f>
        <v/>
      </c>
      <c r="T25" s="341" t="str">
        <f>IF(S25="","",IF(S25="Leve",0.2,IF(S25="Menor",0.4,IF(S25="Moderado",0.6,IF(S25="Mayor",0.8,IF(S25="Catastrófico",1,))))))</f>
        <v/>
      </c>
      <c r="U25" s="358"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03">
        <v>1</v>
      </c>
      <c r="W25" s="176"/>
      <c r="X25" s="178" t="str">
        <f>IF(OR(Y25="Preventivo",Y25="Detectivo"),"Probabilidad",IF(Y25="Correctivo","Impacto",""))</f>
        <v/>
      </c>
      <c r="Y25" s="179"/>
      <c r="Z25" s="179"/>
      <c r="AA25" s="180" t="str">
        <f>IF(AND(Y25="Preventivo",Z25="Automático"),"50%",IF(AND(Y25="Preventivo",Z25="Manual"),"40%",IF(AND(Y25="Detectivo",Z25="Automático"),"40%",IF(AND(Y25="Detectivo",Z25="Manual"),"30%",IF(AND(Y25="Correctivo",Z25="Automático"),"35%",IF(AND(Y25="Correctivo",Z25="Manual"),"25%",""))))))</f>
        <v/>
      </c>
      <c r="AB25" s="179"/>
      <c r="AC25" s="179"/>
      <c r="AD25" s="179"/>
      <c r="AE25" s="181" t="str">
        <f>IFERROR(IF(X25="Probabilidad",(P25-(+P25*AA25)),IF(X25="Impacto",P25,"")),"")</f>
        <v/>
      </c>
      <c r="AF25" s="182" t="str">
        <f>IFERROR(IF(AE25="","",IF(AE25&lt;=0.2,"Muy Baja",IF(AE25&lt;=0.4,"Baja",IF(AE25&lt;=0.6,"Media",IF(AE25&lt;=0.8,"Alta","Muy Alta"))))),"")</f>
        <v/>
      </c>
      <c r="AG25" s="180" t="str">
        <f>+AE25</f>
        <v/>
      </c>
      <c r="AH25" s="182" t="str">
        <f>IFERROR(IF(AI25="","",IF(AI25&lt;=0.2,"Leve",IF(AI25&lt;=0.4,"Menor",IF(AI25&lt;=0.6,"Moderado",IF(AI25&lt;=0.8,"Mayor","Catastrófico"))))),"")</f>
        <v/>
      </c>
      <c r="AI25" s="180" t="str">
        <f t="shared" ref="AI25" si="17">IFERROR(IF(X25="Impacto",(T25-(+T25*AA25)),IF(X25="Probabilidad",T25,"")),"")</f>
        <v/>
      </c>
      <c r="AJ25" s="183"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84"/>
      <c r="AL25" s="175"/>
      <c r="AM25" s="185"/>
      <c r="AN25" s="185"/>
      <c r="AO25" s="186"/>
      <c r="AP25" s="339"/>
      <c r="AQ25" s="339"/>
      <c r="AR25" s="339"/>
    </row>
    <row r="26" spans="1:44" ht="37.5" customHeight="1" x14ac:dyDescent="0.2">
      <c r="A26" s="328"/>
      <c r="B26" s="329"/>
      <c r="C26" s="329"/>
      <c r="D26" s="329"/>
      <c r="E26" s="372"/>
      <c r="F26" s="329"/>
      <c r="G26" s="343"/>
      <c r="H26" s="343"/>
      <c r="I26" s="343"/>
      <c r="J26" s="343"/>
      <c r="K26" s="343"/>
      <c r="L26" s="343"/>
      <c r="M26" s="343"/>
      <c r="N26" s="339"/>
      <c r="O26" s="340"/>
      <c r="P26" s="341"/>
      <c r="Q26" s="359"/>
      <c r="R26" s="341">
        <f>IF(NOT(ISERROR(MATCH(Q26,_xlfn.ANCHORARRAY(E37),0))),P39&amp;"Por favor no seleccionar los criterios de impacto",Q26)</f>
        <v>0</v>
      </c>
      <c r="S26" s="340"/>
      <c r="T26" s="341"/>
      <c r="U26" s="358"/>
      <c r="V26" s="203">
        <v>2</v>
      </c>
      <c r="W26" s="176"/>
      <c r="X26" s="178" t="str">
        <f>IF(OR(Y26="Preventivo",Y26="Detectivo"),"Probabilidad",IF(Y26="Correctivo","Impacto",""))</f>
        <v/>
      </c>
      <c r="Y26" s="179"/>
      <c r="Z26" s="179"/>
      <c r="AA26" s="180" t="str">
        <f t="shared" ref="AA26:AA30" si="18">IF(AND(Y26="Preventivo",Z26="Automático"),"50%",IF(AND(Y26="Preventivo",Z26="Manual"),"40%",IF(AND(Y26="Detectivo",Z26="Automático"),"40%",IF(AND(Y26="Detectivo",Z26="Manual"),"30%",IF(AND(Y26="Correctivo",Z26="Automático"),"35%",IF(AND(Y26="Correctivo",Z26="Manual"),"25%",""))))))</f>
        <v/>
      </c>
      <c r="AB26" s="179"/>
      <c r="AC26" s="179"/>
      <c r="AD26" s="179"/>
      <c r="AE26" s="181" t="str">
        <f>IFERROR(IF(AND(X25="Probabilidad",X26="Probabilidad"),(AG25-(+AG25*AA26)),IF(X26="Probabilidad",(P25-(+P25*AA26)),IF(X26="Impacto",AG25,""))),"")</f>
        <v/>
      </c>
      <c r="AF26" s="182" t="str">
        <f t="shared" si="2"/>
        <v/>
      </c>
      <c r="AG26" s="180" t="str">
        <f t="shared" ref="AG26:AG30" si="19">+AE26</f>
        <v/>
      </c>
      <c r="AH26" s="182" t="str">
        <f t="shared" si="4"/>
        <v/>
      </c>
      <c r="AI26" s="180" t="str">
        <f t="shared" ref="AI26" si="20">IFERROR(IF(AND(X25="Impacto",X26="Impacto"),(AI25-(+AI25*AA26)),IF(X26="Impacto",($T$13-(+$T$13*AA26)),IF(X26="Probabilidad",AI25,""))),"")</f>
        <v/>
      </c>
      <c r="AJ26" s="183"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84"/>
      <c r="AL26" s="175"/>
      <c r="AM26" s="185"/>
      <c r="AN26" s="185"/>
      <c r="AO26" s="186"/>
      <c r="AP26" s="339"/>
      <c r="AQ26" s="339"/>
      <c r="AR26" s="339"/>
    </row>
    <row r="27" spans="1:44" ht="37.5" customHeight="1" x14ac:dyDescent="0.2">
      <c r="A27" s="328"/>
      <c r="B27" s="329"/>
      <c r="C27" s="329"/>
      <c r="D27" s="329"/>
      <c r="E27" s="372"/>
      <c r="F27" s="329"/>
      <c r="G27" s="343"/>
      <c r="H27" s="343"/>
      <c r="I27" s="343"/>
      <c r="J27" s="343"/>
      <c r="K27" s="343"/>
      <c r="L27" s="343"/>
      <c r="M27" s="343"/>
      <c r="N27" s="339"/>
      <c r="O27" s="340"/>
      <c r="P27" s="341"/>
      <c r="Q27" s="359"/>
      <c r="R27" s="341">
        <f>IF(NOT(ISERROR(MATCH(Q27,_xlfn.ANCHORARRAY(E38),0))),P40&amp;"Por favor no seleccionar los criterios de impacto",Q27)</f>
        <v>0</v>
      </c>
      <c r="S27" s="340"/>
      <c r="T27" s="341"/>
      <c r="U27" s="358"/>
      <c r="V27" s="203">
        <v>3</v>
      </c>
      <c r="W27" s="176"/>
      <c r="X27" s="178" t="str">
        <f>IF(OR(Y27="Preventivo",Y27="Detectivo"),"Probabilidad",IF(Y27="Correctivo","Impacto",""))</f>
        <v/>
      </c>
      <c r="Y27" s="179"/>
      <c r="Z27" s="179"/>
      <c r="AA27" s="180" t="str">
        <f t="shared" si="18"/>
        <v/>
      </c>
      <c r="AB27" s="179"/>
      <c r="AC27" s="179"/>
      <c r="AD27" s="179"/>
      <c r="AE27" s="181" t="str">
        <f>IFERROR(IF(AND(X26="Probabilidad",X27="Probabilidad"),(AG26-(+AG26*AA27)),IF(AND(X26="Impacto",X27="Probabilidad"),(AG25-(+AG25*AA27)),IF(X27="Impacto",AG26,""))),"")</f>
        <v/>
      </c>
      <c r="AF27" s="182" t="str">
        <f t="shared" si="2"/>
        <v/>
      </c>
      <c r="AG27" s="180" t="str">
        <f t="shared" si="19"/>
        <v/>
      </c>
      <c r="AH27" s="182" t="str">
        <f t="shared" si="4"/>
        <v/>
      </c>
      <c r="AI27" s="180" t="str">
        <f t="shared" ref="AI27" si="22">IFERROR(IF(AND(X26="Impacto",X27="Impacto"),(AI26-(+AI26*AA27)),IF(AND(X26="Probabilidad",X27="Impacto"),(AI25-(+AI25*AA27)),IF(X27="Probabilidad",AI26,""))),"")</f>
        <v/>
      </c>
      <c r="AJ27" s="183" t="str">
        <f t="shared" si="21"/>
        <v/>
      </c>
      <c r="AK27" s="184"/>
      <c r="AL27" s="175"/>
      <c r="AM27" s="185"/>
      <c r="AN27" s="185"/>
      <c r="AO27" s="186"/>
      <c r="AP27" s="339"/>
      <c r="AQ27" s="339"/>
      <c r="AR27" s="339"/>
    </row>
    <row r="28" spans="1:44" ht="37.5" customHeight="1" x14ac:dyDescent="0.2">
      <c r="A28" s="328"/>
      <c r="B28" s="329"/>
      <c r="C28" s="329"/>
      <c r="D28" s="329"/>
      <c r="E28" s="372"/>
      <c r="F28" s="329"/>
      <c r="G28" s="343"/>
      <c r="H28" s="343"/>
      <c r="I28" s="343"/>
      <c r="J28" s="343"/>
      <c r="K28" s="343"/>
      <c r="L28" s="343"/>
      <c r="M28" s="343"/>
      <c r="N28" s="339"/>
      <c r="O28" s="340"/>
      <c r="P28" s="341"/>
      <c r="Q28" s="359"/>
      <c r="R28" s="341">
        <f>IF(NOT(ISERROR(MATCH(Q28,_xlfn.ANCHORARRAY(E39),0))),P41&amp;"Por favor no seleccionar los criterios de impacto",Q28)</f>
        <v>0</v>
      </c>
      <c r="S28" s="340"/>
      <c r="T28" s="341"/>
      <c r="U28" s="358"/>
      <c r="V28" s="203">
        <v>4</v>
      </c>
      <c r="W28" s="176"/>
      <c r="X28" s="178" t="str">
        <f t="shared" ref="X28:X30" si="23">IF(OR(Y28="Preventivo",Y28="Detectivo"),"Probabilidad",IF(Y28="Correctivo","Impacto",""))</f>
        <v/>
      </c>
      <c r="Y28" s="179"/>
      <c r="Z28" s="179"/>
      <c r="AA28" s="180" t="str">
        <f t="shared" si="18"/>
        <v/>
      </c>
      <c r="AB28" s="179"/>
      <c r="AC28" s="179"/>
      <c r="AD28" s="179"/>
      <c r="AE28" s="181" t="str">
        <f t="shared" ref="AE28:AE30" si="24">IFERROR(IF(AND(X27="Probabilidad",X28="Probabilidad"),(AG27-(+AG27*AA28)),IF(AND(X27="Impacto",X28="Probabilidad"),(AG26-(+AG26*AA28)),IF(X28="Impacto",AG27,""))),"")</f>
        <v/>
      </c>
      <c r="AF28" s="182" t="str">
        <f t="shared" si="2"/>
        <v/>
      </c>
      <c r="AG28" s="180" t="str">
        <f t="shared" si="19"/>
        <v/>
      </c>
      <c r="AH28" s="182" t="str">
        <f t="shared" si="4"/>
        <v/>
      </c>
      <c r="AI28" s="180" t="str">
        <f t="shared" si="13"/>
        <v/>
      </c>
      <c r="AJ28" s="183"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84"/>
      <c r="AL28" s="175"/>
      <c r="AM28" s="185"/>
      <c r="AN28" s="185"/>
      <c r="AO28" s="186"/>
      <c r="AP28" s="339"/>
      <c r="AQ28" s="339"/>
      <c r="AR28" s="339"/>
    </row>
    <row r="29" spans="1:44" ht="37.5" customHeight="1" x14ac:dyDescent="0.2">
      <c r="A29" s="328"/>
      <c r="B29" s="329"/>
      <c r="C29" s="329"/>
      <c r="D29" s="329"/>
      <c r="E29" s="372"/>
      <c r="F29" s="329"/>
      <c r="G29" s="343"/>
      <c r="H29" s="343"/>
      <c r="I29" s="343"/>
      <c r="J29" s="343"/>
      <c r="K29" s="343"/>
      <c r="L29" s="343"/>
      <c r="M29" s="343"/>
      <c r="N29" s="339"/>
      <c r="O29" s="340"/>
      <c r="P29" s="341"/>
      <c r="Q29" s="359"/>
      <c r="R29" s="341">
        <f>IF(NOT(ISERROR(MATCH(Q29,_xlfn.ANCHORARRAY(E40),0))),P42&amp;"Por favor no seleccionar los criterios de impacto",Q29)</f>
        <v>0</v>
      </c>
      <c r="S29" s="340"/>
      <c r="T29" s="341"/>
      <c r="U29" s="358"/>
      <c r="V29" s="203">
        <v>5</v>
      </c>
      <c r="W29" s="176"/>
      <c r="X29" s="178" t="str">
        <f t="shared" si="23"/>
        <v/>
      </c>
      <c r="Y29" s="179"/>
      <c r="Z29" s="179"/>
      <c r="AA29" s="180" t="str">
        <f t="shared" si="18"/>
        <v/>
      </c>
      <c r="AB29" s="179"/>
      <c r="AC29" s="179"/>
      <c r="AD29" s="179"/>
      <c r="AE29" s="181" t="str">
        <f t="shared" si="24"/>
        <v/>
      </c>
      <c r="AF29" s="182" t="str">
        <f t="shared" si="2"/>
        <v/>
      </c>
      <c r="AG29" s="180" t="str">
        <f t="shared" si="19"/>
        <v/>
      </c>
      <c r="AH29" s="182" t="str">
        <f t="shared" si="4"/>
        <v/>
      </c>
      <c r="AI29" s="180" t="str">
        <f t="shared" si="13"/>
        <v/>
      </c>
      <c r="AJ29" s="183"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84"/>
      <c r="AL29" s="175"/>
      <c r="AM29" s="185"/>
      <c r="AN29" s="185"/>
      <c r="AO29" s="186"/>
      <c r="AP29" s="339"/>
      <c r="AQ29" s="339"/>
      <c r="AR29" s="339"/>
    </row>
    <row r="30" spans="1:44" ht="37.5" customHeight="1" x14ac:dyDescent="0.2">
      <c r="A30" s="328"/>
      <c r="B30" s="329"/>
      <c r="C30" s="329"/>
      <c r="D30" s="329"/>
      <c r="E30" s="372"/>
      <c r="F30" s="329"/>
      <c r="G30" s="344"/>
      <c r="H30" s="344"/>
      <c r="I30" s="344"/>
      <c r="J30" s="344"/>
      <c r="K30" s="344"/>
      <c r="L30" s="344"/>
      <c r="M30" s="344"/>
      <c r="N30" s="339"/>
      <c r="O30" s="340"/>
      <c r="P30" s="341"/>
      <c r="Q30" s="359"/>
      <c r="R30" s="341">
        <f>IF(NOT(ISERROR(MATCH(Q30,_xlfn.ANCHORARRAY(E41),0))),P43&amp;"Por favor no seleccionar los criterios de impacto",Q30)</f>
        <v>0</v>
      </c>
      <c r="S30" s="340"/>
      <c r="T30" s="341"/>
      <c r="U30" s="358"/>
      <c r="V30" s="203">
        <v>6</v>
      </c>
      <c r="W30" s="176"/>
      <c r="X30" s="178" t="str">
        <f t="shared" si="23"/>
        <v/>
      </c>
      <c r="Y30" s="179"/>
      <c r="Z30" s="179"/>
      <c r="AA30" s="180" t="str">
        <f t="shared" si="18"/>
        <v/>
      </c>
      <c r="AB30" s="179"/>
      <c r="AC30" s="179"/>
      <c r="AD30" s="179"/>
      <c r="AE30" s="181" t="str">
        <f t="shared" si="24"/>
        <v/>
      </c>
      <c r="AF30" s="182" t="str">
        <f t="shared" si="2"/>
        <v/>
      </c>
      <c r="AG30" s="180" t="str">
        <f t="shared" si="19"/>
        <v/>
      </c>
      <c r="AH30" s="182" t="str">
        <f t="shared" si="4"/>
        <v/>
      </c>
      <c r="AI30" s="180" t="str">
        <f t="shared" si="13"/>
        <v/>
      </c>
      <c r="AJ30" s="183" t="str">
        <f t="shared" si="25"/>
        <v/>
      </c>
      <c r="AK30" s="184"/>
      <c r="AL30" s="175"/>
      <c r="AM30" s="185"/>
      <c r="AN30" s="185"/>
      <c r="AO30" s="186"/>
      <c r="AP30" s="339"/>
      <c r="AQ30" s="339"/>
      <c r="AR30" s="339"/>
    </row>
    <row r="31" spans="1:44" ht="37.5" customHeight="1" x14ac:dyDescent="0.2">
      <c r="A31" s="328">
        <v>4</v>
      </c>
      <c r="B31" s="329"/>
      <c r="C31" s="329"/>
      <c r="D31" s="329"/>
      <c r="E31" s="329"/>
      <c r="F31" s="329"/>
      <c r="G31" s="342"/>
      <c r="H31" s="342"/>
      <c r="I31" s="342"/>
      <c r="J31" s="342"/>
      <c r="K31" s="342"/>
      <c r="L31" s="342"/>
      <c r="M31" s="342"/>
      <c r="N31" s="339"/>
      <c r="O31" s="340" t="str">
        <f>IF(N31&lt;=0,"",IF(N31&lt;=2,"Muy Baja",IF(N31&lt;=24,"Baja",IF(N31&lt;=500,"Media",IF(N31&lt;=5000,"Alta","Muy Alta")))))</f>
        <v/>
      </c>
      <c r="P31" s="341" t="str">
        <f>IF(O31="","",IF(O31="Muy Baja",0.2,IF(O31="Baja",0.4,IF(O31="Media",0.6,IF(O31="Alta",0.8,IF(O31="Muy Alta",1,))))))</f>
        <v/>
      </c>
      <c r="Q31" s="359"/>
      <c r="R31" s="341">
        <f>IF(NOT(ISERROR(MATCH(Q31,'Tabla Impacto'!$B$222:$B$224,0))),'Tabla Impacto'!$F$224&amp;"Por favor no seleccionar los criterios de impacto(Afectación Económica o presupuestal y Pérdida Reputacional)",Q31)</f>
        <v>0</v>
      </c>
      <c r="S31" s="340" t="str">
        <f>IF(OR(R31='Tabla Impacto'!$C$12,R31='Tabla Impacto'!$D$12),"Leve",IF(OR(R31='Tabla Impacto'!$C$13,R31='Tabla Impacto'!$D$13),"Menor",IF(OR(R31='Tabla Impacto'!$C$14,R31='Tabla Impacto'!$D$14),"Moderado",IF(OR(R31='Tabla Impacto'!$C$15,R31='Tabla Impacto'!$D$15),"Mayor",IF(OR(R31='Tabla Impacto'!$C$16,R31='Tabla Impacto'!$D$16),"Catastrófico","")))))</f>
        <v/>
      </c>
      <c r="T31" s="341" t="str">
        <f>IF(S31="","",IF(S31="Leve",0.2,IF(S31="Menor",0.4,IF(S31="Moderado",0.6,IF(S31="Mayor",0.8,IF(S31="Catastrófico",1,))))))</f>
        <v/>
      </c>
      <c r="U31" s="358"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03">
        <v>1</v>
      </c>
      <c r="W31" s="176"/>
      <c r="X31" s="178" t="str">
        <f>IF(OR(Y31="Preventivo",Y31="Detectivo"),"Probabilidad",IF(Y31="Correctivo","Impacto",""))</f>
        <v/>
      </c>
      <c r="Y31" s="179"/>
      <c r="Z31" s="179"/>
      <c r="AA31" s="180" t="str">
        <f>IF(AND(Y31="Preventivo",Z31="Automático"),"50%",IF(AND(Y31="Preventivo",Z31="Manual"),"40%",IF(AND(Y31="Detectivo",Z31="Automático"),"40%",IF(AND(Y31="Detectivo",Z31="Manual"),"30%",IF(AND(Y31="Correctivo",Z31="Automático"),"35%",IF(AND(Y31="Correctivo",Z31="Manual"),"25%",""))))))</f>
        <v/>
      </c>
      <c r="AB31" s="179"/>
      <c r="AC31" s="179"/>
      <c r="AD31" s="179"/>
      <c r="AE31" s="181" t="str">
        <f>IFERROR(IF(X31="Probabilidad",(P31-(+P31*AA31)),IF(X31="Impacto",P31,"")),"")</f>
        <v/>
      </c>
      <c r="AF31" s="182" t="str">
        <f>IFERROR(IF(AE31="","",IF(AE31&lt;=0.2,"Muy Baja",IF(AE31&lt;=0.4,"Baja",IF(AE31&lt;=0.6,"Media",IF(AE31&lt;=0.8,"Alta","Muy Alta"))))),"")</f>
        <v/>
      </c>
      <c r="AG31" s="180" t="str">
        <f>+AE31</f>
        <v/>
      </c>
      <c r="AH31" s="182" t="str">
        <f>IFERROR(IF(AI31="","",IF(AI31&lt;=0.2,"Leve",IF(AI31&lt;=0.4,"Menor",IF(AI31&lt;=0.6,"Moderado",IF(AI31&lt;=0.8,"Mayor","Catastrófico"))))),"")</f>
        <v/>
      </c>
      <c r="AI31" s="180" t="str">
        <f t="shared" ref="AI31" si="26">IFERROR(IF(X31="Impacto",(T31-(+T31*AA31)),IF(X31="Probabilidad",T31,"")),"")</f>
        <v/>
      </c>
      <c r="AJ31" s="183"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84"/>
      <c r="AL31" s="175"/>
      <c r="AM31" s="185"/>
      <c r="AN31" s="185"/>
      <c r="AO31" s="186"/>
      <c r="AP31" s="339"/>
      <c r="AQ31" s="339"/>
      <c r="AR31" s="339"/>
    </row>
    <row r="32" spans="1:44" ht="37.5" customHeight="1" x14ac:dyDescent="0.2">
      <c r="A32" s="328"/>
      <c r="B32" s="329"/>
      <c r="C32" s="329"/>
      <c r="D32" s="329"/>
      <c r="E32" s="329"/>
      <c r="F32" s="329"/>
      <c r="G32" s="343"/>
      <c r="H32" s="343"/>
      <c r="I32" s="343"/>
      <c r="J32" s="343"/>
      <c r="K32" s="343"/>
      <c r="L32" s="343"/>
      <c r="M32" s="343"/>
      <c r="N32" s="339"/>
      <c r="O32" s="340"/>
      <c r="P32" s="341"/>
      <c r="Q32" s="359"/>
      <c r="R32" s="341">
        <f>IF(NOT(ISERROR(MATCH(Q32,_xlfn.ANCHORARRAY(E43),0))),P45&amp;"Por favor no seleccionar los criterios de impacto",Q32)</f>
        <v>0</v>
      </c>
      <c r="S32" s="340"/>
      <c r="T32" s="341"/>
      <c r="U32" s="358"/>
      <c r="V32" s="203">
        <v>2</v>
      </c>
      <c r="W32" s="176"/>
      <c r="X32" s="178" t="str">
        <f>IF(OR(Y32="Preventivo",Y32="Detectivo"),"Probabilidad",IF(Y32="Correctivo","Impacto",""))</f>
        <v/>
      </c>
      <c r="Y32" s="179"/>
      <c r="Z32" s="179"/>
      <c r="AA32" s="180" t="str">
        <f t="shared" ref="AA32:AA36" si="27">IF(AND(Y32="Preventivo",Z32="Automático"),"50%",IF(AND(Y32="Preventivo",Z32="Manual"),"40%",IF(AND(Y32="Detectivo",Z32="Automático"),"40%",IF(AND(Y32="Detectivo",Z32="Manual"),"30%",IF(AND(Y32="Correctivo",Z32="Automático"),"35%",IF(AND(Y32="Correctivo",Z32="Manual"),"25%",""))))))</f>
        <v/>
      </c>
      <c r="AB32" s="179"/>
      <c r="AC32" s="179"/>
      <c r="AD32" s="179"/>
      <c r="AE32" s="181" t="str">
        <f>IFERROR(IF(AND(X31="Probabilidad",X32="Probabilidad"),(AG31-(+AG31*AA32)),IF(X32="Probabilidad",(P31-(+P31*AA32)),IF(X32="Impacto",AG31,""))),"")</f>
        <v/>
      </c>
      <c r="AF32" s="182" t="str">
        <f t="shared" si="2"/>
        <v/>
      </c>
      <c r="AG32" s="180" t="str">
        <f t="shared" ref="AG32:AG36" si="28">+AE32</f>
        <v/>
      </c>
      <c r="AH32" s="182" t="str">
        <f t="shared" si="4"/>
        <v/>
      </c>
      <c r="AI32" s="180" t="str">
        <f t="shared" ref="AI32" si="29">IFERROR(IF(AND(X31="Impacto",X32="Impacto"),(AI31-(+AI31*AA32)),IF(X32="Impacto",($T$13-(+$T$13*AA32)),IF(X32="Probabilidad",AI31,""))),"")</f>
        <v/>
      </c>
      <c r="AJ32" s="183"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84"/>
      <c r="AL32" s="175"/>
      <c r="AM32" s="185"/>
      <c r="AN32" s="185"/>
      <c r="AO32" s="186"/>
      <c r="AP32" s="339"/>
      <c r="AQ32" s="339"/>
      <c r="AR32" s="339"/>
    </row>
    <row r="33" spans="1:44" ht="37.5" customHeight="1" x14ac:dyDescent="0.2">
      <c r="A33" s="328"/>
      <c r="B33" s="329"/>
      <c r="C33" s="329"/>
      <c r="D33" s="329"/>
      <c r="E33" s="329"/>
      <c r="F33" s="329"/>
      <c r="G33" s="343"/>
      <c r="H33" s="343"/>
      <c r="I33" s="343"/>
      <c r="J33" s="343"/>
      <c r="K33" s="343"/>
      <c r="L33" s="343"/>
      <c r="M33" s="343"/>
      <c r="N33" s="339"/>
      <c r="O33" s="340"/>
      <c r="P33" s="341"/>
      <c r="Q33" s="359"/>
      <c r="R33" s="341">
        <f>IF(NOT(ISERROR(MATCH(Q33,_xlfn.ANCHORARRAY(E44),0))),P46&amp;"Por favor no seleccionar los criterios de impacto",Q33)</f>
        <v>0</v>
      </c>
      <c r="S33" s="340"/>
      <c r="T33" s="341"/>
      <c r="U33" s="358"/>
      <c r="V33" s="203">
        <v>3</v>
      </c>
      <c r="W33" s="177"/>
      <c r="X33" s="178" t="str">
        <f>IF(OR(Y33="Preventivo",Y33="Detectivo"),"Probabilidad",IF(Y33="Correctivo","Impacto",""))</f>
        <v/>
      </c>
      <c r="Y33" s="179"/>
      <c r="Z33" s="179"/>
      <c r="AA33" s="180" t="str">
        <f t="shared" si="27"/>
        <v/>
      </c>
      <c r="AB33" s="179"/>
      <c r="AC33" s="179"/>
      <c r="AD33" s="179"/>
      <c r="AE33" s="181" t="str">
        <f>IFERROR(IF(AND(X32="Probabilidad",X33="Probabilidad"),(AG32-(+AG32*AA33)),IF(AND(X32="Impacto",X33="Probabilidad"),(AG31-(+AG31*AA33)),IF(X33="Impacto",AG32,""))),"")</f>
        <v/>
      </c>
      <c r="AF33" s="182" t="str">
        <f t="shared" si="2"/>
        <v/>
      </c>
      <c r="AG33" s="180" t="str">
        <f t="shared" si="28"/>
        <v/>
      </c>
      <c r="AH33" s="182" t="str">
        <f t="shared" si="4"/>
        <v/>
      </c>
      <c r="AI33" s="180" t="str">
        <f t="shared" ref="AI33" si="31">IFERROR(IF(AND(X32="Impacto",X33="Impacto"),(AI32-(+AI32*AA33)),IF(AND(X32="Probabilidad",X33="Impacto"),(AI31-(+AI31*AA33)),IF(X33="Probabilidad",AI32,""))),"")</f>
        <v/>
      </c>
      <c r="AJ33" s="183" t="str">
        <f t="shared" si="30"/>
        <v/>
      </c>
      <c r="AK33" s="184"/>
      <c r="AL33" s="175"/>
      <c r="AM33" s="185"/>
      <c r="AN33" s="185"/>
      <c r="AO33" s="186"/>
      <c r="AP33" s="339"/>
      <c r="AQ33" s="339"/>
      <c r="AR33" s="339"/>
    </row>
    <row r="34" spans="1:44" ht="37.5" customHeight="1" x14ac:dyDescent="0.2">
      <c r="A34" s="328"/>
      <c r="B34" s="329"/>
      <c r="C34" s="329"/>
      <c r="D34" s="329"/>
      <c r="E34" s="329"/>
      <c r="F34" s="329"/>
      <c r="G34" s="343"/>
      <c r="H34" s="343"/>
      <c r="I34" s="343"/>
      <c r="J34" s="343"/>
      <c r="K34" s="343"/>
      <c r="L34" s="343"/>
      <c r="M34" s="343"/>
      <c r="N34" s="339"/>
      <c r="O34" s="340"/>
      <c r="P34" s="341"/>
      <c r="Q34" s="359"/>
      <c r="R34" s="341">
        <f>IF(NOT(ISERROR(MATCH(Q34,_xlfn.ANCHORARRAY(E45),0))),P47&amp;"Por favor no seleccionar los criterios de impacto",Q34)</f>
        <v>0</v>
      </c>
      <c r="S34" s="340"/>
      <c r="T34" s="341"/>
      <c r="U34" s="358"/>
      <c r="V34" s="203">
        <v>4</v>
      </c>
      <c r="W34" s="176"/>
      <c r="X34" s="178" t="str">
        <f t="shared" ref="X34:X36" si="32">IF(OR(Y34="Preventivo",Y34="Detectivo"),"Probabilidad",IF(Y34="Correctivo","Impacto",""))</f>
        <v/>
      </c>
      <c r="Y34" s="179"/>
      <c r="Z34" s="179"/>
      <c r="AA34" s="180" t="str">
        <f t="shared" si="27"/>
        <v/>
      </c>
      <c r="AB34" s="179"/>
      <c r="AC34" s="179"/>
      <c r="AD34" s="179"/>
      <c r="AE34" s="181" t="str">
        <f t="shared" ref="AE34:AE36" si="33">IFERROR(IF(AND(X33="Probabilidad",X34="Probabilidad"),(AG33-(+AG33*AA34)),IF(AND(X33="Impacto",X34="Probabilidad"),(AG32-(+AG32*AA34)),IF(X34="Impacto",AG33,""))),"")</f>
        <v/>
      </c>
      <c r="AF34" s="182" t="str">
        <f t="shared" si="2"/>
        <v/>
      </c>
      <c r="AG34" s="180" t="str">
        <f t="shared" si="28"/>
        <v/>
      </c>
      <c r="AH34" s="182" t="str">
        <f t="shared" si="4"/>
        <v/>
      </c>
      <c r="AI34" s="180" t="str">
        <f t="shared" si="13"/>
        <v/>
      </c>
      <c r="AJ34" s="183"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84"/>
      <c r="AL34" s="175"/>
      <c r="AM34" s="185"/>
      <c r="AN34" s="185"/>
      <c r="AO34" s="186"/>
      <c r="AP34" s="339"/>
      <c r="AQ34" s="339"/>
      <c r="AR34" s="339"/>
    </row>
    <row r="35" spans="1:44" ht="37.5" customHeight="1" x14ac:dyDescent="0.2">
      <c r="A35" s="328"/>
      <c r="B35" s="329"/>
      <c r="C35" s="329"/>
      <c r="D35" s="329"/>
      <c r="E35" s="329"/>
      <c r="F35" s="329"/>
      <c r="G35" s="343"/>
      <c r="H35" s="343"/>
      <c r="I35" s="343"/>
      <c r="J35" s="343"/>
      <c r="K35" s="343"/>
      <c r="L35" s="343"/>
      <c r="M35" s="343"/>
      <c r="N35" s="339"/>
      <c r="O35" s="340"/>
      <c r="P35" s="341"/>
      <c r="Q35" s="359"/>
      <c r="R35" s="341">
        <f>IF(NOT(ISERROR(MATCH(Q35,_xlfn.ANCHORARRAY(E46),0))),P48&amp;"Por favor no seleccionar los criterios de impacto",Q35)</f>
        <v>0</v>
      </c>
      <c r="S35" s="340"/>
      <c r="T35" s="341"/>
      <c r="U35" s="358"/>
      <c r="V35" s="203">
        <v>5</v>
      </c>
      <c r="W35" s="176"/>
      <c r="X35" s="178" t="str">
        <f t="shared" si="32"/>
        <v/>
      </c>
      <c r="Y35" s="179"/>
      <c r="Z35" s="179"/>
      <c r="AA35" s="180" t="str">
        <f t="shared" si="27"/>
        <v/>
      </c>
      <c r="AB35" s="179"/>
      <c r="AC35" s="179"/>
      <c r="AD35" s="179"/>
      <c r="AE35" s="181" t="str">
        <f t="shared" si="33"/>
        <v/>
      </c>
      <c r="AF35" s="182" t="str">
        <f>IFERROR(IF(AE35="","",IF(AE35&lt;=0.2,"Muy Baja",IF(AE35&lt;=0.4,"Baja",IF(AE35&lt;=0.6,"Media",IF(AE35&lt;=0.8,"Alta","Muy Alta"))))),"")</f>
        <v/>
      </c>
      <c r="AG35" s="180" t="str">
        <f t="shared" si="28"/>
        <v/>
      </c>
      <c r="AH35" s="182" t="str">
        <f t="shared" si="4"/>
        <v/>
      </c>
      <c r="AI35" s="180" t="str">
        <f t="shared" si="13"/>
        <v/>
      </c>
      <c r="AJ35" s="183"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4"/>
      <c r="AL35" s="175"/>
      <c r="AM35" s="185"/>
      <c r="AN35" s="185"/>
      <c r="AO35" s="186"/>
      <c r="AP35" s="339"/>
      <c r="AQ35" s="339"/>
      <c r="AR35" s="339"/>
    </row>
    <row r="36" spans="1:44" ht="37.5" customHeight="1" x14ac:dyDescent="0.2">
      <c r="A36" s="328"/>
      <c r="B36" s="329"/>
      <c r="C36" s="329"/>
      <c r="D36" s="329"/>
      <c r="E36" s="329"/>
      <c r="F36" s="329"/>
      <c r="G36" s="344"/>
      <c r="H36" s="344"/>
      <c r="I36" s="344"/>
      <c r="J36" s="344"/>
      <c r="K36" s="344"/>
      <c r="L36" s="344"/>
      <c r="M36" s="344"/>
      <c r="N36" s="339"/>
      <c r="O36" s="340"/>
      <c r="P36" s="341"/>
      <c r="Q36" s="359"/>
      <c r="R36" s="341">
        <f>IF(NOT(ISERROR(MATCH(Q36,_xlfn.ANCHORARRAY(E47),0))),P49&amp;"Por favor no seleccionar los criterios de impacto",Q36)</f>
        <v>0</v>
      </c>
      <c r="S36" s="340"/>
      <c r="T36" s="341"/>
      <c r="U36" s="358"/>
      <c r="V36" s="203">
        <v>6</v>
      </c>
      <c r="W36" s="176"/>
      <c r="X36" s="178" t="str">
        <f t="shared" si="32"/>
        <v/>
      </c>
      <c r="Y36" s="179"/>
      <c r="Z36" s="179"/>
      <c r="AA36" s="180" t="str">
        <f t="shared" si="27"/>
        <v/>
      </c>
      <c r="AB36" s="179"/>
      <c r="AC36" s="179"/>
      <c r="AD36" s="179"/>
      <c r="AE36" s="181" t="str">
        <f t="shared" si="33"/>
        <v/>
      </c>
      <c r="AF36" s="182" t="str">
        <f t="shared" si="2"/>
        <v/>
      </c>
      <c r="AG36" s="180" t="str">
        <f t="shared" si="28"/>
        <v/>
      </c>
      <c r="AH36" s="182" t="str">
        <f t="shared" si="4"/>
        <v/>
      </c>
      <c r="AI36" s="180" t="str">
        <f t="shared" si="13"/>
        <v/>
      </c>
      <c r="AJ36" s="183" t="str">
        <f t="shared" si="34"/>
        <v/>
      </c>
      <c r="AK36" s="184"/>
      <c r="AL36" s="175"/>
      <c r="AM36" s="185"/>
      <c r="AN36" s="185"/>
      <c r="AO36" s="186"/>
      <c r="AP36" s="339"/>
      <c r="AQ36" s="339"/>
      <c r="AR36" s="339"/>
    </row>
    <row r="37" spans="1:44" ht="37.5" customHeight="1" x14ac:dyDescent="0.2">
      <c r="A37" s="328">
        <v>5</v>
      </c>
      <c r="B37" s="329"/>
      <c r="C37" s="329"/>
      <c r="D37" s="329"/>
      <c r="E37" s="329"/>
      <c r="F37" s="329"/>
      <c r="G37" s="342"/>
      <c r="H37" s="342"/>
      <c r="I37" s="342"/>
      <c r="J37" s="342"/>
      <c r="K37" s="342"/>
      <c r="L37" s="342"/>
      <c r="M37" s="342"/>
      <c r="N37" s="339"/>
      <c r="O37" s="340" t="str">
        <f>IF(N37&lt;=0,"",IF(N37&lt;=2,"Muy Baja",IF(N37&lt;=24,"Baja",IF(N37&lt;=500,"Media",IF(N37&lt;=5000,"Alta","Muy Alta")))))</f>
        <v/>
      </c>
      <c r="P37" s="341" t="str">
        <f>IF(O37="","",IF(O37="Muy Baja",0.2,IF(O37="Baja",0.4,IF(O37="Media",0.6,IF(O37="Alta",0.8,IF(O37="Muy Alta",1,))))))</f>
        <v/>
      </c>
      <c r="Q37" s="359"/>
      <c r="R37" s="341">
        <f>IF(NOT(ISERROR(MATCH(Q37,'Tabla Impacto'!$B$222:$B$224,0))),'Tabla Impacto'!$F$224&amp;"Por favor no seleccionar los criterios de impacto(Afectación Económica o presupuestal y Pérdida Reputacional)",Q37)</f>
        <v>0</v>
      </c>
      <c r="S37" s="340" t="str">
        <f>IF(OR(R37='Tabla Impacto'!$C$12,R37='Tabla Impacto'!$D$12),"Leve",IF(OR(R37='Tabla Impacto'!$C$13,R37='Tabla Impacto'!$D$13),"Menor",IF(OR(R37='Tabla Impacto'!$C$14,R37='Tabla Impacto'!$D$14),"Moderado",IF(OR(R37='Tabla Impacto'!$C$15,R37='Tabla Impacto'!$D$15),"Mayor",IF(OR(R37='Tabla Impacto'!$C$16,R37='Tabla Impacto'!$D$16),"Catastrófico","")))))</f>
        <v/>
      </c>
      <c r="T37" s="341" t="str">
        <f>IF(S37="","",IF(S37="Leve",0.2,IF(S37="Menor",0.4,IF(S37="Moderado",0.6,IF(S37="Mayor",0.8,IF(S37="Catastrófico",1,))))))</f>
        <v/>
      </c>
      <c r="U37" s="358"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03">
        <v>1</v>
      </c>
      <c r="W37" s="176"/>
      <c r="X37" s="178" t="str">
        <f>IF(OR(Y37="Preventivo",Y37="Detectivo"),"Probabilidad",IF(Y37="Correctivo","Impacto",""))</f>
        <v/>
      </c>
      <c r="Y37" s="179"/>
      <c r="Z37" s="179"/>
      <c r="AA37" s="180" t="str">
        <f>IF(AND(Y37="Preventivo",Z37="Automático"),"50%",IF(AND(Y37="Preventivo",Z37="Manual"),"40%",IF(AND(Y37="Detectivo",Z37="Automático"),"40%",IF(AND(Y37="Detectivo",Z37="Manual"),"30%",IF(AND(Y37="Correctivo",Z37="Automático"),"35%",IF(AND(Y37="Correctivo",Z37="Manual"),"25%",""))))))</f>
        <v/>
      </c>
      <c r="AB37" s="179"/>
      <c r="AC37" s="179"/>
      <c r="AD37" s="179"/>
      <c r="AE37" s="181" t="str">
        <f>IFERROR(IF(X37="Probabilidad",(P37-(+P37*AA37)),IF(X37="Impacto",P37,"")),"")</f>
        <v/>
      </c>
      <c r="AF37" s="182" t="str">
        <f>IFERROR(IF(AE37="","",IF(AE37&lt;=0.2,"Muy Baja",IF(AE37&lt;=0.4,"Baja",IF(AE37&lt;=0.6,"Media",IF(AE37&lt;=0.8,"Alta","Muy Alta"))))),"")</f>
        <v/>
      </c>
      <c r="AG37" s="180" t="str">
        <f>+AE37</f>
        <v/>
      </c>
      <c r="AH37" s="182" t="str">
        <f>IFERROR(IF(AI37="","",IF(AI37&lt;=0.2,"Leve",IF(AI37&lt;=0.4,"Menor",IF(AI37&lt;=0.6,"Moderado",IF(AI37&lt;=0.8,"Mayor","Catastrófico"))))),"")</f>
        <v/>
      </c>
      <c r="AI37" s="180" t="str">
        <f t="shared" ref="AI37" si="35">IFERROR(IF(X37="Impacto",(T37-(+T37*AA37)),IF(X37="Probabilidad",T37,"")),"")</f>
        <v/>
      </c>
      <c r="AJ37" s="183"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4"/>
      <c r="AL37" s="175"/>
      <c r="AM37" s="185"/>
      <c r="AN37" s="185"/>
      <c r="AO37" s="186"/>
      <c r="AP37" s="339"/>
      <c r="AQ37" s="339"/>
      <c r="AR37" s="339"/>
    </row>
    <row r="38" spans="1:44" ht="37.5" customHeight="1" x14ac:dyDescent="0.2">
      <c r="A38" s="328"/>
      <c r="B38" s="329"/>
      <c r="C38" s="329"/>
      <c r="D38" s="329"/>
      <c r="E38" s="329"/>
      <c r="F38" s="329"/>
      <c r="G38" s="343"/>
      <c r="H38" s="343"/>
      <c r="I38" s="343"/>
      <c r="J38" s="343"/>
      <c r="K38" s="343"/>
      <c r="L38" s="343"/>
      <c r="M38" s="343"/>
      <c r="N38" s="339"/>
      <c r="O38" s="340"/>
      <c r="P38" s="341"/>
      <c r="Q38" s="359"/>
      <c r="R38" s="341">
        <f>IF(NOT(ISERROR(MATCH(Q38,_xlfn.ANCHORARRAY(E49),0))),P51&amp;"Por favor no seleccionar los criterios de impacto",Q38)</f>
        <v>0</v>
      </c>
      <c r="S38" s="340"/>
      <c r="T38" s="341"/>
      <c r="U38" s="358"/>
      <c r="V38" s="203">
        <v>2</v>
      </c>
      <c r="W38" s="176"/>
      <c r="X38" s="178" t="str">
        <f>IF(OR(Y38="Preventivo",Y38="Detectivo"),"Probabilidad",IF(Y38="Correctivo","Impacto",""))</f>
        <v/>
      </c>
      <c r="Y38" s="179"/>
      <c r="Z38" s="179"/>
      <c r="AA38" s="180" t="str">
        <f t="shared" ref="AA38:AA42" si="36">IF(AND(Y38="Preventivo",Z38="Automático"),"50%",IF(AND(Y38="Preventivo",Z38="Manual"),"40%",IF(AND(Y38="Detectivo",Z38="Automático"),"40%",IF(AND(Y38="Detectivo",Z38="Manual"),"30%",IF(AND(Y38="Correctivo",Z38="Automático"),"35%",IF(AND(Y38="Correctivo",Z38="Manual"),"25%",""))))))</f>
        <v/>
      </c>
      <c r="AB38" s="179"/>
      <c r="AC38" s="179"/>
      <c r="AD38" s="179"/>
      <c r="AE38" s="181" t="str">
        <f>IFERROR(IF(AND(X37="Probabilidad",X38="Probabilidad"),(AG37-(+AG37*AA38)),IF(X38="Probabilidad",(P37-(+P37*AA38)),IF(X38="Impacto",AG37,""))),"")</f>
        <v/>
      </c>
      <c r="AF38" s="182" t="str">
        <f t="shared" si="2"/>
        <v/>
      </c>
      <c r="AG38" s="180" t="str">
        <f t="shared" ref="AG38:AG42" si="37">+AE38</f>
        <v/>
      </c>
      <c r="AH38" s="182" t="str">
        <f t="shared" si="4"/>
        <v/>
      </c>
      <c r="AI38" s="180" t="str">
        <f t="shared" ref="AI38" si="38">IFERROR(IF(AND(X37="Impacto",X38="Impacto"),(AI37-(+AI37*AA38)),IF(X38="Impacto",($T$13-(+$T$13*AA38)),IF(X38="Probabilidad",AI37,""))),"")</f>
        <v/>
      </c>
      <c r="AJ38" s="183"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84"/>
      <c r="AL38" s="175"/>
      <c r="AM38" s="185"/>
      <c r="AN38" s="185"/>
      <c r="AO38" s="186"/>
      <c r="AP38" s="339"/>
      <c r="AQ38" s="339"/>
      <c r="AR38" s="339"/>
    </row>
    <row r="39" spans="1:44" ht="37.5" customHeight="1" x14ac:dyDescent="0.2">
      <c r="A39" s="328"/>
      <c r="B39" s="329"/>
      <c r="C39" s="329"/>
      <c r="D39" s="329"/>
      <c r="E39" s="329"/>
      <c r="F39" s="329"/>
      <c r="G39" s="343"/>
      <c r="H39" s="343"/>
      <c r="I39" s="343"/>
      <c r="J39" s="343"/>
      <c r="K39" s="343"/>
      <c r="L39" s="343"/>
      <c r="M39" s="343"/>
      <c r="N39" s="339"/>
      <c r="O39" s="340"/>
      <c r="P39" s="341"/>
      <c r="Q39" s="359"/>
      <c r="R39" s="341">
        <f>IF(NOT(ISERROR(MATCH(Q39,_xlfn.ANCHORARRAY(E50),0))),P52&amp;"Por favor no seleccionar los criterios de impacto",Q39)</f>
        <v>0</v>
      </c>
      <c r="S39" s="340"/>
      <c r="T39" s="341"/>
      <c r="U39" s="358"/>
      <c r="V39" s="203">
        <v>3</v>
      </c>
      <c r="W39" s="177"/>
      <c r="X39" s="178" t="str">
        <f>IF(OR(Y39="Preventivo",Y39="Detectivo"),"Probabilidad",IF(Y39="Correctivo","Impacto",""))</f>
        <v/>
      </c>
      <c r="Y39" s="179"/>
      <c r="Z39" s="179"/>
      <c r="AA39" s="180" t="str">
        <f t="shared" si="36"/>
        <v/>
      </c>
      <c r="AB39" s="179"/>
      <c r="AC39" s="179"/>
      <c r="AD39" s="179"/>
      <c r="AE39" s="181" t="str">
        <f>IFERROR(IF(AND(X38="Probabilidad",X39="Probabilidad"),(AG38-(+AG38*AA39)),IF(AND(X38="Impacto",X39="Probabilidad"),(AG37-(+AG37*AA39)),IF(X39="Impacto",AG38,""))),"")</f>
        <v/>
      </c>
      <c r="AF39" s="182" t="str">
        <f t="shared" si="2"/>
        <v/>
      </c>
      <c r="AG39" s="180" t="str">
        <f t="shared" si="37"/>
        <v/>
      </c>
      <c r="AH39" s="182" t="str">
        <f t="shared" si="4"/>
        <v/>
      </c>
      <c r="AI39" s="180" t="str">
        <f t="shared" ref="AI39" si="40">IFERROR(IF(AND(X38="Impacto",X39="Impacto"),(AI38-(+AI38*AA39)),IF(AND(X38="Probabilidad",X39="Impacto"),(AI37-(+AI37*AA39)),IF(X39="Probabilidad",AI38,""))),"")</f>
        <v/>
      </c>
      <c r="AJ39" s="183" t="str">
        <f t="shared" si="39"/>
        <v/>
      </c>
      <c r="AK39" s="184"/>
      <c r="AL39" s="175"/>
      <c r="AM39" s="185"/>
      <c r="AN39" s="185"/>
      <c r="AO39" s="186"/>
      <c r="AP39" s="339"/>
      <c r="AQ39" s="339"/>
      <c r="AR39" s="339"/>
    </row>
    <row r="40" spans="1:44" ht="37.5" customHeight="1" x14ac:dyDescent="0.2">
      <c r="A40" s="328"/>
      <c r="B40" s="329"/>
      <c r="C40" s="329"/>
      <c r="D40" s="329"/>
      <c r="E40" s="329"/>
      <c r="F40" s="329"/>
      <c r="G40" s="343"/>
      <c r="H40" s="343"/>
      <c r="I40" s="343"/>
      <c r="J40" s="343"/>
      <c r="K40" s="343"/>
      <c r="L40" s="343"/>
      <c r="M40" s="343"/>
      <c r="N40" s="339"/>
      <c r="O40" s="340"/>
      <c r="P40" s="341"/>
      <c r="Q40" s="359"/>
      <c r="R40" s="341">
        <f>IF(NOT(ISERROR(MATCH(Q40,_xlfn.ANCHORARRAY(E51),0))),P53&amp;"Por favor no seleccionar los criterios de impacto",Q40)</f>
        <v>0</v>
      </c>
      <c r="S40" s="340"/>
      <c r="T40" s="341"/>
      <c r="U40" s="358"/>
      <c r="V40" s="203">
        <v>4</v>
      </c>
      <c r="W40" s="176"/>
      <c r="X40" s="178" t="str">
        <f t="shared" ref="X40:X42" si="41">IF(OR(Y40="Preventivo",Y40="Detectivo"),"Probabilidad",IF(Y40="Correctivo","Impacto",""))</f>
        <v/>
      </c>
      <c r="Y40" s="179"/>
      <c r="Z40" s="179"/>
      <c r="AA40" s="180" t="str">
        <f t="shared" si="36"/>
        <v/>
      </c>
      <c r="AB40" s="179"/>
      <c r="AC40" s="179"/>
      <c r="AD40" s="179"/>
      <c r="AE40" s="181" t="str">
        <f t="shared" ref="AE40:AE42" si="42">IFERROR(IF(AND(X39="Probabilidad",X40="Probabilidad"),(AG39-(+AG39*AA40)),IF(AND(X39="Impacto",X40="Probabilidad"),(AG38-(+AG38*AA40)),IF(X40="Impacto",AG39,""))),"")</f>
        <v/>
      </c>
      <c r="AF40" s="182" t="str">
        <f t="shared" si="2"/>
        <v/>
      </c>
      <c r="AG40" s="180" t="str">
        <f t="shared" si="37"/>
        <v/>
      </c>
      <c r="AH40" s="182" t="str">
        <f t="shared" si="4"/>
        <v/>
      </c>
      <c r="AI40" s="180" t="str">
        <f t="shared" si="13"/>
        <v/>
      </c>
      <c r="AJ40" s="183"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84"/>
      <c r="AL40" s="175"/>
      <c r="AM40" s="185"/>
      <c r="AN40" s="185"/>
      <c r="AO40" s="186"/>
      <c r="AP40" s="339"/>
      <c r="AQ40" s="339"/>
      <c r="AR40" s="339"/>
    </row>
    <row r="41" spans="1:44" ht="37.5" customHeight="1" x14ac:dyDescent="0.2">
      <c r="A41" s="328"/>
      <c r="B41" s="329"/>
      <c r="C41" s="329"/>
      <c r="D41" s="329"/>
      <c r="E41" s="329"/>
      <c r="F41" s="329"/>
      <c r="G41" s="343"/>
      <c r="H41" s="343"/>
      <c r="I41" s="343"/>
      <c r="J41" s="343"/>
      <c r="K41" s="343"/>
      <c r="L41" s="343"/>
      <c r="M41" s="343"/>
      <c r="N41" s="339"/>
      <c r="O41" s="340"/>
      <c r="P41" s="341"/>
      <c r="Q41" s="359"/>
      <c r="R41" s="341">
        <f>IF(NOT(ISERROR(MATCH(Q41,_xlfn.ANCHORARRAY(E52),0))),P54&amp;"Por favor no seleccionar los criterios de impacto",Q41)</f>
        <v>0</v>
      </c>
      <c r="S41" s="340"/>
      <c r="T41" s="341"/>
      <c r="U41" s="358"/>
      <c r="V41" s="203">
        <v>5</v>
      </c>
      <c r="W41" s="176"/>
      <c r="X41" s="178" t="str">
        <f t="shared" si="41"/>
        <v/>
      </c>
      <c r="Y41" s="179"/>
      <c r="Z41" s="179"/>
      <c r="AA41" s="180" t="str">
        <f t="shared" si="36"/>
        <v/>
      </c>
      <c r="AB41" s="179"/>
      <c r="AC41" s="179"/>
      <c r="AD41" s="179"/>
      <c r="AE41" s="181" t="str">
        <f t="shared" si="42"/>
        <v/>
      </c>
      <c r="AF41" s="182" t="str">
        <f t="shared" si="2"/>
        <v/>
      </c>
      <c r="AG41" s="180" t="str">
        <f t="shared" si="37"/>
        <v/>
      </c>
      <c r="AH41" s="182" t="str">
        <f t="shared" si="4"/>
        <v/>
      </c>
      <c r="AI41" s="180" t="str">
        <f t="shared" si="13"/>
        <v/>
      </c>
      <c r="AJ41" s="183"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84"/>
      <c r="AL41" s="175"/>
      <c r="AM41" s="185"/>
      <c r="AN41" s="185"/>
      <c r="AO41" s="186"/>
      <c r="AP41" s="339"/>
      <c r="AQ41" s="339"/>
      <c r="AR41" s="339"/>
    </row>
    <row r="42" spans="1:44" ht="37.5" customHeight="1" x14ac:dyDescent="0.2">
      <c r="A42" s="328"/>
      <c r="B42" s="329"/>
      <c r="C42" s="329"/>
      <c r="D42" s="329"/>
      <c r="E42" s="329"/>
      <c r="F42" s="329"/>
      <c r="G42" s="344"/>
      <c r="H42" s="344"/>
      <c r="I42" s="344"/>
      <c r="J42" s="344"/>
      <c r="K42" s="344"/>
      <c r="L42" s="344"/>
      <c r="M42" s="344"/>
      <c r="N42" s="339"/>
      <c r="O42" s="340"/>
      <c r="P42" s="341"/>
      <c r="Q42" s="359"/>
      <c r="R42" s="341">
        <f>IF(NOT(ISERROR(MATCH(Q42,_xlfn.ANCHORARRAY(E53),0))),P55&amp;"Por favor no seleccionar los criterios de impacto",Q42)</f>
        <v>0</v>
      </c>
      <c r="S42" s="340"/>
      <c r="T42" s="341"/>
      <c r="U42" s="358"/>
      <c r="V42" s="203">
        <v>6</v>
      </c>
      <c r="W42" s="176"/>
      <c r="X42" s="178" t="str">
        <f t="shared" si="41"/>
        <v/>
      </c>
      <c r="Y42" s="179"/>
      <c r="Z42" s="179"/>
      <c r="AA42" s="180" t="str">
        <f t="shared" si="36"/>
        <v/>
      </c>
      <c r="AB42" s="179"/>
      <c r="AC42" s="179"/>
      <c r="AD42" s="179"/>
      <c r="AE42" s="181" t="str">
        <f t="shared" si="42"/>
        <v/>
      </c>
      <c r="AF42" s="182" t="str">
        <f t="shared" si="2"/>
        <v/>
      </c>
      <c r="AG42" s="180" t="str">
        <f t="shared" si="37"/>
        <v/>
      </c>
      <c r="AH42" s="182" t="str">
        <f t="shared" si="4"/>
        <v/>
      </c>
      <c r="AI42" s="180" t="str">
        <f t="shared" si="13"/>
        <v/>
      </c>
      <c r="AJ42" s="183" t="str">
        <f t="shared" si="43"/>
        <v/>
      </c>
      <c r="AK42" s="184"/>
      <c r="AL42" s="175"/>
      <c r="AM42" s="185"/>
      <c r="AN42" s="185"/>
      <c r="AO42" s="186"/>
      <c r="AP42" s="339"/>
      <c r="AQ42" s="339"/>
      <c r="AR42" s="339"/>
    </row>
    <row r="43" spans="1:44" ht="37.5" customHeight="1" x14ac:dyDescent="0.2">
      <c r="A43" s="328">
        <v>6</v>
      </c>
      <c r="B43" s="329"/>
      <c r="C43" s="329"/>
      <c r="D43" s="329"/>
      <c r="E43" s="342"/>
      <c r="F43" s="329"/>
      <c r="G43" s="342"/>
      <c r="H43" s="342"/>
      <c r="I43" s="342"/>
      <c r="J43" s="342"/>
      <c r="K43" s="342"/>
      <c r="L43" s="342"/>
      <c r="M43" s="342"/>
      <c r="N43" s="339"/>
      <c r="O43" s="340" t="str">
        <f>IF(N43&lt;=0,"",IF(N43&lt;=2,"Muy Baja",IF(N43&lt;=24,"Baja",IF(N43&lt;=500,"Media",IF(N43&lt;=5000,"Alta","Muy Alta")))))</f>
        <v/>
      </c>
      <c r="P43" s="341" t="str">
        <f>IF(O43="","",IF(O43="Muy Baja",0.2,IF(O43="Baja",0.4,IF(O43="Media",0.6,IF(O43="Alta",0.8,IF(O43="Muy Alta",1,))))))</f>
        <v/>
      </c>
      <c r="Q43" s="359"/>
      <c r="R43" s="341">
        <f>IF(NOT(ISERROR(MATCH(Q43,'Tabla Impacto'!$B$222:$B$224,0))),'Tabla Impacto'!$F$224&amp;"Por favor no seleccionar los criterios de impacto(Afectación Económica o presupuestal y Pérdida Reputacional)",Q43)</f>
        <v>0</v>
      </c>
      <c r="S43" s="340" t="str">
        <f>IF(OR(R43='Tabla Impacto'!$C$12,R43='Tabla Impacto'!$D$12),"Leve",IF(OR(R43='Tabla Impacto'!$C$13,R43='Tabla Impacto'!$D$13),"Menor",IF(OR(R43='Tabla Impacto'!$C$14,R43='Tabla Impacto'!$D$14),"Moderado",IF(OR(R43='Tabla Impacto'!$C$15,R43='Tabla Impacto'!$D$15),"Mayor",IF(OR(R43='Tabla Impacto'!$C$16,R43='Tabla Impacto'!$D$16),"Catastrófico","")))))</f>
        <v/>
      </c>
      <c r="T43" s="341" t="str">
        <f>IF(S43="","",IF(S43="Leve",0.2,IF(S43="Menor",0.4,IF(S43="Moderado",0.6,IF(S43="Mayor",0.8,IF(S43="Catastrófico",1,))))))</f>
        <v/>
      </c>
      <c r="U43" s="358"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03">
        <v>1</v>
      </c>
      <c r="W43" s="176"/>
      <c r="X43" s="178" t="str">
        <f>IF(OR(Y43="Preventivo",Y43="Detectivo"),"Probabilidad",IF(Y43="Correctivo","Impacto",""))</f>
        <v/>
      </c>
      <c r="Y43" s="179"/>
      <c r="Z43" s="179"/>
      <c r="AA43" s="180" t="str">
        <f>IF(AND(Y43="Preventivo",Z43="Automático"),"50%",IF(AND(Y43="Preventivo",Z43="Manual"),"40%",IF(AND(Y43="Detectivo",Z43="Automático"),"40%",IF(AND(Y43="Detectivo",Z43="Manual"),"30%",IF(AND(Y43="Correctivo",Z43="Automático"),"35%",IF(AND(Y43="Correctivo",Z43="Manual"),"25%",""))))))</f>
        <v/>
      </c>
      <c r="AB43" s="179"/>
      <c r="AC43" s="179"/>
      <c r="AD43" s="179"/>
      <c r="AE43" s="181" t="str">
        <f>IFERROR(IF(X43="Probabilidad",(P43-(+P43*AA43)),IF(X43="Impacto",P43,"")),"")</f>
        <v/>
      </c>
      <c r="AF43" s="182" t="str">
        <f>IFERROR(IF(AE43="","",IF(AE43&lt;=0.2,"Muy Baja",IF(AE43&lt;=0.4,"Baja",IF(AE43&lt;=0.6,"Media",IF(AE43&lt;=0.8,"Alta","Muy Alta"))))),"")</f>
        <v/>
      </c>
      <c r="AG43" s="180" t="str">
        <f>+AE43</f>
        <v/>
      </c>
      <c r="AH43" s="182" t="str">
        <f>IFERROR(IF(AI43="","",IF(AI43&lt;=0.2,"Leve",IF(AI43&lt;=0.4,"Menor",IF(AI43&lt;=0.6,"Moderado",IF(AI43&lt;=0.8,"Mayor","Catastrófico"))))),"")</f>
        <v/>
      </c>
      <c r="AI43" s="180" t="str">
        <f t="shared" ref="AI43" si="44">IFERROR(IF(X43="Impacto",(T43-(+T43*AA43)),IF(X43="Probabilidad",T43,"")),"")</f>
        <v/>
      </c>
      <c r="AJ43" s="183"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79"/>
      <c r="AL43" s="175"/>
      <c r="AM43" s="185"/>
      <c r="AN43" s="185"/>
      <c r="AO43" s="186"/>
      <c r="AP43" s="339"/>
      <c r="AQ43" s="339"/>
      <c r="AR43" s="339"/>
    </row>
    <row r="44" spans="1:44" ht="37.5" customHeight="1" x14ac:dyDescent="0.2">
      <c r="A44" s="328"/>
      <c r="B44" s="329"/>
      <c r="C44" s="329"/>
      <c r="D44" s="329"/>
      <c r="E44" s="343"/>
      <c r="F44" s="329"/>
      <c r="G44" s="343"/>
      <c r="H44" s="343"/>
      <c r="I44" s="343"/>
      <c r="J44" s="343"/>
      <c r="K44" s="343"/>
      <c r="L44" s="343"/>
      <c r="M44" s="343"/>
      <c r="N44" s="339"/>
      <c r="O44" s="340"/>
      <c r="P44" s="341"/>
      <c r="Q44" s="359"/>
      <c r="R44" s="341">
        <f>IF(NOT(ISERROR(MATCH(Q44,_xlfn.ANCHORARRAY(E55),0))),P57&amp;"Por favor no seleccionar los criterios de impacto",Q44)</f>
        <v>0</v>
      </c>
      <c r="S44" s="340"/>
      <c r="T44" s="341"/>
      <c r="U44" s="358"/>
      <c r="V44" s="203">
        <v>2</v>
      </c>
      <c r="W44" s="176"/>
      <c r="X44" s="178" t="str">
        <f>IF(OR(Y44="Preventivo",Y44="Detectivo"),"Probabilidad",IF(Y44="Correctivo","Impacto",""))</f>
        <v/>
      </c>
      <c r="Y44" s="179"/>
      <c r="Z44" s="179"/>
      <c r="AA44" s="180" t="str">
        <f t="shared" ref="AA44:AA48" si="45">IF(AND(Y44="Preventivo",Z44="Automático"),"50%",IF(AND(Y44="Preventivo",Z44="Manual"),"40%",IF(AND(Y44="Detectivo",Z44="Automático"),"40%",IF(AND(Y44="Detectivo",Z44="Manual"),"30%",IF(AND(Y44="Correctivo",Z44="Automático"),"35%",IF(AND(Y44="Correctivo",Z44="Manual"),"25%",""))))))</f>
        <v/>
      </c>
      <c r="AB44" s="179"/>
      <c r="AC44" s="179"/>
      <c r="AD44" s="179"/>
      <c r="AE44" s="181" t="str">
        <f>IFERROR(IF(AND(X43="Probabilidad",X44="Probabilidad"),(AG43-(+AG43*AA44)),IF(X44="Probabilidad",(P43-(+P43*AA44)),IF(X44="Impacto",AG43,""))),"")</f>
        <v/>
      </c>
      <c r="AF44" s="182" t="str">
        <f t="shared" si="2"/>
        <v/>
      </c>
      <c r="AG44" s="180" t="str">
        <f t="shared" ref="AG44:AG48" si="46">+AE44</f>
        <v/>
      </c>
      <c r="AH44" s="182" t="str">
        <f t="shared" si="4"/>
        <v/>
      </c>
      <c r="AI44" s="180" t="str">
        <f t="shared" ref="AI44" si="47">IFERROR(IF(AND(X43="Impacto",X44="Impacto"),(AI43-(+AI43*AA44)),IF(X44="Impacto",($T$13-(+$T$13*AA44)),IF(X44="Probabilidad",AI43,""))),"")</f>
        <v/>
      </c>
      <c r="AJ44" s="183"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84"/>
      <c r="AL44" s="175"/>
      <c r="AM44" s="185"/>
      <c r="AN44" s="185"/>
      <c r="AO44" s="186"/>
      <c r="AP44" s="339"/>
      <c r="AQ44" s="339"/>
      <c r="AR44" s="339"/>
    </row>
    <row r="45" spans="1:44" ht="37.5" customHeight="1" x14ac:dyDescent="0.2">
      <c r="A45" s="328"/>
      <c r="B45" s="329"/>
      <c r="C45" s="329"/>
      <c r="D45" s="329"/>
      <c r="E45" s="343"/>
      <c r="F45" s="329"/>
      <c r="G45" s="343"/>
      <c r="H45" s="343"/>
      <c r="I45" s="343"/>
      <c r="J45" s="343"/>
      <c r="K45" s="343"/>
      <c r="L45" s="343"/>
      <c r="M45" s="343"/>
      <c r="N45" s="339"/>
      <c r="O45" s="340"/>
      <c r="P45" s="341"/>
      <c r="Q45" s="359"/>
      <c r="R45" s="341">
        <f>IF(NOT(ISERROR(MATCH(Q45,_xlfn.ANCHORARRAY(E56),0))),P58&amp;"Por favor no seleccionar los criterios de impacto",Q45)</f>
        <v>0</v>
      </c>
      <c r="S45" s="340"/>
      <c r="T45" s="341"/>
      <c r="U45" s="358"/>
      <c r="V45" s="203">
        <v>3</v>
      </c>
      <c r="W45" s="177"/>
      <c r="X45" s="178" t="str">
        <f>IF(OR(Y45="Preventivo",Y45="Detectivo"),"Probabilidad",IF(Y45="Correctivo","Impacto",""))</f>
        <v/>
      </c>
      <c r="Y45" s="179"/>
      <c r="Z45" s="179"/>
      <c r="AA45" s="180" t="str">
        <f t="shared" si="45"/>
        <v/>
      </c>
      <c r="AB45" s="179"/>
      <c r="AC45" s="179"/>
      <c r="AD45" s="179"/>
      <c r="AE45" s="181" t="str">
        <f>IFERROR(IF(AND(X44="Probabilidad",X45="Probabilidad"),(AG44-(+AG44*AA45)),IF(AND(X44="Impacto",X45="Probabilidad"),(AG43-(+AG43*AA45)),IF(X45="Impacto",AG44,""))),"")</f>
        <v/>
      </c>
      <c r="AF45" s="182" t="str">
        <f t="shared" si="2"/>
        <v/>
      </c>
      <c r="AG45" s="180" t="str">
        <f t="shared" si="46"/>
        <v/>
      </c>
      <c r="AH45" s="182" t="str">
        <f t="shared" si="4"/>
        <v/>
      </c>
      <c r="AI45" s="180" t="str">
        <f t="shared" ref="AI45" si="49">IFERROR(IF(AND(X44="Impacto",X45="Impacto"),(AI44-(+AI44*AA45)),IF(AND(X44="Probabilidad",X45="Impacto"),(AI43-(+AI43*AA45)),IF(X45="Probabilidad",AI44,""))),"")</f>
        <v/>
      </c>
      <c r="AJ45" s="183" t="str">
        <f t="shared" si="48"/>
        <v/>
      </c>
      <c r="AK45" s="184"/>
      <c r="AL45" s="175"/>
      <c r="AM45" s="185"/>
      <c r="AN45" s="185"/>
      <c r="AO45" s="186"/>
      <c r="AP45" s="339"/>
      <c r="AQ45" s="339"/>
      <c r="AR45" s="339"/>
    </row>
    <row r="46" spans="1:44" ht="37.5" customHeight="1" x14ac:dyDescent="0.2">
      <c r="A46" s="328"/>
      <c r="B46" s="329"/>
      <c r="C46" s="329"/>
      <c r="D46" s="329"/>
      <c r="E46" s="343"/>
      <c r="F46" s="329"/>
      <c r="G46" s="343"/>
      <c r="H46" s="343"/>
      <c r="I46" s="343"/>
      <c r="J46" s="343"/>
      <c r="K46" s="343"/>
      <c r="L46" s="343"/>
      <c r="M46" s="343"/>
      <c r="N46" s="339"/>
      <c r="O46" s="340"/>
      <c r="P46" s="341"/>
      <c r="Q46" s="359"/>
      <c r="R46" s="341">
        <f>IF(NOT(ISERROR(MATCH(Q46,_xlfn.ANCHORARRAY(E57),0))),P59&amp;"Por favor no seleccionar los criterios de impacto",Q46)</f>
        <v>0</v>
      </c>
      <c r="S46" s="340"/>
      <c r="T46" s="341"/>
      <c r="U46" s="358"/>
      <c r="V46" s="203">
        <v>4</v>
      </c>
      <c r="W46" s="176"/>
      <c r="X46" s="178" t="str">
        <f t="shared" ref="X46:X48" si="50">IF(OR(Y46="Preventivo",Y46="Detectivo"),"Probabilidad",IF(Y46="Correctivo","Impacto",""))</f>
        <v/>
      </c>
      <c r="Y46" s="179"/>
      <c r="Z46" s="179"/>
      <c r="AA46" s="180" t="str">
        <f t="shared" si="45"/>
        <v/>
      </c>
      <c r="AB46" s="179"/>
      <c r="AC46" s="179"/>
      <c r="AD46" s="179"/>
      <c r="AE46" s="181" t="str">
        <f t="shared" ref="AE46:AE48" si="51">IFERROR(IF(AND(X45="Probabilidad",X46="Probabilidad"),(AG45-(+AG45*AA46)),IF(AND(X45="Impacto",X46="Probabilidad"),(AG44-(+AG44*AA46)),IF(X46="Impacto",AG45,""))),"")</f>
        <v/>
      </c>
      <c r="AF46" s="182" t="str">
        <f t="shared" si="2"/>
        <v/>
      </c>
      <c r="AG46" s="180" t="str">
        <f t="shared" si="46"/>
        <v/>
      </c>
      <c r="AH46" s="182" t="str">
        <f t="shared" si="4"/>
        <v/>
      </c>
      <c r="AI46" s="180" t="str">
        <f t="shared" si="13"/>
        <v/>
      </c>
      <c r="AJ46" s="183"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84"/>
      <c r="AL46" s="175"/>
      <c r="AM46" s="185"/>
      <c r="AN46" s="185"/>
      <c r="AO46" s="186"/>
      <c r="AP46" s="339"/>
      <c r="AQ46" s="339"/>
      <c r="AR46" s="339"/>
    </row>
    <row r="47" spans="1:44" ht="37.5" customHeight="1" x14ac:dyDescent="0.2">
      <c r="A47" s="328"/>
      <c r="B47" s="329"/>
      <c r="C47" s="329"/>
      <c r="D47" s="329"/>
      <c r="E47" s="343"/>
      <c r="F47" s="329"/>
      <c r="G47" s="343"/>
      <c r="H47" s="343"/>
      <c r="I47" s="343"/>
      <c r="J47" s="343"/>
      <c r="K47" s="343"/>
      <c r="L47" s="343"/>
      <c r="M47" s="343"/>
      <c r="N47" s="339"/>
      <c r="O47" s="340"/>
      <c r="P47" s="341"/>
      <c r="Q47" s="359"/>
      <c r="R47" s="341">
        <f>IF(NOT(ISERROR(MATCH(Q47,_xlfn.ANCHORARRAY(E58),0))),P60&amp;"Por favor no seleccionar los criterios de impacto",Q47)</f>
        <v>0</v>
      </c>
      <c r="S47" s="340"/>
      <c r="T47" s="341"/>
      <c r="U47" s="358"/>
      <c r="V47" s="203">
        <v>5</v>
      </c>
      <c r="W47" s="176"/>
      <c r="X47" s="178" t="str">
        <f t="shared" si="50"/>
        <v/>
      </c>
      <c r="Y47" s="179"/>
      <c r="Z47" s="179"/>
      <c r="AA47" s="180" t="str">
        <f t="shared" si="45"/>
        <v/>
      </c>
      <c r="AB47" s="179"/>
      <c r="AC47" s="179"/>
      <c r="AD47" s="179"/>
      <c r="AE47" s="181" t="str">
        <f t="shared" si="51"/>
        <v/>
      </c>
      <c r="AF47" s="182" t="str">
        <f t="shared" si="2"/>
        <v/>
      </c>
      <c r="AG47" s="180" t="str">
        <f t="shared" si="46"/>
        <v/>
      </c>
      <c r="AH47" s="182" t="str">
        <f t="shared" si="4"/>
        <v/>
      </c>
      <c r="AI47" s="180" t="str">
        <f t="shared" si="13"/>
        <v/>
      </c>
      <c r="AJ47" s="183"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84"/>
      <c r="AL47" s="175"/>
      <c r="AM47" s="185"/>
      <c r="AN47" s="185"/>
      <c r="AO47" s="186"/>
      <c r="AP47" s="339"/>
      <c r="AQ47" s="339"/>
      <c r="AR47" s="339"/>
    </row>
    <row r="48" spans="1:44" ht="37.5" customHeight="1" x14ac:dyDescent="0.2">
      <c r="A48" s="328"/>
      <c r="B48" s="329"/>
      <c r="C48" s="329"/>
      <c r="D48" s="329"/>
      <c r="E48" s="344"/>
      <c r="F48" s="329"/>
      <c r="G48" s="344"/>
      <c r="H48" s="344"/>
      <c r="I48" s="344"/>
      <c r="J48" s="344"/>
      <c r="K48" s="344"/>
      <c r="L48" s="344"/>
      <c r="M48" s="344"/>
      <c r="N48" s="339"/>
      <c r="O48" s="340"/>
      <c r="P48" s="341"/>
      <c r="Q48" s="359"/>
      <c r="R48" s="341">
        <f>IF(NOT(ISERROR(MATCH(Q48,_xlfn.ANCHORARRAY(E59),0))),P61&amp;"Por favor no seleccionar los criterios de impacto",Q48)</f>
        <v>0</v>
      </c>
      <c r="S48" s="340"/>
      <c r="T48" s="341"/>
      <c r="U48" s="358"/>
      <c r="V48" s="203">
        <v>6</v>
      </c>
      <c r="W48" s="176"/>
      <c r="X48" s="178" t="str">
        <f t="shared" si="50"/>
        <v/>
      </c>
      <c r="Y48" s="179"/>
      <c r="Z48" s="179"/>
      <c r="AA48" s="180" t="str">
        <f t="shared" si="45"/>
        <v/>
      </c>
      <c r="AB48" s="179"/>
      <c r="AC48" s="179"/>
      <c r="AD48" s="179"/>
      <c r="AE48" s="181" t="str">
        <f t="shared" si="51"/>
        <v/>
      </c>
      <c r="AF48" s="182" t="str">
        <f t="shared" si="2"/>
        <v/>
      </c>
      <c r="AG48" s="180" t="str">
        <f t="shared" si="46"/>
        <v/>
      </c>
      <c r="AH48" s="182" t="str">
        <f>IFERROR(IF(AI48="","",IF(AI48&lt;=0.2,"Leve",IF(AI48&lt;=0.4,"Menor",IF(AI48&lt;=0.6,"Moderado",IF(AI48&lt;=0.8,"Mayor","Catastrófico"))))),"")</f>
        <v/>
      </c>
      <c r="AI48" s="180" t="str">
        <f t="shared" si="13"/>
        <v/>
      </c>
      <c r="AJ48" s="183"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84"/>
      <c r="AL48" s="175"/>
      <c r="AM48" s="185"/>
      <c r="AN48" s="185"/>
      <c r="AO48" s="186"/>
      <c r="AP48" s="339"/>
      <c r="AQ48" s="339"/>
      <c r="AR48" s="339"/>
    </row>
    <row r="49" spans="1:44" ht="37.5" customHeight="1" x14ac:dyDescent="0.2">
      <c r="A49" s="328">
        <v>7</v>
      </c>
      <c r="B49" s="329"/>
      <c r="C49" s="329"/>
      <c r="D49" s="367"/>
      <c r="E49" s="329"/>
      <c r="F49" s="329"/>
      <c r="G49" s="342"/>
      <c r="H49" s="342"/>
      <c r="I49" s="342"/>
      <c r="J49" s="342"/>
      <c r="K49" s="342"/>
      <c r="L49" s="342"/>
      <c r="M49" s="342"/>
      <c r="N49" s="339"/>
      <c r="O49" s="340" t="str">
        <f>IF(N49&lt;=0,"",IF(N49&lt;=2,"Muy Baja",IF(N49&lt;=24,"Baja",IF(N49&lt;=500,"Media",IF(N49&lt;=5000,"Alta","Muy Alta")))))</f>
        <v/>
      </c>
      <c r="P49" s="341" t="str">
        <f>IF(O49="","",IF(O49="Muy Baja",0.2,IF(O49="Baja",0.4,IF(O49="Media",0.6,IF(O49="Alta",0.8,IF(O49="Muy Alta",1,))))))</f>
        <v/>
      </c>
      <c r="Q49" s="359"/>
      <c r="R49" s="341">
        <f>IF(NOT(ISERROR(MATCH(Q49,'Tabla Impacto'!$B$222:$B$224,0))),'Tabla Impacto'!$F$224&amp;"Por favor no seleccionar los criterios de impacto(Afectación Económica o presupuestal y Pérdida Reputacional)",Q49)</f>
        <v>0</v>
      </c>
      <c r="S49" s="340" t="str">
        <f>IF(OR(R49='Tabla Impacto'!$C$12,R49='Tabla Impacto'!$D$12),"Leve",IF(OR(R49='Tabla Impacto'!$C$13,R49='Tabla Impacto'!$D$13),"Menor",IF(OR(R49='Tabla Impacto'!$C$14,R49='Tabla Impacto'!$D$14),"Moderado",IF(OR(R49='Tabla Impacto'!$C$15,R49='Tabla Impacto'!$D$15),"Mayor",IF(OR(R49='Tabla Impacto'!$C$16,R49='Tabla Impacto'!$D$16),"Catastrófico","")))))</f>
        <v/>
      </c>
      <c r="T49" s="341" t="str">
        <f>IF(S49="","",IF(S49="Leve",0.2,IF(S49="Menor",0.4,IF(S49="Moderado",0.6,IF(S49="Mayor",0.8,IF(S49="Catastrófico",1,))))))</f>
        <v/>
      </c>
      <c r="U49" s="358"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03">
        <v>1</v>
      </c>
      <c r="W49" s="188"/>
      <c r="X49" s="178" t="str">
        <f>IF(OR(Y49="Preventivo",Y49="Detectivo"),"Probabilidad",IF(Y49="Correctivo","Impacto",""))</f>
        <v/>
      </c>
      <c r="Y49" s="179"/>
      <c r="Z49" s="179"/>
      <c r="AA49" s="180" t="str">
        <f>IF(AND(Y49="Preventivo",Z49="Automático"),"50%",IF(AND(Y49="Preventivo",Z49="Manual"),"40%",IF(AND(Y49="Detectivo",Z49="Automático"),"40%",IF(AND(Y49="Detectivo",Z49="Manual"),"30%",IF(AND(Y49="Correctivo",Z49="Automático"),"35%",IF(AND(Y49="Correctivo",Z49="Manual"),"25%",""))))))</f>
        <v/>
      </c>
      <c r="AB49" s="179"/>
      <c r="AC49" s="179"/>
      <c r="AD49" s="179"/>
      <c r="AE49" s="181" t="str">
        <f>IFERROR(IF(X49="Probabilidad",(P49-(+P49*AA49)),IF(X49="Impacto",P49,"")),"")</f>
        <v/>
      </c>
      <c r="AF49" s="182" t="str">
        <f>IFERROR(IF(AE49="","",IF(AE49&lt;=0.2,"Muy Baja",IF(AE49&lt;=0.4,"Baja",IF(AE49&lt;=0.6,"Media",IF(AE49&lt;=0.8,"Alta","Muy Alta"))))),"")</f>
        <v/>
      </c>
      <c r="AG49" s="180" t="str">
        <f>+AE49</f>
        <v/>
      </c>
      <c r="AH49" s="182" t="str">
        <f>IFERROR(IF(AI49="","",IF(AI49&lt;=0.2,"Leve",IF(AI49&lt;=0.4,"Menor",IF(AI49&lt;=0.6,"Moderado",IF(AI49&lt;=0.8,"Mayor","Catastrófico"))))),"")</f>
        <v/>
      </c>
      <c r="AI49" s="180" t="str">
        <f t="shared" ref="AI49" si="53">IFERROR(IF(X49="Impacto",(T49-(+T49*AA49)),IF(X49="Probabilidad",T49,"")),"")</f>
        <v/>
      </c>
      <c r="AJ49" s="183"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84"/>
      <c r="AL49" s="175"/>
      <c r="AM49" s="185"/>
      <c r="AN49" s="185"/>
      <c r="AO49" s="186"/>
      <c r="AP49" s="339"/>
      <c r="AQ49" s="339"/>
      <c r="AR49" s="339"/>
    </row>
    <row r="50" spans="1:44" ht="37.5" customHeight="1" x14ac:dyDescent="0.2">
      <c r="A50" s="328"/>
      <c r="B50" s="329"/>
      <c r="C50" s="329"/>
      <c r="D50" s="367"/>
      <c r="E50" s="329"/>
      <c r="F50" s="329"/>
      <c r="G50" s="343"/>
      <c r="H50" s="343"/>
      <c r="I50" s="343"/>
      <c r="J50" s="343"/>
      <c r="K50" s="343"/>
      <c r="L50" s="343"/>
      <c r="M50" s="343"/>
      <c r="N50" s="339"/>
      <c r="O50" s="340"/>
      <c r="P50" s="341"/>
      <c r="Q50" s="359"/>
      <c r="R50" s="341">
        <f>IF(NOT(ISERROR(MATCH(Q50,_xlfn.ANCHORARRAY(E61),0))),P63&amp;"Por favor no seleccionar los criterios de impacto",Q50)</f>
        <v>0</v>
      </c>
      <c r="S50" s="340"/>
      <c r="T50" s="341"/>
      <c r="U50" s="358"/>
      <c r="V50" s="203">
        <v>2</v>
      </c>
      <c r="W50" s="176"/>
      <c r="X50" s="178" t="str">
        <f>IF(OR(Y50="Preventivo",Y50="Detectivo"),"Probabilidad",IF(Y50="Correctivo","Impacto",""))</f>
        <v/>
      </c>
      <c r="Y50" s="179"/>
      <c r="Z50" s="179"/>
      <c r="AA50" s="180" t="str">
        <f t="shared" ref="AA50:AA54" si="54">IF(AND(Y50="Preventivo",Z50="Automático"),"50%",IF(AND(Y50="Preventivo",Z50="Manual"),"40%",IF(AND(Y50="Detectivo",Z50="Automático"),"40%",IF(AND(Y50="Detectivo",Z50="Manual"),"30%",IF(AND(Y50="Correctivo",Z50="Automático"),"35%",IF(AND(Y50="Correctivo",Z50="Manual"),"25%",""))))))</f>
        <v/>
      </c>
      <c r="AB50" s="179"/>
      <c r="AC50" s="179"/>
      <c r="AD50" s="179"/>
      <c r="AE50" s="181" t="str">
        <f>IFERROR(IF(AND(X49="Probabilidad",X50="Probabilidad"),(AG49-(+AG49*AA50)),IF(X50="Probabilidad",(P49-(+P49*AA50)),IF(X50="Impacto",AG49,""))),"")</f>
        <v/>
      </c>
      <c r="AF50" s="182" t="str">
        <f t="shared" si="2"/>
        <v/>
      </c>
      <c r="AG50" s="180" t="str">
        <f t="shared" ref="AG50:AG54" si="55">+AE50</f>
        <v/>
      </c>
      <c r="AH50" s="182" t="str">
        <f t="shared" si="4"/>
        <v/>
      </c>
      <c r="AI50" s="180" t="str">
        <f t="shared" ref="AI50" si="56">IFERROR(IF(AND(X49="Impacto",X50="Impacto"),(AI49-(+AI49*AA50)),IF(X50="Impacto",($T$13-(+$T$13*AA50)),IF(X50="Probabilidad",AI49,""))),"")</f>
        <v/>
      </c>
      <c r="AJ50" s="183"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84"/>
      <c r="AL50" s="175"/>
      <c r="AM50" s="185"/>
      <c r="AN50" s="185"/>
      <c r="AO50" s="186"/>
      <c r="AP50" s="339"/>
      <c r="AQ50" s="339"/>
      <c r="AR50" s="339"/>
    </row>
    <row r="51" spans="1:44" ht="37.5" customHeight="1" x14ac:dyDescent="0.2">
      <c r="A51" s="328"/>
      <c r="B51" s="329"/>
      <c r="C51" s="329"/>
      <c r="D51" s="367"/>
      <c r="E51" s="329"/>
      <c r="F51" s="329"/>
      <c r="G51" s="343"/>
      <c r="H51" s="343"/>
      <c r="I51" s="343"/>
      <c r="J51" s="343"/>
      <c r="K51" s="343"/>
      <c r="L51" s="343"/>
      <c r="M51" s="343"/>
      <c r="N51" s="339"/>
      <c r="O51" s="340"/>
      <c r="P51" s="341"/>
      <c r="Q51" s="359"/>
      <c r="R51" s="341">
        <f>IF(NOT(ISERROR(MATCH(Q51,_xlfn.ANCHORARRAY(E62),0))),P64&amp;"Por favor no seleccionar los criterios de impacto",Q51)</f>
        <v>0</v>
      </c>
      <c r="S51" s="340"/>
      <c r="T51" s="341"/>
      <c r="U51" s="358"/>
      <c r="V51" s="203">
        <v>3</v>
      </c>
      <c r="W51" s="177"/>
      <c r="X51" s="178" t="str">
        <f>IF(OR(Y51="Preventivo",Y51="Detectivo"),"Probabilidad",IF(Y51="Correctivo","Impacto",""))</f>
        <v/>
      </c>
      <c r="Y51" s="179"/>
      <c r="Z51" s="179"/>
      <c r="AA51" s="180" t="str">
        <f t="shared" si="54"/>
        <v/>
      </c>
      <c r="AB51" s="179"/>
      <c r="AC51" s="179"/>
      <c r="AD51" s="179"/>
      <c r="AE51" s="181" t="str">
        <f>IFERROR(IF(AND(X50="Probabilidad",X51="Probabilidad"),(AG50-(+AG50*AA51)),IF(AND(X50="Impacto",X51="Probabilidad"),(AG49-(+AG49*AA51)),IF(X51="Impacto",AG50,""))),"")</f>
        <v/>
      </c>
      <c r="AF51" s="182" t="str">
        <f t="shared" si="2"/>
        <v/>
      </c>
      <c r="AG51" s="180" t="str">
        <f t="shared" si="55"/>
        <v/>
      </c>
      <c r="AH51" s="182" t="str">
        <f t="shared" si="4"/>
        <v/>
      </c>
      <c r="AI51" s="180" t="str">
        <f t="shared" ref="AI51" si="58">IFERROR(IF(AND(X50="Impacto",X51="Impacto"),(AI50-(+AI50*AA51)),IF(AND(X50="Probabilidad",X51="Impacto"),(AI49-(+AI49*AA51)),IF(X51="Probabilidad",AI50,""))),"")</f>
        <v/>
      </c>
      <c r="AJ51" s="183" t="str">
        <f t="shared" si="57"/>
        <v/>
      </c>
      <c r="AK51" s="184"/>
      <c r="AL51" s="175"/>
      <c r="AM51" s="185"/>
      <c r="AN51" s="185"/>
      <c r="AO51" s="186"/>
      <c r="AP51" s="339"/>
      <c r="AQ51" s="339"/>
      <c r="AR51" s="339"/>
    </row>
    <row r="52" spans="1:44" ht="37.5" customHeight="1" x14ac:dyDescent="0.2">
      <c r="A52" s="328"/>
      <c r="B52" s="329"/>
      <c r="C52" s="329"/>
      <c r="D52" s="367"/>
      <c r="E52" s="329"/>
      <c r="F52" s="329"/>
      <c r="G52" s="343"/>
      <c r="H52" s="343"/>
      <c r="I52" s="343"/>
      <c r="J52" s="343"/>
      <c r="K52" s="343"/>
      <c r="L52" s="343"/>
      <c r="M52" s="343"/>
      <c r="N52" s="339"/>
      <c r="O52" s="340"/>
      <c r="P52" s="341"/>
      <c r="Q52" s="359"/>
      <c r="R52" s="341">
        <f>IF(NOT(ISERROR(MATCH(Q52,_xlfn.ANCHORARRAY(E63),0))),P65&amp;"Por favor no seleccionar los criterios de impacto",Q52)</f>
        <v>0</v>
      </c>
      <c r="S52" s="340"/>
      <c r="T52" s="341"/>
      <c r="U52" s="358"/>
      <c r="V52" s="203">
        <v>4</v>
      </c>
      <c r="W52" s="176"/>
      <c r="X52" s="178" t="str">
        <f t="shared" ref="X52:X54" si="59">IF(OR(Y52="Preventivo",Y52="Detectivo"),"Probabilidad",IF(Y52="Correctivo","Impacto",""))</f>
        <v/>
      </c>
      <c r="Y52" s="179"/>
      <c r="Z52" s="179"/>
      <c r="AA52" s="180" t="str">
        <f t="shared" si="54"/>
        <v/>
      </c>
      <c r="AB52" s="179"/>
      <c r="AC52" s="179"/>
      <c r="AD52" s="179"/>
      <c r="AE52" s="181" t="str">
        <f t="shared" ref="AE52:AE54" si="60">IFERROR(IF(AND(X51="Probabilidad",X52="Probabilidad"),(AG51-(+AG51*AA52)),IF(AND(X51="Impacto",X52="Probabilidad"),(AG50-(+AG50*AA52)),IF(X52="Impacto",AG51,""))),"")</f>
        <v/>
      </c>
      <c r="AF52" s="182" t="str">
        <f t="shared" si="2"/>
        <v/>
      </c>
      <c r="AG52" s="180" t="str">
        <f t="shared" si="55"/>
        <v/>
      </c>
      <c r="AH52" s="182" t="str">
        <f t="shared" si="4"/>
        <v/>
      </c>
      <c r="AI52" s="180" t="str">
        <f t="shared" si="13"/>
        <v/>
      </c>
      <c r="AJ52" s="183"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84"/>
      <c r="AL52" s="175"/>
      <c r="AM52" s="185"/>
      <c r="AN52" s="185"/>
      <c r="AO52" s="186"/>
      <c r="AP52" s="339"/>
      <c r="AQ52" s="339"/>
      <c r="AR52" s="339"/>
    </row>
    <row r="53" spans="1:44" ht="37.5" customHeight="1" x14ac:dyDescent="0.2">
      <c r="A53" s="328"/>
      <c r="B53" s="329"/>
      <c r="C53" s="329"/>
      <c r="D53" s="367"/>
      <c r="E53" s="329"/>
      <c r="F53" s="329"/>
      <c r="G53" s="343"/>
      <c r="H53" s="343"/>
      <c r="I53" s="343"/>
      <c r="J53" s="343"/>
      <c r="K53" s="343"/>
      <c r="L53" s="343"/>
      <c r="M53" s="343"/>
      <c r="N53" s="339"/>
      <c r="O53" s="340"/>
      <c r="P53" s="341"/>
      <c r="Q53" s="359"/>
      <c r="R53" s="341">
        <f>IF(NOT(ISERROR(MATCH(Q53,_xlfn.ANCHORARRAY(E64),0))),P66&amp;"Por favor no seleccionar los criterios de impacto",Q53)</f>
        <v>0</v>
      </c>
      <c r="S53" s="340"/>
      <c r="T53" s="341"/>
      <c r="U53" s="358"/>
      <c r="V53" s="203">
        <v>5</v>
      </c>
      <c r="W53" s="176"/>
      <c r="X53" s="178" t="str">
        <f t="shared" si="59"/>
        <v/>
      </c>
      <c r="Y53" s="179"/>
      <c r="Z53" s="179"/>
      <c r="AA53" s="180" t="str">
        <f t="shared" si="54"/>
        <v/>
      </c>
      <c r="AB53" s="179"/>
      <c r="AC53" s="179"/>
      <c r="AD53" s="179"/>
      <c r="AE53" s="181" t="str">
        <f t="shared" si="60"/>
        <v/>
      </c>
      <c r="AF53" s="182" t="str">
        <f t="shared" si="2"/>
        <v/>
      </c>
      <c r="AG53" s="180" t="str">
        <f t="shared" si="55"/>
        <v/>
      </c>
      <c r="AH53" s="182" t="str">
        <f t="shared" si="4"/>
        <v/>
      </c>
      <c r="AI53" s="180" t="str">
        <f t="shared" si="13"/>
        <v/>
      </c>
      <c r="AJ53" s="183"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84"/>
      <c r="AL53" s="175"/>
      <c r="AM53" s="185"/>
      <c r="AN53" s="185"/>
      <c r="AO53" s="186"/>
      <c r="AP53" s="339"/>
      <c r="AQ53" s="339"/>
      <c r="AR53" s="339"/>
    </row>
    <row r="54" spans="1:44" ht="37.5" customHeight="1" x14ac:dyDescent="0.2">
      <c r="A54" s="328"/>
      <c r="B54" s="329"/>
      <c r="C54" s="329"/>
      <c r="D54" s="367"/>
      <c r="E54" s="329"/>
      <c r="F54" s="329"/>
      <c r="G54" s="344"/>
      <c r="H54" s="344"/>
      <c r="I54" s="344"/>
      <c r="J54" s="344"/>
      <c r="K54" s="344"/>
      <c r="L54" s="344"/>
      <c r="M54" s="344"/>
      <c r="N54" s="339"/>
      <c r="O54" s="340"/>
      <c r="P54" s="341"/>
      <c r="Q54" s="359"/>
      <c r="R54" s="341">
        <f>IF(NOT(ISERROR(MATCH(Q54,_xlfn.ANCHORARRAY(E65),0))),P67&amp;"Por favor no seleccionar los criterios de impacto",Q54)</f>
        <v>0</v>
      </c>
      <c r="S54" s="340"/>
      <c r="T54" s="341"/>
      <c r="U54" s="358"/>
      <c r="V54" s="203">
        <v>6</v>
      </c>
      <c r="W54" s="176"/>
      <c r="X54" s="178" t="str">
        <f t="shared" si="59"/>
        <v/>
      </c>
      <c r="Y54" s="179"/>
      <c r="Z54" s="179"/>
      <c r="AA54" s="180" t="str">
        <f t="shared" si="54"/>
        <v/>
      </c>
      <c r="AB54" s="179"/>
      <c r="AC54" s="179"/>
      <c r="AD54" s="179"/>
      <c r="AE54" s="181" t="str">
        <f t="shared" si="60"/>
        <v/>
      </c>
      <c r="AF54" s="182" t="str">
        <f t="shared" si="2"/>
        <v/>
      </c>
      <c r="AG54" s="180" t="str">
        <f t="shared" si="55"/>
        <v/>
      </c>
      <c r="AH54" s="182" t="str">
        <f t="shared" si="4"/>
        <v/>
      </c>
      <c r="AI54" s="180" t="str">
        <f t="shared" si="13"/>
        <v/>
      </c>
      <c r="AJ54" s="183" t="str">
        <f t="shared" si="61"/>
        <v/>
      </c>
      <c r="AK54" s="184"/>
      <c r="AL54" s="175"/>
      <c r="AM54" s="185"/>
      <c r="AN54" s="185"/>
      <c r="AO54" s="186"/>
      <c r="AP54" s="339"/>
      <c r="AQ54" s="339"/>
      <c r="AR54" s="339"/>
    </row>
    <row r="55" spans="1:44" ht="37.5" customHeight="1" x14ac:dyDescent="0.2">
      <c r="A55" s="328">
        <v>8</v>
      </c>
      <c r="B55" s="329"/>
      <c r="C55" s="329"/>
      <c r="D55" s="329"/>
      <c r="E55" s="329"/>
      <c r="F55" s="329"/>
      <c r="G55" s="342"/>
      <c r="H55" s="342"/>
      <c r="I55" s="342"/>
      <c r="J55" s="342"/>
      <c r="K55" s="342"/>
      <c r="L55" s="342"/>
      <c r="M55" s="342"/>
      <c r="N55" s="339"/>
      <c r="O55" s="340" t="str">
        <f>IF(N55&lt;=0,"",IF(N55&lt;=2,"Muy Baja",IF(N55&lt;=24,"Baja",IF(N55&lt;=500,"Media",IF(N55&lt;=5000,"Alta","Muy Alta")))))</f>
        <v/>
      </c>
      <c r="P55" s="341" t="str">
        <f>IF(O55="","",IF(O55="Muy Baja",0.2,IF(O55="Baja",0.4,IF(O55="Media",0.6,IF(O55="Alta",0.8,IF(O55="Muy Alta",1,))))))</f>
        <v/>
      </c>
      <c r="Q55" s="359"/>
      <c r="R55" s="341">
        <f>IF(NOT(ISERROR(MATCH(Q55,'Tabla Impacto'!$B$222:$B$224,0))),'Tabla Impacto'!$F$224&amp;"Por favor no seleccionar los criterios de impacto(Afectación Económica o presupuestal y Pérdida Reputacional)",Q55)</f>
        <v>0</v>
      </c>
      <c r="S55" s="340" t="str">
        <f>IF(OR(R55='Tabla Impacto'!$C$12,R55='Tabla Impacto'!$D$12),"Leve",IF(OR(R55='Tabla Impacto'!$C$13,R55='Tabla Impacto'!$D$13),"Menor",IF(OR(R55='Tabla Impacto'!$C$14,R55='Tabla Impacto'!$D$14),"Moderado",IF(OR(R55='Tabla Impacto'!$C$15,R55='Tabla Impacto'!$D$15),"Mayor",IF(OR(R55='Tabla Impacto'!$C$16,R55='Tabla Impacto'!$D$16),"Catastrófico","")))))</f>
        <v/>
      </c>
      <c r="T55" s="341" t="str">
        <f>IF(S55="","",IF(S55="Leve",0.2,IF(S55="Menor",0.4,IF(S55="Moderado",0.6,IF(S55="Mayor",0.8,IF(S55="Catastrófico",1,))))))</f>
        <v/>
      </c>
      <c r="U55" s="358"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03">
        <v>1</v>
      </c>
      <c r="W55" s="176"/>
      <c r="X55" s="178" t="str">
        <f>IF(OR(Y55="Preventivo",Y55="Detectivo"),"Probabilidad",IF(Y55="Correctivo","Impacto",""))</f>
        <v/>
      </c>
      <c r="Y55" s="179"/>
      <c r="Z55" s="179"/>
      <c r="AA55" s="180" t="str">
        <f>IF(AND(Y55="Preventivo",Z55="Automático"),"50%",IF(AND(Y55="Preventivo",Z55="Manual"),"40%",IF(AND(Y55="Detectivo",Z55="Automático"),"40%",IF(AND(Y55="Detectivo",Z55="Manual"),"30%",IF(AND(Y55="Correctivo",Z55="Automático"),"35%",IF(AND(Y55="Correctivo",Z55="Manual"),"25%",""))))))</f>
        <v/>
      </c>
      <c r="AB55" s="179"/>
      <c r="AC55" s="179"/>
      <c r="AD55" s="179"/>
      <c r="AE55" s="181" t="str">
        <f>IFERROR(IF(X55="Probabilidad",(P55-(+P55*AA55)),IF(X55="Impacto",P55,"")),"")</f>
        <v/>
      </c>
      <c r="AF55" s="182" t="str">
        <f>IFERROR(IF(AE55="","",IF(AE55&lt;=0.2,"Muy Baja",IF(AE55&lt;=0.4,"Baja",IF(AE55&lt;=0.6,"Media",IF(AE55&lt;=0.8,"Alta","Muy Alta"))))),"")</f>
        <v/>
      </c>
      <c r="AG55" s="180" t="str">
        <f>+AE55</f>
        <v/>
      </c>
      <c r="AH55" s="182" t="str">
        <f>IFERROR(IF(AI55="","",IF(AI55&lt;=0.2,"Leve",IF(AI55&lt;=0.4,"Menor",IF(AI55&lt;=0.6,"Moderado",IF(AI55&lt;=0.8,"Mayor","Catastrófico"))))),"")</f>
        <v/>
      </c>
      <c r="AI55" s="180" t="str">
        <f t="shared" ref="AI55" si="62">IFERROR(IF(X55="Impacto",(T55-(+T55*AA55)),IF(X55="Probabilidad",T55,"")),"")</f>
        <v/>
      </c>
      <c r="AJ55" s="183"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84"/>
      <c r="AL55" s="175"/>
      <c r="AM55" s="185"/>
      <c r="AN55" s="185"/>
      <c r="AO55" s="186"/>
      <c r="AP55" s="339"/>
      <c r="AQ55" s="339"/>
      <c r="AR55" s="339"/>
    </row>
    <row r="56" spans="1:44" ht="37.5" customHeight="1" x14ac:dyDescent="0.2">
      <c r="A56" s="328"/>
      <c r="B56" s="329"/>
      <c r="C56" s="329"/>
      <c r="D56" s="329"/>
      <c r="E56" s="329"/>
      <c r="F56" s="329"/>
      <c r="G56" s="343"/>
      <c r="H56" s="343"/>
      <c r="I56" s="343"/>
      <c r="J56" s="343"/>
      <c r="K56" s="343"/>
      <c r="L56" s="343"/>
      <c r="M56" s="343"/>
      <c r="N56" s="339"/>
      <c r="O56" s="340"/>
      <c r="P56" s="341"/>
      <c r="Q56" s="359"/>
      <c r="R56" s="341">
        <f>IF(NOT(ISERROR(MATCH(Q56,_xlfn.ANCHORARRAY(E67),0))),P69&amp;"Por favor no seleccionar los criterios de impacto",Q56)</f>
        <v>0</v>
      </c>
      <c r="S56" s="340"/>
      <c r="T56" s="341"/>
      <c r="U56" s="358"/>
      <c r="V56" s="203">
        <v>2</v>
      </c>
      <c r="W56" s="176"/>
      <c r="X56" s="178" t="str">
        <f>IF(OR(Y56="Preventivo",Y56="Detectivo"),"Probabilidad",IF(Y56="Correctivo","Impacto",""))</f>
        <v/>
      </c>
      <c r="Y56" s="179"/>
      <c r="Z56" s="179"/>
      <c r="AA56" s="180" t="str">
        <f t="shared" ref="AA56:AA60" si="63">IF(AND(Y56="Preventivo",Z56="Automático"),"50%",IF(AND(Y56="Preventivo",Z56="Manual"),"40%",IF(AND(Y56="Detectivo",Z56="Automático"),"40%",IF(AND(Y56="Detectivo",Z56="Manual"),"30%",IF(AND(Y56="Correctivo",Z56="Automático"),"35%",IF(AND(Y56="Correctivo",Z56="Manual"),"25%",""))))))</f>
        <v/>
      </c>
      <c r="AB56" s="179"/>
      <c r="AC56" s="179"/>
      <c r="AD56" s="179"/>
      <c r="AE56" s="181" t="str">
        <f>IFERROR(IF(AND(X55="Probabilidad",X56="Probabilidad"),(AG55-(+AG55*AA56)),IF(X56="Probabilidad",(P55-(+P55*AA56)),IF(X56="Impacto",AG55,""))),"")</f>
        <v/>
      </c>
      <c r="AF56" s="182" t="str">
        <f t="shared" si="2"/>
        <v/>
      </c>
      <c r="AG56" s="180" t="str">
        <f t="shared" ref="AG56:AG60" si="64">+AE56</f>
        <v/>
      </c>
      <c r="AH56" s="182" t="str">
        <f t="shared" si="4"/>
        <v/>
      </c>
      <c r="AI56" s="180" t="str">
        <f t="shared" ref="AI56" si="65">IFERROR(IF(AND(X55="Impacto",X56="Impacto"),(AI55-(+AI55*AA56)),IF(X56="Impacto",($T$13-(+$T$13*AA56)),IF(X56="Probabilidad",AI55,""))),"")</f>
        <v/>
      </c>
      <c r="AJ56" s="183"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84"/>
      <c r="AL56" s="175"/>
      <c r="AM56" s="185"/>
      <c r="AN56" s="185"/>
      <c r="AO56" s="186"/>
      <c r="AP56" s="339"/>
      <c r="AQ56" s="339"/>
      <c r="AR56" s="339"/>
    </row>
    <row r="57" spans="1:44" ht="37.5" customHeight="1" x14ac:dyDescent="0.2">
      <c r="A57" s="328"/>
      <c r="B57" s="329"/>
      <c r="C57" s="329"/>
      <c r="D57" s="329"/>
      <c r="E57" s="329"/>
      <c r="F57" s="329"/>
      <c r="G57" s="343"/>
      <c r="H57" s="343"/>
      <c r="I57" s="343"/>
      <c r="J57" s="343"/>
      <c r="K57" s="343"/>
      <c r="L57" s="343"/>
      <c r="M57" s="343"/>
      <c r="N57" s="339"/>
      <c r="O57" s="340"/>
      <c r="P57" s="341"/>
      <c r="Q57" s="359"/>
      <c r="R57" s="341">
        <f>IF(NOT(ISERROR(MATCH(Q57,_xlfn.ANCHORARRAY(E68),0))),P70&amp;"Por favor no seleccionar los criterios de impacto",Q57)</f>
        <v>0</v>
      </c>
      <c r="S57" s="340"/>
      <c r="T57" s="341"/>
      <c r="U57" s="358"/>
      <c r="V57" s="203">
        <v>3</v>
      </c>
      <c r="W57" s="177"/>
      <c r="X57" s="178" t="str">
        <f>IF(OR(Y57="Preventivo",Y57="Detectivo"),"Probabilidad",IF(Y57="Correctivo","Impacto",""))</f>
        <v/>
      </c>
      <c r="Y57" s="179"/>
      <c r="Z57" s="179"/>
      <c r="AA57" s="180" t="str">
        <f t="shared" si="63"/>
        <v/>
      </c>
      <c r="AB57" s="179"/>
      <c r="AC57" s="179"/>
      <c r="AD57" s="179"/>
      <c r="AE57" s="181" t="str">
        <f>IFERROR(IF(AND(X56="Probabilidad",X57="Probabilidad"),(AG56-(+AG56*AA57)),IF(AND(X56="Impacto",X57="Probabilidad"),(AG55-(+AG55*AA57)),IF(X57="Impacto",AG56,""))),"")</f>
        <v/>
      </c>
      <c r="AF57" s="182" t="str">
        <f t="shared" si="2"/>
        <v/>
      </c>
      <c r="AG57" s="180" t="str">
        <f t="shared" si="64"/>
        <v/>
      </c>
      <c r="AH57" s="182" t="str">
        <f t="shared" si="4"/>
        <v/>
      </c>
      <c r="AI57" s="180" t="str">
        <f t="shared" ref="AI57" si="67">IFERROR(IF(AND(X56="Impacto",X57="Impacto"),(AI56-(+AI56*AA57)),IF(AND(X56="Probabilidad",X57="Impacto"),(AI55-(+AI55*AA57)),IF(X57="Probabilidad",AI56,""))),"")</f>
        <v/>
      </c>
      <c r="AJ57" s="183" t="str">
        <f t="shared" si="66"/>
        <v/>
      </c>
      <c r="AK57" s="184"/>
      <c r="AL57" s="175"/>
      <c r="AM57" s="185"/>
      <c r="AN57" s="185"/>
      <c r="AO57" s="186"/>
      <c r="AP57" s="339"/>
      <c r="AQ57" s="339"/>
      <c r="AR57" s="339"/>
    </row>
    <row r="58" spans="1:44" ht="37.5" customHeight="1" x14ac:dyDescent="0.2">
      <c r="A58" s="328"/>
      <c r="B58" s="329"/>
      <c r="C58" s="329"/>
      <c r="D58" s="329"/>
      <c r="E58" s="329"/>
      <c r="F58" s="329"/>
      <c r="G58" s="343"/>
      <c r="H58" s="343"/>
      <c r="I58" s="343"/>
      <c r="J58" s="343"/>
      <c r="K58" s="343"/>
      <c r="L58" s="343"/>
      <c r="M58" s="343"/>
      <c r="N58" s="339"/>
      <c r="O58" s="340"/>
      <c r="P58" s="341"/>
      <c r="Q58" s="359"/>
      <c r="R58" s="341">
        <f>IF(NOT(ISERROR(MATCH(Q58,_xlfn.ANCHORARRAY(E69),0))),P71&amp;"Por favor no seleccionar los criterios de impacto",Q58)</f>
        <v>0</v>
      </c>
      <c r="S58" s="340"/>
      <c r="T58" s="341"/>
      <c r="U58" s="358"/>
      <c r="V58" s="203">
        <v>4</v>
      </c>
      <c r="W58" s="176"/>
      <c r="X58" s="178" t="str">
        <f t="shared" ref="X58:X60" si="68">IF(OR(Y58="Preventivo",Y58="Detectivo"),"Probabilidad",IF(Y58="Correctivo","Impacto",""))</f>
        <v/>
      </c>
      <c r="Y58" s="179"/>
      <c r="Z58" s="179"/>
      <c r="AA58" s="180" t="str">
        <f t="shared" si="63"/>
        <v/>
      </c>
      <c r="AB58" s="179"/>
      <c r="AC58" s="179"/>
      <c r="AD58" s="179"/>
      <c r="AE58" s="181" t="str">
        <f t="shared" ref="AE58:AE60" si="69">IFERROR(IF(AND(X57="Probabilidad",X58="Probabilidad"),(AG57-(+AG57*AA58)),IF(AND(X57="Impacto",X58="Probabilidad"),(AG56-(+AG56*AA58)),IF(X58="Impacto",AG57,""))),"")</f>
        <v/>
      </c>
      <c r="AF58" s="182" t="str">
        <f t="shared" si="2"/>
        <v/>
      </c>
      <c r="AG58" s="180" t="str">
        <f t="shared" si="64"/>
        <v/>
      </c>
      <c r="AH58" s="182" t="str">
        <f t="shared" si="4"/>
        <v/>
      </c>
      <c r="AI58" s="180" t="str">
        <f t="shared" si="13"/>
        <v/>
      </c>
      <c r="AJ58" s="183"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84"/>
      <c r="AL58" s="175"/>
      <c r="AM58" s="185"/>
      <c r="AN58" s="185"/>
      <c r="AO58" s="186"/>
      <c r="AP58" s="339"/>
      <c r="AQ58" s="339"/>
      <c r="AR58" s="339"/>
    </row>
    <row r="59" spans="1:44" ht="37.5" customHeight="1" x14ac:dyDescent="0.2">
      <c r="A59" s="328"/>
      <c r="B59" s="329"/>
      <c r="C59" s="329"/>
      <c r="D59" s="329"/>
      <c r="E59" s="329"/>
      <c r="F59" s="329"/>
      <c r="G59" s="343"/>
      <c r="H59" s="343"/>
      <c r="I59" s="343"/>
      <c r="J59" s="343"/>
      <c r="K59" s="343"/>
      <c r="L59" s="343"/>
      <c r="M59" s="343"/>
      <c r="N59" s="339"/>
      <c r="O59" s="340"/>
      <c r="P59" s="341"/>
      <c r="Q59" s="359"/>
      <c r="R59" s="341">
        <f>IF(NOT(ISERROR(MATCH(Q59,_xlfn.ANCHORARRAY(E70),0))),P72&amp;"Por favor no seleccionar los criterios de impacto",Q59)</f>
        <v>0</v>
      </c>
      <c r="S59" s="340"/>
      <c r="T59" s="341"/>
      <c r="U59" s="358"/>
      <c r="V59" s="203">
        <v>5</v>
      </c>
      <c r="W59" s="176"/>
      <c r="X59" s="178" t="str">
        <f t="shared" si="68"/>
        <v/>
      </c>
      <c r="Y59" s="179"/>
      <c r="Z59" s="179"/>
      <c r="AA59" s="180" t="str">
        <f t="shared" si="63"/>
        <v/>
      </c>
      <c r="AB59" s="179"/>
      <c r="AC59" s="179"/>
      <c r="AD59" s="179"/>
      <c r="AE59" s="181" t="str">
        <f t="shared" si="69"/>
        <v/>
      </c>
      <c r="AF59" s="182" t="str">
        <f t="shared" si="2"/>
        <v/>
      </c>
      <c r="AG59" s="180" t="str">
        <f t="shared" si="64"/>
        <v/>
      </c>
      <c r="AH59" s="182" t="str">
        <f t="shared" si="4"/>
        <v/>
      </c>
      <c r="AI59" s="180" t="str">
        <f t="shared" si="13"/>
        <v/>
      </c>
      <c r="AJ59" s="183"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84"/>
      <c r="AL59" s="175"/>
      <c r="AM59" s="185"/>
      <c r="AN59" s="185"/>
      <c r="AO59" s="186"/>
      <c r="AP59" s="339"/>
      <c r="AQ59" s="339"/>
      <c r="AR59" s="339"/>
    </row>
    <row r="60" spans="1:44" ht="37.5" customHeight="1" x14ac:dyDescent="0.2">
      <c r="A60" s="328"/>
      <c r="B60" s="329"/>
      <c r="C60" s="329"/>
      <c r="D60" s="329"/>
      <c r="E60" s="329"/>
      <c r="F60" s="329"/>
      <c r="G60" s="344"/>
      <c r="H60" s="344"/>
      <c r="I60" s="344"/>
      <c r="J60" s="344"/>
      <c r="K60" s="344"/>
      <c r="L60" s="344"/>
      <c r="M60" s="344"/>
      <c r="N60" s="339"/>
      <c r="O60" s="340"/>
      <c r="P60" s="341"/>
      <c r="Q60" s="359"/>
      <c r="R60" s="341">
        <f>IF(NOT(ISERROR(MATCH(Q60,_xlfn.ANCHORARRAY(E71),0))),Q73&amp;"Por favor no seleccionar los criterios de impacto",Q60)</f>
        <v>0</v>
      </c>
      <c r="S60" s="340"/>
      <c r="T60" s="341"/>
      <c r="U60" s="358"/>
      <c r="V60" s="203">
        <v>6</v>
      </c>
      <c r="W60" s="176"/>
      <c r="X60" s="178" t="str">
        <f t="shared" si="68"/>
        <v/>
      </c>
      <c r="Y60" s="179"/>
      <c r="Z60" s="179"/>
      <c r="AA60" s="180" t="str">
        <f t="shared" si="63"/>
        <v/>
      </c>
      <c r="AB60" s="179"/>
      <c r="AC60" s="179"/>
      <c r="AD60" s="179"/>
      <c r="AE60" s="181" t="str">
        <f t="shared" si="69"/>
        <v/>
      </c>
      <c r="AF60" s="182" t="str">
        <f t="shared" si="2"/>
        <v/>
      </c>
      <c r="AG60" s="180" t="str">
        <f t="shared" si="64"/>
        <v/>
      </c>
      <c r="AH60" s="182" t="str">
        <f t="shared" si="4"/>
        <v/>
      </c>
      <c r="AI60" s="180" t="str">
        <f t="shared" si="13"/>
        <v/>
      </c>
      <c r="AJ60" s="183" t="str">
        <f t="shared" si="70"/>
        <v/>
      </c>
      <c r="AK60" s="184"/>
      <c r="AL60" s="175"/>
      <c r="AM60" s="185"/>
      <c r="AN60" s="185"/>
      <c r="AO60" s="186"/>
      <c r="AP60" s="339"/>
      <c r="AQ60" s="339"/>
      <c r="AR60" s="339"/>
    </row>
    <row r="61" spans="1:44" ht="37.5" customHeight="1" x14ac:dyDescent="0.2">
      <c r="A61" s="328">
        <v>9</v>
      </c>
      <c r="B61" s="329"/>
      <c r="C61" s="329"/>
      <c r="D61" s="329"/>
      <c r="E61" s="329"/>
      <c r="F61" s="329"/>
      <c r="G61" s="342"/>
      <c r="H61" s="342"/>
      <c r="I61" s="210"/>
      <c r="J61" s="210"/>
      <c r="K61" s="210"/>
      <c r="L61" s="342"/>
      <c r="M61" s="342"/>
      <c r="N61" s="339"/>
      <c r="O61" s="340" t="str">
        <f>IF(N61&lt;=0,"",IF(N61&lt;=2,"Muy Baja",IF(N61&lt;=24,"Baja",IF(N61&lt;=500,"Media",IF(N61&lt;=5000,"Alta","Muy Alta")))))</f>
        <v/>
      </c>
      <c r="P61" s="341" t="str">
        <f>IF(O61="","",IF(O61="Muy Baja",0.2,IF(O61="Baja",0.4,IF(O61="Media",0.6,IF(O61="Alta",0.8,IF(O61="Muy Alta",1,))))))</f>
        <v/>
      </c>
      <c r="Q61" s="359"/>
      <c r="R61" s="341">
        <f>IF(NOT(ISERROR(MATCH(Q61,'Tabla Impacto'!$B$222:$B$224,0))),'Tabla Impacto'!$F$224&amp;"Por favor no seleccionar los criterios de impacto(Afectación Económica o presupuestal y Pérdida Reputacional)",Q61)</f>
        <v>0</v>
      </c>
      <c r="S61" s="340" t="str">
        <f>IF(OR(R61='Tabla Impacto'!$C$12,R61='Tabla Impacto'!$D$12),"Leve",IF(OR(R61='Tabla Impacto'!$C$13,R61='Tabla Impacto'!$D$13),"Menor",IF(OR(R61='Tabla Impacto'!$C$14,R61='Tabla Impacto'!$D$14),"Moderado",IF(OR(R61='Tabla Impacto'!$C$15,R61='Tabla Impacto'!$D$15),"Mayor",IF(OR(R61='Tabla Impacto'!$C$16,R61='Tabla Impacto'!$D$16),"Catastrófico","")))))</f>
        <v/>
      </c>
      <c r="T61" s="341" t="str">
        <f>IF(S61="","",IF(S61="Leve",0.2,IF(S61="Menor",0.4,IF(S61="Moderado",0.6,IF(S61="Mayor",0.8,IF(S61="Catastrófico",1,))))))</f>
        <v/>
      </c>
      <c r="U61" s="358"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03">
        <v>1</v>
      </c>
      <c r="W61" s="176"/>
      <c r="X61" s="178" t="str">
        <f>IF(OR(Y61="Preventivo",Y61="Detectivo"),"Probabilidad",IF(Y61="Correctivo","Impacto",""))</f>
        <v/>
      </c>
      <c r="Y61" s="179"/>
      <c r="Z61" s="179"/>
      <c r="AA61" s="180" t="str">
        <f>IF(AND(Y61="Preventivo",Z61="Automático"),"50%",IF(AND(Y61="Preventivo",Z61="Manual"),"40%",IF(AND(Y61="Detectivo",Z61="Automático"),"40%",IF(AND(Y61="Detectivo",Z61="Manual"),"30%",IF(AND(Y61="Correctivo",Z61="Automático"),"35%",IF(AND(Y61="Correctivo",Z61="Manual"),"25%",""))))))</f>
        <v/>
      </c>
      <c r="AB61" s="179"/>
      <c r="AC61" s="179"/>
      <c r="AD61" s="179"/>
      <c r="AE61" s="181" t="str">
        <f>IFERROR(IF(X61="Probabilidad",(P61-(+P61*AA61)),IF(X61="Impacto",P61,"")),"")</f>
        <v/>
      </c>
      <c r="AF61" s="182" t="str">
        <f>IFERROR(IF(AE61="","",IF(AE61&lt;=0.2,"Muy Baja",IF(AE61&lt;=0.4,"Baja",IF(AE61&lt;=0.6,"Media",IF(AE61&lt;=0.8,"Alta","Muy Alta"))))),"")</f>
        <v/>
      </c>
      <c r="AG61" s="180" t="str">
        <f>+AE61</f>
        <v/>
      </c>
      <c r="AH61" s="182" t="str">
        <f>IFERROR(IF(AI61="","",IF(AI61&lt;=0.2,"Leve",IF(AI61&lt;=0.4,"Menor",IF(AI61&lt;=0.6,"Moderado",IF(AI61&lt;=0.8,"Mayor","Catastrófico"))))),"")</f>
        <v/>
      </c>
      <c r="AI61" s="180" t="str">
        <f t="shared" ref="AI61" si="71">IFERROR(IF(X61="Impacto",(T61-(+T61*AA61)),IF(X61="Probabilidad",T61,"")),"")</f>
        <v/>
      </c>
      <c r="AJ61" s="183"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84"/>
      <c r="AL61" s="175"/>
      <c r="AM61" s="185"/>
      <c r="AN61" s="185"/>
      <c r="AO61" s="186"/>
      <c r="AP61" s="339"/>
      <c r="AQ61" s="339"/>
      <c r="AR61" s="339"/>
    </row>
    <row r="62" spans="1:44" ht="37.5" customHeight="1" x14ac:dyDescent="0.2">
      <c r="A62" s="328"/>
      <c r="B62" s="329"/>
      <c r="C62" s="329"/>
      <c r="D62" s="329"/>
      <c r="E62" s="329"/>
      <c r="F62" s="329"/>
      <c r="G62" s="343"/>
      <c r="H62" s="343"/>
      <c r="I62" s="211"/>
      <c r="J62" s="211"/>
      <c r="K62" s="211"/>
      <c r="L62" s="343"/>
      <c r="M62" s="343"/>
      <c r="N62" s="339"/>
      <c r="O62" s="340"/>
      <c r="P62" s="341"/>
      <c r="Q62" s="359"/>
      <c r="R62" s="341">
        <f>IF(NOT(ISERROR(MATCH(Q62,_xlfn.ANCHORARRAY(F73),0))),Q75&amp;"Por favor no seleccionar los criterios de impacto",Q62)</f>
        <v>0</v>
      </c>
      <c r="S62" s="340"/>
      <c r="T62" s="341"/>
      <c r="U62" s="358"/>
      <c r="V62" s="203">
        <v>2</v>
      </c>
      <c r="W62" s="176"/>
      <c r="X62" s="178" t="str">
        <f>IF(OR(Y62="Preventivo",Y62="Detectivo"),"Probabilidad",IF(Y62="Correctivo","Impacto",""))</f>
        <v/>
      </c>
      <c r="Y62" s="179"/>
      <c r="Z62" s="179"/>
      <c r="AA62" s="180" t="str">
        <f t="shared" ref="AA62:AA66" si="72">IF(AND(Y62="Preventivo",Z62="Automático"),"50%",IF(AND(Y62="Preventivo",Z62="Manual"),"40%",IF(AND(Y62="Detectivo",Z62="Automático"),"40%",IF(AND(Y62="Detectivo",Z62="Manual"),"30%",IF(AND(Y62="Correctivo",Z62="Automático"),"35%",IF(AND(Y62="Correctivo",Z62="Manual"),"25%",""))))))</f>
        <v/>
      </c>
      <c r="AB62" s="179"/>
      <c r="AC62" s="179"/>
      <c r="AD62" s="179"/>
      <c r="AE62" s="181" t="str">
        <f>IFERROR(IF(AND(X61="Probabilidad",X62="Probabilidad"),(AG61-(+AG61*AA62)),IF(X62="Probabilidad",(P61-(+P61*AA62)),IF(X62="Impacto",AG61,""))),"")</f>
        <v/>
      </c>
      <c r="AF62" s="182" t="str">
        <f t="shared" si="2"/>
        <v/>
      </c>
      <c r="AG62" s="180" t="str">
        <f t="shared" ref="AG62:AG66" si="73">+AE62</f>
        <v/>
      </c>
      <c r="AH62" s="182" t="str">
        <f t="shared" si="4"/>
        <v/>
      </c>
      <c r="AI62" s="180" t="str">
        <f t="shared" ref="AI62" si="74">IFERROR(IF(AND(X61="Impacto",X62="Impacto"),(AI61-(+AI61*AA62)),IF(X62="Impacto",($T$13-(+$T$13*AA62)),IF(X62="Probabilidad",AI61,""))),"")</f>
        <v/>
      </c>
      <c r="AJ62" s="183"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84"/>
      <c r="AL62" s="175"/>
      <c r="AM62" s="185"/>
      <c r="AN62" s="185"/>
      <c r="AO62" s="186"/>
      <c r="AP62" s="339"/>
      <c r="AQ62" s="339"/>
      <c r="AR62" s="339"/>
    </row>
    <row r="63" spans="1:44" ht="37.5" customHeight="1" x14ac:dyDescent="0.2">
      <c r="A63" s="328"/>
      <c r="B63" s="329"/>
      <c r="C63" s="329"/>
      <c r="D63" s="329"/>
      <c r="E63" s="329"/>
      <c r="F63" s="329"/>
      <c r="G63" s="343"/>
      <c r="H63" s="343"/>
      <c r="I63" s="211"/>
      <c r="J63" s="211"/>
      <c r="K63" s="211"/>
      <c r="L63" s="343"/>
      <c r="M63" s="343"/>
      <c r="N63" s="339"/>
      <c r="O63" s="340"/>
      <c r="P63" s="341"/>
      <c r="Q63" s="359"/>
      <c r="R63" s="341">
        <f>IF(NOT(ISERROR(MATCH(Q63,_xlfn.ANCHORARRAY(F74),0))),Q76&amp;"Por favor no seleccionar los criterios de impacto",Q63)</f>
        <v>0</v>
      </c>
      <c r="S63" s="340"/>
      <c r="T63" s="341"/>
      <c r="U63" s="358"/>
      <c r="V63" s="203">
        <v>3</v>
      </c>
      <c r="W63" s="176"/>
      <c r="X63" s="178" t="str">
        <f>IF(OR(Y63="Preventivo",Y63="Detectivo"),"Probabilidad",IF(Y63="Correctivo","Impacto",""))</f>
        <v/>
      </c>
      <c r="Y63" s="179"/>
      <c r="Z63" s="179"/>
      <c r="AA63" s="180" t="str">
        <f t="shared" si="72"/>
        <v/>
      </c>
      <c r="AB63" s="179"/>
      <c r="AC63" s="179"/>
      <c r="AD63" s="179"/>
      <c r="AE63" s="181" t="str">
        <f>IFERROR(IF(AND(X62="Probabilidad",X63="Probabilidad"),(AG62-(+AG62*AA63)),IF(AND(X62="Impacto",X63="Probabilidad"),(AG61-(+AG61*AA63)),IF(X63="Impacto",AG62,""))),"")</f>
        <v/>
      </c>
      <c r="AF63" s="182" t="str">
        <f t="shared" si="2"/>
        <v/>
      </c>
      <c r="AG63" s="180" t="str">
        <f t="shared" si="73"/>
        <v/>
      </c>
      <c r="AH63" s="182" t="str">
        <f t="shared" si="4"/>
        <v/>
      </c>
      <c r="AI63" s="180" t="str">
        <f t="shared" ref="AI63" si="76">IFERROR(IF(AND(X62="Impacto",X63="Impacto"),(AI62-(+AI62*AA63)),IF(AND(X62="Probabilidad",X63="Impacto"),(AI61-(+AI61*AA63)),IF(X63="Probabilidad",AI62,""))),"")</f>
        <v/>
      </c>
      <c r="AJ63" s="183" t="str">
        <f t="shared" si="75"/>
        <v/>
      </c>
      <c r="AK63" s="184"/>
      <c r="AL63" s="175"/>
      <c r="AM63" s="185"/>
      <c r="AN63" s="185"/>
      <c r="AO63" s="186"/>
      <c r="AP63" s="339"/>
      <c r="AQ63" s="339"/>
      <c r="AR63" s="339"/>
    </row>
    <row r="64" spans="1:44" ht="37.5" customHeight="1" x14ac:dyDescent="0.2">
      <c r="A64" s="328"/>
      <c r="B64" s="329"/>
      <c r="C64" s="329"/>
      <c r="D64" s="329"/>
      <c r="E64" s="329"/>
      <c r="F64" s="329"/>
      <c r="G64" s="343"/>
      <c r="H64" s="343"/>
      <c r="I64" s="211"/>
      <c r="J64" s="211"/>
      <c r="K64" s="211"/>
      <c r="L64" s="343"/>
      <c r="M64" s="343"/>
      <c r="N64" s="339"/>
      <c r="O64" s="340"/>
      <c r="P64" s="341"/>
      <c r="Q64" s="359"/>
      <c r="R64" s="341">
        <f>IF(NOT(ISERROR(MATCH(Q64,_xlfn.ANCHORARRAY(F75),0))),Q77&amp;"Por favor no seleccionar los criterios de impacto",Q64)</f>
        <v>0</v>
      </c>
      <c r="S64" s="340"/>
      <c r="T64" s="341"/>
      <c r="U64" s="358"/>
      <c r="V64" s="203">
        <v>4</v>
      </c>
      <c r="W64" s="176"/>
      <c r="X64" s="178" t="str">
        <f t="shared" ref="X64:X66" si="77">IF(OR(Y64="Preventivo",Y64="Detectivo"),"Probabilidad",IF(Y64="Correctivo","Impacto",""))</f>
        <v/>
      </c>
      <c r="Y64" s="179"/>
      <c r="Z64" s="179"/>
      <c r="AA64" s="180" t="str">
        <f t="shared" si="72"/>
        <v/>
      </c>
      <c r="AB64" s="179"/>
      <c r="AC64" s="179"/>
      <c r="AD64" s="179"/>
      <c r="AE64" s="181" t="str">
        <f t="shared" ref="AE64:AE66" si="78">IFERROR(IF(AND(X63="Probabilidad",X64="Probabilidad"),(AG63-(+AG63*AA64)),IF(AND(X63="Impacto",X64="Probabilidad"),(AG62-(+AG62*AA64)),IF(X64="Impacto",AG63,""))),"")</f>
        <v/>
      </c>
      <c r="AF64" s="182" t="str">
        <f t="shared" si="2"/>
        <v/>
      </c>
      <c r="AG64" s="180" t="str">
        <f t="shared" si="73"/>
        <v/>
      </c>
      <c r="AH64" s="182" t="str">
        <f t="shared" si="4"/>
        <v/>
      </c>
      <c r="AI64" s="180" t="str">
        <f t="shared" si="13"/>
        <v/>
      </c>
      <c r="AJ64" s="183"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84"/>
      <c r="AL64" s="175"/>
      <c r="AM64" s="185"/>
      <c r="AN64" s="185"/>
      <c r="AO64" s="186"/>
      <c r="AP64" s="339"/>
      <c r="AQ64" s="339"/>
      <c r="AR64" s="339"/>
    </row>
    <row r="65" spans="1:44" ht="37.5" customHeight="1" x14ac:dyDescent="0.2">
      <c r="A65" s="328"/>
      <c r="B65" s="329"/>
      <c r="C65" s="329"/>
      <c r="D65" s="329"/>
      <c r="E65" s="329"/>
      <c r="F65" s="329"/>
      <c r="G65" s="343"/>
      <c r="H65" s="343"/>
      <c r="I65" s="211"/>
      <c r="J65" s="211"/>
      <c r="K65" s="211"/>
      <c r="L65" s="343"/>
      <c r="M65" s="343"/>
      <c r="N65" s="339"/>
      <c r="O65" s="340"/>
      <c r="P65" s="341"/>
      <c r="Q65" s="359"/>
      <c r="R65" s="341">
        <f>IF(NOT(ISERROR(MATCH(Q65,_xlfn.ANCHORARRAY(F76),0))),Q78&amp;"Por favor no seleccionar los criterios de impacto",Q65)</f>
        <v>0</v>
      </c>
      <c r="S65" s="340"/>
      <c r="T65" s="341"/>
      <c r="U65" s="358"/>
      <c r="V65" s="203">
        <v>5</v>
      </c>
      <c r="W65" s="176"/>
      <c r="X65" s="178" t="str">
        <f t="shared" si="77"/>
        <v/>
      </c>
      <c r="Y65" s="179"/>
      <c r="Z65" s="179"/>
      <c r="AA65" s="180" t="str">
        <f t="shared" si="72"/>
        <v/>
      </c>
      <c r="AB65" s="179"/>
      <c r="AC65" s="179"/>
      <c r="AD65" s="179"/>
      <c r="AE65" s="181" t="str">
        <f t="shared" si="78"/>
        <v/>
      </c>
      <c r="AF65" s="182" t="str">
        <f t="shared" si="2"/>
        <v/>
      </c>
      <c r="AG65" s="180" t="str">
        <f t="shared" si="73"/>
        <v/>
      </c>
      <c r="AH65" s="182" t="str">
        <f t="shared" si="4"/>
        <v/>
      </c>
      <c r="AI65" s="180" t="str">
        <f t="shared" si="13"/>
        <v/>
      </c>
      <c r="AJ65" s="183"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84"/>
      <c r="AL65" s="175"/>
      <c r="AM65" s="185"/>
      <c r="AN65" s="185"/>
      <c r="AO65" s="186"/>
      <c r="AP65" s="339"/>
      <c r="AQ65" s="339"/>
      <c r="AR65" s="339"/>
    </row>
    <row r="66" spans="1:44" ht="37.5" customHeight="1" x14ac:dyDescent="0.2">
      <c r="A66" s="328"/>
      <c r="B66" s="329"/>
      <c r="C66" s="329"/>
      <c r="D66" s="329"/>
      <c r="E66" s="329"/>
      <c r="F66" s="329"/>
      <c r="G66" s="344"/>
      <c r="H66" s="344"/>
      <c r="I66" s="212"/>
      <c r="J66" s="212"/>
      <c r="K66" s="212"/>
      <c r="L66" s="344"/>
      <c r="M66" s="344"/>
      <c r="N66" s="339"/>
      <c r="O66" s="340"/>
      <c r="P66" s="341"/>
      <c r="Q66" s="359"/>
      <c r="R66" s="341">
        <f>IF(NOT(ISERROR(MATCH(Q66,_xlfn.ANCHORARRAY(F77),0))),Q79&amp;"Por favor no seleccionar los criterios de impacto",Q66)</f>
        <v>0</v>
      </c>
      <c r="S66" s="340"/>
      <c r="T66" s="341"/>
      <c r="U66" s="358"/>
      <c r="V66" s="203">
        <v>6</v>
      </c>
      <c r="W66" s="176"/>
      <c r="X66" s="178" t="str">
        <f t="shared" si="77"/>
        <v/>
      </c>
      <c r="Y66" s="179"/>
      <c r="Z66" s="179"/>
      <c r="AA66" s="180" t="str">
        <f t="shared" si="72"/>
        <v/>
      </c>
      <c r="AB66" s="179"/>
      <c r="AC66" s="179"/>
      <c r="AD66" s="179"/>
      <c r="AE66" s="181" t="str">
        <f t="shared" si="78"/>
        <v/>
      </c>
      <c r="AF66" s="182" t="str">
        <f t="shared" si="2"/>
        <v/>
      </c>
      <c r="AG66" s="180" t="str">
        <f t="shared" si="73"/>
        <v/>
      </c>
      <c r="AH66" s="182" t="str">
        <f t="shared" si="4"/>
        <v/>
      </c>
      <c r="AI66" s="180" t="str">
        <f t="shared" si="13"/>
        <v/>
      </c>
      <c r="AJ66" s="183" t="str">
        <f t="shared" si="79"/>
        <v/>
      </c>
      <c r="AK66" s="184"/>
      <c r="AL66" s="175"/>
      <c r="AM66" s="185"/>
      <c r="AN66" s="185"/>
      <c r="AO66" s="186"/>
      <c r="AP66" s="339"/>
      <c r="AQ66" s="339"/>
      <c r="AR66" s="339"/>
    </row>
    <row r="67" spans="1:44" ht="37.5" customHeight="1" x14ac:dyDescent="0.2">
      <c r="A67" s="328">
        <v>10</v>
      </c>
      <c r="B67" s="329"/>
      <c r="C67" s="329"/>
      <c r="D67" s="329"/>
      <c r="E67" s="329"/>
      <c r="F67" s="329"/>
      <c r="G67" s="342"/>
      <c r="H67" s="342"/>
      <c r="I67" s="210"/>
      <c r="J67" s="210"/>
      <c r="K67" s="210"/>
      <c r="L67" s="342"/>
      <c r="M67" s="342"/>
      <c r="N67" s="339"/>
      <c r="O67" s="340" t="str">
        <f>IF(N67&lt;=0,"",IF(N67&lt;=2,"Muy Baja",IF(N67&lt;=24,"Baja",IF(N67&lt;=500,"Media",IF(N67&lt;=5000,"Alta","Muy Alta")))))</f>
        <v/>
      </c>
      <c r="P67" s="341" t="str">
        <f>IF(O67="","",IF(O67="Muy Baja",0.2,IF(O67="Baja",0.4,IF(O67="Media",0.6,IF(O67="Alta",0.8,IF(O67="Muy Alta",1,))))))</f>
        <v/>
      </c>
      <c r="Q67" s="359"/>
      <c r="R67" s="341">
        <f>IF(NOT(ISERROR(MATCH(Q67,'Tabla Impacto'!$B$222:$B$224,0))),'Tabla Impacto'!$F$224&amp;"Por favor no seleccionar los criterios de impacto(Afectación Económica o presupuestal y Pérdida Reputacional)",Q67)</f>
        <v>0</v>
      </c>
      <c r="S67" s="340" t="str">
        <f>IF(OR(R67='Tabla Impacto'!$C$12,R67='Tabla Impacto'!$D$12),"Leve",IF(OR(R67='Tabla Impacto'!$C$13,R67='Tabla Impacto'!$D$13),"Menor",IF(OR(R67='Tabla Impacto'!$C$14,R67='Tabla Impacto'!$D$14),"Moderado",IF(OR(R67='Tabla Impacto'!$C$15,R67='Tabla Impacto'!$D$15),"Mayor",IF(OR(R67='Tabla Impacto'!$C$16,R67='Tabla Impacto'!$D$16),"Catastrófico","")))))</f>
        <v/>
      </c>
      <c r="T67" s="341" t="str">
        <f>IF(S67="","",IF(S67="Leve",0.2,IF(S67="Menor",0.4,IF(S67="Moderado",0.6,IF(S67="Mayor",0.8,IF(S67="Catastrófico",1,))))))</f>
        <v/>
      </c>
      <c r="U67" s="358"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03">
        <v>1</v>
      </c>
      <c r="W67" s="176"/>
      <c r="X67" s="178" t="str">
        <f>IF(OR(Y67="Preventivo",Y67="Detectivo"),"Probabilidad",IF(Y67="Correctivo","Impacto",""))</f>
        <v/>
      </c>
      <c r="Y67" s="179"/>
      <c r="Z67" s="179"/>
      <c r="AA67" s="180" t="str">
        <f>IF(AND(Y67="Preventivo",Z67="Automático"),"50%",IF(AND(Y67="Preventivo",Z67="Manual"),"40%",IF(AND(Y67="Detectivo",Z67="Automático"),"40%",IF(AND(Y67="Detectivo",Z67="Manual"),"30%",IF(AND(Y67="Correctivo",Z67="Automático"),"35%",IF(AND(Y67="Correctivo",Z67="Manual"),"25%",""))))))</f>
        <v/>
      </c>
      <c r="AB67" s="179"/>
      <c r="AC67" s="179"/>
      <c r="AD67" s="179"/>
      <c r="AE67" s="181" t="str">
        <f>IFERROR(IF(X67="Probabilidad",(P67-(+P67*AA67)),IF(X67="Impacto",P67,"")),"")</f>
        <v/>
      </c>
      <c r="AF67" s="182" t="str">
        <f>IFERROR(IF(AE67="","",IF(AE67&lt;=0.2,"Muy Baja",IF(AE67&lt;=0.4,"Baja",IF(AE67&lt;=0.6,"Media",IF(AE67&lt;=0.8,"Alta","Muy Alta"))))),"")</f>
        <v/>
      </c>
      <c r="AG67" s="180" t="str">
        <f>+AE67</f>
        <v/>
      </c>
      <c r="AH67" s="182" t="str">
        <f>IFERROR(IF(AI67="","",IF(AI67&lt;=0.2,"Leve",IF(AI67&lt;=0.4,"Menor",IF(AI67&lt;=0.6,"Moderado",IF(AI67&lt;=0.8,"Mayor","Catastrófico"))))),"")</f>
        <v/>
      </c>
      <c r="AI67" s="180" t="str">
        <f t="shared" ref="AI67" si="80">IFERROR(IF(X67="Impacto",(T67-(+T67*AA67)),IF(X67="Probabilidad",T67,"")),"")</f>
        <v/>
      </c>
      <c r="AJ67" s="183"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84"/>
      <c r="AL67" s="175"/>
      <c r="AM67" s="185"/>
      <c r="AN67" s="185"/>
      <c r="AO67" s="186"/>
      <c r="AP67" s="339"/>
      <c r="AQ67" s="339"/>
      <c r="AR67" s="339"/>
    </row>
    <row r="68" spans="1:44" ht="37.5" customHeight="1" x14ac:dyDescent="0.2">
      <c r="A68" s="328"/>
      <c r="B68" s="329"/>
      <c r="C68" s="329"/>
      <c r="D68" s="329"/>
      <c r="E68" s="329"/>
      <c r="F68" s="329"/>
      <c r="G68" s="343"/>
      <c r="H68" s="343"/>
      <c r="I68" s="211"/>
      <c r="J68" s="211"/>
      <c r="K68" s="211"/>
      <c r="L68" s="343"/>
      <c r="M68" s="343"/>
      <c r="N68" s="339"/>
      <c r="O68" s="340"/>
      <c r="P68" s="341"/>
      <c r="Q68" s="359"/>
      <c r="R68" s="341">
        <f>IF(NOT(ISERROR(MATCH(Q68,_xlfn.ANCHORARRAY(F79),0))),Q81&amp;"Por favor no seleccionar los criterios de impacto",Q68)</f>
        <v>0</v>
      </c>
      <c r="S68" s="340"/>
      <c r="T68" s="341"/>
      <c r="U68" s="358"/>
      <c r="V68" s="203">
        <v>2</v>
      </c>
      <c r="W68" s="176"/>
      <c r="X68" s="178" t="str">
        <f>IF(OR(Y68="Preventivo",Y68="Detectivo"),"Probabilidad",IF(Y68="Correctivo","Impacto",""))</f>
        <v/>
      </c>
      <c r="Y68" s="179"/>
      <c r="Z68" s="179"/>
      <c r="AA68" s="180" t="str">
        <f t="shared" ref="AA68:AA72" si="81">IF(AND(Y68="Preventivo",Z68="Automático"),"50%",IF(AND(Y68="Preventivo",Z68="Manual"),"40%",IF(AND(Y68="Detectivo",Z68="Automático"),"40%",IF(AND(Y68="Detectivo",Z68="Manual"),"30%",IF(AND(Y68="Correctivo",Z68="Automático"),"35%",IF(AND(Y68="Correctivo",Z68="Manual"),"25%",""))))))</f>
        <v/>
      </c>
      <c r="AB68" s="179"/>
      <c r="AC68" s="179"/>
      <c r="AD68" s="179"/>
      <c r="AE68" s="181" t="str">
        <f>IFERROR(IF(AND(X67="Probabilidad",X68="Probabilidad"),(AG67-(+AG67*AA68)),IF(X68="Probabilidad",(P67-(+P67*AA68)),IF(X68="Impacto",AG67,""))),"")</f>
        <v/>
      </c>
      <c r="AF68" s="182" t="str">
        <f t="shared" si="2"/>
        <v/>
      </c>
      <c r="AG68" s="180" t="str">
        <f t="shared" ref="AG68:AG72" si="82">+AE68</f>
        <v/>
      </c>
      <c r="AH68" s="182" t="str">
        <f t="shared" si="4"/>
        <v/>
      </c>
      <c r="AI68" s="180" t="str">
        <f t="shared" ref="AI68" si="83">IFERROR(IF(AND(X67="Impacto",X68="Impacto"),(AI67-(+AI67*AA68)),IF(X68="Impacto",($T$13-(+$T$13*AA68)),IF(X68="Probabilidad",AI67,""))),"")</f>
        <v/>
      </c>
      <c r="AJ68" s="183"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84"/>
      <c r="AL68" s="175"/>
      <c r="AM68" s="185"/>
      <c r="AN68" s="185"/>
      <c r="AO68" s="186"/>
      <c r="AP68" s="339"/>
      <c r="AQ68" s="339"/>
      <c r="AR68" s="339"/>
    </row>
    <row r="69" spans="1:44" ht="37.5" customHeight="1" x14ac:dyDescent="0.2">
      <c r="A69" s="328"/>
      <c r="B69" s="329"/>
      <c r="C69" s="329"/>
      <c r="D69" s="329"/>
      <c r="E69" s="329"/>
      <c r="F69" s="329"/>
      <c r="G69" s="343"/>
      <c r="H69" s="343"/>
      <c r="I69" s="211"/>
      <c r="J69" s="211"/>
      <c r="K69" s="211"/>
      <c r="L69" s="343"/>
      <c r="M69" s="343"/>
      <c r="N69" s="339"/>
      <c r="O69" s="340"/>
      <c r="P69" s="341"/>
      <c r="Q69" s="359"/>
      <c r="R69" s="341">
        <f>IF(NOT(ISERROR(MATCH(Q69,_xlfn.ANCHORARRAY(F80),0))),Q82&amp;"Por favor no seleccionar los criterios de impacto",Q69)</f>
        <v>0</v>
      </c>
      <c r="S69" s="340"/>
      <c r="T69" s="341"/>
      <c r="U69" s="358"/>
      <c r="V69" s="203">
        <v>3</v>
      </c>
      <c r="W69" s="176"/>
      <c r="X69" s="178" t="str">
        <f>IF(OR(Y69="Preventivo",Y69="Detectivo"),"Probabilidad",IF(Y69="Correctivo","Impacto",""))</f>
        <v/>
      </c>
      <c r="Y69" s="179"/>
      <c r="Z69" s="179"/>
      <c r="AA69" s="180" t="str">
        <f t="shared" si="81"/>
        <v/>
      </c>
      <c r="AB69" s="179"/>
      <c r="AC69" s="179"/>
      <c r="AD69" s="179"/>
      <c r="AE69" s="181" t="str">
        <f>IFERROR(IF(AND(X68="Probabilidad",X69="Probabilidad"),(AG68-(+AG68*AA69)),IF(AND(X68="Impacto",X69="Probabilidad"),(AG67-(+AG67*AA69)),IF(X69="Impacto",AG68,""))),"")</f>
        <v/>
      </c>
      <c r="AF69" s="182" t="str">
        <f t="shared" si="2"/>
        <v/>
      </c>
      <c r="AG69" s="180" t="str">
        <f t="shared" si="82"/>
        <v/>
      </c>
      <c r="AH69" s="182" t="str">
        <f t="shared" si="4"/>
        <v/>
      </c>
      <c r="AI69" s="180" t="str">
        <f t="shared" ref="AI69" si="85">IFERROR(IF(AND(X68="Impacto",X69="Impacto"),(AI68-(+AI68*AA69)),IF(AND(X68="Probabilidad",X69="Impacto"),(AI67-(+AI67*AA69)),IF(X69="Probabilidad",AI68,""))),"")</f>
        <v/>
      </c>
      <c r="AJ69" s="183" t="str">
        <f t="shared" si="84"/>
        <v/>
      </c>
      <c r="AK69" s="184"/>
      <c r="AL69" s="175"/>
      <c r="AM69" s="185"/>
      <c r="AN69" s="185"/>
      <c r="AO69" s="186"/>
      <c r="AP69" s="339"/>
      <c r="AQ69" s="339"/>
      <c r="AR69" s="339"/>
    </row>
    <row r="70" spans="1:44" ht="37.5" customHeight="1" x14ac:dyDescent="0.2">
      <c r="A70" s="328"/>
      <c r="B70" s="329"/>
      <c r="C70" s="329"/>
      <c r="D70" s="329"/>
      <c r="E70" s="329"/>
      <c r="F70" s="329"/>
      <c r="G70" s="343"/>
      <c r="H70" s="343"/>
      <c r="I70" s="211"/>
      <c r="J70" s="211"/>
      <c r="K70" s="211"/>
      <c r="L70" s="343"/>
      <c r="M70" s="343"/>
      <c r="N70" s="339"/>
      <c r="O70" s="340"/>
      <c r="P70" s="341"/>
      <c r="Q70" s="359"/>
      <c r="R70" s="341">
        <f>IF(NOT(ISERROR(MATCH(Q70,_xlfn.ANCHORARRAY(F81),0))),Q83&amp;"Por favor no seleccionar los criterios de impacto",Q70)</f>
        <v>0</v>
      </c>
      <c r="S70" s="340"/>
      <c r="T70" s="341"/>
      <c r="U70" s="358"/>
      <c r="V70" s="203">
        <v>4</v>
      </c>
      <c r="W70" s="176"/>
      <c r="X70" s="178" t="str">
        <f t="shared" ref="X70:X72" si="86">IF(OR(Y70="Preventivo",Y70="Detectivo"),"Probabilidad",IF(Y70="Correctivo","Impacto",""))</f>
        <v/>
      </c>
      <c r="Y70" s="179"/>
      <c r="Z70" s="179"/>
      <c r="AA70" s="180" t="str">
        <f t="shared" si="81"/>
        <v/>
      </c>
      <c r="AB70" s="179"/>
      <c r="AC70" s="179"/>
      <c r="AD70" s="179"/>
      <c r="AE70" s="181" t="str">
        <f t="shared" ref="AE70:AE72" si="87">IFERROR(IF(AND(X69="Probabilidad",X70="Probabilidad"),(AG69-(+AG69*AA70)),IF(AND(X69="Impacto",X70="Probabilidad"),(AG68-(+AG68*AA70)),IF(X70="Impacto",AG69,""))),"")</f>
        <v/>
      </c>
      <c r="AF70" s="182" t="str">
        <f t="shared" si="2"/>
        <v/>
      </c>
      <c r="AG70" s="180" t="str">
        <f t="shared" si="82"/>
        <v/>
      </c>
      <c r="AH70" s="182" t="str">
        <f t="shared" si="4"/>
        <v/>
      </c>
      <c r="AI70" s="180" t="str">
        <f t="shared" si="13"/>
        <v/>
      </c>
      <c r="AJ70" s="183"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84"/>
      <c r="AL70" s="175"/>
      <c r="AM70" s="185"/>
      <c r="AN70" s="185"/>
      <c r="AO70" s="186"/>
      <c r="AP70" s="339"/>
      <c r="AQ70" s="339"/>
      <c r="AR70" s="339"/>
    </row>
    <row r="71" spans="1:44" ht="37.5" customHeight="1" x14ac:dyDescent="0.2">
      <c r="A71" s="328"/>
      <c r="B71" s="329"/>
      <c r="C71" s="329"/>
      <c r="D71" s="329"/>
      <c r="E71" s="329"/>
      <c r="F71" s="329"/>
      <c r="G71" s="343"/>
      <c r="H71" s="343"/>
      <c r="I71" s="211"/>
      <c r="J71" s="211"/>
      <c r="K71" s="211"/>
      <c r="L71" s="343"/>
      <c r="M71" s="343"/>
      <c r="N71" s="339"/>
      <c r="O71" s="340"/>
      <c r="P71" s="341"/>
      <c r="Q71" s="359"/>
      <c r="R71" s="341">
        <f>IF(NOT(ISERROR(MATCH(Q71,_xlfn.ANCHORARRAY(F82),0))),Q84&amp;"Por favor no seleccionar los criterios de impacto",Q71)</f>
        <v>0</v>
      </c>
      <c r="S71" s="340"/>
      <c r="T71" s="341"/>
      <c r="U71" s="358"/>
      <c r="V71" s="203">
        <v>5</v>
      </c>
      <c r="W71" s="176"/>
      <c r="X71" s="178" t="str">
        <f t="shared" si="86"/>
        <v/>
      </c>
      <c r="Y71" s="179"/>
      <c r="Z71" s="179"/>
      <c r="AA71" s="180" t="str">
        <f t="shared" si="81"/>
        <v/>
      </c>
      <c r="AB71" s="179"/>
      <c r="AC71" s="179"/>
      <c r="AD71" s="179"/>
      <c r="AE71" s="181" t="str">
        <f t="shared" si="87"/>
        <v/>
      </c>
      <c r="AF71" s="182" t="str">
        <f t="shared" si="2"/>
        <v/>
      </c>
      <c r="AG71" s="180" t="str">
        <f t="shared" si="82"/>
        <v/>
      </c>
      <c r="AH71" s="182" t="str">
        <f t="shared" si="4"/>
        <v/>
      </c>
      <c r="AI71" s="180" t="str">
        <f t="shared" si="13"/>
        <v/>
      </c>
      <c r="AJ71" s="183"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84"/>
      <c r="AL71" s="175"/>
      <c r="AM71" s="185"/>
      <c r="AN71" s="185"/>
      <c r="AO71" s="186"/>
      <c r="AP71" s="339"/>
      <c r="AQ71" s="339"/>
      <c r="AR71" s="339"/>
    </row>
    <row r="72" spans="1:44" ht="37.5" customHeight="1" x14ac:dyDescent="0.2">
      <c r="A72" s="328"/>
      <c r="B72" s="329"/>
      <c r="C72" s="329"/>
      <c r="D72" s="329"/>
      <c r="E72" s="329"/>
      <c r="F72" s="329"/>
      <c r="G72" s="344"/>
      <c r="H72" s="344"/>
      <c r="I72" s="212"/>
      <c r="J72" s="212"/>
      <c r="K72" s="212"/>
      <c r="L72" s="344"/>
      <c r="M72" s="344"/>
      <c r="N72" s="339"/>
      <c r="O72" s="340"/>
      <c r="P72" s="341"/>
      <c r="Q72" s="359"/>
      <c r="R72" s="341">
        <f>IF(NOT(ISERROR(MATCH(Q72,_xlfn.ANCHORARRAY(F83),0))),Q85&amp;"Por favor no seleccionar los criterios de impacto",Q72)</f>
        <v>0</v>
      </c>
      <c r="S72" s="340"/>
      <c r="T72" s="341"/>
      <c r="U72" s="358"/>
      <c r="V72" s="203">
        <v>6</v>
      </c>
      <c r="W72" s="176"/>
      <c r="X72" s="178" t="str">
        <f t="shared" si="86"/>
        <v/>
      </c>
      <c r="Y72" s="179"/>
      <c r="Z72" s="179"/>
      <c r="AA72" s="180" t="str">
        <f t="shared" si="81"/>
        <v/>
      </c>
      <c r="AB72" s="179"/>
      <c r="AC72" s="179"/>
      <c r="AD72" s="179"/>
      <c r="AE72" s="181" t="str">
        <f t="shared" si="87"/>
        <v/>
      </c>
      <c r="AF72" s="182" t="str">
        <f t="shared" si="2"/>
        <v/>
      </c>
      <c r="AG72" s="180" t="str">
        <f t="shared" si="82"/>
        <v/>
      </c>
      <c r="AH72" s="182" t="str">
        <f t="shared" si="4"/>
        <v/>
      </c>
      <c r="AI72" s="180" t="str">
        <f t="shared" si="13"/>
        <v/>
      </c>
      <c r="AJ72" s="183" t="str">
        <f t="shared" si="88"/>
        <v/>
      </c>
      <c r="AK72" s="184"/>
      <c r="AL72" s="175"/>
      <c r="AM72" s="185"/>
      <c r="AN72" s="185"/>
      <c r="AO72" s="186"/>
      <c r="AP72" s="339"/>
      <c r="AQ72" s="339"/>
      <c r="AR72" s="339"/>
    </row>
    <row r="73" spans="1:44" ht="49.5" customHeight="1" x14ac:dyDescent="0.2">
      <c r="A73" s="205"/>
      <c r="B73" s="365" t="s">
        <v>247</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row>
    <row r="75" spans="1:44" ht="15.75" x14ac:dyDescent="0.2">
      <c r="A75" s="187"/>
      <c r="B75" s="195" t="s">
        <v>248</v>
      </c>
      <c r="C75" s="187"/>
      <c r="D75" s="187"/>
      <c r="E75" s="187"/>
      <c r="N75" s="187"/>
    </row>
  </sheetData>
  <dataConsolidate/>
  <mergeCells count="299">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T55:T60"/>
    <mergeCell ref="U55:U60"/>
    <mergeCell ref="AP55:AP60"/>
    <mergeCell ref="AQ55:AQ60"/>
    <mergeCell ref="AR55:AR60"/>
    <mergeCell ref="M55:M60"/>
    <mergeCell ref="N55:N60"/>
    <mergeCell ref="O55:O60"/>
    <mergeCell ref="P55:P60"/>
    <mergeCell ref="Q55:Q60"/>
    <mergeCell ref="R55:R60"/>
    <mergeCell ref="G55:G60"/>
    <mergeCell ref="H55:H60"/>
    <mergeCell ref="I55:I60"/>
    <mergeCell ref="J55:J60"/>
    <mergeCell ref="K55:K60"/>
    <mergeCell ref="L55:L60"/>
    <mergeCell ref="A55:A60"/>
    <mergeCell ref="B55:B60"/>
    <mergeCell ref="C55:C60"/>
    <mergeCell ref="D55:D60"/>
    <mergeCell ref="E55:E60"/>
    <mergeCell ref="F55:F60"/>
    <mergeCell ref="S49:S54"/>
    <mergeCell ref="T49:T54"/>
    <mergeCell ref="U49:U54"/>
    <mergeCell ref="AP49:AP54"/>
    <mergeCell ref="AQ49:AQ54"/>
    <mergeCell ref="AR49:AR54"/>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S43:S48"/>
    <mergeCell ref="T43:T48"/>
    <mergeCell ref="U43:U48"/>
    <mergeCell ref="AP43:AP48"/>
    <mergeCell ref="AQ43:AQ48"/>
    <mergeCell ref="AR43:AR48"/>
    <mergeCell ref="M43:M48"/>
    <mergeCell ref="N43:N48"/>
    <mergeCell ref="O43:O48"/>
    <mergeCell ref="P43:P48"/>
    <mergeCell ref="Q43:Q48"/>
    <mergeCell ref="R43:R48"/>
    <mergeCell ref="G43:G48"/>
    <mergeCell ref="H43:H48"/>
    <mergeCell ref="I43:I48"/>
    <mergeCell ref="J43:J48"/>
    <mergeCell ref="K43:K48"/>
    <mergeCell ref="L43:L48"/>
    <mergeCell ref="A43:A48"/>
    <mergeCell ref="B43:B48"/>
    <mergeCell ref="C43:C48"/>
    <mergeCell ref="D43:D48"/>
    <mergeCell ref="E43:E48"/>
    <mergeCell ref="F43:F48"/>
    <mergeCell ref="S37:S42"/>
    <mergeCell ref="T37:T42"/>
    <mergeCell ref="U37:U42"/>
    <mergeCell ref="AP37:AP42"/>
    <mergeCell ref="AQ37:AQ42"/>
    <mergeCell ref="AR37:AR42"/>
    <mergeCell ref="M37:M42"/>
    <mergeCell ref="N37:N42"/>
    <mergeCell ref="O37:O42"/>
    <mergeCell ref="P37:P42"/>
    <mergeCell ref="Q37:Q42"/>
    <mergeCell ref="R37:R42"/>
    <mergeCell ref="G37:G42"/>
    <mergeCell ref="H37:H42"/>
    <mergeCell ref="I37:I42"/>
    <mergeCell ref="J37:J42"/>
    <mergeCell ref="K37:K42"/>
    <mergeCell ref="L37:L42"/>
    <mergeCell ref="A37:A42"/>
    <mergeCell ref="B37:B42"/>
    <mergeCell ref="C37:C42"/>
    <mergeCell ref="D37:D42"/>
    <mergeCell ref="E37:E42"/>
    <mergeCell ref="F37:F42"/>
    <mergeCell ref="S31:S36"/>
    <mergeCell ref="T31:T36"/>
    <mergeCell ref="U31:U36"/>
    <mergeCell ref="AP31:AP36"/>
    <mergeCell ref="AQ31:AQ36"/>
    <mergeCell ref="AR31:AR36"/>
    <mergeCell ref="M31:M36"/>
    <mergeCell ref="N31:N36"/>
    <mergeCell ref="O31:O36"/>
    <mergeCell ref="P31:P36"/>
    <mergeCell ref="Q31:Q36"/>
    <mergeCell ref="R31:R36"/>
    <mergeCell ref="G31:G36"/>
    <mergeCell ref="H31:H36"/>
    <mergeCell ref="I31:I36"/>
    <mergeCell ref="J31:J36"/>
    <mergeCell ref="K31:K36"/>
    <mergeCell ref="L31:L36"/>
    <mergeCell ref="A31:A36"/>
    <mergeCell ref="B31:B36"/>
    <mergeCell ref="C31:C36"/>
    <mergeCell ref="D31:D36"/>
    <mergeCell ref="E31:E36"/>
    <mergeCell ref="F31:F36"/>
    <mergeCell ref="S25:S30"/>
    <mergeCell ref="T25:T30"/>
    <mergeCell ref="U25:U30"/>
    <mergeCell ref="AP25:AP30"/>
    <mergeCell ref="AQ25:AQ30"/>
    <mergeCell ref="AR25:AR30"/>
    <mergeCell ref="M25:M30"/>
    <mergeCell ref="N25:N30"/>
    <mergeCell ref="O25:O30"/>
    <mergeCell ref="P25:P30"/>
    <mergeCell ref="Q25:Q30"/>
    <mergeCell ref="R25:R30"/>
    <mergeCell ref="G25:G30"/>
    <mergeCell ref="H25:H30"/>
    <mergeCell ref="I25:I30"/>
    <mergeCell ref="J25:J30"/>
    <mergeCell ref="K25:K30"/>
    <mergeCell ref="L25:L30"/>
    <mergeCell ref="A25:A30"/>
    <mergeCell ref="B25:B30"/>
    <mergeCell ref="C25:C30"/>
    <mergeCell ref="D25:D30"/>
    <mergeCell ref="E25:E30"/>
    <mergeCell ref="F25:F30"/>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11:A12"/>
    <mergeCell ref="B11:B12"/>
    <mergeCell ref="C11:C12"/>
    <mergeCell ref="D11:D12"/>
    <mergeCell ref="E11:E12"/>
    <mergeCell ref="F11:F12"/>
    <mergeCell ref="G11:G12"/>
    <mergeCell ref="H11:H12"/>
    <mergeCell ref="I11:I12"/>
    <mergeCell ref="A8:B8"/>
    <mergeCell ref="Z8:AR8"/>
    <mergeCell ref="A10:F10"/>
    <mergeCell ref="G10:K10"/>
    <mergeCell ref="P10:V10"/>
    <mergeCell ref="W10:AE10"/>
    <mergeCell ref="AF10:AJ10"/>
    <mergeCell ref="AK10:AO10"/>
    <mergeCell ref="AP10:AR10"/>
    <mergeCell ref="C8:T8"/>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F658C02B-993D-424E-BB84-44117E492661}">
          <x14:formula1>
            <xm:f>Listas!$H$14:$H$18</xm:f>
          </x14:formula1>
          <xm:sqref>M13:M72</xm:sqref>
        </x14:dataValidation>
        <x14:dataValidation type="list" allowBlank="1" showInputMessage="1" showErrorMessage="1" xr:uid="{40312BE1-7798-450E-AF3E-05C67AC8BF93}">
          <x14:formula1>
            <xm:f>Listas!$H$8:$H$12</xm:f>
          </x14:formula1>
          <xm:sqref>L13:L72</xm:sqref>
        </x14:dataValidation>
        <x14:dataValidation type="list" allowBlank="1" showInputMessage="1" showErrorMessage="1" xr:uid="{AA2E5EA3-1692-46F4-901A-D93807733420}">
          <x14:formula1>
            <xm:f>Intructivo!$C$300:$C$316</xm:f>
          </x14:formula1>
          <xm:sqref>C6 T6:V6</xm:sqref>
        </x14:dataValidation>
        <x14:dataValidation type="list" allowBlank="1" showInputMessage="1" showErrorMessage="1" xr:uid="{03DE59EA-53B5-45A4-8E26-599EB4253647}">
          <x14:formula1>
            <xm:f>Listas!$F$8:$F$9</xm:f>
          </x14:formula1>
          <xm:sqref>G13:G72</xm:sqref>
        </x14:dataValidation>
        <x14:dataValidation type="list" allowBlank="1" showInputMessage="1" showErrorMessage="1" xr:uid="{4606DDEB-9F54-40BD-9BAC-47E32FED934C}">
          <x14:formula1>
            <xm:f>Listas!$B$17:$B$19</xm:f>
          </x14:formula1>
          <xm:sqref>F13:F72</xm:sqref>
        </x14:dataValidation>
        <x14:dataValidation type="custom" allowBlank="1" showInputMessage="1" showErrorMessage="1" error="Recuerde que las acciones se generan bajo la medida de mitigar el riesgo" xr:uid="{3A1535EF-A4E0-4446-B8FF-E932552AAE11}">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BA3C577B-DF51-41B8-800C-3C49B635B328}">
          <x14:formula1>
            <xm:f>Listas!$B$2:$B$5</xm:f>
          </x14:formula1>
          <xm:sqref>AK13:AK72</xm:sqref>
        </x14:dataValidation>
        <x14:dataValidation type="list" allowBlank="1" showInputMessage="1" showErrorMessage="1" xr:uid="{A7E97360-E878-482D-944B-FEFCE41EF2DD}">
          <x14:formula1>
            <xm:f>Listas!$E$2:$E$4</xm:f>
          </x14:formula1>
          <xm:sqref>B13:B72</xm:sqref>
        </x14:dataValidation>
        <x14:dataValidation type="list" allowBlank="1" showInputMessage="1" showErrorMessage="1" xr:uid="{81C7FE65-3E9A-49D2-8D53-7625D18167FA}">
          <x14:formula1>
            <xm:f>'Tabla Valoración controles'!$D$13:$D$14</xm:f>
          </x14:formula1>
          <xm:sqref>AD13:AD72</xm:sqref>
        </x14:dataValidation>
        <x14:dataValidation type="list" allowBlank="1" showInputMessage="1" showErrorMessage="1" xr:uid="{75D2C17F-7073-40C7-BC59-5A01C7A822CF}">
          <x14:formula1>
            <xm:f>'Tabla Valoración controles'!$D$11:$D$12</xm:f>
          </x14:formula1>
          <xm:sqref>AC13:AC72</xm:sqref>
        </x14:dataValidation>
        <x14:dataValidation type="list" allowBlank="1" showInputMessage="1" showErrorMessage="1" xr:uid="{015BB405-A86D-4571-9891-19202338A1E6}">
          <x14:formula1>
            <xm:f>'Tabla Valoración controles'!$D$9:$D$10</xm:f>
          </x14:formula1>
          <xm:sqref>AB13:AB72</xm:sqref>
        </x14:dataValidation>
        <x14:dataValidation type="list" allowBlank="1" showInputMessage="1" showErrorMessage="1" xr:uid="{64B71EBA-5AD1-4DF5-9300-D6F7874916B7}">
          <x14:formula1>
            <xm:f>'Tabla Valoración controles'!$D$7:$D$8</xm:f>
          </x14:formula1>
          <xm:sqref>Z13:Z72</xm:sqref>
        </x14:dataValidation>
        <x14:dataValidation type="list" allowBlank="1" showInputMessage="1" showErrorMessage="1" xr:uid="{EBBABF09-1E74-4DDE-947E-E544CB741FC0}">
          <x14:formula1>
            <xm:f>'Tabla Valoración controles'!$D$4:$D$6</xm:f>
          </x14:formula1>
          <xm:sqref>Y13:Y72</xm:sqref>
        </x14:dataValidation>
        <x14:dataValidation type="list" allowBlank="1" showInputMessage="1" showErrorMessage="1" xr:uid="{D541873E-5750-49B0-B960-2521B212E76B}">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9"/>
  <sheetViews>
    <sheetView zoomScaleNormal="100" zoomScaleSheetLayoutView="90" workbookViewId="0">
      <selection activeCell="B25" sqref="B25:F25"/>
    </sheetView>
  </sheetViews>
  <sheetFormatPr baseColWidth="10" defaultColWidth="11.42578125" defaultRowHeight="14.25" x14ac:dyDescent="0.25"/>
  <cols>
    <col min="1" max="1" width="2.140625" style="144" customWidth="1"/>
    <col min="2" max="2" width="11.42578125" style="144"/>
    <col min="3" max="3" width="34.28515625" style="144" customWidth="1"/>
    <col min="4" max="4" width="36.42578125" style="144" customWidth="1"/>
    <col min="5" max="6" width="13.85546875" style="144" customWidth="1"/>
    <col min="7" max="7" width="1.28515625" style="144" customWidth="1"/>
    <col min="8" max="16384" width="11.42578125" style="144"/>
  </cols>
  <sheetData>
    <row r="1" spans="2:6" ht="11.25" customHeight="1" thickBot="1" x14ac:dyDescent="0.3"/>
    <row r="2" spans="2:6" ht="18.75" customHeight="1" thickBot="1" x14ac:dyDescent="0.3">
      <c r="B2" s="531" t="s">
        <v>268</v>
      </c>
      <c r="C2" s="532"/>
      <c r="D2" s="532"/>
      <c r="E2" s="532"/>
      <c r="F2" s="533"/>
    </row>
    <row r="3" spans="2:6" ht="31.9" customHeight="1" x14ac:dyDescent="0.25">
      <c r="B3" s="534" t="s">
        <v>269</v>
      </c>
      <c r="C3" s="536" t="s">
        <v>270</v>
      </c>
      <c r="D3" s="536"/>
      <c r="E3" s="536" t="s">
        <v>271</v>
      </c>
      <c r="F3" s="538"/>
    </row>
    <row r="4" spans="2:6" ht="28.15" customHeight="1" thickBot="1" x14ac:dyDescent="0.3">
      <c r="B4" s="535"/>
      <c r="C4" s="537"/>
      <c r="D4" s="537"/>
      <c r="E4" s="154" t="s">
        <v>272</v>
      </c>
      <c r="F4" s="155" t="s">
        <v>273</v>
      </c>
    </row>
    <row r="5" spans="2:6" ht="23.25" customHeight="1" x14ac:dyDescent="0.25">
      <c r="B5" s="145">
        <v>1</v>
      </c>
      <c r="C5" s="539" t="s">
        <v>274</v>
      </c>
      <c r="D5" s="539"/>
      <c r="E5" s="167"/>
      <c r="F5" s="168"/>
    </row>
    <row r="6" spans="2:6" ht="33" customHeight="1" x14ac:dyDescent="0.25">
      <c r="B6" s="146">
        <v>2</v>
      </c>
      <c r="C6" s="528" t="s">
        <v>275</v>
      </c>
      <c r="D6" s="528"/>
      <c r="E6" s="169"/>
      <c r="F6" s="170"/>
    </row>
    <row r="7" spans="2:6" ht="39" customHeight="1" x14ac:dyDescent="0.25">
      <c r="B7" s="146">
        <v>3</v>
      </c>
      <c r="C7" s="528" t="s">
        <v>276</v>
      </c>
      <c r="D7" s="528"/>
      <c r="E7" s="169"/>
      <c r="F7" s="170"/>
    </row>
    <row r="8" spans="2:6" ht="24.75" customHeight="1" x14ac:dyDescent="0.25">
      <c r="B8" s="146">
        <v>4</v>
      </c>
      <c r="C8" s="528" t="s">
        <v>277</v>
      </c>
      <c r="D8" s="528"/>
      <c r="E8" s="169"/>
      <c r="F8" s="170"/>
    </row>
    <row r="9" spans="2:6" ht="23.25" customHeight="1" x14ac:dyDescent="0.25">
      <c r="B9" s="146">
        <v>5</v>
      </c>
      <c r="C9" s="528" t="s">
        <v>278</v>
      </c>
      <c r="D9" s="528"/>
      <c r="E9" s="169"/>
      <c r="F9" s="170"/>
    </row>
    <row r="10" spans="2:6" ht="23.25" customHeight="1" x14ac:dyDescent="0.25">
      <c r="B10" s="146">
        <v>6</v>
      </c>
      <c r="C10" s="528" t="s">
        <v>279</v>
      </c>
      <c r="D10" s="528"/>
      <c r="E10" s="169"/>
      <c r="F10" s="170"/>
    </row>
    <row r="11" spans="2:6" ht="23.25" customHeight="1" x14ac:dyDescent="0.25">
      <c r="B11" s="146">
        <v>7</v>
      </c>
      <c r="C11" s="528" t="s">
        <v>280</v>
      </c>
      <c r="D11" s="528"/>
      <c r="E11" s="169"/>
      <c r="F11" s="170"/>
    </row>
    <row r="12" spans="2:6" ht="25.5" customHeight="1" x14ac:dyDescent="0.25">
      <c r="B12" s="146">
        <v>8</v>
      </c>
      <c r="C12" s="528" t="s">
        <v>281</v>
      </c>
      <c r="D12" s="528"/>
      <c r="E12" s="147"/>
      <c r="F12" s="148"/>
    </row>
    <row r="13" spans="2:6" ht="23.25" customHeight="1" x14ac:dyDescent="0.25">
      <c r="B13" s="146">
        <v>9</v>
      </c>
      <c r="C13" s="528" t="s">
        <v>282</v>
      </c>
      <c r="D13" s="528"/>
      <c r="E13" s="147"/>
      <c r="F13" s="148"/>
    </row>
    <row r="14" spans="2:6" ht="23.25" customHeight="1" x14ac:dyDescent="0.25">
      <c r="B14" s="146">
        <v>10</v>
      </c>
      <c r="C14" s="528" t="s">
        <v>283</v>
      </c>
      <c r="D14" s="528"/>
      <c r="E14" s="147"/>
      <c r="F14" s="148"/>
    </row>
    <row r="15" spans="2:6" ht="23.25" customHeight="1" x14ac:dyDescent="0.25">
      <c r="B15" s="146">
        <v>11</v>
      </c>
      <c r="C15" s="528" t="s">
        <v>284</v>
      </c>
      <c r="D15" s="528"/>
      <c r="E15" s="147"/>
      <c r="F15" s="148"/>
    </row>
    <row r="16" spans="2:6" ht="23.25" customHeight="1" x14ac:dyDescent="0.25">
      <c r="B16" s="146">
        <v>12</v>
      </c>
      <c r="C16" s="528" t="s">
        <v>285</v>
      </c>
      <c r="D16" s="528"/>
      <c r="E16" s="147"/>
      <c r="F16" s="148"/>
    </row>
    <row r="17" spans="2:6" ht="23.25" customHeight="1" x14ac:dyDescent="0.25">
      <c r="B17" s="146">
        <v>13</v>
      </c>
      <c r="C17" s="528" t="s">
        <v>286</v>
      </c>
      <c r="D17" s="528"/>
      <c r="E17" s="147"/>
      <c r="F17" s="148"/>
    </row>
    <row r="18" spans="2:6" ht="23.25" customHeight="1" x14ac:dyDescent="0.25">
      <c r="B18" s="146">
        <v>14</v>
      </c>
      <c r="C18" s="528" t="s">
        <v>287</v>
      </c>
      <c r="D18" s="528"/>
      <c r="E18" s="147"/>
      <c r="F18" s="148"/>
    </row>
    <row r="19" spans="2:6" ht="23.25" customHeight="1" x14ac:dyDescent="0.25">
      <c r="B19" s="146">
        <v>15</v>
      </c>
      <c r="C19" s="528" t="s">
        <v>288</v>
      </c>
      <c r="D19" s="528"/>
      <c r="E19" s="147"/>
      <c r="F19" s="148"/>
    </row>
    <row r="20" spans="2:6" ht="23.25" customHeight="1" x14ac:dyDescent="0.25">
      <c r="B20" s="146">
        <v>16</v>
      </c>
      <c r="C20" s="528" t="s">
        <v>289</v>
      </c>
      <c r="D20" s="528"/>
      <c r="E20" s="147"/>
      <c r="F20" s="148"/>
    </row>
    <row r="21" spans="2:6" ht="23.25" customHeight="1" x14ac:dyDescent="0.25">
      <c r="B21" s="146">
        <v>17</v>
      </c>
      <c r="C21" s="528" t="s">
        <v>290</v>
      </c>
      <c r="D21" s="528"/>
      <c r="E21" s="147"/>
      <c r="F21" s="148"/>
    </row>
    <row r="22" spans="2:6" ht="23.25" customHeight="1" x14ac:dyDescent="0.25">
      <c r="B22" s="146">
        <v>18</v>
      </c>
      <c r="C22" s="529" t="s">
        <v>291</v>
      </c>
      <c r="D22" s="529"/>
      <c r="E22" s="147"/>
      <c r="F22" s="148"/>
    </row>
    <row r="23" spans="2:6" ht="23.25" customHeight="1" thickBot="1" x14ac:dyDescent="0.3">
      <c r="B23" s="146">
        <v>19</v>
      </c>
      <c r="C23" s="528" t="s">
        <v>292</v>
      </c>
      <c r="D23" s="528"/>
      <c r="E23" s="147"/>
      <c r="F23" s="148"/>
    </row>
    <row r="24" spans="2:6" ht="15.75" customHeight="1" thickBot="1" x14ac:dyDescent="0.3">
      <c r="B24" s="530" t="s">
        <v>293</v>
      </c>
      <c r="C24" s="524"/>
      <c r="D24" s="524"/>
      <c r="E24" s="524">
        <f>COUNTIF(E5:E23,"X")</f>
        <v>0</v>
      </c>
      <c r="F24" s="525"/>
    </row>
    <row r="25" spans="2:6" ht="45.75" customHeight="1" x14ac:dyDescent="0.25">
      <c r="B25" s="526" t="s">
        <v>294</v>
      </c>
      <c r="C25" s="526"/>
      <c r="D25" s="526"/>
      <c r="E25" s="526"/>
      <c r="F25" s="526"/>
    </row>
    <row r="26" spans="2:6" ht="9.75" customHeight="1" x14ac:dyDescent="0.25">
      <c r="B26" s="527"/>
      <c r="C26" s="527"/>
      <c r="D26" s="527"/>
      <c r="E26" s="527"/>
      <c r="F26" s="527"/>
    </row>
    <row r="27" spans="2:6" x14ac:dyDescent="0.25">
      <c r="B27" s="236"/>
    </row>
    <row r="28" spans="2:6" x14ac:dyDescent="0.25">
      <c r="B28" s="236"/>
    </row>
    <row r="29" spans="2:6" x14ac:dyDescent="0.25">
      <c r="B29" s="236"/>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1E0E-4360-4EE4-8FCE-3C26F04C9F2C}">
  <sheetPr>
    <tabColor rgb="FF002060"/>
  </sheetPr>
  <dimension ref="A1:JP75"/>
  <sheetViews>
    <sheetView tabSelected="1" topLeftCell="B23" zoomScale="20" zoomScaleNormal="20" zoomScaleSheetLayoutView="50" zoomScalePageLayoutView="60" workbookViewId="0">
      <selection activeCell="AP47" sqref="AP47"/>
    </sheetView>
  </sheetViews>
  <sheetFormatPr baseColWidth="10" defaultColWidth="11.42578125" defaultRowHeight="15" x14ac:dyDescent="0.2"/>
  <cols>
    <col min="1" max="1" width="6.5703125" style="207" customWidth="1"/>
    <col min="2" max="2" width="16" style="207" customWidth="1"/>
    <col min="3" max="3" width="19.140625" style="207" customWidth="1"/>
    <col min="4" max="4" width="44.7109375" style="207" customWidth="1"/>
    <col min="5" max="5" width="57.85546875" style="207" customWidth="1"/>
    <col min="6" max="10" width="17.7109375" style="187" customWidth="1"/>
    <col min="11" max="11" width="16" style="187" customWidth="1"/>
    <col min="12" max="12" width="24.28515625" style="187" customWidth="1"/>
    <col min="13" max="14" width="29.42578125" style="187" customWidth="1"/>
    <col min="15" max="15" width="24.28515625" style="187" customWidth="1"/>
    <col min="16" max="16" width="19.42578125" style="187" customWidth="1"/>
    <col min="17" max="17" width="20.5703125" style="187" customWidth="1"/>
    <col min="18" max="18" width="16.7109375" style="208" customWidth="1"/>
    <col min="19" max="19" width="16.7109375" style="187" customWidth="1"/>
    <col min="20" max="20" width="20.42578125" style="187" customWidth="1"/>
    <col min="21" max="21" width="25.140625" style="187" customWidth="1"/>
    <col min="22" max="22" width="35.85546875" style="187" customWidth="1"/>
    <col min="23" max="23" width="12.85546875" style="187" bestFit="1" customWidth="1"/>
    <col min="24" max="24" width="17.5703125" style="187" customWidth="1"/>
    <col min="25" max="25" width="15" style="187" customWidth="1"/>
    <col min="26" max="26" width="16" style="187" customWidth="1"/>
    <col min="27" max="27" width="64" style="187" customWidth="1"/>
    <col min="28" max="28" width="26.85546875" style="187" customWidth="1"/>
    <col min="29" max="29" width="5.85546875" style="187" customWidth="1"/>
    <col min="30" max="30" width="6.85546875" style="187" customWidth="1"/>
    <col min="31" max="31" width="5" style="187" customWidth="1"/>
    <col min="32" max="32" width="5.5703125" style="187" customWidth="1"/>
    <col min="33" max="33" width="7.140625" style="187" customWidth="1"/>
    <col min="34" max="34" width="6.7109375" style="187" customWidth="1"/>
    <col min="35" max="35" width="25.7109375" style="187" customWidth="1"/>
    <col min="36" max="36" width="8.5703125" style="187" customWidth="1"/>
    <col min="37" max="41" width="10.85546875" style="187" customWidth="1"/>
    <col min="42" max="42" width="25.42578125" style="206" customWidth="1"/>
    <col min="43" max="43" width="20.28515625" style="206" customWidth="1"/>
    <col min="44" max="44" width="18.85546875" style="206" customWidth="1"/>
    <col min="45" max="45" width="21.5703125" style="206" customWidth="1"/>
    <col min="46" max="46" width="22.42578125" style="187" customWidth="1"/>
    <col min="47" max="47" width="16.42578125" style="206" customWidth="1"/>
    <col min="48" max="48" width="20.5703125" style="206" customWidth="1"/>
    <col min="49" max="16384" width="11.42578125" style="187"/>
  </cols>
  <sheetData>
    <row r="1" spans="1:276" s="190" customFormat="1" ht="20.25" x14ac:dyDescent="0.3">
      <c r="A1" s="330"/>
      <c r="B1" s="331"/>
      <c r="C1" s="332"/>
      <c r="D1" s="319" t="s">
        <v>194</v>
      </c>
      <c r="E1" s="320"/>
      <c r="F1" s="320"/>
      <c r="G1" s="320"/>
      <c r="H1" s="320"/>
      <c r="I1" s="320"/>
      <c r="J1" s="320"/>
      <c r="K1" s="320"/>
      <c r="L1" s="320"/>
      <c r="M1" s="320"/>
      <c r="N1" s="320"/>
      <c r="O1" s="320"/>
      <c r="P1" s="320"/>
      <c r="Q1" s="320"/>
      <c r="R1" s="320"/>
      <c r="S1" s="320"/>
      <c r="T1" s="321"/>
      <c r="U1" s="241"/>
      <c r="V1" s="241"/>
      <c r="W1" s="241"/>
      <c r="X1" s="346"/>
      <c r="Y1" s="346"/>
      <c r="Z1" s="346"/>
      <c r="AA1" s="346"/>
      <c r="AB1" s="346"/>
      <c r="AC1" s="346"/>
      <c r="AD1" s="346"/>
      <c r="AE1" s="346"/>
      <c r="AF1" s="346"/>
      <c r="AG1" s="346"/>
      <c r="AH1" s="346"/>
      <c r="AI1" s="346"/>
      <c r="AJ1" s="346"/>
      <c r="AK1" s="346"/>
      <c r="AL1" s="346"/>
      <c r="AM1" s="346"/>
      <c r="AN1" s="346"/>
      <c r="AO1" s="346"/>
      <c r="AP1" s="346"/>
      <c r="AQ1" s="346"/>
      <c r="AR1" s="346"/>
      <c r="AS1" s="252"/>
      <c r="AT1" s="189"/>
      <c r="AU1" s="252"/>
      <c r="AV1" s="252"/>
      <c r="AW1" s="189"/>
      <c r="AX1" s="189"/>
      <c r="AY1" s="189"/>
      <c r="AZ1" s="189"/>
      <c r="BA1" s="189"/>
      <c r="BB1" s="189"/>
      <c r="BC1" s="189"/>
      <c r="BD1" s="189"/>
      <c r="BE1" s="189"/>
      <c r="BF1" s="189"/>
      <c r="BG1" s="189"/>
      <c r="BH1" s="189"/>
      <c r="BI1" s="189"/>
      <c r="BJ1" s="189"/>
      <c r="BK1" s="189"/>
      <c r="BL1" s="189"/>
      <c r="BM1" s="189"/>
      <c r="BN1" s="189"/>
      <c r="BO1" s="189"/>
      <c r="BP1" s="189"/>
    </row>
    <row r="2" spans="1:276" s="190" customFormat="1" ht="21" thickBot="1" x14ac:dyDescent="0.35">
      <c r="A2" s="333"/>
      <c r="B2" s="334"/>
      <c r="C2" s="335"/>
      <c r="D2" s="322"/>
      <c r="E2" s="323"/>
      <c r="F2" s="323"/>
      <c r="G2" s="323"/>
      <c r="H2" s="323"/>
      <c r="I2" s="323"/>
      <c r="J2" s="323"/>
      <c r="K2" s="323"/>
      <c r="L2" s="323"/>
      <c r="M2" s="323"/>
      <c r="N2" s="323"/>
      <c r="O2" s="323"/>
      <c r="P2" s="323"/>
      <c r="Q2" s="323"/>
      <c r="R2" s="323"/>
      <c r="S2" s="323"/>
      <c r="T2" s="324"/>
      <c r="U2" s="241"/>
      <c r="V2" s="241"/>
      <c r="W2" s="241"/>
      <c r="X2" s="346"/>
      <c r="Y2" s="346"/>
      <c r="Z2" s="346"/>
      <c r="AA2" s="346"/>
      <c r="AB2" s="346"/>
      <c r="AC2" s="346"/>
      <c r="AD2" s="346"/>
      <c r="AE2" s="346"/>
      <c r="AF2" s="346"/>
      <c r="AG2" s="346"/>
      <c r="AH2" s="346"/>
      <c r="AI2" s="346"/>
      <c r="AJ2" s="346"/>
      <c r="AK2" s="346"/>
      <c r="AL2" s="346"/>
      <c r="AM2" s="346"/>
      <c r="AN2" s="346"/>
      <c r="AO2" s="346"/>
      <c r="AP2" s="346"/>
      <c r="AQ2" s="346"/>
      <c r="AR2" s="346"/>
      <c r="AS2" s="252"/>
      <c r="AT2" s="189"/>
      <c r="AU2" s="252"/>
      <c r="AV2" s="252"/>
      <c r="AW2" s="189"/>
      <c r="AX2" s="189"/>
      <c r="AY2" s="189"/>
      <c r="AZ2" s="189"/>
      <c r="BA2" s="189"/>
      <c r="BB2" s="189"/>
      <c r="BC2" s="189"/>
      <c r="BD2" s="189"/>
      <c r="BE2" s="189"/>
      <c r="BF2" s="189"/>
      <c r="BG2" s="189"/>
      <c r="BH2" s="189"/>
      <c r="BI2" s="189"/>
      <c r="BJ2" s="189"/>
      <c r="BK2" s="189"/>
      <c r="BL2" s="189"/>
      <c r="BM2" s="189"/>
      <c r="BN2" s="189"/>
      <c r="BO2" s="189"/>
      <c r="BP2" s="189"/>
    </row>
    <row r="3" spans="1:276" s="190" customFormat="1" ht="27.75" customHeight="1" thickBot="1" x14ac:dyDescent="0.35">
      <c r="A3" s="333"/>
      <c r="B3" s="334"/>
      <c r="C3" s="335"/>
      <c r="D3" s="325" t="s">
        <v>195</v>
      </c>
      <c r="E3" s="326"/>
      <c r="F3" s="326"/>
      <c r="G3" s="326"/>
      <c r="H3" s="326"/>
      <c r="I3" s="327"/>
      <c r="J3" s="325"/>
      <c r="K3" s="326"/>
      <c r="L3" s="326"/>
      <c r="M3" s="326"/>
      <c r="N3" s="326"/>
      <c r="O3" s="326"/>
      <c r="P3" s="326"/>
      <c r="Q3" s="326"/>
      <c r="R3" s="326"/>
      <c r="S3" s="326" t="s">
        <v>196</v>
      </c>
      <c r="T3" s="327"/>
      <c r="U3" s="242"/>
      <c r="V3" s="242"/>
      <c r="W3" s="241"/>
      <c r="X3" s="347"/>
      <c r="Y3" s="347"/>
      <c r="Z3" s="347"/>
      <c r="AA3" s="347"/>
      <c r="AB3" s="347"/>
      <c r="AC3" s="347"/>
      <c r="AD3" s="347"/>
      <c r="AE3" s="347"/>
      <c r="AF3" s="347"/>
      <c r="AG3" s="347"/>
      <c r="AH3" s="347"/>
      <c r="AI3" s="347"/>
      <c r="AJ3" s="347"/>
      <c r="AK3" s="347"/>
      <c r="AL3" s="347"/>
      <c r="AM3" s="347"/>
      <c r="AN3" s="347"/>
      <c r="AO3" s="347"/>
      <c r="AP3" s="347"/>
      <c r="AQ3" s="347"/>
      <c r="AR3" s="347"/>
      <c r="AS3" s="252"/>
      <c r="AT3" s="189"/>
      <c r="AU3" s="252"/>
      <c r="AV3" s="252"/>
      <c r="AW3" s="189"/>
      <c r="AX3" s="189"/>
      <c r="AY3" s="189"/>
      <c r="AZ3" s="189"/>
      <c r="BA3" s="189"/>
      <c r="BB3" s="189"/>
      <c r="BC3" s="189"/>
      <c r="BD3" s="189"/>
      <c r="BE3" s="189"/>
      <c r="BF3" s="189"/>
      <c r="BG3" s="189"/>
      <c r="BH3" s="189"/>
      <c r="BI3" s="189"/>
      <c r="BJ3" s="189"/>
      <c r="BK3" s="189"/>
      <c r="BL3" s="189"/>
      <c r="BM3" s="189"/>
      <c r="BN3" s="189"/>
      <c r="BO3" s="189"/>
      <c r="BP3" s="189"/>
    </row>
    <row r="4" spans="1:276" s="190" customFormat="1" ht="21" thickBot="1" x14ac:dyDescent="0.35">
      <c r="A4" s="336"/>
      <c r="B4" s="337"/>
      <c r="C4" s="338"/>
      <c r="D4" s="325" t="s">
        <v>408</v>
      </c>
      <c r="E4" s="326"/>
      <c r="F4" s="326"/>
      <c r="G4" s="326"/>
      <c r="H4" s="326"/>
      <c r="I4" s="326"/>
      <c r="J4" s="326"/>
      <c r="K4" s="326"/>
      <c r="L4" s="326"/>
      <c r="M4" s="326"/>
      <c r="N4" s="326"/>
      <c r="O4" s="326"/>
      <c r="P4" s="326"/>
      <c r="Q4" s="326"/>
      <c r="R4" s="326"/>
      <c r="S4" s="326"/>
      <c r="T4" s="327"/>
      <c r="U4" s="241"/>
      <c r="V4" s="241"/>
      <c r="W4" s="241"/>
      <c r="X4" s="347"/>
      <c r="Y4" s="347"/>
      <c r="Z4" s="347"/>
      <c r="AA4" s="347"/>
      <c r="AB4" s="347"/>
      <c r="AC4" s="347"/>
      <c r="AD4" s="347"/>
      <c r="AE4" s="347"/>
      <c r="AF4" s="347"/>
      <c r="AG4" s="347"/>
      <c r="AH4" s="347"/>
      <c r="AI4" s="347"/>
      <c r="AJ4" s="347"/>
      <c r="AK4" s="347"/>
      <c r="AL4" s="347"/>
      <c r="AM4" s="347"/>
      <c r="AN4" s="347"/>
      <c r="AO4" s="347"/>
      <c r="AP4" s="347"/>
      <c r="AQ4" s="347"/>
      <c r="AR4" s="347"/>
      <c r="AS4" s="252"/>
      <c r="AT4" s="189"/>
      <c r="AU4" s="252"/>
      <c r="AV4" s="252"/>
      <c r="AW4" s="189"/>
      <c r="AX4" s="189"/>
      <c r="AY4" s="189"/>
      <c r="AZ4" s="189"/>
      <c r="BA4" s="189"/>
      <c r="BB4" s="189"/>
      <c r="BC4" s="189"/>
      <c r="BD4" s="189"/>
      <c r="BE4" s="189"/>
      <c r="BF4" s="189"/>
      <c r="BG4" s="189"/>
      <c r="BH4" s="189"/>
      <c r="BI4" s="189"/>
      <c r="BJ4" s="189"/>
      <c r="BK4" s="189"/>
      <c r="BL4" s="189"/>
      <c r="BM4" s="189"/>
      <c r="BN4" s="189"/>
      <c r="BO4" s="189"/>
      <c r="BP4" s="189"/>
    </row>
    <row r="5" spans="1:276" ht="15.75" thickBot="1" x14ac:dyDescent="0.25">
      <c r="A5" s="191"/>
      <c r="B5" s="192"/>
      <c r="C5" s="191"/>
      <c r="D5" s="191"/>
      <c r="E5" s="191"/>
      <c r="F5" s="193"/>
      <c r="G5" s="193"/>
      <c r="H5" s="193"/>
      <c r="I5" s="193"/>
      <c r="J5" s="193"/>
      <c r="K5" s="193"/>
      <c r="L5" s="193"/>
      <c r="M5" s="193"/>
      <c r="N5" s="194"/>
      <c r="O5" s="193"/>
      <c r="P5" s="193"/>
      <c r="Q5" s="193"/>
      <c r="R5" s="193"/>
      <c r="S5" s="193"/>
      <c r="T5" s="193"/>
      <c r="U5" s="193"/>
      <c r="V5" s="193"/>
      <c r="W5" s="193"/>
      <c r="X5" s="193"/>
      <c r="Y5" s="193"/>
      <c r="Z5" s="193"/>
      <c r="AA5" s="193"/>
      <c r="AB5" s="193"/>
      <c r="AC5" s="193"/>
      <c r="AD5" s="193"/>
      <c r="AE5" s="193"/>
      <c r="AF5" s="193"/>
      <c r="AG5" s="193"/>
      <c r="AH5" s="193"/>
      <c r="AI5" s="193"/>
      <c r="AJ5" s="193"/>
      <c r="AK5" s="193"/>
      <c r="AL5" s="243"/>
      <c r="AM5" s="193"/>
      <c r="AN5" s="193"/>
      <c r="AO5" s="193"/>
      <c r="AP5" s="193"/>
      <c r="AQ5" s="243"/>
      <c r="AR5" s="243"/>
      <c r="AS5" s="243"/>
      <c r="AT5" s="193"/>
      <c r="AU5" s="243"/>
      <c r="AV5" s="243"/>
      <c r="AW5" s="193"/>
      <c r="AX5" s="193"/>
      <c r="AY5" s="193"/>
      <c r="AZ5" s="193"/>
      <c r="BA5" s="193"/>
      <c r="BB5" s="193"/>
      <c r="BC5" s="193"/>
      <c r="BD5" s="193"/>
      <c r="BE5" s="193"/>
      <c r="BF5" s="193"/>
      <c r="BG5" s="193"/>
      <c r="BH5" s="193"/>
      <c r="BI5" s="193"/>
      <c r="BJ5" s="193"/>
      <c r="BK5" s="193"/>
      <c r="BL5" s="193"/>
      <c r="BM5" s="193"/>
      <c r="BN5" s="193"/>
      <c r="BO5" s="193"/>
      <c r="BP5" s="193"/>
    </row>
    <row r="6" spans="1:276" ht="17.25" thickBot="1" x14ac:dyDescent="0.25">
      <c r="A6" s="348" t="s">
        <v>197</v>
      </c>
      <c r="B6" s="349"/>
      <c r="C6" s="355" t="s">
        <v>79</v>
      </c>
      <c r="D6" s="356"/>
      <c r="E6" s="356"/>
      <c r="F6" s="356"/>
      <c r="G6" s="356"/>
      <c r="H6" s="356"/>
      <c r="I6" s="356"/>
      <c r="J6" s="356"/>
      <c r="K6" s="356"/>
      <c r="L6" s="356"/>
      <c r="M6" s="356"/>
      <c r="N6" s="356"/>
      <c r="O6" s="356"/>
      <c r="P6" s="356"/>
      <c r="Q6" s="356"/>
      <c r="R6" s="356"/>
      <c r="S6" s="356"/>
      <c r="T6" s="357"/>
      <c r="U6" s="244"/>
      <c r="V6" s="244"/>
      <c r="W6" s="354"/>
      <c r="X6" s="354"/>
      <c r="Y6" s="354"/>
      <c r="Z6" s="345"/>
      <c r="AA6" s="345"/>
      <c r="AB6" s="345"/>
      <c r="AC6" s="345"/>
      <c r="AD6" s="345"/>
      <c r="AE6" s="345"/>
      <c r="AF6" s="345"/>
      <c r="AG6" s="345"/>
      <c r="AH6" s="345"/>
      <c r="AI6" s="345"/>
      <c r="AJ6" s="345"/>
      <c r="AK6" s="345"/>
      <c r="AL6" s="345"/>
      <c r="AM6" s="345"/>
      <c r="AN6" s="345"/>
      <c r="AO6" s="345"/>
      <c r="AP6" s="345"/>
      <c r="AQ6" s="345"/>
      <c r="AR6" s="345"/>
      <c r="AS6" s="243"/>
      <c r="AT6" s="193"/>
      <c r="AU6" s="243"/>
      <c r="AV6" s="243"/>
      <c r="AW6" s="193"/>
      <c r="AX6" s="193"/>
      <c r="AY6" s="193"/>
      <c r="AZ6" s="193"/>
      <c r="BA6" s="193"/>
      <c r="BB6" s="193"/>
      <c r="BC6" s="193"/>
      <c r="BD6" s="193"/>
      <c r="BE6" s="193"/>
      <c r="BF6" s="193"/>
      <c r="BG6" s="193"/>
      <c r="BH6" s="193"/>
      <c r="BI6" s="193"/>
      <c r="BJ6" s="193"/>
      <c r="BK6" s="193"/>
      <c r="BL6" s="193"/>
      <c r="BM6" s="193"/>
      <c r="BN6" s="193"/>
      <c r="BO6" s="193"/>
      <c r="BP6" s="193"/>
    </row>
    <row r="7" spans="1:276" ht="16.5" thickBot="1" x14ac:dyDescent="0.3">
      <c r="A7" s="350" t="s">
        <v>198</v>
      </c>
      <c r="B7" s="351"/>
      <c r="C7" s="316" t="s">
        <v>562</v>
      </c>
      <c r="D7" s="317"/>
      <c r="E7" s="317"/>
      <c r="F7" s="317"/>
      <c r="G7" s="317"/>
      <c r="H7" s="317"/>
      <c r="I7" s="317"/>
      <c r="J7" s="317"/>
      <c r="K7" s="317"/>
      <c r="L7" s="317"/>
      <c r="M7" s="317"/>
      <c r="N7" s="317"/>
      <c r="O7" s="317"/>
      <c r="P7" s="317"/>
      <c r="Q7" s="317"/>
      <c r="R7" s="317"/>
      <c r="S7" s="317"/>
      <c r="T7" s="318"/>
      <c r="U7" s="245"/>
      <c r="V7" s="245"/>
      <c r="W7" s="246"/>
      <c r="X7" s="246"/>
      <c r="Y7" s="246"/>
      <c r="Z7" s="345"/>
      <c r="AA7" s="345"/>
      <c r="AB7" s="345"/>
      <c r="AC7" s="345"/>
      <c r="AD7" s="345"/>
      <c r="AE7" s="345"/>
      <c r="AF7" s="345"/>
      <c r="AG7" s="345"/>
      <c r="AH7" s="345"/>
      <c r="AI7" s="345"/>
      <c r="AJ7" s="345"/>
      <c r="AK7" s="345"/>
      <c r="AL7" s="345"/>
      <c r="AM7" s="345"/>
      <c r="AN7" s="345"/>
      <c r="AO7" s="345"/>
      <c r="AP7" s="345"/>
      <c r="AQ7" s="345"/>
      <c r="AR7" s="345"/>
      <c r="AS7" s="243"/>
      <c r="AT7" s="193"/>
      <c r="AU7" s="243"/>
      <c r="AV7" s="243"/>
      <c r="AW7" s="193"/>
      <c r="AX7" s="193"/>
      <c r="AY7" s="193"/>
      <c r="AZ7" s="193"/>
      <c r="BA7" s="193"/>
      <c r="BB7" s="193"/>
      <c r="BC7" s="193"/>
      <c r="BD7" s="193"/>
      <c r="BE7" s="193"/>
      <c r="BF7" s="193"/>
      <c r="BG7" s="193"/>
      <c r="BH7" s="193"/>
      <c r="BI7" s="193"/>
      <c r="BJ7" s="193"/>
      <c r="BK7" s="193"/>
      <c r="BL7" s="193"/>
      <c r="BM7" s="193"/>
      <c r="BN7" s="193"/>
      <c r="BO7" s="193"/>
      <c r="BP7" s="193"/>
    </row>
    <row r="8" spans="1:276" ht="16.5" thickBot="1" x14ac:dyDescent="0.3">
      <c r="A8" s="352" t="s">
        <v>199</v>
      </c>
      <c r="B8" s="353"/>
      <c r="C8" s="316" t="s">
        <v>563</v>
      </c>
      <c r="D8" s="317"/>
      <c r="E8" s="317"/>
      <c r="F8" s="317"/>
      <c r="G8" s="317"/>
      <c r="H8" s="317"/>
      <c r="I8" s="317"/>
      <c r="J8" s="317"/>
      <c r="K8" s="317"/>
      <c r="L8" s="317"/>
      <c r="M8" s="317"/>
      <c r="N8" s="317"/>
      <c r="O8" s="317"/>
      <c r="P8" s="317"/>
      <c r="Q8" s="317"/>
      <c r="R8" s="317"/>
      <c r="S8" s="317"/>
      <c r="T8" s="318"/>
      <c r="U8" s="245"/>
      <c r="V8" s="245"/>
      <c r="W8" s="246"/>
      <c r="X8" s="246"/>
      <c r="Y8" s="246"/>
      <c r="Z8" s="345"/>
      <c r="AA8" s="345"/>
      <c r="AB8" s="345"/>
      <c r="AC8" s="345"/>
      <c r="AD8" s="345"/>
      <c r="AE8" s="345"/>
      <c r="AF8" s="345"/>
      <c r="AG8" s="345"/>
      <c r="AH8" s="345"/>
      <c r="AI8" s="345"/>
      <c r="AJ8" s="345"/>
      <c r="AK8" s="345"/>
      <c r="AL8" s="345"/>
      <c r="AM8" s="345"/>
      <c r="AN8" s="345"/>
      <c r="AO8" s="345"/>
      <c r="AP8" s="345"/>
      <c r="AQ8" s="345"/>
      <c r="AR8" s="345"/>
      <c r="AS8" s="243"/>
      <c r="AT8" s="193"/>
      <c r="AU8" s="243"/>
      <c r="AV8" s="243"/>
      <c r="AW8" s="193"/>
      <c r="AX8" s="193"/>
      <c r="AY8" s="193"/>
      <c r="AZ8" s="193"/>
      <c r="BA8" s="193"/>
      <c r="BB8" s="193"/>
      <c r="BC8" s="193"/>
      <c r="BD8" s="193"/>
      <c r="BE8" s="193"/>
      <c r="BF8" s="193"/>
      <c r="BG8" s="193"/>
      <c r="BH8" s="193"/>
      <c r="BI8" s="193"/>
      <c r="BJ8" s="193"/>
      <c r="BK8" s="193"/>
      <c r="BL8" s="193"/>
      <c r="BM8" s="193"/>
      <c r="BN8" s="193"/>
      <c r="BO8" s="193"/>
      <c r="BP8" s="193"/>
    </row>
    <row r="9" spans="1:276" ht="15.75" x14ac:dyDescent="0.25">
      <c r="A9" s="195"/>
      <c r="B9" s="195"/>
      <c r="C9" s="196"/>
      <c r="D9" s="196"/>
      <c r="E9" s="196"/>
      <c r="F9" s="196"/>
      <c r="G9" s="196"/>
      <c r="H9" s="196"/>
      <c r="I9" s="196"/>
      <c r="J9" s="196"/>
      <c r="K9" s="196"/>
      <c r="L9" s="196"/>
      <c r="M9" s="196"/>
      <c r="N9" s="196"/>
      <c r="O9" s="196"/>
      <c r="P9" s="196"/>
      <c r="Q9" s="196"/>
      <c r="R9" s="196"/>
      <c r="S9" s="196"/>
      <c r="T9" s="196"/>
      <c r="U9" s="196"/>
      <c r="V9" s="196"/>
      <c r="W9" s="197"/>
      <c r="X9" s="197"/>
      <c r="Y9" s="197"/>
      <c r="Z9" s="198"/>
      <c r="AA9" s="198"/>
      <c r="AB9" s="198"/>
      <c r="AC9" s="198"/>
      <c r="AD9" s="198"/>
      <c r="AE9" s="198"/>
      <c r="AF9" s="198"/>
      <c r="AG9" s="198"/>
      <c r="AH9" s="198"/>
      <c r="AI9" s="198"/>
      <c r="AJ9" s="198"/>
      <c r="AK9" s="198"/>
      <c r="AL9" s="198"/>
      <c r="AM9" s="198"/>
      <c r="AN9" s="198"/>
      <c r="AO9" s="198"/>
      <c r="AP9" s="198"/>
      <c r="AQ9" s="198"/>
      <c r="AR9" s="198"/>
    </row>
    <row r="10" spans="1:276" ht="15.75" x14ac:dyDescent="0.2">
      <c r="A10" s="360" t="s">
        <v>200</v>
      </c>
      <c r="B10" s="361"/>
      <c r="C10" s="361"/>
      <c r="D10" s="361"/>
      <c r="E10" s="361"/>
      <c r="F10" s="361"/>
      <c r="G10" s="361"/>
      <c r="H10" s="361"/>
      <c r="I10" s="361"/>
      <c r="J10" s="362"/>
      <c r="K10" s="377" t="s">
        <v>201</v>
      </c>
      <c r="L10" s="378"/>
      <c r="M10" s="378"/>
      <c r="N10" s="378"/>
      <c r="O10" s="379"/>
      <c r="P10" s="540" t="s">
        <v>202</v>
      </c>
      <c r="Q10" s="541"/>
      <c r="R10" s="213"/>
      <c r="S10" s="213"/>
      <c r="T10" s="388" t="s">
        <v>203</v>
      </c>
      <c r="U10" s="388"/>
      <c r="V10" s="388"/>
      <c r="W10" s="388"/>
      <c r="X10" s="388"/>
      <c r="Y10" s="388"/>
      <c r="Z10" s="388"/>
      <c r="AA10" s="388" t="s">
        <v>204</v>
      </c>
      <c r="AB10" s="388"/>
      <c r="AC10" s="388"/>
      <c r="AD10" s="388"/>
      <c r="AE10" s="388"/>
      <c r="AF10" s="388"/>
      <c r="AG10" s="388"/>
      <c r="AH10" s="388"/>
      <c r="AI10" s="388"/>
      <c r="AJ10" s="380" t="s">
        <v>205</v>
      </c>
      <c r="AK10" s="381"/>
      <c r="AL10" s="381"/>
      <c r="AM10" s="381"/>
      <c r="AN10" s="382"/>
      <c r="AO10" s="380" t="s">
        <v>206</v>
      </c>
      <c r="AP10" s="381"/>
      <c r="AQ10" s="381"/>
      <c r="AR10" s="381"/>
      <c r="AS10" s="382"/>
      <c r="AT10" s="380" t="s">
        <v>207</v>
      </c>
      <c r="AU10" s="381"/>
      <c r="AV10" s="382"/>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row>
    <row r="11" spans="1:276" ht="15.75" x14ac:dyDescent="0.2">
      <c r="A11" s="370" t="s">
        <v>208</v>
      </c>
      <c r="B11" s="371" t="s">
        <v>15</v>
      </c>
      <c r="C11" s="364" t="s">
        <v>17</v>
      </c>
      <c r="D11" s="364" t="s">
        <v>19</v>
      </c>
      <c r="E11" s="371" t="s">
        <v>21</v>
      </c>
      <c r="F11" s="364" t="s">
        <v>23</v>
      </c>
      <c r="G11" s="543" t="s">
        <v>295</v>
      </c>
      <c r="H11" s="542" t="s">
        <v>296</v>
      </c>
      <c r="I11" s="542" t="s">
        <v>297</v>
      </c>
      <c r="J11" s="542" t="s">
        <v>298</v>
      </c>
      <c r="K11" s="373" t="s">
        <v>110</v>
      </c>
      <c r="L11" s="373" t="s">
        <v>266</v>
      </c>
      <c r="M11" s="373" t="s">
        <v>210</v>
      </c>
      <c r="N11" s="373" t="s">
        <v>211</v>
      </c>
      <c r="O11" s="373" t="s">
        <v>212</v>
      </c>
      <c r="P11" s="240"/>
      <c r="Q11" s="240"/>
      <c r="R11" s="375" t="s">
        <v>213</v>
      </c>
      <c r="S11" s="375" t="s">
        <v>214</v>
      </c>
      <c r="T11" s="363" t="s">
        <v>215</v>
      </c>
      <c r="U11" s="375" t="s">
        <v>216</v>
      </c>
      <c r="V11" s="375" t="s">
        <v>217</v>
      </c>
      <c r="W11" s="375" t="s">
        <v>218</v>
      </c>
      <c r="X11" s="363" t="s">
        <v>215</v>
      </c>
      <c r="Y11" s="375" t="s">
        <v>29</v>
      </c>
      <c r="Z11" s="376" t="s">
        <v>219</v>
      </c>
      <c r="AA11" s="375" t="s">
        <v>31</v>
      </c>
      <c r="AB11" s="375" t="s">
        <v>33</v>
      </c>
      <c r="AC11" s="375" t="s">
        <v>220</v>
      </c>
      <c r="AD11" s="375"/>
      <c r="AE11" s="375"/>
      <c r="AF11" s="375"/>
      <c r="AG11" s="375"/>
      <c r="AH11" s="375"/>
      <c r="AI11" s="376" t="s">
        <v>221</v>
      </c>
      <c r="AJ11" s="376" t="s">
        <v>222</v>
      </c>
      <c r="AK11" s="376" t="s">
        <v>215</v>
      </c>
      <c r="AL11" s="376" t="s">
        <v>223</v>
      </c>
      <c r="AM11" s="376" t="s">
        <v>215</v>
      </c>
      <c r="AN11" s="376" t="s">
        <v>224</v>
      </c>
      <c r="AO11" s="376" t="s">
        <v>49</v>
      </c>
      <c r="AP11" s="375" t="s">
        <v>225</v>
      </c>
      <c r="AQ11" s="375" t="s">
        <v>226</v>
      </c>
      <c r="AR11" s="375" t="s">
        <v>227</v>
      </c>
      <c r="AS11" s="375" t="s">
        <v>228</v>
      </c>
      <c r="AT11" s="375" t="s">
        <v>229</v>
      </c>
      <c r="AU11" s="375" t="s">
        <v>230</v>
      </c>
      <c r="AV11" s="375" t="s">
        <v>231</v>
      </c>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row>
    <row r="12" spans="1:276" s="202" customFormat="1" ht="73.5" customHeight="1" x14ac:dyDescent="0.25">
      <c r="A12" s="370"/>
      <c r="B12" s="371"/>
      <c r="C12" s="364"/>
      <c r="D12" s="364"/>
      <c r="E12" s="371"/>
      <c r="F12" s="364"/>
      <c r="G12" s="544"/>
      <c r="H12" s="542"/>
      <c r="I12" s="542"/>
      <c r="J12" s="542"/>
      <c r="K12" s="374"/>
      <c r="L12" s="374"/>
      <c r="M12" s="374"/>
      <c r="N12" s="374"/>
      <c r="O12" s="374"/>
      <c r="P12" s="239" t="s">
        <v>411</v>
      </c>
      <c r="Q12" s="239" t="s">
        <v>232</v>
      </c>
      <c r="R12" s="375"/>
      <c r="S12" s="375"/>
      <c r="T12" s="363"/>
      <c r="U12" s="375"/>
      <c r="V12" s="375"/>
      <c r="W12" s="363"/>
      <c r="X12" s="363"/>
      <c r="Y12" s="375"/>
      <c r="Z12" s="376"/>
      <c r="AA12" s="375"/>
      <c r="AB12" s="375"/>
      <c r="AC12" s="199" t="s">
        <v>233</v>
      </c>
      <c r="AD12" s="199" t="s">
        <v>234</v>
      </c>
      <c r="AE12" s="199" t="s">
        <v>235</v>
      </c>
      <c r="AF12" s="199" t="s">
        <v>236</v>
      </c>
      <c r="AG12" s="199" t="s">
        <v>237</v>
      </c>
      <c r="AH12" s="199" t="s">
        <v>238</v>
      </c>
      <c r="AI12" s="376"/>
      <c r="AJ12" s="376"/>
      <c r="AK12" s="376"/>
      <c r="AL12" s="376"/>
      <c r="AM12" s="376"/>
      <c r="AN12" s="376"/>
      <c r="AO12" s="376"/>
      <c r="AP12" s="375"/>
      <c r="AQ12" s="375"/>
      <c r="AR12" s="375"/>
      <c r="AS12" s="375"/>
      <c r="AT12" s="375"/>
      <c r="AU12" s="375"/>
      <c r="AV12" s="375"/>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c r="IM12" s="201"/>
      <c r="IN12" s="201"/>
      <c r="IO12" s="201"/>
      <c r="IP12" s="201"/>
      <c r="IQ12" s="201"/>
      <c r="IR12" s="201"/>
      <c r="IS12" s="201"/>
      <c r="IT12" s="201"/>
      <c r="IU12" s="201"/>
      <c r="IV12" s="201"/>
      <c r="IW12" s="201"/>
      <c r="IX12" s="201"/>
      <c r="IY12" s="201"/>
      <c r="IZ12" s="201"/>
      <c r="JA12" s="201"/>
      <c r="JB12" s="201"/>
      <c r="JC12" s="201"/>
      <c r="JD12" s="201"/>
      <c r="JE12" s="201"/>
      <c r="JF12" s="201"/>
      <c r="JG12" s="201"/>
      <c r="JH12" s="201"/>
      <c r="JI12" s="201"/>
      <c r="JJ12" s="201"/>
      <c r="JK12" s="201"/>
      <c r="JL12" s="201"/>
      <c r="JM12" s="201"/>
      <c r="JN12" s="201"/>
      <c r="JO12" s="201"/>
      <c r="JP12" s="201"/>
    </row>
    <row r="13" spans="1:276" s="204" customFormat="1" ht="405" x14ac:dyDescent="0.25">
      <c r="A13" s="328">
        <v>1</v>
      </c>
      <c r="B13" s="329" t="s">
        <v>108</v>
      </c>
      <c r="C13" s="329" t="s">
        <v>412</v>
      </c>
      <c r="D13" s="329" t="s">
        <v>413</v>
      </c>
      <c r="E13" s="372" t="s">
        <v>414</v>
      </c>
      <c r="F13" s="329" t="s">
        <v>140</v>
      </c>
      <c r="G13" s="342" t="s">
        <v>379</v>
      </c>
      <c r="H13" s="342" t="s">
        <v>415</v>
      </c>
      <c r="I13" s="342" t="s">
        <v>147</v>
      </c>
      <c r="J13" s="342" t="s">
        <v>416</v>
      </c>
      <c r="K13" s="342" t="s">
        <v>113</v>
      </c>
      <c r="L13" s="342" t="s">
        <v>538</v>
      </c>
      <c r="M13" s="342" t="s">
        <v>539</v>
      </c>
      <c r="N13" s="342" t="s">
        <v>540</v>
      </c>
      <c r="O13" s="342" t="s">
        <v>541</v>
      </c>
      <c r="P13" s="342" t="s">
        <v>117</v>
      </c>
      <c r="Q13" s="342" t="s">
        <v>131</v>
      </c>
      <c r="R13" s="339">
        <v>500</v>
      </c>
      <c r="S13" s="340" t="str">
        <f>IF(R13&lt;=0,"",IF(R13&lt;=2,"Muy Baja",IF(R13&lt;=24,"Baja",IF(R13&lt;=500,"Media",IF(R13&lt;=5000,"Alta","Muy Alta")))))</f>
        <v>Media</v>
      </c>
      <c r="T13" s="341">
        <f>IF(S13="","",IF(S13="Muy Baja",0.2,IF(S13="Baja",0.4,IF(S13="Media",0.6,IF(S13="Alta",0.8,IF(S13="Muy Alta",1,))))))</f>
        <v>0.6</v>
      </c>
      <c r="U13" s="359" t="s">
        <v>239</v>
      </c>
      <c r="V13" s="341" t="str">
        <f>IF(NOT(ISERROR(MATCH(U13,'Tabla Impacto'!$B$222:$B$224,0))),'Tabla Impacto'!$F$224&amp;"Por favor no seleccionar los criterios de impacto(Afectación Económica o presupuestal y Pérdida Reputacional)",U13)</f>
        <v xml:space="preserve">     El riesgo afecta la imagen de la entidad con algunos usuarios de relevancia frente al logro de los objetivos</v>
      </c>
      <c r="W13" s="340" t="str">
        <f>IF(OR(V13='Tabla Impacto'!$C$12,V13='Tabla Impacto'!$D$12),"Leve",IF(OR(V13='Tabla Impacto'!$C$13,V13='Tabla Impacto'!$D$13),"Menor",IF(OR(V13='Tabla Impacto'!$C$14,V13='Tabla Impacto'!$D$14),"Moderado",IF(OR(V13='Tabla Impacto'!$C$15,V13='Tabla Impacto'!$D$15),"Mayor",IF(OR(V13='Tabla Impacto'!$C$16,V13='Tabla Impacto'!$D$16),"Catastrófico","")))))</f>
        <v>Moderado</v>
      </c>
      <c r="X13" s="341">
        <f>IF(W13="","",IF(W13="Leve",0.2,IF(W13="Menor",0.4,IF(W13="Moderado",0.6,IF(W13="Mayor",0.8,IF(W13="Catastrófico",1,))))))</f>
        <v>0.6</v>
      </c>
      <c r="Y13" s="358"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Moderado</v>
      </c>
      <c r="Z13" s="203">
        <v>1</v>
      </c>
      <c r="AA13" s="229" t="s">
        <v>417</v>
      </c>
      <c r="AB13" s="178" t="str">
        <f t="shared" ref="AB13:AB18" si="0">IF(OR(AC13="Preventivo",AC13="Detectivo"),"Probabilidad",IF(AC13="Correctivo","Impacto",""))</f>
        <v>Probabilidad</v>
      </c>
      <c r="AC13" s="179" t="s">
        <v>240</v>
      </c>
      <c r="AD13" s="179" t="s">
        <v>241</v>
      </c>
      <c r="AE13" s="180" t="str">
        <f>IF(AND(AC13="Preventivo",AD13="Automático"),"50%",IF(AND(AC13="Preventivo",AD13="Manual"),"40%",IF(AND(AC13="Detectivo",AD13="Automático"),"40%",IF(AND(AC13="Detectivo",AD13="Manual"),"30%",IF(AND(AC13="Correctivo",AD13="Automático"),"35%",IF(AND(AC13="Correctivo",AD13="Manual"),"25%",""))))))</f>
        <v>40%</v>
      </c>
      <c r="AF13" s="179" t="s">
        <v>246</v>
      </c>
      <c r="AG13" s="179" t="s">
        <v>243</v>
      </c>
      <c r="AH13" s="179" t="s">
        <v>244</v>
      </c>
      <c r="AI13" s="253">
        <f>IFERROR(IF(AB13="Probabilidad",(T13-(+T13*AE13)),IF(AB13="Impacto",T13,"")),"")</f>
        <v>0.36</v>
      </c>
      <c r="AJ13" s="182" t="str">
        <f>IFERROR(IF(AI13="","",IF(AI13&lt;=0.2,"Muy Baja",IF(AI13&lt;=0.4,"Baja",IF(AI13&lt;=0.6,"Media",IF(AI13&lt;=0.8,"Alta","Muy Alta"))))),"")</f>
        <v>Baja</v>
      </c>
      <c r="AK13" s="180">
        <f>+AI13</f>
        <v>0.36</v>
      </c>
      <c r="AL13" s="182" t="str">
        <f>IFERROR(IF(AM13="","",IF(AM13&lt;=0.2,"Leve",IF(AM13&lt;=0.4,"Menor",IF(AM13&lt;=0.6,"Moderado",IF(AM13&lt;=0.8,"Mayor","Catastrófico"))))),"")</f>
        <v>Moderado</v>
      </c>
      <c r="AM13" s="180">
        <f>IFERROR(IF(AB13="Impacto",(X13-(+X13*AE13)),IF(AB13="Probabilidad",X13,"")),"")</f>
        <v>0.6</v>
      </c>
      <c r="AN13" s="183"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Moderado</v>
      </c>
      <c r="AO13" s="184" t="s">
        <v>109</v>
      </c>
      <c r="AP13" s="175" t="s">
        <v>419</v>
      </c>
      <c r="AQ13" s="175" t="s">
        <v>420</v>
      </c>
      <c r="AR13" s="175" t="s">
        <v>421</v>
      </c>
      <c r="AS13" s="251" t="s">
        <v>424</v>
      </c>
      <c r="AT13" s="329" t="s">
        <v>422</v>
      </c>
      <c r="AU13" s="329" t="s">
        <v>421</v>
      </c>
      <c r="AV13" s="329" t="s">
        <v>423</v>
      </c>
    </row>
    <row r="14" spans="1:276" ht="210" x14ac:dyDescent="0.2">
      <c r="A14" s="328"/>
      <c r="B14" s="329"/>
      <c r="C14" s="329"/>
      <c r="D14" s="329"/>
      <c r="E14" s="372"/>
      <c r="F14" s="329"/>
      <c r="G14" s="343"/>
      <c r="H14" s="343"/>
      <c r="I14" s="343"/>
      <c r="J14" s="343"/>
      <c r="K14" s="343"/>
      <c r="L14" s="343"/>
      <c r="M14" s="343"/>
      <c r="N14" s="343"/>
      <c r="O14" s="343"/>
      <c r="P14" s="343"/>
      <c r="Q14" s="343"/>
      <c r="R14" s="339"/>
      <c r="S14" s="340"/>
      <c r="T14" s="341"/>
      <c r="U14" s="359"/>
      <c r="V14" s="341">
        <f>IF(NOT(ISERROR(MATCH(U14,_xlfn.ANCHORARRAY(E25),0))),T27&amp;"Por favor no seleccionar los criterios de impacto",U14)</f>
        <v>0</v>
      </c>
      <c r="W14" s="340"/>
      <c r="X14" s="341"/>
      <c r="Y14" s="358"/>
      <c r="Z14" s="203">
        <v>2</v>
      </c>
      <c r="AA14" s="229" t="s">
        <v>418</v>
      </c>
      <c r="AB14" s="178" t="str">
        <f t="shared" si="0"/>
        <v>Probabilidad</v>
      </c>
      <c r="AC14" s="179" t="s">
        <v>245</v>
      </c>
      <c r="AD14" s="179" t="s">
        <v>241</v>
      </c>
      <c r="AE14" s="180" t="str">
        <f t="shared" ref="AE14:AE18" si="1">IF(AND(AC14="Preventivo",AD14="Automático"),"50%",IF(AND(AC14="Preventivo",AD14="Manual"),"40%",IF(AND(AC14="Detectivo",AD14="Automático"),"40%",IF(AND(AC14="Detectivo",AD14="Manual"),"30%",IF(AND(AC14="Correctivo",AD14="Automático"),"35%",IF(AND(AC14="Correctivo",AD14="Manual"),"25%",""))))))</f>
        <v>30%</v>
      </c>
      <c r="AF14" s="179" t="s">
        <v>246</v>
      </c>
      <c r="AG14" s="179" t="s">
        <v>243</v>
      </c>
      <c r="AH14" s="179"/>
      <c r="AI14" s="253">
        <f>IFERROR(IF(AND(AB13="Probabilidad",AB14="Probabilidad"),(AK13-(+AK13*AE14)),IF(AB14="Probabilidad",(T13-(+T13*AE14)),IF(AB14="Impacto",AK13,""))),"")</f>
        <v>0.252</v>
      </c>
      <c r="AJ14" s="182" t="str">
        <f t="shared" ref="AJ14:AJ72" si="2">IFERROR(IF(AI14="","",IF(AI14&lt;=0.2,"Muy Baja",IF(AI14&lt;=0.4,"Baja",IF(AI14&lt;=0.6,"Media",IF(AI14&lt;=0.8,"Alta","Muy Alta"))))),"")</f>
        <v>Baja</v>
      </c>
      <c r="AK14" s="180">
        <f t="shared" ref="AK14:AK18" si="3">+AI14</f>
        <v>0.252</v>
      </c>
      <c r="AL14" s="182" t="str">
        <f t="shared" ref="AL14:AL72" si="4">IFERROR(IF(AM14="","",IF(AM14&lt;=0.2,"Leve",IF(AM14&lt;=0.4,"Menor",IF(AM14&lt;=0.6,"Moderado",IF(AM14&lt;=0.8,"Mayor","Catastrófico"))))),"")</f>
        <v>Moderado</v>
      </c>
      <c r="AM14" s="180">
        <f>IFERROR(IF(AND(AB13="Impacto",AB14="Impacto"),(AM13-(+AM13*AE14)),IF(AB14="Impacto",($X$13-(+$X$13*AE14)),IF(AB14="Probabilidad",AM13,""))),"")</f>
        <v>0.6</v>
      </c>
      <c r="AN14" s="183"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Moderado</v>
      </c>
      <c r="AO14" s="184" t="s">
        <v>109</v>
      </c>
      <c r="AP14" s="175" t="s">
        <v>504</v>
      </c>
      <c r="AQ14" s="175" t="s">
        <v>420</v>
      </c>
      <c r="AR14" s="175" t="s">
        <v>421</v>
      </c>
      <c r="AS14" s="251" t="s">
        <v>424</v>
      </c>
      <c r="AT14" s="329"/>
      <c r="AU14" s="329"/>
      <c r="AV14" s="329"/>
    </row>
    <row r="15" spans="1:276" ht="37.5" customHeight="1" x14ac:dyDescent="0.2">
      <c r="A15" s="328"/>
      <c r="B15" s="329"/>
      <c r="C15" s="329"/>
      <c r="D15" s="329"/>
      <c r="E15" s="372"/>
      <c r="F15" s="329"/>
      <c r="G15" s="343"/>
      <c r="H15" s="343"/>
      <c r="I15" s="343"/>
      <c r="J15" s="343"/>
      <c r="K15" s="343"/>
      <c r="L15" s="343"/>
      <c r="M15" s="343"/>
      <c r="N15" s="343"/>
      <c r="O15" s="343"/>
      <c r="P15" s="343"/>
      <c r="Q15" s="343"/>
      <c r="R15" s="339"/>
      <c r="S15" s="340"/>
      <c r="T15" s="341"/>
      <c r="U15" s="359"/>
      <c r="V15" s="341">
        <f>IF(NOT(ISERROR(MATCH(U15,_xlfn.ANCHORARRAY(E26),0))),T28&amp;"Por favor no seleccionar los criterios de impacto",U15)</f>
        <v>0</v>
      </c>
      <c r="W15" s="340"/>
      <c r="X15" s="341"/>
      <c r="Y15" s="358"/>
      <c r="Z15" s="203">
        <v>3</v>
      </c>
      <c r="AA15" s="177"/>
      <c r="AB15" s="178" t="str">
        <f t="shared" si="0"/>
        <v/>
      </c>
      <c r="AC15" s="179"/>
      <c r="AD15" s="179"/>
      <c r="AE15" s="180" t="str">
        <f t="shared" si="1"/>
        <v/>
      </c>
      <c r="AF15" s="179"/>
      <c r="AG15" s="179"/>
      <c r="AH15" s="179"/>
      <c r="AI15" s="253" t="str">
        <f>IFERROR(IF(AND(AB14="Probabilidad",AB15="Probabilidad"),(AK14-(+AK14*AE15)),IF(AND(AB14="Impacto",AB15="Probabilidad"),(AK13-(+AK13*AE15)),IF(AB15="Impacto",AK14,""))),"")</f>
        <v/>
      </c>
      <c r="AJ15" s="182" t="str">
        <f t="shared" si="2"/>
        <v/>
      </c>
      <c r="AK15" s="180" t="str">
        <f t="shared" si="3"/>
        <v/>
      </c>
      <c r="AL15" s="182" t="str">
        <f t="shared" si="4"/>
        <v/>
      </c>
      <c r="AM15" s="180" t="str">
        <f>IFERROR(IF(AND(AB14="Impacto",AB15="Impacto"),(AM14-(+AM14*AE15)),IF(AND(AB14="Probabilidad",AB15="Impacto"),(AM13-(+AM13*AE15)),IF(AB15="Probabilidad",AM14,""))),"")</f>
        <v/>
      </c>
      <c r="AN15" s="183" t="str">
        <f t="shared" si="5"/>
        <v/>
      </c>
      <c r="AO15" s="184"/>
      <c r="AP15" s="175"/>
      <c r="AQ15" s="175"/>
      <c r="AR15" s="175"/>
      <c r="AS15" s="251"/>
      <c r="AT15" s="329"/>
      <c r="AU15" s="329"/>
      <c r="AV15" s="329"/>
    </row>
    <row r="16" spans="1:276" ht="37.5" customHeight="1" x14ac:dyDescent="0.2">
      <c r="A16" s="328"/>
      <c r="B16" s="329"/>
      <c r="C16" s="329"/>
      <c r="D16" s="329"/>
      <c r="E16" s="372"/>
      <c r="F16" s="329"/>
      <c r="G16" s="343"/>
      <c r="H16" s="343"/>
      <c r="I16" s="343"/>
      <c r="J16" s="343"/>
      <c r="K16" s="343"/>
      <c r="L16" s="343"/>
      <c r="M16" s="343"/>
      <c r="N16" s="343"/>
      <c r="O16" s="343"/>
      <c r="P16" s="343"/>
      <c r="Q16" s="343"/>
      <c r="R16" s="339"/>
      <c r="S16" s="340"/>
      <c r="T16" s="341"/>
      <c r="U16" s="359"/>
      <c r="V16" s="341">
        <f>IF(NOT(ISERROR(MATCH(U16,_xlfn.ANCHORARRAY(E27),0))),T29&amp;"Por favor no seleccionar los criterios de impacto",U16)</f>
        <v>0</v>
      </c>
      <c r="W16" s="340"/>
      <c r="X16" s="341"/>
      <c r="Y16" s="358"/>
      <c r="Z16" s="203">
        <v>4</v>
      </c>
      <c r="AA16" s="176"/>
      <c r="AB16" s="178" t="str">
        <f t="shared" si="0"/>
        <v/>
      </c>
      <c r="AC16" s="179"/>
      <c r="AD16" s="179"/>
      <c r="AE16" s="180" t="str">
        <f t="shared" si="1"/>
        <v/>
      </c>
      <c r="AF16" s="179"/>
      <c r="AG16" s="179"/>
      <c r="AH16" s="179"/>
      <c r="AI16" s="253" t="str">
        <f t="shared" ref="AI16:AI18" si="6">IFERROR(IF(AND(AB15="Probabilidad",AB16="Probabilidad"),(AK15-(+AK15*AE16)),IF(AND(AB15="Impacto",AB16="Probabilidad"),(AK14-(+AK14*AE16)),IF(AB16="Impacto",AK15,""))),"")</f>
        <v/>
      </c>
      <c r="AJ16" s="182" t="str">
        <f t="shared" si="2"/>
        <v/>
      </c>
      <c r="AK16" s="180" t="str">
        <f t="shared" si="3"/>
        <v/>
      </c>
      <c r="AL16" s="182" t="str">
        <f t="shared" si="4"/>
        <v/>
      </c>
      <c r="AM16" s="180" t="str">
        <f t="shared" ref="AM16:AM18" si="7">IFERROR(IF(AND(AB15="Impacto",AB16="Impacto"),(AM15-(+AM15*AE16)),IF(AND(AB15="Probabilidad",AB16="Impacto"),(AM14-(+AM14*AE16)),IF(AB16="Probabilidad",AM15,""))),"")</f>
        <v/>
      </c>
      <c r="AN16" s="183"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84"/>
      <c r="AP16" s="175"/>
      <c r="AQ16" s="175"/>
      <c r="AR16" s="175"/>
      <c r="AS16" s="251"/>
      <c r="AT16" s="329"/>
      <c r="AU16" s="329"/>
      <c r="AV16" s="329"/>
    </row>
    <row r="17" spans="1:48" ht="37.5" customHeight="1" x14ac:dyDescent="0.2">
      <c r="A17" s="328"/>
      <c r="B17" s="329"/>
      <c r="C17" s="329"/>
      <c r="D17" s="329"/>
      <c r="E17" s="372"/>
      <c r="F17" s="329"/>
      <c r="G17" s="343"/>
      <c r="H17" s="343"/>
      <c r="I17" s="343"/>
      <c r="J17" s="343"/>
      <c r="K17" s="343"/>
      <c r="L17" s="343"/>
      <c r="M17" s="343"/>
      <c r="N17" s="343"/>
      <c r="O17" s="343"/>
      <c r="P17" s="343"/>
      <c r="Q17" s="343"/>
      <c r="R17" s="339"/>
      <c r="S17" s="340"/>
      <c r="T17" s="341"/>
      <c r="U17" s="359"/>
      <c r="V17" s="341">
        <f>IF(NOT(ISERROR(MATCH(U17,_xlfn.ANCHORARRAY(E28),0))),T30&amp;"Por favor no seleccionar los criterios de impacto",U17)</f>
        <v>0</v>
      </c>
      <c r="W17" s="340"/>
      <c r="X17" s="341"/>
      <c r="Y17" s="358"/>
      <c r="Z17" s="203">
        <v>5</v>
      </c>
      <c r="AA17" s="176"/>
      <c r="AB17" s="178" t="str">
        <f t="shared" si="0"/>
        <v/>
      </c>
      <c r="AC17" s="179"/>
      <c r="AD17" s="179"/>
      <c r="AE17" s="180" t="str">
        <f t="shared" si="1"/>
        <v/>
      </c>
      <c r="AF17" s="179"/>
      <c r="AG17" s="179"/>
      <c r="AH17" s="179"/>
      <c r="AI17" s="253" t="str">
        <f t="shared" si="6"/>
        <v/>
      </c>
      <c r="AJ17" s="182" t="str">
        <f t="shared" si="2"/>
        <v/>
      </c>
      <c r="AK17" s="180" t="str">
        <f t="shared" si="3"/>
        <v/>
      </c>
      <c r="AL17" s="182" t="str">
        <f t="shared" si="4"/>
        <v/>
      </c>
      <c r="AM17" s="180" t="str">
        <f t="shared" si="7"/>
        <v/>
      </c>
      <c r="AN17" s="183" t="str">
        <f t="shared" si="5"/>
        <v/>
      </c>
      <c r="AO17" s="184"/>
      <c r="AP17" s="175"/>
      <c r="AQ17" s="175"/>
      <c r="AR17" s="175"/>
      <c r="AS17" s="251"/>
      <c r="AT17" s="329"/>
      <c r="AU17" s="329"/>
      <c r="AV17" s="329"/>
    </row>
    <row r="18" spans="1:48" ht="37.5" customHeight="1" x14ac:dyDescent="0.2">
      <c r="A18" s="328"/>
      <c r="B18" s="329"/>
      <c r="C18" s="329"/>
      <c r="D18" s="329"/>
      <c r="E18" s="372"/>
      <c r="F18" s="329"/>
      <c r="G18" s="344"/>
      <c r="H18" s="344"/>
      <c r="I18" s="344"/>
      <c r="J18" s="344"/>
      <c r="K18" s="344"/>
      <c r="L18" s="344"/>
      <c r="M18" s="344"/>
      <c r="N18" s="344"/>
      <c r="O18" s="344"/>
      <c r="P18" s="344"/>
      <c r="Q18" s="344"/>
      <c r="R18" s="339"/>
      <c r="S18" s="340"/>
      <c r="T18" s="341"/>
      <c r="U18" s="359"/>
      <c r="V18" s="341">
        <f>IF(NOT(ISERROR(MATCH(U18,_xlfn.ANCHORARRAY(E29),0))),T31&amp;"Por favor no seleccionar los criterios de impacto",U18)</f>
        <v>0</v>
      </c>
      <c r="W18" s="340"/>
      <c r="X18" s="341"/>
      <c r="Y18" s="358"/>
      <c r="Z18" s="203">
        <v>6</v>
      </c>
      <c r="AA18" s="176"/>
      <c r="AB18" s="178" t="str">
        <f t="shared" si="0"/>
        <v/>
      </c>
      <c r="AC18" s="179"/>
      <c r="AD18" s="179"/>
      <c r="AE18" s="180" t="str">
        <f t="shared" si="1"/>
        <v/>
      </c>
      <c r="AF18" s="179"/>
      <c r="AG18" s="179"/>
      <c r="AH18" s="179"/>
      <c r="AI18" s="253" t="str">
        <f t="shared" si="6"/>
        <v/>
      </c>
      <c r="AJ18" s="182" t="str">
        <f t="shared" si="2"/>
        <v/>
      </c>
      <c r="AK18" s="180" t="str">
        <f t="shared" si="3"/>
        <v/>
      </c>
      <c r="AL18" s="182" t="str">
        <f t="shared" si="4"/>
        <v/>
      </c>
      <c r="AM18" s="180" t="str">
        <f t="shared" si="7"/>
        <v/>
      </c>
      <c r="AN18" s="183" t="str">
        <f t="shared" si="5"/>
        <v/>
      </c>
      <c r="AO18" s="184"/>
      <c r="AP18" s="175"/>
      <c r="AQ18" s="175"/>
      <c r="AR18" s="175"/>
      <c r="AS18" s="251"/>
      <c r="AT18" s="329"/>
      <c r="AU18" s="329"/>
      <c r="AV18" s="329"/>
    </row>
    <row r="19" spans="1:48" ht="195" x14ac:dyDescent="0.2">
      <c r="A19" s="328">
        <v>2</v>
      </c>
      <c r="B19" s="329" t="s">
        <v>108</v>
      </c>
      <c r="C19" s="329" t="s">
        <v>425</v>
      </c>
      <c r="D19" s="329" t="s">
        <v>426</v>
      </c>
      <c r="E19" s="372" t="s">
        <v>427</v>
      </c>
      <c r="F19" s="329" t="s">
        <v>140</v>
      </c>
      <c r="G19" s="342" t="s">
        <v>379</v>
      </c>
      <c r="H19" s="342" t="s">
        <v>428</v>
      </c>
      <c r="I19" s="342" t="s">
        <v>147</v>
      </c>
      <c r="J19" s="342" t="s">
        <v>429</v>
      </c>
      <c r="K19" s="342" t="s">
        <v>113</v>
      </c>
      <c r="L19" s="342" t="s">
        <v>542</v>
      </c>
      <c r="M19" s="342" t="s">
        <v>539</v>
      </c>
      <c r="N19" s="342" t="s">
        <v>540</v>
      </c>
      <c r="O19" s="342" t="s">
        <v>543</v>
      </c>
      <c r="P19" s="342" t="s">
        <v>117</v>
      </c>
      <c r="Q19" s="342" t="s">
        <v>131</v>
      </c>
      <c r="R19" s="339">
        <v>5000</v>
      </c>
      <c r="S19" s="340" t="str">
        <f>IF(R19&lt;=0,"",IF(R19&lt;=2,"Muy Baja",IF(R19&lt;=24,"Baja",IF(R19&lt;=500,"Media",IF(R19&lt;=5000,"Alta","Muy Alta")))))</f>
        <v>Alta</v>
      </c>
      <c r="T19" s="341">
        <f>IF(S19="","",IF(S19="Muy Baja",0.2,IF(S19="Baja",0.4,IF(S19="Media",0.6,IF(S19="Alta",0.8,IF(S19="Muy Alta",1,))))))</f>
        <v>0.8</v>
      </c>
      <c r="U19" s="359" t="s">
        <v>339</v>
      </c>
      <c r="V19" s="341" t="str">
        <f>IF(NOT(ISERROR(MATCH(U19,'Tabla Impacto'!$B$222:$B$224,0))),'Tabla Impacto'!$F$224&amp;"Por favor no seleccionar los criterios de impacto(Afectación Económica o presupuestal y Pérdida Reputacional)",U19)</f>
        <v xml:space="preserve">     El riesgo afecta la imagen de la entidad internamente, de conocimiento general, nivel interno, de junta dircetiva y accionistas y/o de provedores</v>
      </c>
      <c r="W19" s="340" t="str">
        <f>IF(OR(V19='Tabla Impacto'!$C$12,V19='Tabla Impacto'!$D$12),"Leve",IF(OR(V19='Tabla Impacto'!$C$13,V19='Tabla Impacto'!$D$13),"Menor",IF(OR(V19='Tabla Impacto'!$C$14,V19='Tabla Impacto'!$D$14),"Moderado",IF(OR(V19='Tabla Impacto'!$C$15,V19='Tabla Impacto'!$D$15),"Mayor",IF(OR(V19='Tabla Impacto'!$C$16,V19='Tabla Impacto'!$D$16),"Catastrófico","")))))</f>
        <v>Menor</v>
      </c>
      <c r="X19" s="341">
        <f>IF(W19="","",IF(W19="Leve",0.2,IF(W19="Menor",0.4,IF(W19="Moderado",0.6,IF(W19="Mayor",0.8,IF(W19="Catastrófico",1,))))))</f>
        <v>0.4</v>
      </c>
      <c r="Y19" s="358"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Moderado</v>
      </c>
      <c r="Z19" s="203">
        <v>1</v>
      </c>
      <c r="AA19" s="176" t="s">
        <v>430</v>
      </c>
      <c r="AB19" s="178" t="str">
        <f>IF(OR(AC19="Preventivo",AC19="Detectivo"),"Probabilidad",IF(AC19="Correctivo","Impacto",""))</f>
        <v>Probabilidad</v>
      </c>
      <c r="AC19" s="179" t="s">
        <v>240</v>
      </c>
      <c r="AD19" s="179" t="s">
        <v>241</v>
      </c>
      <c r="AE19" s="180" t="str">
        <f>IF(AND(AC19="Preventivo",AD19="Automático"),"50%",IF(AND(AC19="Preventivo",AD19="Manual"),"40%",IF(AND(AC19="Detectivo",AD19="Automático"),"40%",IF(AND(AC19="Detectivo",AD19="Manual"),"30%",IF(AND(AC19="Correctivo",AD19="Automático"),"35%",IF(AND(AC19="Correctivo",AD19="Manual"),"25%",""))))))</f>
        <v>40%</v>
      </c>
      <c r="AF19" s="179" t="s">
        <v>242</v>
      </c>
      <c r="AG19" s="179" t="s">
        <v>243</v>
      </c>
      <c r="AH19" s="179" t="s">
        <v>244</v>
      </c>
      <c r="AI19" s="253">
        <f>IFERROR(IF(AB19="Probabilidad",(T19-(+T19*AE19)),IF(AB19="Impacto",T19,"")),"")</f>
        <v>0.48</v>
      </c>
      <c r="AJ19" s="182" t="str">
        <f>IFERROR(IF(AI19="","",IF(AI19&lt;=0.2,"Muy Baja",IF(AI19&lt;=0.4,"Baja",IF(AI19&lt;=0.6,"Media",IF(AI19&lt;=0.8,"Alta","Muy Alta"))))),"")</f>
        <v>Media</v>
      </c>
      <c r="AK19" s="180">
        <f>+AI19</f>
        <v>0.48</v>
      </c>
      <c r="AL19" s="182" t="str">
        <f>IFERROR(IF(AM19="","",IF(AM19&lt;=0.2,"Leve",IF(AM19&lt;=0.4,"Menor",IF(AM19&lt;=0.6,"Moderado",IF(AM19&lt;=0.8,"Mayor","Catastrófico"))))),"")</f>
        <v>Menor</v>
      </c>
      <c r="AM19" s="180">
        <f t="shared" ref="AM19" si="8">IFERROR(IF(AB19="Impacto",(X19-(+X19*AE19)),IF(AB19="Probabilidad",X19,"")),"")</f>
        <v>0.4</v>
      </c>
      <c r="AN19" s="183"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Moderado</v>
      </c>
      <c r="AO19" s="184" t="s">
        <v>109</v>
      </c>
      <c r="AP19" s="175" t="s">
        <v>433</v>
      </c>
      <c r="AQ19" s="175" t="s">
        <v>434</v>
      </c>
      <c r="AR19" s="175" t="s">
        <v>421</v>
      </c>
      <c r="AS19" s="251" t="s">
        <v>435</v>
      </c>
      <c r="AT19" s="339"/>
      <c r="AU19" s="329"/>
      <c r="AV19" s="329"/>
    </row>
    <row r="20" spans="1:48" ht="150" x14ac:dyDescent="0.2">
      <c r="A20" s="328"/>
      <c r="B20" s="329"/>
      <c r="C20" s="329"/>
      <c r="D20" s="329"/>
      <c r="E20" s="372"/>
      <c r="F20" s="329"/>
      <c r="G20" s="343"/>
      <c r="H20" s="343"/>
      <c r="I20" s="343"/>
      <c r="J20" s="343"/>
      <c r="K20" s="343"/>
      <c r="L20" s="343"/>
      <c r="M20" s="343"/>
      <c r="N20" s="343"/>
      <c r="O20" s="343"/>
      <c r="P20" s="343"/>
      <c r="Q20" s="343"/>
      <c r="R20" s="339"/>
      <c r="S20" s="340"/>
      <c r="T20" s="341"/>
      <c r="U20" s="359"/>
      <c r="V20" s="341">
        <f>IF(NOT(ISERROR(MATCH(U20,_xlfn.ANCHORARRAY(E31),0))),T33&amp;"Por favor no seleccionar los criterios de impacto",U20)</f>
        <v>0</v>
      </c>
      <c r="W20" s="340"/>
      <c r="X20" s="341"/>
      <c r="Y20" s="358"/>
      <c r="Z20" s="203">
        <v>2</v>
      </c>
      <c r="AA20" s="176" t="s">
        <v>431</v>
      </c>
      <c r="AB20" s="178" t="str">
        <f>IF(OR(AC20="Preventivo",AC20="Detectivo"),"Probabilidad",IF(AC20="Correctivo","Impacto",""))</f>
        <v>Probabilidad</v>
      </c>
      <c r="AC20" s="179" t="s">
        <v>245</v>
      </c>
      <c r="AD20" s="179" t="s">
        <v>241</v>
      </c>
      <c r="AE20" s="180" t="str">
        <f t="shared" ref="AE20:AE24" si="9">IF(AND(AC20="Preventivo",AD20="Automático"),"50%",IF(AND(AC20="Preventivo",AD20="Manual"),"40%",IF(AND(AC20="Detectivo",AD20="Automático"),"40%",IF(AND(AC20="Detectivo",AD20="Manual"),"30%",IF(AND(AC20="Correctivo",AD20="Automático"),"35%",IF(AND(AC20="Correctivo",AD20="Manual"),"25%",""))))))</f>
        <v>30%</v>
      </c>
      <c r="AF20" s="179" t="s">
        <v>246</v>
      </c>
      <c r="AG20" s="179" t="s">
        <v>243</v>
      </c>
      <c r="AH20" s="179" t="s">
        <v>244</v>
      </c>
      <c r="AI20" s="253">
        <f>IFERROR(IF(AND(AB19="Probabilidad",AB20="Probabilidad"),(AK19-(+AK19*AE20)),IF(AB20="Probabilidad",(T19-(+T19*AE20)),IF(AB20="Impacto",AK19,""))),"")</f>
        <v>0.33599999999999997</v>
      </c>
      <c r="AJ20" s="182" t="str">
        <f t="shared" si="2"/>
        <v>Baja</v>
      </c>
      <c r="AK20" s="180">
        <f t="shared" ref="AK20:AK24" si="10">+AI20</f>
        <v>0.33599999999999997</v>
      </c>
      <c r="AL20" s="182" t="str">
        <f t="shared" si="4"/>
        <v>Menor</v>
      </c>
      <c r="AM20" s="180">
        <f t="shared" ref="AM20" si="11">IFERROR(IF(AND(AB19="Impacto",AB20="Impacto"),(AM19-(+AM19*AE20)),IF(AB20="Impacto",($X$13-(+$X$13*AE20)),IF(AB20="Probabilidad",AM19,""))),"")</f>
        <v>0.4</v>
      </c>
      <c r="AN20" s="183"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Moderado</v>
      </c>
      <c r="AO20" s="184" t="s">
        <v>109</v>
      </c>
      <c r="AP20" s="175" t="s">
        <v>436</v>
      </c>
      <c r="AQ20" s="175" t="s">
        <v>434</v>
      </c>
      <c r="AR20" s="175" t="s">
        <v>421</v>
      </c>
      <c r="AS20" s="251" t="s">
        <v>435</v>
      </c>
      <c r="AT20" s="339"/>
      <c r="AU20" s="329"/>
      <c r="AV20" s="329"/>
    </row>
    <row r="21" spans="1:48" ht="195" x14ac:dyDescent="0.2">
      <c r="A21" s="328"/>
      <c r="B21" s="329"/>
      <c r="C21" s="329"/>
      <c r="D21" s="329"/>
      <c r="E21" s="372"/>
      <c r="F21" s="329"/>
      <c r="G21" s="343"/>
      <c r="H21" s="343"/>
      <c r="I21" s="343"/>
      <c r="J21" s="343"/>
      <c r="K21" s="343"/>
      <c r="L21" s="343"/>
      <c r="M21" s="343"/>
      <c r="N21" s="343"/>
      <c r="O21" s="343"/>
      <c r="P21" s="343"/>
      <c r="Q21" s="343"/>
      <c r="R21" s="339"/>
      <c r="S21" s="340"/>
      <c r="T21" s="341"/>
      <c r="U21" s="359"/>
      <c r="V21" s="341">
        <f>IF(NOT(ISERROR(MATCH(U21,_xlfn.ANCHORARRAY(E32),0))),T34&amp;"Por favor no seleccionar los criterios de impacto",U21)</f>
        <v>0</v>
      </c>
      <c r="W21" s="340"/>
      <c r="X21" s="341"/>
      <c r="Y21" s="358"/>
      <c r="Z21" s="203">
        <v>3</v>
      </c>
      <c r="AA21" s="177" t="s">
        <v>432</v>
      </c>
      <c r="AB21" s="178" t="str">
        <f>IF(OR(AC21="Preventivo",AC21="Detectivo"),"Probabilidad",IF(AC21="Correctivo","Impacto",""))</f>
        <v>Probabilidad</v>
      </c>
      <c r="AC21" s="179" t="s">
        <v>245</v>
      </c>
      <c r="AD21" s="179" t="s">
        <v>241</v>
      </c>
      <c r="AE21" s="180" t="str">
        <f t="shared" si="9"/>
        <v>30%</v>
      </c>
      <c r="AF21" s="179" t="s">
        <v>246</v>
      </c>
      <c r="AG21" s="179" t="s">
        <v>243</v>
      </c>
      <c r="AH21" s="179" t="s">
        <v>244</v>
      </c>
      <c r="AI21" s="253">
        <f>IFERROR(IF(AND(AB20="Probabilidad",AB21="Probabilidad"),(AK20-(+AK20*AE21)),IF(AND(AB20="Impacto",AB21="Probabilidad"),(AK19-(+AK19*AE21)),IF(AB21="Impacto",AK20,""))),"")</f>
        <v>0.23519999999999996</v>
      </c>
      <c r="AJ21" s="182" t="str">
        <f t="shared" si="2"/>
        <v>Baja</v>
      </c>
      <c r="AK21" s="180">
        <f t="shared" si="10"/>
        <v>0.23519999999999996</v>
      </c>
      <c r="AL21" s="182" t="str">
        <f t="shared" si="4"/>
        <v>Menor</v>
      </c>
      <c r="AM21" s="180">
        <f t="shared" ref="AM21:AM72" si="13">IFERROR(IF(AND(AB20="Impacto",AB21="Impacto"),(AM20-(+AM20*AE21)),IF(AND(AB20="Probabilidad",AB21="Impacto"),(AM19-(+AM19*AE21)),IF(AB21="Probabilidad",AM20,""))),"")</f>
        <v>0.4</v>
      </c>
      <c r="AN21" s="183" t="str">
        <f t="shared" si="12"/>
        <v>Moderado</v>
      </c>
      <c r="AO21" s="184" t="s">
        <v>109</v>
      </c>
      <c r="AP21" s="175" t="s">
        <v>437</v>
      </c>
      <c r="AQ21" s="175" t="s">
        <v>434</v>
      </c>
      <c r="AR21" s="175" t="s">
        <v>421</v>
      </c>
      <c r="AS21" s="251" t="s">
        <v>435</v>
      </c>
      <c r="AT21" s="339"/>
      <c r="AU21" s="329"/>
      <c r="AV21" s="329"/>
    </row>
    <row r="22" spans="1:48" ht="37.5" customHeight="1" x14ac:dyDescent="0.2">
      <c r="A22" s="328"/>
      <c r="B22" s="329"/>
      <c r="C22" s="329"/>
      <c r="D22" s="329"/>
      <c r="E22" s="372"/>
      <c r="F22" s="329"/>
      <c r="G22" s="343"/>
      <c r="H22" s="343"/>
      <c r="I22" s="343"/>
      <c r="J22" s="343"/>
      <c r="K22" s="343"/>
      <c r="L22" s="343"/>
      <c r="M22" s="343"/>
      <c r="N22" s="343"/>
      <c r="O22" s="343"/>
      <c r="P22" s="343"/>
      <c r="Q22" s="343"/>
      <c r="R22" s="339"/>
      <c r="S22" s="340"/>
      <c r="T22" s="341"/>
      <c r="U22" s="359"/>
      <c r="V22" s="341">
        <f>IF(NOT(ISERROR(MATCH(U22,_xlfn.ANCHORARRAY(E33),0))),T35&amp;"Por favor no seleccionar los criterios de impacto",U22)</f>
        <v>0</v>
      </c>
      <c r="W22" s="340"/>
      <c r="X22" s="341"/>
      <c r="Y22" s="358"/>
      <c r="Z22" s="203">
        <v>4</v>
      </c>
      <c r="AA22" s="176"/>
      <c r="AB22" s="178" t="str">
        <f t="shared" ref="AB22:AB24" si="14">IF(OR(AC22="Preventivo",AC22="Detectivo"),"Probabilidad",IF(AC22="Correctivo","Impacto",""))</f>
        <v/>
      </c>
      <c r="AC22" s="179"/>
      <c r="AD22" s="179"/>
      <c r="AE22" s="180" t="str">
        <f t="shared" si="9"/>
        <v/>
      </c>
      <c r="AF22" s="179"/>
      <c r="AG22" s="179"/>
      <c r="AH22" s="179"/>
      <c r="AI22" s="253" t="str">
        <f t="shared" ref="AI22:AI24" si="15">IFERROR(IF(AND(AB21="Probabilidad",AB22="Probabilidad"),(AK21-(+AK21*AE22)),IF(AND(AB21="Impacto",AB22="Probabilidad"),(AK20-(+AK20*AE22)),IF(AB22="Impacto",AK21,""))),"")</f>
        <v/>
      </c>
      <c r="AJ22" s="182" t="str">
        <f t="shared" si="2"/>
        <v/>
      </c>
      <c r="AK22" s="180" t="str">
        <f t="shared" si="10"/>
        <v/>
      </c>
      <c r="AL22" s="182" t="str">
        <f t="shared" si="4"/>
        <v/>
      </c>
      <c r="AM22" s="180" t="str">
        <f t="shared" si="13"/>
        <v/>
      </c>
      <c r="AN22" s="183"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84"/>
      <c r="AP22" s="175"/>
      <c r="AQ22" s="175"/>
      <c r="AR22" s="175"/>
      <c r="AS22" s="251"/>
      <c r="AT22" s="339"/>
      <c r="AU22" s="329"/>
      <c r="AV22" s="329"/>
    </row>
    <row r="23" spans="1:48" ht="37.5" customHeight="1" x14ac:dyDescent="0.2">
      <c r="A23" s="328"/>
      <c r="B23" s="329"/>
      <c r="C23" s="329"/>
      <c r="D23" s="329"/>
      <c r="E23" s="372"/>
      <c r="F23" s="329"/>
      <c r="G23" s="343"/>
      <c r="H23" s="343"/>
      <c r="I23" s="343"/>
      <c r="J23" s="343"/>
      <c r="K23" s="343"/>
      <c r="L23" s="343"/>
      <c r="M23" s="343"/>
      <c r="N23" s="343"/>
      <c r="O23" s="343"/>
      <c r="P23" s="343"/>
      <c r="Q23" s="343"/>
      <c r="R23" s="339"/>
      <c r="S23" s="340"/>
      <c r="T23" s="341"/>
      <c r="U23" s="359"/>
      <c r="V23" s="341">
        <f>IF(NOT(ISERROR(MATCH(U23,_xlfn.ANCHORARRAY(E34),0))),T36&amp;"Por favor no seleccionar los criterios de impacto",U23)</f>
        <v>0</v>
      </c>
      <c r="W23" s="340"/>
      <c r="X23" s="341"/>
      <c r="Y23" s="358"/>
      <c r="Z23" s="203">
        <v>5</v>
      </c>
      <c r="AA23" s="176"/>
      <c r="AB23" s="178" t="str">
        <f t="shared" si="14"/>
        <v/>
      </c>
      <c r="AC23" s="179"/>
      <c r="AD23" s="179"/>
      <c r="AE23" s="180" t="str">
        <f t="shared" si="9"/>
        <v/>
      </c>
      <c r="AF23" s="179"/>
      <c r="AG23" s="179"/>
      <c r="AH23" s="179"/>
      <c r="AI23" s="253" t="str">
        <f t="shared" si="15"/>
        <v/>
      </c>
      <c r="AJ23" s="182" t="str">
        <f t="shared" si="2"/>
        <v/>
      </c>
      <c r="AK23" s="180" t="str">
        <f t="shared" si="10"/>
        <v/>
      </c>
      <c r="AL23" s="182" t="str">
        <f t="shared" si="4"/>
        <v/>
      </c>
      <c r="AM23" s="180" t="str">
        <f t="shared" si="13"/>
        <v/>
      </c>
      <c r="AN23" s="183"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84"/>
      <c r="AP23" s="175"/>
      <c r="AQ23" s="175"/>
      <c r="AR23" s="175"/>
      <c r="AS23" s="251"/>
      <c r="AT23" s="339"/>
      <c r="AU23" s="329"/>
      <c r="AV23" s="329"/>
    </row>
    <row r="24" spans="1:48" ht="37.5" customHeight="1" x14ac:dyDescent="0.2">
      <c r="A24" s="328"/>
      <c r="B24" s="329"/>
      <c r="C24" s="329"/>
      <c r="D24" s="329"/>
      <c r="E24" s="372"/>
      <c r="F24" s="329"/>
      <c r="G24" s="344"/>
      <c r="H24" s="344"/>
      <c r="I24" s="344"/>
      <c r="J24" s="344"/>
      <c r="K24" s="344"/>
      <c r="L24" s="344"/>
      <c r="M24" s="344"/>
      <c r="N24" s="344"/>
      <c r="O24" s="344"/>
      <c r="P24" s="344"/>
      <c r="Q24" s="344"/>
      <c r="R24" s="339"/>
      <c r="S24" s="340"/>
      <c r="T24" s="341"/>
      <c r="U24" s="359"/>
      <c r="V24" s="341">
        <f>IF(NOT(ISERROR(MATCH(U24,_xlfn.ANCHORARRAY(E35),0))),T37&amp;"Por favor no seleccionar los criterios de impacto",U24)</f>
        <v>0</v>
      </c>
      <c r="W24" s="340"/>
      <c r="X24" s="341"/>
      <c r="Y24" s="358"/>
      <c r="Z24" s="203">
        <v>6</v>
      </c>
      <c r="AA24" s="176"/>
      <c r="AB24" s="178" t="str">
        <f t="shared" si="14"/>
        <v/>
      </c>
      <c r="AC24" s="179"/>
      <c r="AD24" s="179"/>
      <c r="AE24" s="180" t="str">
        <f t="shared" si="9"/>
        <v/>
      </c>
      <c r="AF24" s="179"/>
      <c r="AG24" s="179"/>
      <c r="AH24" s="179"/>
      <c r="AI24" s="253" t="str">
        <f t="shared" si="15"/>
        <v/>
      </c>
      <c r="AJ24" s="182" t="str">
        <f t="shared" si="2"/>
        <v/>
      </c>
      <c r="AK24" s="180" t="str">
        <f t="shared" si="10"/>
        <v/>
      </c>
      <c r="AL24" s="182" t="str">
        <f t="shared" si="4"/>
        <v/>
      </c>
      <c r="AM24" s="180" t="str">
        <f t="shared" si="13"/>
        <v/>
      </c>
      <c r="AN24" s="183" t="str">
        <f t="shared" si="16"/>
        <v/>
      </c>
      <c r="AO24" s="184"/>
      <c r="AP24" s="175"/>
      <c r="AQ24" s="175"/>
      <c r="AR24" s="175"/>
      <c r="AS24" s="251"/>
      <c r="AT24" s="339"/>
      <c r="AU24" s="329"/>
      <c r="AV24" s="329"/>
    </row>
    <row r="25" spans="1:48" ht="195" x14ac:dyDescent="0.2">
      <c r="A25" s="328">
        <v>3</v>
      </c>
      <c r="B25" s="329" t="s">
        <v>108</v>
      </c>
      <c r="C25" s="329" t="s">
        <v>438</v>
      </c>
      <c r="D25" s="329" t="s">
        <v>439</v>
      </c>
      <c r="E25" s="372" t="s">
        <v>440</v>
      </c>
      <c r="F25" s="329" t="s">
        <v>140</v>
      </c>
      <c r="G25" s="342" t="s">
        <v>379</v>
      </c>
      <c r="H25" s="342" t="s">
        <v>441</v>
      </c>
      <c r="I25" s="342" t="s">
        <v>147</v>
      </c>
      <c r="J25" s="342" t="s">
        <v>442</v>
      </c>
      <c r="K25" s="342" t="s">
        <v>113</v>
      </c>
      <c r="L25" s="342" t="s">
        <v>544</v>
      </c>
      <c r="M25" s="342" t="s">
        <v>539</v>
      </c>
      <c r="N25" s="342" t="s">
        <v>540</v>
      </c>
      <c r="O25" s="342" t="s">
        <v>545</v>
      </c>
      <c r="P25" s="342" t="s">
        <v>117</v>
      </c>
      <c r="Q25" s="342" t="s">
        <v>131</v>
      </c>
      <c r="R25" s="339">
        <v>5001</v>
      </c>
      <c r="S25" s="340" t="str">
        <f>IF(R25&lt;=0,"",IF(R25&lt;=2,"Muy Baja",IF(R25&lt;=24,"Baja",IF(R25&lt;=500,"Media",IF(R25&lt;=5000,"Alta","Muy Alta")))))</f>
        <v>Muy Alta</v>
      </c>
      <c r="T25" s="341">
        <f>IF(S25="","",IF(S25="Muy Baja",0.2,IF(S25="Baja",0.4,IF(S25="Media",0.6,IF(S25="Alta",0.8,IF(S25="Muy Alta",1,))))))</f>
        <v>1</v>
      </c>
      <c r="U25" s="359" t="s">
        <v>239</v>
      </c>
      <c r="V25" s="341" t="str">
        <f>IF(NOT(ISERROR(MATCH(U25,'Tabla Impacto'!$B$222:$B$224,0))),'Tabla Impacto'!$F$224&amp;"Por favor no seleccionar los criterios de impacto(Afectación Económica o presupuestal y Pérdida Reputacional)",U25)</f>
        <v xml:space="preserve">     El riesgo afecta la imagen de la entidad con algunos usuarios de relevancia frente al logro de los objetivos</v>
      </c>
      <c r="W25" s="340" t="str">
        <f>IF(OR(V25='Tabla Impacto'!$C$12,V25='Tabla Impacto'!$D$12),"Leve",IF(OR(V25='Tabla Impacto'!$C$13,V25='Tabla Impacto'!$D$13),"Menor",IF(OR(V25='Tabla Impacto'!$C$14,V25='Tabla Impacto'!$D$14),"Moderado",IF(OR(V25='Tabla Impacto'!$C$15,V25='Tabla Impacto'!$D$15),"Mayor",IF(OR(V25='Tabla Impacto'!$C$16,V25='Tabla Impacto'!$D$16),"Catastrófico","")))))</f>
        <v>Moderado</v>
      </c>
      <c r="X25" s="341">
        <f>IF(W25="","",IF(W25="Leve",0.2,IF(W25="Menor",0.4,IF(W25="Moderado",0.6,IF(W25="Mayor",0.8,IF(W25="Catastrófico",1,))))))</f>
        <v>0.6</v>
      </c>
      <c r="Y25" s="358"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Alto</v>
      </c>
      <c r="Z25" s="203">
        <v>1</v>
      </c>
      <c r="AA25" s="176" t="s">
        <v>443</v>
      </c>
      <c r="AB25" s="178" t="str">
        <f>IF(OR(AC25="Preventivo",AC25="Detectivo"),"Probabilidad",IF(AC25="Correctivo","Impacto",""))</f>
        <v>Probabilidad</v>
      </c>
      <c r="AC25" s="179" t="s">
        <v>245</v>
      </c>
      <c r="AD25" s="179" t="s">
        <v>241</v>
      </c>
      <c r="AE25" s="180" t="str">
        <f>IF(AND(AC25="Preventivo",AD25="Automático"),"50%",IF(AND(AC25="Preventivo",AD25="Manual"),"40%",IF(AND(AC25="Detectivo",AD25="Automático"),"40%",IF(AND(AC25="Detectivo",AD25="Manual"),"30%",IF(AND(AC25="Correctivo",AD25="Automático"),"35%",IF(AND(AC25="Correctivo",AD25="Manual"),"25%",""))))))</f>
        <v>30%</v>
      </c>
      <c r="AF25" s="179" t="s">
        <v>246</v>
      </c>
      <c r="AG25" s="179" t="s">
        <v>243</v>
      </c>
      <c r="AH25" s="179" t="s">
        <v>244</v>
      </c>
      <c r="AI25" s="253">
        <f>IFERROR(IF(AB25="Probabilidad",(T25-(+T25*AE25)),IF(AB25="Impacto",T25,"")),"")</f>
        <v>0.7</v>
      </c>
      <c r="AJ25" s="182" t="str">
        <f>IFERROR(IF(AI25="","",IF(AI25&lt;=0.2,"Muy Baja",IF(AI25&lt;=0.4,"Baja",IF(AI25&lt;=0.6,"Media",IF(AI25&lt;=0.8,"Alta","Muy Alta"))))),"")</f>
        <v>Alta</v>
      </c>
      <c r="AK25" s="180">
        <f>+AI25</f>
        <v>0.7</v>
      </c>
      <c r="AL25" s="182" t="str">
        <f>IFERROR(IF(AM25="","",IF(AM25&lt;=0.2,"Leve",IF(AM25&lt;=0.4,"Menor",IF(AM25&lt;=0.6,"Moderado",IF(AM25&lt;=0.8,"Mayor","Catastrófico"))))),"")</f>
        <v>Moderado</v>
      </c>
      <c r="AM25" s="180">
        <f t="shared" ref="AM25" si="17">IFERROR(IF(AB25="Impacto",(X25-(+X25*AE25)),IF(AB25="Probabilidad",X25,"")),"")</f>
        <v>0.6</v>
      </c>
      <c r="AN25" s="183"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Alto</v>
      </c>
      <c r="AO25" s="184" t="s">
        <v>109</v>
      </c>
      <c r="AP25" s="175" t="s">
        <v>445</v>
      </c>
      <c r="AQ25" s="175" t="s">
        <v>434</v>
      </c>
      <c r="AR25" s="175" t="s">
        <v>421</v>
      </c>
      <c r="AS25" s="251" t="s">
        <v>435</v>
      </c>
      <c r="AT25" s="329" t="s">
        <v>447</v>
      </c>
      <c r="AU25" s="329" t="s">
        <v>448</v>
      </c>
      <c r="AV25" s="329" t="s">
        <v>449</v>
      </c>
    </row>
    <row r="26" spans="1:48" ht="210" x14ac:dyDescent="0.2">
      <c r="A26" s="328"/>
      <c r="B26" s="329"/>
      <c r="C26" s="329"/>
      <c r="D26" s="329"/>
      <c r="E26" s="372"/>
      <c r="F26" s="329"/>
      <c r="G26" s="343"/>
      <c r="H26" s="343"/>
      <c r="I26" s="343"/>
      <c r="J26" s="343"/>
      <c r="K26" s="343"/>
      <c r="L26" s="343"/>
      <c r="M26" s="343"/>
      <c r="N26" s="343"/>
      <c r="O26" s="343"/>
      <c r="P26" s="343"/>
      <c r="Q26" s="343"/>
      <c r="R26" s="339"/>
      <c r="S26" s="340"/>
      <c r="T26" s="341"/>
      <c r="U26" s="359"/>
      <c r="V26" s="341">
        <f>IF(NOT(ISERROR(MATCH(U26,_xlfn.ANCHORARRAY(E37),0))),T39&amp;"Por favor no seleccionar los criterios de impacto",U26)</f>
        <v>0</v>
      </c>
      <c r="W26" s="340"/>
      <c r="X26" s="341"/>
      <c r="Y26" s="358"/>
      <c r="Z26" s="203">
        <v>2</v>
      </c>
      <c r="AA26" s="176" t="s">
        <v>444</v>
      </c>
      <c r="AB26" s="178" t="str">
        <f>IF(OR(AC26="Preventivo",AC26="Detectivo"),"Probabilidad",IF(AC26="Correctivo","Impacto",""))</f>
        <v>Impacto</v>
      </c>
      <c r="AC26" s="179" t="s">
        <v>267</v>
      </c>
      <c r="AD26" s="179" t="s">
        <v>241</v>
      </c>
      <c r="AE26" s="180" t="str">
        <f t="shared" ref="AE26:AE30" si="18">IF(AND(AC26="Preventivo",AD26="Automático"),"50%",IF(AND(AC26="Preventivo",AD26="Manual"),"40%",IF(AND(AC26="Detectivo",AD26="Automático"),"40%",IF(AND(AC26="Detectivo",AD26="Manual"),"30%",IF(AND(AC26="Correctivo",AD26="Automático"),"35%",IF(AND(AC26="Correctivo",AD26="Manual"),"25%",""))))))</f>
        <v>25%</v>
      </c>
      <c r="AF26" s="179" t="s">
        <v>246</v>
      </c>
      <c r="AG26" s="179" t="s">
        <v>243</v>
      </c>
      <c r="AH26" s="179" t="s">
        <v>244</v>
      </c>
      <c r="AI26" s="253">
        <f>IFERROR(IF(AND(AB25="Probabilidad",AB26="Probabilidad"),(AK25-(+AK25*AE26)),IF(AB26="Probabilidad",(T25-(+T25*AE26)),IF(AB26="Impacto",AK25,""))),"")</f>
        <v>0.7</v>
      </c>
      <c r="AJ26" s="182" t="str">
        <f t="shared" si="2"/>
        <v>Alta</v>
      </c>
      <c r="AK26" s="180">
        <f t="shared" ref="AK26:AK30" si="19">+AI26</f>
        <v>0.7</v>
      </c>
      <c r="AL26" s="182" t="str">
        <f t="shared" si="4"/>
        <v>Moderado</v>
      </c>
      <c r="AM26" s="180">
        <f t="shared" ref="AM26" si="20">IFERROR(IF(AND(AB25="Impacto",AB26="Impacto"),(AM25-(+AM25*AE26)),IF(AB26="Impacto",($X$13-(+$X$13*AE26)),IF(AB26="Probabilidad",AM25,""))),"")</f>
        <v>0.44999999999999996</v>
      </c>
      <c r="AN26" s="183"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Alto</v>
      </c>
      <c r="AO26" s="184" t="s">
        <v>109</v>
      </c>
      <c r="AP26" s="175" t="s">
        <v>446</v>
      </c>
      <c r="AQ26" s="175" t="s">
        <v>564</v>
      </c>
      <c r="AR26" s="175" t="s">
        <v>421</v>
      </c>
      <c r="AS26" s="251" t="s">
        <v>424</v>
      </c>
      <c r="AT26" s="329"/>
      <c r="AU26" s="329"/>
      <c r="AV26" s="329"/>
    </row>
    <row r="27" spans="1:48" ht="37.5" customHeight="1" x14ac:dyDescent="0.2">
      <c r="A27" s="328"/>
      <c r="B27" s="329"/>
      <c r="C27" s="329"/>
      <c r="D27" s="329"/>
      <c r="E27" s="372"/>
      <c r="F27" s="329"/>
      <c r="G27" s="343"/>
      <c r="H27" s="343"/>
      <c r="I27" s="343"/>
      <c r="J27" s="343"/>
      <c r="K27" s="343"/>
      <c r="L27" s="343"/>
      <c r="M27" s="343"/>
      <c r="N27" s="343"/>
      <c r="O27" s="343"/>
      <c r="P27" s="343"/>
      <c r="Q27" s="343"/>
      <c r="R27" s="339"/>
      <c r="S27" s="340"/>
      <c r="T27" s="341"/>
      <c r="U27" s="359"/>
      <c r="V27" s="341">
        <f>IF(NOT(ISERROR(MATCH(U27,_xlfn.ANCHORARRAY(E38),0))),T40&amp;"Por favor no seleccionar los criterios de impacto",U27)</f>
        <v>0</v>
      </c>
      <c r="W27" s="340"/>
      <c r="X27" s="341"/>
      <c r="Y27" s="358"/>
      <c r="Z27" s="203">
        <v>3</v>
      </c>
      <c r="AA27" s="176"/>
      <c r="AB27" s="178" t="str">
        <f>IF(OR(AC27="Preventivo",AC27="Detectivo"),"Probabilidad",IF(AC27="Correctivo","Impacto",""))</f>
        <v/>
      </c>
      <c r="AC27" s="179"/>
      <c r="AD27" s="179"/>
      <c r="AE27" s="180" t="str">
        <f t="shared" si="18"/>
        <v/>
      </c>
      <c r="AF27" s="179"/>
      <c r="AG27" s="179"/>
      <c r="AH27" s="179"/>
      <c r="AI27" s="181" t="str">
        <f>IFERROR(IF(AND(AB26="Probabilidad",AB27="Probabilidad"),(AK26-(+AK26*AE27)),IF(AND(AB26="Impacto",AB27="Probabilidad"),(AK25-(+AK25*AE27)),IF(AB27="Impacto",AK26,""))),"")</f>
        <v/>
      </c>
      <c r="AJ27" s="182" t="str">
        <f t="shared" si="2"/>
        <v/>
      </c>
      <c r="AK27" s="180" t="str">
        <f t="shared" si="19"/>
        <v/>
      </c>
      <c r="AL27" s="182" t="str">
        <f t="shared" si="4"/>
        <v/>
      </c>
      <c r="AM27" s="180" t="str">
        <f t="shared" ref="AM27" si="22">IFERROR(IF(AND(AB26="Impacto",AB27="Impacto"),(AM26-(+AM26*AE27)),IF(AND(AB26="Probabilidad",AB27="Impacto"),(AM25-(+AM25*AE27)),IF(AB27="Probabilidad",AM26,""))),"")</f>
        <v/>
      </c>
      <c r="AN27" s="183" t="str">
        <f t="shared" si="21"/>
        <v/>
      </c>
      <c r="AO27" s="184"/>
      <c r="AP27" s="175"/>
      <c r="AQ27" s="175"/>
      <c r="AR27" s="175"/>
      <c r="AS27" s="251"/>
      <c r="AT27" s="329"/>
      <c r="AU27" s="329"/>
      <c r="AV27" s="329"/>
    </row>
    <row r="28" spans="1:48" ht="37.5" customHeight="1" x14ac:dyDescent="0.2">
      <c r="A28" s="328"/>
      <c r="B28" s="329"/>
      <c r="C28" s="329"/>
      <c r="D28" s="329"/>
      <c r="E28" s="372"/>
      <c r="F28" s="329"/>
      <c r="G28" s="343"/>
      <c r="H28" s="343"/>
      <c r="I28" s="343"/>
      <c r="J28" s="343"/>
      <c r="K28" s="343"/>
      <c r="L28" s="343"/>
      <c r="M28" s="343"/>
      <c r="N28" s="343"/>
      <c r="O28" s="343"/>
      <c r="P28" s="343"/>
      <c r="Q28" s="343"/>
      <c r="R28" s="339"/>
      <c r="S28" s="340"/>
      <c r="T28" s="341"/>
      <c r="U28" s="359"/>
      <c r="V28" s="341">
        <f>IF(NOT(ISERROR(MATCH(U28,_xlfn.ANCHORARRAY(E39),0))),T41&amp;"Por favor no seleccionar los criterios de impacto",U28)</f>
        <v>0</v>
      </c>
      <c r="W28" s="340"/>
      <c r="X28" s="341"/>
      <c r="Y28" s="358"/>
      <c r="Z28" s="203">
        <v>4</v>
      </c>
      <c r="AA28" s="176"/>
      <c r="AB28" s="178" t="str">
        <f t="shared" ref="AB28:AB30" si="23">IF(OR(AC28="Preventivo",AC28="Detectivo"),"Probabilidad",IF(AC28="Correctivo","Impacto",""))</f>
        <v/>
      </c>
      <c r="AC28" s="179"/>
      <c r="AD28" s="179"/>
      <c r="AE28" s="180" t="str">
        <f t="shared" si="18"/>
        <v/>
      </c>
      <c r="AF28" s="179"/>
      <c r="AG28" s="179"/>
      <c r="AH28" s="179"/>
      <c r="AI28" s="181" t="str">
        <f t="shared" ref="AI28:AI30" si="24">IFERROR(IF(AND(AB27="Probabilidad",AB28="Probabilidad"),(AK27-(+AK27*AE28)),IF(AND(AB27="Impacto",AB28="Probabilidad"),(AK26-(+AK26*AE28)),IF(AB28="Impacto",AK27,""))),"")</f>
        <v/>
      </c>
      <c r="AJ28" s="182" t="str">
        <f t="shared" si="2"/>
        <v/>
      </c>
      <c r="AK28" s="180" t="str">
        <f t="shared" si="19"/>
        <v/>
      </c>
      <c r="AL28" s="182" t="str">
        <f t="shared" si="4"/>
        <v/>
      </c>
      <c r="AM28" s="180" t="str">
        <f t="shared" si="13"/>
        <v/>
      </c>
      <c r="AN28" s="183"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84"/>
      <c r="AP28" s="175"/>
      <c r="AQ28" s="175"/>
      <c r="AR28" s="175"/>
      <c r="AS28" s="251"/>
      <c r="AT28" s="329"/>
      <c r="AU28" s="329"/>
      <c r="AV28" s="329"/>
    </row>
    <row r="29" spans="1:48" ht="37.5" customHeight="1" x14ac:dyDescent="0.2">
      <c r="A29" s="328"/>
      <c r="B29" s="329"/>
      <c r="C29" s="329"/>
      <c r="D29" s="329"/>
      <c r="E29" s="372"/>
      <c r="F29" s="329"/>
      <c r="G29" s="343"/>
      <c r="H29" s="343"/>
      <c r="I29" s="343"/>
      <c r="J29" s="343"/>
      <c r="K29" s="343"/>
      <c r="L29" s="343"/>
      <c r="M29" s="343"/>
      <c r="N29" s="343"/>
      <c r="O29" s="343"/>
      <c r="P29" s="343"/>
      <c r="Q29" s="343"/>
      <c r="R29" s="339"/>
      <c r="S29" s="340"/>
      <c r="T29" s="341"/>
      <c r="U29" s="359"/>
      <c r="V29" s="341">
        <f>IF(NOT(ISERROR(MATCH(U29,_xlfn.ANCHORARRAY(E40),0))),T42&amp;"Por favor no seleccionar los criterios de impacto",U29)</f>
        <v>0</v>
      </c>
      <c r="W29" s="340"/>
      <c r="X29" s="341"/>
      <c r="Y29" s="358"/>
      <c r="Z29" s="203">
        <v>5</v>
      </c>
      <c r="AA29" s="176"/>
      <c r="AB29" s="178" t="str">
        <f t="shared" si="23"/>
        <v/>
      </c>
      <c r="AC29" s="179"/>
      <c r="AD29" s="179"/>
      <c r="AE29" s="180" t="str">
        <f t="shared" si="18"/>
        <v/>
      </c>
      <c r="AF29" s="179"/>
      <c r="AG29" s="179"/>
      <c r="AH29" s="179"/>
      <c r="AI29" s="181" t="str">
        <f t="shared" si="24"/>
        <v/>
      </c>
      <c r="AJ29" s="182" t="str">
        <f t="shared" si="2"/>
        <v/>
      </c>
      <c r="AK29" s="180" t="str">
        <f t="shared" si="19"/>
        <v/>
      </c>
      <c r="AL29" s="182" t="str">
        <f t="shared" si="4"/>
        <v/>
      </c>
      <c r="AM29" s="180" t="str">
        <f t="shared" si="13"/>
        <v/>
      </c>
      <c r="AN29" s="183"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84"/>
      <c r="AP29" s="175"/>
      <c r="AQ29" s="175"/>
      <c r="AR29" s="175"/>
      <c r="AS29" s="251"/>
      <c r="AT29" s="329"/>
      <c r="AU29" s="329"/>
      <c r="AV29" s="329"/>
    </row>
    <row r="30" spans="1:48" ht="37.5" customHeight="1" x14ac:dyDescent="0.2">
      <c r="A30" s="328"/>
      <c r="B30" s="329"/>
      <c r="C30" s="329"/>
      <c r="D30" s="329"/>
      <c r="E30" s="372"/>
      <c r="F30" s="329"/>
      <c r="G30" s="344"/>
      <c r="H30" s="344"/>
      <c r="I30" s="344"/>
      <c r="J30" s="344"/>
      <c r="K30" s="344"/>
      <c r="L30" s="344"/>
      <c r="M30" s="344"/>
      <c r="N30" s="344"/>
      <c r="O30" s="344"/>
      <c r="P30" s="344"/>
      <c r="Q30" s="344"/>
      <c r="R30" s="339"/>
      <c r="S30" s="340"/>
      <c r="T30" s="341"/>
      <c r="U30" s="359"/>
      <c r="V30" s="341">
        <f>IF(NOT(ISERROR(MATCH(U30,_xlfn.ANCHORARRAY(E41),0))),T43&amp;"Por favor no seleccionar los criterios de impacto",U30)</f>
        <v>0</v>
      </c>
      <c r="W30" s="340"/>
      <c r="X30" s="341"/>
      <c r="Y30" s="358"/>
      <c r="Z30" s="203">
        <v>6</v>
      </c>
      <c r="AA30" s="176"/>
      <c r="AB30" s="178" t="str">
        <f t="shared" si="23"/>
        <v/>
      </c>
      <c r="AC30" s="179"/>
      <c r="AD30" s="179"/>
      <c r="AE30" s="180" t="str">
        <f t="shared" si="18"/>
        <v/>
      </c>
      <c r="AF30" s="179"/>
      <c r="AG30" s="179"/>
      <c r="AH30" s="179"/>
      <c r="AI30" s="181" t="str">
        <f t="shared" si="24"/>
        <v/>
      </c>
      <c r="AJ30" s="182" t="str">
        <f t="shared" si="2"/>
        <v/>
      </c>
      <c r="AK30" s="180" t="str">
        <f t="shared" si="19"/>
        <v/>
      </c>
      <c r="AL30" s="182" t="str">
        <f t="shared" si="4"/>
        <v/>
      </c>
      <c r="AM30" s="180" t="str">
        <f t="shared" si="13"/>
        <v/>
      </c>
      <c r="AN30" s="183" t="str">
        <f t="shared" si="25"/>
        <v/>
      </c>
      <c r="AO30" s="184"/>
      <c r="AP30" s="175"/>
      <c r="AQ30" s="175"/>
      <c r="AR30" s="175"/>
      <c r="AS30" s="251"/>
      <c r="AT30" s="329"/>
      <c r="AU30" s="329"/>
      <c r="AV30" s="329"/>
    </row>
    <row r="31" spans="1:48" ht="195" x14ac:dyDescent="0.2">
      <c r="A31" s="328">
        <v>4</v>
      </c>
      <c r="B31" s="329" t="s">
        <v>108</v>
      </c>
      <c r="C31" s="329" t="s">
        <v>450</v>
      </c>
      <c r="D31" s="329" t="s">
        <v>451</v>
      </c>
      <c r="E31" s="329" t="s">
        <v>452</v>
      </c>
      <c r="F31" s="329" t="s">
        <v>140</v>
      </c>
      <c r="G31" s="342" t="s">
        <v>379</v>
      </c>
      <c r="H31" s="342" t="s">
        <v>453</v>
      </c>
      <c r="I31" s="342" t="s">
        <v>147</v>
      </c>
      <c r="J31" s="342" t="s">
        <v>454</v>
      </c>
      <c r="K31" s="342" t="s">
        <v>113</v>
      </c>
      <c r="L31" s="342" t="s">
        <v>542</v>
      </c>
      <c r="M31" s="342" t="s">
        <v>539</v>
      </c>
      <c r="N31" s="342" t="s">
        <v>540</v>
      </c>
      <c r="O31" s="342" t="s">
        <v>543</v>
      </c>
      <c r="P31" s="342" t="s">
        <v>117</v>
      </c>
      <c r="Q31" s="342" t="s">
        <v>131</v>
      </c>
      <c r="R31" s="339">
        <v>5001</v>
      </c>
      <c r="S31" s="340" t="str">
        <f>IF(R31&lt;=0,"",IF(R31&lt;=2,"Muy Baja",IF(R31&lt;=24,"Baja",IF(R31&lt;=500,"Media",IF(R31&lt;=5000,"Alta","Muy Alta")))))</f>
        <v>Muy Alta</v>
      </c>
      <c r="T31" s="341">
        <f>IF(S31="","",IF(S31="Muy Baja",0.2,IF(S31="Baja",0.4,IF(S31="Media",0.6,IF(S31="Alta",0.8,IF(S31="Muy Alta",1,))))))</f>
        <v>1</v>
      </c>
      <c r="U31" s="359" t="s">
        <v>342</v>
      </c>
      <c r="V31" s="341" t="str">
        <f>IF(NOT(ISERROR(MATCH(U31,'Tabla Impacto'!$B$222:$B$224,0))),'Tabla Impacto'!$F$224&amp;"Por favor no seleccionar los criterios de impacto(Afectación Económica o presupuestal y Pérdida Reputacional)",U31)</f>
        <v xml:space="preserve">     El riesgo afecta la imagen de de la entidad con efecto publicitario sostenido a nivel de sector administrativo, nivel departamental o municipal</v>
      </c>
      <c r="W31" s="340" t="str">
        <f>IF(OR(V31='Tabla Impacto'!$C$12,V31='Tabla Impacto'!$D$12),"Leve",IF(OR(V31='Tabla Impacto'!$C$13,V31='Tabla Impacto'!$D$13),"Menor",IF(OR(V31='Tabla Impacto'!$C$14,V31='Tabla Impacto'!$D$14),"Moderado",IF(OR(V31='Tabla Impacto'!$C$15,V31='Tabla Impacto'!$D$15),"Mayor",IF(OR(V31='Tabla Impacto'!$C$16,V31='Tabla Impacto'!$D$16),"Catastrófico","")))))</f>
        <v>Mayor</v>
      </c>
      <c r="X31" s="341">
        <f>IF(W31="","",IF(W31="Leve",0.2,IF(W31="Menor",0.4,IF(W31="Moderado",0.6,IF(W31="Mayor",0.8,IF(W31="Catastrófico",1,))))))</f>
        <v>0.8</v>
      </c>
      <c r="Y31" s="358"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Alto</v>
      </c>
      <c r="Z31" s="203">
        <v>1</v>
      </c>
      <c r="AA31" s="176" t="s">
        <v>455</v>
      </c>
      <c r="AB31" s="178" t="str">
        <f>IF(OR(AC31="Preventivo",AC31="Detectivo"),"Probabilidad",IF(AC31="Correctivo","Impacto",""))</f>
        <v>Probabilidad</v>
      </c>
      <c r="AC31" s="179" t="s">
        <v>245</v>
      </c>
      <c r="AD31" s="179" t="s">
        <v>390</v>
      </c>
      <c r="AE31" s="180" t="str">
        <f>IF(AND(AC31="Preventivo",AD31="Automático"),"50%",IF(AND(AC31="Preventivo",AD31="Manual"),"40%",IF(AND(AC31="Detectivo",AD31="Automático"),"40%",IF(AND(AC31="Detectivo",AD31="Manual"),"30%",IF(AND(AC31="Correctivo",AD31="Automático"),"35%",IF(AND(AC31="Correctivo",AD31="Manual"),"25%",""))))))</f>
        <v>40%</v>
      </c>
      <c r="AF31" s="179" t="s">
        <v>246</v>
      </c>
      <c r="AG31" s="179" t="s">
        <v>243</v>
      </c>
      <c r="AH31" s="179" t="s">
        <v>244</v>
      </c>
      <c r="AI31" s="253">
        <f>IFERROR(IF(AB31="Probabilidad",(T31-(+T31*AE31)),IF(AB31="Impacto",T31,"")),"")</f>
        <v>0.6</v>
      </c>
      <c r="AJ31" s="182" t="str">
        <f>IFERROR(IF(AI31="","",IF(AI31&lt;=0.2,"Muy Baja",IF(AI31&lt;=0.4,"Baja",IF(AI31&lt;=0.6,"Media",IF(AI31&lt;=0.8,"Alta","Muy Alta"))))),"")</f>
        <v>Media</v>
      </c>
      <c r="AK31" s="180">
        <f>+AI31</f>
        <v>0.6</v>
      </c>
      <c r="AL31" s="182" t="str">
        <f>IFERROR(IF(AM31="","",IF(AM31&lt;=0.2,"Leve",IF(AM31&lt;=0.4,"Menor",IF(AM31&lt;=0.6,"Moderado",IF(AM31&lt;=0.8,"Mayor","Catastrófico"))))),"")</f>
        <v>Mayor</v>
      </c>
      <c r="AM31" s="180">
        <f t="shared" ref="AM31" si="26">IFERROR(IF(AB31="Impacto",(X31-(+X31*AE31)),IF(AB31="Probabilidad",X31,"")),"")</f>
        <v>0.8</v>
      </c>
      <c r="AN31" s="183"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Alto</v>
      </c>
      <c r="AO31" s="184" t="s">
        <v>109</v>
      </c>
      <c r="AP31" s="175" t="s">
        <v>456</v>
      </c>
      <c r="AQ31" s="175" t="s">
        <v>458</v>
      </c>
      <c r="AR31" s="175" t="s">
        <v>460</v>
      </c>
      <c r="AS31" s="251" t="s">
        <v>435</v>
      </c>
      <c r="AT31" s="329" t="s">
        <v>461</v>
      </c>
      <c r="AU31" s="329" t="s">
        <v>462</v>
      </c>
      <c r="AV31" s="329" t="s">
        <v>434</v>
      </c>
    </row>
    <row r="32" spans="1:48" ht="195" x14ac:dyDescent="0.2">
      <c r="A32" s="328"/>
      <c r="B32" s="329"/>
      <c r="C32" s="329"/>
      <c r="D32" s="329"/>
      <c r="E32" s="329"/>
      <c r="F32" s="329"/>
      <c r="G32" s="343"/>
      <c r="H32" s="343"/>
      <c r="I32" s="343"/>
      <c r="J32" s="343"/>
      <c r="K32" s="343"/>
      <c r="L32" s="343"/>
      <c r="M32" s="343"/>
      <c r="N32" s="343"/>
      <c r="O32" s="343"/>
      <c r="P32" s="343"/>
      <c r="Q32" s="343"/>
      <c r="R32" s="339"/>
      <c r="S32" s="340"/>
      <c r="T32" s="341"/>
      <c r="U32" s="359"/>
      <c r="V32" s="341">
        <f>IF(NOT(ISERROR(MATCH(U32,_xlfn.ANCHORARRAY(E43),0))),T45&amp;"Por favor no seleccionar los criterios de impacto",U32)</f>
        <v>0</v>
      </c>
      <c r="W32" s="340"/>
      <c r="X32" s="341"/>
      <c r="Y32" s="358"/>
      <c r="Z32" s="203">
        <v>2</v>
      </c>
      <c r="AA32" s="176" t="s">
        <v>432</v>
      </c>
      <c r="AB32" s="178" t="str">
        <f>IF(OR(AC32="Preventivo",AC32="Detectivo"),"Probabilidad",IF(AC32="Correctivo","Impacto",""))</f>
        <v>Probabilidad</v>
      </c>
      <c r="AC32" s="179" t="s">
        <v>240</v>
      </c>
      <c r="AD32" s="179" t="s">
        <v>241</v>
      </c>
      <c r="AE32" s="180" t="str">
        <f t="shared" ref="AE32:AE36" si="27">IF(AND(AC32="Preventivo",AD32="Automático"),"50%",IF(AND(AC32="Preventivo",AD32="Manual"),"40%",IF(AND(AC32="Detectivo",AD32="Automático"),"40%",IF(AND(AC32="Detectivo",AD32="Manual"),"30%",IF(AND(AC32="Correctivo",AD32="Automático"),"35%",IF(AND(AC32="Correctivo",AD32="Manual"),"25%",""))))))</f>
        <v>40%</v>
      </c>
      <c r="AF32" s="179" t="s">
        <v>246</v>
      </c>
      <c r="AG32" s="179" t="s">
        <v>243</v>
      </c>
      <c r="AH32" s="179" t="s">
        <v>244</v>
      </c>
      <c r="AI32" s="253">
        <f>IFERROR(IF(AND(AB31="Probabilidad",AB32="Probabilidad"),(AK31-(+AK31*AE32)),IF(AB32="Probabilidad",(T31-(+T31*AE32)),IF(AB32="Impacto",AK31,""))),"")</f>
        <v>0.36</v>
      </c>
      <c r="AJ32" s="182" t="str">
        <f t="shared" si="2"/>
        <v>Baja</v>
      </c>
      <c r="AK32" s="180">
        <f t="shared" ref="AK32:AK36" si="28">+AI32</f>
        <v>0.36</v>
      </c>
      <c r="AL32" s="182" t="str">
        <f t="shared" si="4"/>
        <v>Mayor</v>
      </c>
      <c r="AM32" s="180">
        <f t="shared" ref="AM32" si="29">IFERROR(IF(AND(AB31="Impacto",AB32="Impacto"),(AM31-(+AM31*AE32)),IF(AB32="Impacto",($X$13-(+$X$13*AE32)),IF(AB32="Probabilidad",AM31,""))),"")</f>
        <v>0.8</v>
      </c>
      <c r="AN32" s="183"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Alto</v>
      </c>
      <c r="AO32" s="184" t="s">
        <v>109</v>
      </c>
      <c r="AP32" s="175" t="s">
        <v>457</v>
      </c>
      <c r="AQ32" s="175" t="s">
        <v>459</v>
      </c>
      <c r="AR32" s="175" t="s">
        <v>421</v>
      </c>
      <c r="AS32" s="251" t="s">
        <v>435</v>
      </c>
      <c r="AT32" s="329"/>
      <c r="AU32" s="329"/>
      <c r="AV32" s="329"/>
    </row>
    <row r="33" spans="1:48" ht="37.5" customHeight="1" x14ac:dyDescent="0.2">
      <c r="A33" s="328"/>
      <c r="B33" s="329"/>
      <c r="C33" s="329"/>
      <c r="D33" s="329"/>
      <c r="E33" s="329"/>
      <c r="F33" s="329"/>
      <c r="G33" s="343"/>
      <c r="H33" s="343"/>
      <c r="I33" s="343"/>
      <c r="J33" s="343"/>
      <c r="K33" s="343"/>
      <c r="L33" s="343"/>
      <c r="M33" s="343"/>
      <c r="N33" s="343"/>
      <c r="O33" s="343"/>
      <c r="P33" s="343"/>
      <c r="Q33" s="343"/>
      <c r="R33" s="339"/>
      <c r="S33" s="340"/>
      <c r="T33" s="341"/>
      <c r="U33" s="359"/>
      <c r="V33" s="341">
        <f>IF(NOT(ISERROR(MATCH(U33,_xlfn.ANCHORARRAY(E44),0))),T46&amp;"Por favor no seleccionar los criterios de impacto",U33)</f>
        <v>0</v>
      </c>
      <c r="W33" s="340"/>
      <c r="X33" s="341"/>
      <c r="Y33" s="358"/>
      <c r="Z33" s="203">
        <v>3</v>
      </c>
      <c r="AA33" s="177"/>
      <c r="AB33" s="178" t="str">
        <f>IF(OR(AC33="Preventivo",AC33="Detectivo"),"Probabilidad",IF(AC33="Correctivo","Impacto",""))</f>
        <v/>
      </c>
      <c r="AC33" s="179"/>
      <c r="AD33" s="179"/>
      <c r="AE33" s="180" t="str">
        <f t="shared" si="27"/>
        <v/>
      </c>
      <c r="AF33" s="179"/>
      <c r="AG33" s="179"/>
      <c r="AH33" s="179"/>
      <c r="AI33" s="181" t="str">
        <f>IFERROR(IF(AND(AB32="Probabilidad",AB33="Probabilidad"),(AK32-(+AK32*AE33)),IF(AND(AB32="Impacto",AB33="Probabilidad"),(AK31-(+AK31*AE33)),IF(AB33="Impacto",AK32,""))),"")</f>
        <v/>
      </c>
      <c r="AJ33" s="182" t="str">
        <f t="shared" si="2"/>
        <v/>
      </c>
      <c r="AK33" s="180" t="str">
        <f t="shared" si="28"/>
        <v/>
      </c>
      <c r="AL33" s="182" t="str">
        <f t="shared" si="4"/>
        <v/>
      </c>
      <c r="AM33" s="180" t="str">
        <f t="shared" ref="AM33" si="31">IFERROR(IF(AND(AB32="Impacto",AB33="Impacto"),(AM32-(+AM32*AE33)),IF(AND(AB32="Probabilidad",AB33="Impacto"),(AM31-(+AM31*AE33)),IF(AB33="Probabilidad",AM32,""))),"")</f>
        <v/>
      </c>
      <c r="AN33" s="183" t="str">
        <f t="shared" si="30"/>
        <v/>
      </c>
      <c r="AO33" s="184"/>
      <c r="AP33" s="175"/>
      <c r="AQ33" s="175"/>
      <c r="AR33" s="175"/>
      <c r="AS33" s="251"/>
      <c r="AT33" s="329"/>
      <c r="AU33" s="329"/>
      <c r="AV33" s="329"/>
    </row>
    <row r="34" spans="1:48" ht="37.5" customHeight="1" x14ac:dyDescent="0.2">
      <c r="A34" s="328"/>
      <c r="B34" s="329"/>
      <c r="C34" s="329"/>
      <c r="D34" s="329"/>
      <c r="E34" s="329"/>
      <c r="F34" s="329"/>
      <c r="G34" s="343"/>
      <c r="H34" s="343"/>
      <c r="I34" s="343"/>
      <c r="J34" s="343"/>
      <c r="K34" s="343"/>
      <c r="L34" s="343"/>
      <c r="M34" s="343"/>
      <c r="N34" s="343"/>
      <c r="O34" s="343"/>
      <c r="P34" s="343"/>
      <c r="Q34" s="343"/>
      <c r="R34" s="339"/>
      <c r="S34" s="340"/>
      <c r="T34" s="341"/>
      <c r="U34" s="359"/>
      <c r="V34" s="341">
        <f>IF(NOT(ISERROR(MATCH(U34,_xlfn.ANCHORARRAY(E45),0))),T47&amp;"Por favor no seleccionar los criterios de impacto",U34)</f>
        <v>0</v>
      </c>
      <c r="W34" s="340"/>
      <c r="X34" s="341"/>
      <c r="Y34" s="358"/>
      <c r="Z34" s="203">
        <v>4</v>
      </c>
      <c r="AA34" s="176"/>
      <c r="AB34" s="178" t="str">
        <f t="shared" ref="AB34:AB36" si="32">IF(OR(AC34="Preventivo",AC34="Detectivo"),"Probabilidad",IF(AC34="Correctivo","Impacto",""))</f>
        <v/>
      </c>
      <c r="AC34" s="179"/>
      <c r="AD34" s="179"/>
      <c r="AE34" s="180" t="str">
        <f t="shared" si="27"/>
        <v/>
      </c>
      <c r="AF34" s="179"/>
      <c r="AG34" s="179"/>
      <c r="AH34" s="179"/>
      <c r="AI34" s="181" t="str">
        <f t="shared" ref="AI34:AI36" si="33">IFERROR(IF(AND(AB33="Probabilidad",AB34="Probabilidad"),(AK33-(+AK33*AE34)),IF(AND(AB33="Impacto",AB34="Probabilidad"),(AK32-(+AK32*AE34)),IF(AB34="Impacto",AK33,""))),"")</f>
        <v/>
      </c>
      <c r="AJ34" s="182" t="str">
        <f t="shared" si="2"/>
        <v/>
      </c>
      <c r="AK34" s="180" t="str">
        <f t="shared" si="28"/>
        <v/>
      </c>
      <c r="AL34" s="182" t="str">
        <f t="shared" si="4"/>
        <v/>
      </c>
      <c r="AM34" s="180" t="str">
        <f t="shared" si="13"/>
        <v/>
      </c>
      <c r="AN34" s="183"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84"/>
      <c r="AP34" s="175"/>
      <c r="AQ34" s="175"/>
      <c r="AR34" s="175"/>
      <c r="AS34" s="251"/>
      <c r="AT34" s="329"/>
      <c r="AU34" s="329"/>
      <c r="AV34" s="329"/>
    </row>
    <row r="35" spans="1:48" ht="37.5" customHeight="1" x14ac:dyDescent="0.2">
      <c r="A35" s="328"/>
      <c r="B35" s="329"/>
      <c r="C35" s="329"/>
      <c r="D35" s="329"/>
      <c r="E35" s="329"/>
      <c r="F35" s="329"/>
      <c r="G35" s="343"/>
      <c r="H35" s="343"/>
      <c r="I35" s="343"/>
      <c r="J35" s="343"/>
      <c r="K35" s="343"/>
      <c r="L35" s="343"/>
      <c r="M35" s="343"/>
      <c r="N35" s="343"/>
      <c r="O35" s="343"/>
      <c r="P35" s="343"/>
      <c r="Q35" s="343"/>
      <c r="R35" s="339"/>
      <c r="S35" s="340"/>
      <c r="T35" s="341"/>
      <c r="U35" s="359"/>
      <c r="V35" s="341">
        <f>IF(NOT(ISERROR(MATCH(U35,_xlfn.ANCHORARRAY(E46),0))),T48&amp;"Por favor no seleccionar los criterios de impacto",U35)</f>
        <v>0</v>
      </c>
      <c r="W35" s="340"/>
      <c r="X35" s="341"/>
      <c r="Y35" s="358"/>
      <c r="Z35" s="203">
        <v>5</v>
      </c>
      <c r="AA35" s="176"/>
      <c r="AB35" s="178" t="str">
        <f t="shared" si="32"/>
        <v/>
      </c>
      <c r="AC35" s="179"/>
      <c r="AD35" s="179"/>
      <c r="AE35" s="180" t="str">
        <f t="shared" si="27"/>
        <v/>
      </c>
      <c r="AF35" s="179"/>
      <c r="AG35" s="179"/>
      <c r="AH35" s="179"/>
      <c r="AI35" s="181" t="str">
        <f t="shared" si="33"/>
        <v/>
      </c>
      <c r="AJ35" s="182" t="str">
        <f>IFERROR(IF(AI35="","",IF(AI35&lt;=0.2,"Muy Baja",IF(AI35&lt;=0.4,"Baja",IF(AI35&lt;=0.6,"Media",IF(AI35&lt;=0.8,"Alta","Muy Alta"))))),"")</f>
        <v/>
      </c>
      <c r="AK35" s="180" t="str">
        <f t="shared" si="28"/>
        <v/>
      </c>
      <c r="AL35" s="182" t="str">
        <f t="shared" si="4"/>
        <v/>
      </c>
      <c r="AM35" s="180" t="str">
        <f t="shared" si="13"/>
        <v/>
      </c>
      <c r="AN35" s="183"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84"/>
      <c r="AP35" s="175"/>
      <c r="AQ35" s="175"/>
      <c r="AR35" s="175"/>
      <c r="AS35" s="251"/>
      <c r="AT35" s="329"/>
      <c r="AU35" s="329"/>
      <c r="AV35" s="329"/>
    </row>
    <row r="36" spans="1:48" ht="37.5" customHeight="1" x14ac:dyDescent="0.2">
      <c r="A36" s="328"/>
      <c r="B36" s="329"/>
      <c r="C36" s="329"/>
      <c r="D36" s="329"/>
      <c r="E36" s="329"/>
      <c r="F36" s="329"/>
      <c r="G36" s="344"/>
      <c r="H36" s="344"/>
      <c r="I36" s="344"/>
      <c r="J36" s="344"/>
      <c r="K36" s="344"/>
      <c r="L36" s="344"/>
      <c r="M36" s="344"/>
      <c r="N36" s="344"/>
      <c r="O36" s="344"/>
      <c r="P36" s="344"/>
      <c r="Q36" s="344"/>
      <c r="R36" s="339"/>
      <c r="S36" s="340"/>
      <c r="T36" s="341"/>
      <c r="U36" s="359"/>
      <c r="V36" s="341">
        <f>IF(NOT(ISERROR(MATCH(U36,_xlfn.ANCHORARRAY(E47),0))),T49&amp;"Por favor no seleccionar los criterios de impacto",U36)</f>
        <v>0</v>
      </c>
      <c r="W36" s="340"/>
      <c r="X36" s="341"/>
      <c r="Y36" s="358"/>
      <c r="Z36" s="203">
        <v>6</v>
      </c>
      <c r="AA36" s="176"/>
      <c r="AB36" s="178" t="str">
        <f t="shared" si="32"/>
        <v/>
      </c>
      <c r="AC36" s="179"/>
      <c r="AD36" s="179"/>
      <c r="AE36" s="180" t="str">
        <f t="shared" si="27"/>
        <v/>
      </c>
      <c r="AF36" s="179"/>
      <c r="AG36" s="179"/>
      <c r="AH36" s="179"/>
      <c r="AI36" s="181" t="str">
        <f t="shared" si="33"/>
        <v/>
      </c>
      <c r="AJ36" s="182" t="str">
        <f t="shared" si="2"/>
        <v/>
      </c>
      <c r="AK36" s="180" t="str">
        <f t="shared" si="28"/>
        <v/>
      </c>
      <c r="AL36" s="182" t="str">
        <f t="shared" si="4"/>
        <v/>
      </c>
      <c r="AM36" s="180" t="str">
        <f t="shared" si="13"/>
        <v/>
      </c>
      <c r="AN36" s="183" t="str">
        <f t="shared" si="34"/>
        <v/>
      </c>
      <c r="AO36" s="184"/>
      <c r="AP36" s="175"/>
      <c r="AQ36" s="175"/>
      <c r="AR36" s="175"/>
      <c r="AS36" s="251"/>
      <c r="AT36" s="329"/>
      <c r="AU36" s="329"/>
      <c r="AV36" s="329"/>
    </row>
    <row r="37" spans="1:48" ht="150" x14ac:dyDescent="0.2">
      <c r="A37" s="328">
        <v>5</v>
      </c>
      <c r="B37" s="329" t="s">
        <v>106</v>
      </c>
      <c r="C37" s="329" t="s">
        <v>463</v>
      </c>
      <c r="D37" s="329" t="s">
        <v>464</v>
      </c>
      <c r="E37" s="329" t="s">
        <v>465</v>
      </c>
      <c r="F37" s="329" t="s">
        <v>140</v>
      </c>
      <c r="G37" s="342" t="s">
        <v>379</v>
      </c>
      <c r="H37" s="342" t="s">
        <v>466</v>
      </c>
      <c r="I37" s="342" t="s">
        <v>147</v>
      </c>
      <c r="J37" s="342" t="s">
        <v>416</v>
      </c>
      <c r="K37" s="342" t="s">
        <v>116</v>
      </c>
      <c r="L37" s="342" t="s">
        <v>546</v>
      </c>
      <c r="M37" s="342" t="s">
        <v>539</v>
      </c>
      <c r="N37" s="342" t="s">
        <v>540</v>
      </c>
      <c r="O37" s="342" t="s">
        <v>547</v>
      </c>
      <c r="P37" s="342" t="s">
        <v>123</v>
      </c>
      <c r="Q37" s="342" t="s">
        <v>131</v>
      </c>
      <c r="R37" s="339">
        <v>5001</v>
      </c>
      <c r="S37" s="340" t="str">
        <f>IF(R37&lt;=0,"",IF(R37&lt;=2,"Muy Baja",IF(R37&lt;=24,"Baja",IF(R37&lt;=500,"Media",IF(R37&lt;=5000,"Alta","Muy Alta")))))</f>
        <v>Muy Alta</v>
      </c>
      <c r="T37" s="341">
        <f>IF(S37="","",IF(S37="Muy Baja",0.2,IF(S37="Baja",0.4,IF(S37="Media",0.6,IF(S37="Alta",0.8,IF(S37="Muy Alta",1,))))))</f>
        <v>1</v>
      </c>
      <c r="U37" s="359" t="s">
        <v>336</v>
      </c>
      <c r="V37" s="341" t="str">
        <f>IF(NOT(ISERROR(MATCH(U37,'Tabla Impacto'!$B$222:$B$224,0))),'Tabla Impacto'!$F$224&amp;"Por favor no seleccionar los criterios de impacto(Afectación Económica o presupuestal y Pérdida Reputacional)",U37)</f>
        <v xml:space="preserve">     El riesgo afecta la imagen de alguna área de la organización</v>
      </c>
      <c r="W37" s="340" t="str">
        <f>IF(OR(V37='Tabla Impacto'!$C$12,V37='Tabla Impacto'!$D$12),"Leve",IF(OR(V37='Tabla Impacto'!$C$13,V37='Tabla Impacto'!$D$13),"Menor",IF(OR(V37='Tabla Impacto'!$C$14,V37='Tabla Impacto'!$D$14),"Moderado",IF(OR(V37='Tabla Impacto'!$C$15,V37='Tabla Impacto'!$D$15),"Mayor",IF(OR(V37='Tabla Impacto'!$C$16,V37='Tabla Impacto'!$D$16),"Catastrófico","")))))</f>
        <v>Leve</v>
      </c>
      <c r="X37" s="341">
        <f>IF(W37="","",IF(W37="Leve",0.2,IF(W37="Menor",0.4,IF(W37="Moderado",0.6,IF(W37="Mayor",0.8,IF(W37="Catastrófico",1,))))))</f>
        <v>0.2</v>
      </c>
      <c r="Y37" s="358"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Alto</v>
      </c>
      <c r="Z37" s="203">
        <v>1</v>
      </c>
      <c r="AA37" s="176" t="s">
        <v>467</v>
      </c>
      <c r="AB37" s="178" t="str">
        <f>IF(OR(AC37="Preventivo",AC37="Detectivo"),"Probabilidad",IF(AC37="Correctivo","Impacto",""))</f>
        <v>Probabilidad</v>
      </c>
      <c r="AC37" s="179" t="s">
        <v>240</v>
      </c>
      <c r="AD37" s="179" t="s">
        <v>241</v>
      </c>
      <c r="AE37" s="180" t="str">
        <f>IF(AND(AC37="Preventivo",AD37="Automático"),"50%",IF(AND(AC37="Preventivo",AD37="Manual"),"40%",IF(AND(AC37="Detectivo",AD37="Automático"),"40%",IF(AND(AC37="Detectivo",AD37="Manual"),"30%",IF(AND(AC37="Correctivo",AD37="Automático"),"35%",IF(AND(AC37="Correctivo",AD37="Manual"),"25%",""))))))</f>
        <v>40%</v>
      </c>
      <c r="AF37" s="179" t="s">
        <v>246</v>
      </c>
      <c r="AG37" s="179" t="s">
        <v>243</v>
      </c>
      <c r="AH37" s="179" t="s">
        <v>244</v>
      </c>
      <c r="AI37" s="253">
        <f>IFERROR(IF(AB37="Probabilidad",(T37-(+T37*AE37)),IF(AB37="Impacto",T37,"")),"")</f>
        <v>0.6</v>
      </c>
      <c r="AJ37" s="182" t="str">
        <f>IFERROR(IF(AI37="","",IF(AI37&lt;=0.2,"Muy Baja",IF(AI37&lt;=0.4,"Baja",IF(AI37&lt;=0.6,"Media",IF(AI37&lt;=0.8,"Alta","Muy Alta"))))),"")</f>
        <v>Media</v>
      </c>
      <c r="AK37" s="180">
        <f>+AI37</f>
        <v>0.6</v>
      </c>
      <c r="AL37" s="182" t="str">
        <f>IFERROR(IF(AM37="","",IF(AM37&lt;=0.2,"Leve",IF(AM37&lt;=0.4,"Menor",IF(AM37&lt;=0.6,"Moderado",IF(AM37&lt;=0.8,"Mayor","Catastrófico"))))),"")</f>
        <v>Leve</v>
      </c>
      <c r="AM37" s="180">
        <f t="shared" ref="AM37" si="35">IFERROR(IF(AB37="Impacto",(X37-(+X37*AE37)),IF(AB37="Probabilidad",X37,"")),"")</f>
        <v>0.2</v>
      </c>
      <c r="AN37" s="183"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Moderado</v>
      </c>
      <c r="AO37" s="184" t="s">
        <v>109</v>
      </c>
      <c r="AP37" s="175" t="s">
        <v>469</v>
      </c>
      <c r="AQ37" s="175" t="s">
        <v>434</v>
      </c>
      <c r="AR37" s="175" t="s">
        <v>421</v>
      </c>
      <c r="AS37" s="251" t="s">
        <v>435</v>
      </c>
      <c r="AT37" s="329" t="s">
        <v>470</v>
      </c>
      <c r="AU37" s="329" t="s">
        <v>421</v>
      </c>
      <c r="AV37" s="329" t="s">
        <v>471</v>
      </c>
    </row>
    <row r="38" spans="1:48" ht="195" x14ac:dyDescent="0.2">
      <c r="A38" s="328"/>
      <c r="B38" s="329"/>
      <c r="C38" s="329"/>
      <c r="D38" s="329"/>
      <c r="E38" s="329"/>
      <c r="F38" s="329"/>
      <c r="G38" s="343"/>
      <c r="H38" s="343"/>
      <c r="I38" s="343"/>
      <c r="J38" s="343"/>
      <c r="K38" s="343"/>
      <c r="L38" s="343"/>
      <c r="M38" s="343"/>
      <c r="N38" s="343"/>
      <c r="O38" s="343"/>
      <c r="P38" s="343"/>
      <c r="Q38" s="343"/>
      <c r="R38" s="339"/>
      <c r="S38" s="340"/>
      <c r="T38" s="341"/>
      <c r="U38" s="359"/>
      <c r="V38" s="341">
        <f>IF(NOT(ISERROR(MATCH(U38,_xlfn.ANCHORARRAY(E49),0))),T51&amp;"Por favor no seleccionar los criterios de impacto",U38)</f>
        <v>0</v>
      </c>
      <c r="W38" s="340"/>
      <c r="X38" s="341"/>
      <c r="Y38" s="358"/>
      <c r="Z38" s="203">
        <v>2</v>
      </c>
      <c r="AA38" s="176" t="s">
        <v>468</v>
      </c>
      <c r="AB38" s="178" t="str">
        <f>IF(OR(AC38="Preventivo",AC38="Detectivo"),"Probabilidad",IF(AC38="Correctivo","Impacto",""))</f>
        <v>Probabilidad</v>
      </c>
      <c r="AC38" s="179" t="s">
        <v>240</v>
      </c>
      <c r="AD38" s="179" t="s">
        <v>390</v>
      </c>
      <c r="AE38" s="180" t="str">
        <f t="shared" ref="AE38:AE42" si="36">IF(AND(AC38="Preventivo",AD38="Automático"),"50%",IF(AND(AC38="Preventivo",AD38="Manual"),"40%",IF(AND(AC38="Detectivo",AD38="Automático"),"40%",IF(AND(AC38="Detectivo",AD38="Manual"),"30%",IF(AND(AC38="Correctivo",AD38="Automático"),"35%",IF(AND(AC38="Correctivo",AD38="Manual"),"25%",""))))))</f>
        <v>50%</v>
      </c>
      <c r="AF38" s="179" t="s">
        <v>242</v>
      </c>
      <c r="AG38" s="179" t="s">
        <v>243</v>
      </c>
      <c r="AH38" s="179" t="s">
        <v>244</v>
      </c>
      <c r="AI38" s="253">
        <f>IFERROR(IF(AND(AB37="Probabilidad",AB38="Probabilidad"),(AK37-(+AK37*AE38)),IF(AB38="Probabilidad",(T37-(+T37*AE38)),IF(AB38="Impacto",AK37,""))),"")</f>
        <v>0.3</v>
      </c>
      <c r="AJ38" s="182" t="str">
        <f t="shared" si="2"/>
        <v>Baja</v>
      </c>
      <c r="AK38" s="180">
        <f t="shared" ref="AK38:AK42" si="37">+AI38</f>
        <v>0.3</v>
      </c>
      <c r="AL38" s="182" t="str">
        <f t="shared" si="4"/>
        <v>Leve</v>
      </c>
      <c r="AM38" s="180">
        <f t="shared" ref="AM38" si="38">IFERROR(IF(AND(AB37="Impacto",AB38="Impacto"),(AM37-(+AM37*AE38)),IF(AB38="Impacto",($X$13-(+$X$13*AE38)),IF(AB38="Probabilidad",AM37,""))),"")</f>
        <v>0.2</v>
      </c>
      <c r="AN38" s="183"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Bajo</v>
      </c>
      <c r="AO38" s="184"/>
      <c r="AP38" s="175"/>
      <c r="AQ38" s="175"/>
      <c r="AR38" s="175"/>
      <c r="AS38" s="251"/>
      <c r="AT38" s="329"/>
      <c r="AU38" s="329"/>
      <c r="AV38" s="329"/>
    </row>
    <row r="39" spans="1:48" ht="37.5" customHeight="1" x14ac:dyDescent="0.2">
      <c r="A39" s="328"/>
      <c r="B39" s="329"/>
      <c r="C39" s="329"/>
      <c r="D39" s="329"/>
      <c r="E39" s="329"/>
      <c r="F39" s="329"/>
      <c r="G39" s="343"/>
      <c r="H39" s="343"/>
      <c r="I39" s="343"/>
      <c r="J39" s="343"/>
      <c r="K39" s="343"/>
      <c r="L39" s="343"/>
      <c r="M39" s="343"/>
      <c r="N39" s="343"/>
      <c r="O39" s="343"/>
      <c r="P39" s="343"/>
      <c r="Q39" s="343"/>
      <c r="R39" s="339"/>
      <c r="S39" s="340"/>
      <c r="T39" s="341"/>
      <c r="U39" s="359"/>
      <c r="V39" s="341">
        <f>IF(NOT(ISERROR(MATCH(U39,_xlfn.ANCHORARRAY(E50),0))),T52&amp;"Por favor no seleccionar los criterios de impacto",U39)</f>
        <v>0</v>
      </c>
      <c r="W39" s="340"/>
      <c r="X39" s="341"/>
      <c r="Y39" s="358"/>
      <c r="Z39" s="203">
        <v>3</v>
      </c>
      <c r="AA39" s="177"/>
      <c r="AB39" s="178" t="str">
        <f>IF(OR(AC39="Preventivo",AC39="Detectivo"),"Probabilidad",IF(AC39="Correctivo","Impacto",""))</f>
        <v/>
      </c>
      <c r="AC39" s="179"/>
      <c r="AD39" s="179"/>
      <c r="AE39" s="180" t="str">
        <f t="shared" si="36"/>
        <v/>
      </c>
      <c r="AF39" s="179"/>
      <c r="AG39" s="179"/>
      <c r="AH39" s="179"/>
      <c r="AI39" s="181" t="str">
        <f>IFERROR(IF(AND(AB38="Probabilidad",AB39="Probabilidad"),(AK38-(+AK38*AE39)),IF(AND(AB38="Impacto",AB39="Probabilidad"),(AK37-(+AK37*AE39)),IF(AB39="Impacto",AK38,""))),"")</f>
        <v/>
      </c>
      <c r="AJ39" s="182" t="str">
        <f t="shared" si="2"/>
        <v/>
      </c>
      <c r="AK39" s="180" t="str">
        <f t="shared" si="37"/>
        <v/>
      </c>
      <c r="AL39" s="182" t="str">
        <f t="shared" si="4"/>
        <v/>
      </c>
      <c r="AM39" s="180" t="str">
        <f t="shared" ref="AM39" si="40">IFERROR(IF(AND(AB38="Impacto",AB39="Impacto"),(AM38-(+AM38*AE39)),IF(AND(AB38="Probabilidad",AB39="Impacto"),(AM37-(+AM37*AE39)),IF(AB39="Probabilidad",AM38,""))),"")</f>
        <v/>
      </c>
      <c r="AN39" s="183" t="str">
        <f t="shared" si="39"/>
        <v/>
      </c>
      <c r="AO39" s="184"/>
      <c r="AP39" s="175"/>
      <c r="AQ39" s="175"/>
      <c r="AR39" s="175"/>
      <c r="AS39" s="251"/>
      <c r="AT39" s="329"/>
      <c r="AU39" s="329"/>
      <c r="AV39" s="329"/>
    </row>
    <row r="40" spans="1:48" ht="37.5" customHeight="1" x14ac:dyDescent="0.2">
      <c r="A40" s="328"/>
      <c r="B40" s="329"/>
      <c r="C40" s="329"/>
      <c r="D40" s="329"/>
      <c r="E40" s="329"/>
      <c r="F40" s="329"/>
      <c r="G40" s="343"/>
      <c r="H40" s="343"/>
      <c r="I40" s="343"/>
      <c r="J40" s="343"/>
      <c r="K40" s="343"/>
      <c r="L40" s="343"/>
      <c r="M40" s="343"/>
      <c r="N40" s="343"/>
      <c r="O40" s="343"/>
      <c r="P40" s="343"/>
      <c r="Q40" s="343"/>
      <c r="R40" s="339"/>
      <c r="S40" s="340"/>
      <c r="T40" s="341"/>
      <c r="U40" s="359"/>
      <c r="V40" s="341">
        <f>IF(NOT(ISERROR(MATCH(U40,_xlfn.ANCHORARRAY(E51),0))),T53&amp;"Por favor no seleccionar los criterios de impacto",U40)</f>
        <v>0</v>
      </c>
      <c r="W40" s="340"/>
      <c r="X40" s="341"/>
      <c r="Y40" s="358"/>
      <c r="Z40" s="203">
        <v>4</v>
      </c>
      <c r="AA40" s="176"/>
      <c r="AB40" s="178" t="str">
        <f t="shared" ref="AB40:AB42" si="41">IF(OR(AC40="Preventivo",AC40="Detectivo"),"Probabilidad",IF(AC40="Correctivo","Impacto",""))</f>
        <v/>
      </c>
      <c r="AC40" s="179"/>
      <c r="AD40" s="179"/>
      <c r="AE40" s="180" t="str">
        <f t="shared" si="36"/>
        <v/>
      </c>
      <c r="AF40" s="179"/>
      <c r="AG40" s="179"/>
      <c r="AH40" s="179"/>
      <c r="AI40" s="181" t="str">
        <f t="shared" ref="AI40:AI42" si="42">IFERROR(IF(AND(AB39="Probabilidad",AB40="Probabilidad"),(AK39-(+AK39*AE40)),IF(AND(AB39="Impacto",AB40="Probabilidad"),(AK38-(+AK38*AE40)),IF(AB40="Impacto",AK39,""))),"")</f>
        <v/>
      </c>
      <c r="AJ40" s="182" t="str">
        <f t="shared" si="2"/>
        <v/>
      </c>
      <c r="AK40" s="180" t="str">
        <f t="shared" si="37"/>
        <v/>
      </c>
      <c r="AL40" s="182" t="str">
        <f t="shared" si="4"/>
        <v/>
      </c>
      <c r="AM40" s="180" t="str">
        <f t="shared" si="13"/>
        <v/>
      </c>
      <c r="AN40" s="183"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84"/>
      <c r="AP40" s="175"/>
      <c r="AQ40" s="175"/>
      <c r="AR40" s="175"/>
      <c r="AS40" s="251"/>
      <c r="AT40" s="329"/>
      <c r="AU40" s="329"/>
      <c r="AV40" s="329"/>
    </row>
    <row r="41" spans="1:48" ht="37.5" customHeight="1" x14ac:dyDescent="0.2">
      <c r="A41" s="328"/>
      <c r="B41" s="329"/>
      <c r="C41" s="329"/>
      <c r="D41" s="329"/>
      <c r="E41" s="329"/>
      <c r="F41" s="329"/>
      <c r="G41" s="343"/>
      <c r="H41" s="343"/>
      <c r="I41" s="343"/>
      <c r="J41" s="343"/>
      <c r="K41" s="343"/>
      <c r="L41" s="343"/>
      <c r="M41" s="343"/>
      <c r="N41" s="343"/>
      <c r="O41" s="343"/>
      <c r="P41" s="343"/>
      <c r="Q41" s="343"/>
      <c r="R41" s="339"/>
      <c r="S41" s="340"/>
      <c r="T41" s="341"/>
      <c r="U41" s="359"/>
      <c r="V41" s="341">
        <f>IF(NOT(ISERROR(MATCH(U41,_xlfn.ANCHORARRAY(E52),0))),T54&amp;"Por favor no seleccionar los criterios de impacto",U41)</f>
        <v>0</v>
      </c>
      <c r="W41" s="340"/>
      <c r="X41" s="341"/>
      <c r="Y41" s="358"/>
      <c r="Z41" s="203">
        <v>5</v>
      </c>
      <c r="AA41" s="176"/>
      <c r="AB41" s="178" t="str">
        <f t="shared" si="41"/>
        <v/>
      </c>
      <c r="AC41" s="179"/>
      <c r="AD41" s="179"/>
      <c r="AE41" s="180" t="str">
        <f t="shared" si="36"/>
        <v/>
      </c>
      <c r="AF41" s="179"/>
      <c r="AG41" s="179"/>
      <c r="AH41" s="179"/>
      <c r="AI41" s="181" t="str">
        <f t="shared" si="42"/>
        <v/>
      </c>
      <c r="AJ41" s="182" t="str">
        <f t="shared" si="2"/>
        <v/>
      </c>
      <c r="AK41" s="180" t="str">
        <f t="shared" si="37"/>
        <v/>
      </c>
      <c r="AL41" s="182" t="str">
        <f t="shared" si="4"/>
        <v/>
      </c>
      <c r="AM41" s="180" t="str">
        <f t="shared" si="13"/>
        <v/>
      </c>
      <c r="AN41" s="183"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84"/>
      <c r="AP41" s="175"/>
      <c r="AQ41" s="175"/>
      <c r="AR41" s="175"/>
      <c r="AS41" s="251"/>
      <c r="AT41" s="329"/>
      <c r="AU41" s="329"/>
      <c r="AV41" s="329"/>
    </row>
    <row r="42" spans="1:48" ht="37.5" customHeight="1" x14ac:dyDescent="0.2">
      <c r="A42" s="328"/>
      <c r="B42" s="329"/>
      <c r="C42" s="329"/>
      <c r="D42" s="329"/>
      <c r="E42" s="329"/>
      <c r="F42" s="329"/>
      <c r="G42" s="344"/>
      <c r="H42" s="344"/>
      <c r="I42" s="344"/>
      <c r="J42" s="344"/>
      <c r="K42" s="344"/>
      <c r="L42" s="344"/>
      <c r="M42" s="344"/>
      <c r="N42" s="344"/>
      <c r="O42" s="344"/>
      <c r="P42" s="344"/>
      <c r="Q42" s="344"/>
      <c r="R42" s="339"/>
      <c r="S42" s="340"/>
      <c r="T42" s="341"/>
      <c r="U42" s="359"/>
      <c r="V42" s="341">
        <f>IF(NOT(ISERROR(MATCH(U42,_xlfn.ANCHORARRAY(E53),0))),T55&amp;"Por favor no seleccionar los criterios de impacto",U42)</f>
        <v>0</v>
      </c>
      <c r="W42" s="340"/>
      <c r="X42" s="341"/>
      <c r="Y42" s="358"/>
      <c r="Z42" s="203">
        <v>6</v>
      </c>
      <c r="AA42" s="176"/>
      <c r="AB42" s="178" t="str">
        <f t="shared" si="41"/>
        <v/>
      </c>
      <c r="AC42" s="179"/>
      <c r="AD42" s="179"/>
      <c r="AE42" s="180" t="str">
        <f t="shared" si="36"/>
        <v/>
      </c>
      <c r="AF42" s="179"/>
      <c r="AG42" s="179"/>
      <c r="AH42" s="179"/>
      <c r="AI42" s="181" t="str">
        <f t="shared" si="42"/>
        <v/>
      </c>
      <c r="AJ42" s="182" t="str">
        <f t="shared" si="2"/>
        <v/>
      </c>
      <c r="AK42" s="180" t="str">
        <f t="shared" si="37"/>
        <v/>
      </c>
      <c r="AL42" s="182" t="str">
        <f t="shared" si="4"/>
        <v/>
      </c>
      <c r="AM42" s="180" t="str">
        <f t="shared" si="13"/>
        <v/>
      </c>
      <c r="AN42" s="183" t="str">
        <f t="shared" si="43"/>
        <v/>
      </c>
      <c r="AO42" s="184"/>
      <c r="AP42" s="175"/>
      <c r="AQ42" s="175"/>
      <c r="AR42" s="175"/>
      <c r="AS42" s="251"/>
      <c r="AT42" s="329"/>
      <c r="AU42" s="329"/>
      <c r="AV42" s="329"/>
    </row>
    <row r="43" spans="1:48" ht="37.5" customHeight="1" x14ac:dyDescent="0.2">
      <c r="A43" s="328">
        <v>6</v>
      </c>
      <c r="B43" s="329" t="s">
        <v>108</v>
      </c>
      <c r="C43" s="329" t="s">
        <v>472</v>
      </c>
      <c r="D43" s="329" t="s">
        <v>473</v>
      </c>
      <c r="E43" s="342" t="s">
        <v>474</v>
      </c>
      <c r="F43" s="329" t="s">
        <v>140</v>
      </c>
      <c r="G43" s="342" t="s">
        <v>379</v>
      </c>
      <c r="H43" s="342" t="s">
        <v>475</v>
      </c>
      <c r="I43" s="342" t="s">
        <v>147</v>
      </c>
      <c r="J43" s="342" t="s">
        <v>476</v>
      </c>
      <c r="K43" s="342" t="s">
        <v>113</v>
      </c>
      <c r="L43" s="342" t="s">
        <v>553</v>
      </c>
      <c r="M43" s="342" t="s">
        <v>539</v>
      </c>
      <c r="N43" s="342" t="s">
        <v>540</v>
      </c>
      <c r="O43" s="342" t="s">
        <v>554</v>
      </c>
      <c r="P43" s="342" t="s">
        <v>117</v>
      </c>
      <c r="Q43" s="342" t="s">
        <v>131</v>
      </c>
      <c r="R43" s="339">
        <v>288</v>
      </c>
      <c r="S43" s="340" t="str">
        <f>IF(R43&lt;=0,"",IF(R43&lt;=2,"Muy Baja",IF(R43&lt;=24,"Baja",IF(R43&lt;=500,"Media",IF(R43&lt;=5000,"Alta","Muy Alta")))))</f>
        <v>Media</v>
      </c>
      <c r="T43" s="341">
        <f>IF(S43="","",IF(S43="Muy Baja",0.2,IF(S43="Baja",0.4,IF(S43="Media",0.6,IF(S43="Alta",0.8,IF(S43="Muy Alta",1,))))))</f>
        <v>0.6</v>
      </c>
      <c r="U43" s="359" t="s">
        <v>342</v>
      </c>
      <c r="V43" s="341" t="str">
        <f>IF(NOT(ISERROR(MATCH(U43,'Tabla Impacto'!$B$222:$B$224,0))),'Tabla Impacto'!$F$224&amp;"Por favor no seleccionar los criterios de impacto(Afectación Económica o presupuestal y Pérdida Reputacional)",U43)</f>
        <v xml:space="preserve">     El riesgo afecta la imagen de de la entidad con efecto publicitario sostenido a nivel de sector administrativo, nivel departamental o municipal</v>
      </c>
      <c r="W43" s="340" t="str">
        <f>IF(OR(V43='Tabla Impacto'!$C$12,V43='Tabla Impacto'!$D$12),"Leve",IF(OR(V43='Tabla Impacto'!$C$13,V43='Tabla Impacto'!$D$13),"Menor",IF(OR(V43='Tabla Impacto'!$C$14,V43='Tabla Impacto'!$D$14),"Moderado",IF(OR(V43='Tabla Impacto'!$C$15,V43='Tabla Impacto'!$D$15),"Mayor",IF(OR(V43='Tabla Impacto'!$C$16,V43='Tabla Impacto'!$D$16),"Catastrófico","")))))</f>
        <v>Mayor</v>
      </c>
      <c r="X43" s="341">
        <f>IF(W43="","",IF(W43="Leve",0.2,IF(W43="Menor",0.4,IF(W43="Moderado",0.6,IF(W43="Mayor",0.8,IF(W43="Catastrófico",1,))))))</f>
        <v>0.8</v>
      </c>
      <c r="Y43" s="358"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Alto</v>
      </c>
      <c r="Z43" s="203">
        <v>1</v>
      </c>
      <c r="AA43" s="176" t="s">
        <v>478</v>
      </c>
      <c r="AB43" s="178" t="str">
        <f>IF(OR(AC43="Preventivo",AC43="Detectivo"),"Probabilidad",IF(AC43="Correctivo","Impacto",""))</f>
        <v>Probabilidad</v>
      </c>
      <c r="AC43" s="179" t="s">
        <v>245</v>
      </c>
      <c r="AD43" s="179" t="s">
        <v>241</v>
      </c>
      <c r="AE43" s="180" t="str">
        <f>IF(AND(AC43="Preventivo",AD43="Automático"),"50%",IF(AND(AC43="Preventivo",AD43="Manual"),"40%",IF(AND(AC43="Detectivo",AD43="Automático"),"40%",IF(AND(AC43="Detectivo",AD43="Manual"),"30%",IF(AND(AC43="Correctivo",AD43="Automático"),"35%",IF(AND(AC43="Correctivo",AD43="Manual"),"25%",""))))))</f>
        <v>30%</v>
      </c>
      <c r="AF43" s="179" t="s">
        <v>246</v>
      </c>
      <c r="AG43" s="179" t="s">
        <v>398</v>
      </c>
      <c r="AH43" s="179" t="s">
        <v>244</v>
      </c>
      <c r="AI43" s="253">
        <f>IFERROR(IF(AB43="Probabilidad",(T43-(+T43*AE43)),IF(AB43="Impacto",T43,"")),"")</f>
        <v>0.42</v>
      </c>
      <c r="AJ43" s="182" t="str">
        <f>IFERROR(IF(AI43="","",IF(AI43&lt;=0.2,"Muy Baja",IF(AI43&lt;=0.4,"Baja",IF(AI43&lt;=0.6,"Media",IF(AI43&lt;=0.8,"Alta","Muy Alta"))))),"")</f>
        <v>Media</v>
      </c>
      <c r="AK43" s="180">
        <f>+AI43</f>
        <v>0.42</v>
      </c>
      <c r="AL43" s="182" t="str">
        <f t="shared" ref="AL43:AL49" si="44">IFERROR(IF(AM43="","",IF(AM43&lt;=0.2,"Leve",IF(AM43&lt;=0.4,"Menor",IF(AM43&lt;=0.6,"Moderado",IF(AM43&lt;=0.8,"Mayor","Catastrófico"))))),"")</f>
        <v>Mayor</v>
      </c>
      <c r="AM43" s="180">
        <f>IFERROR(IF(AB43="Impacto",(X43-(+X43*AE43)),IF(AB43="Probabilidad",X43,"")),"")</f>
        <v>0.8</v>
      </c>
      <c r="AN43" s="183"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Alto</v>
      </c>
      <c r="AO43" s="179" t="s">
        <v>107</v>
      </c>
      <c r="AP43" s="175" t="s">
        <v>482</v>
      </c>
      <c r="AQ43" s="175" t="s">
        <v>483</v>
      </c>
      <c r="AR43" s="175" t="s">
        <v>556</v>
      </c>
      <c r="AS43" s="251" t="s">
        <v>555</v>
      </c>
      <c r="AT43" s="329" t="s">
        <v>484</v>
      </c>
      <c r="AU43" s="329" t="s">
        <v>485</v>
      </c>
      <c r="AV43" s="329" t="s">
        <v>486</v>
      </c>
    </row>
    <row r="44" spans="1:48" ht="37.5" customHeight="1" x14ac:dyDescent="0.2">
      <c r="A44" s="328"/>
      <c r="B44" s="329"/>
      <c r="C44" s="329"/>
      <c r="D44" s="329"/>
      <c r="E44" s="343"/>
      <c r="F44" s="329"/>
      <c r="G44" s="343"/>
      <c r="H44" s="343"/>
      <c r="I44" s="343"/>
      <c r="J44" s="343"/>
      <c r="K44" s="343"/>
      <c r="L44" s="343"/>
      <c r="M44" s="343"/>
      <c r="N44" s="343"/>
      <c r="O44" s="343"/>
      <c r="P44" s="343"/>
      <c r="Q44" s="343"/>
      <c r="R44" s="339"/>
      <c r="S44" s="340"/>
      <c r="T44" s="341"/>
      <c r="U44" s="359"/>
      <c r="V44" s="341">
        <f>IF(NOT(ISERROR(MATCH(U44,_xlfn.ANCHORARRAY(E55),0))),T57&amp;"Por favor no seleccionar los criterios de impacto",U44)</f>
        <v>0</v>
      </c>
      <c r="W44" s="340"/>
      <c r="X44" s="341"/>
      <c r="Y44" s="358"/>
      <c r="Z44" s="203">
        <v>2</v>
      </c>
      <c r="AA44" s="176" t="s">
        <v>477</v>
      </c>
      <c r="AB44" s="178" t="str">
        <f>IF(OR(AC44="Preventivo",AC44="Detectivo"),"Probabilidad",IF(AC44="Correctivo","Impacto",""))</f>
        <v>Probabilidad</v>
      </c>
      <c r="AC44" s="179" t="s">
        <v>240</v>
      </c>
      <c r="AD44" s="179" t="s">
        <v>241</v>
      </c>
      <c r="AE44" s="180" t="str">
        <f t="shared" ref="AE44:AE48" si="45">IF(AND(AC44="Preventivo",AD44="Automático"),"50%",IF(AND(AC44="Preventivo",AD44="Manual"),"40%",IF(AND(AC44="Detectivo",AD44="Automático"),"40%",IF(AND(AC44="Detectivo",AD44="Manual"),"30%",IF(AND(AC44="Correctivo",AD44="Automático"),"35%",IF(AND(AC44="Correctivo",AD44="Manual"),"25%",""))))))</f>
        <v>40%</v>
      </c>
      <c r="AF44" s="179" t="s">
        <v>246</v>
      </c>
      <c r="AG44" s="179" t="s">
        <v>243</v>
      </c>
      <c r="AH44" s="179" t="s">
        <v>244</v>
      </c>
      <c r="AI44" s="253">
        <f>IFERROR(IF(AND(AB43="Probabilidad",AB44="Probabilidad"),(AK43-(+AK43*AE44)),IF(AB44="Probabilidad",(T43-(+T43*AE44)),IF(AB44="Impacto",AK43,""))),"")</f>
        <v>0.252</v>
      </c>
      <c r="AJ44" s="182" t="str">
        <f t="shared" si="2"/>
        <v>Baja</v>
      </c>
      <c r="AK44" s="180">
        <f t="shared" ref="AK44:AK48" si="46">+AI44</f>
        <v>0.252</v>
      </c>
      <c r="AL44" s="182" t="str">
        <f t="shared" si="44"/>
        <v>Mayor</v>
      </c>
      <c r="AM44" s="180">
        <f>IFERROR(IF(AND(AB43="Impacto",AB44="Impacto"),(AM43-(+AM43*AE44)),IF(AB44="Impacto",($X$13-(+$X$13*AE44)),IF(AB44="Probabilidad",AM43,""))),"")</f>
        <v>0.8</v>
      </c>
      <c r="AN44" s="183" t="str">
        <f t="shared" ref="AN44:AN45" si="47">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Alto</v>
      </c>
      <c r="AO44" s="179" t="s">
        <v>107</v>
      </c>
      <c r="AP44" s="175" t="s">
        <v>557</v>
      </c>
      <c r="AQ44" s="175" t="s">
        <v>483</v>
      </c>
      <c r="AR44" s="175" t="s">
        <v>560</v>
      </c>
      <c r="AS44" s="251" t="s">
        <v>517</v>
      </c>
      <c r="AT44" s="329"/>
      <c r="AU44" s="329"/>
      <c r="AV44" s="329"/>
    </row>
    <row r="45" spans="1:48" ht="37.5" customHeight="1" x14ac:dyDescent="0.2">
      <c r="A45" s="328"/>
      <c r="B45" s="329"/>
      <c r="C45" s="329"/>
      <c r="D45" s="329"/>
      <c r="E45" s="343"/>
      <c r="F45" s="329"/>
      <c r="G45" s="343"/>
      <c r="H45" s="343"/>
      <c r="I45" s="343"/>
      <c r="J45" s="343"/>
      <c r="K45" s="343"/>
      <c r="L45" s="343"/>
      <c r="M45" s="343"/>
      <c r="N45" s="343"/>
      <c r="O45" s="343"/>
      <c r="P45" s="343"/>
      <c r="Q45" s="343"/>
      <c r="R45" s="339"/>
      <c r="S45" s="340"/>
      <c r="T45" s="341"/>
      <c r="U45" s="359"/>
      <c r="V45" s="341">
        <f>IF(NOT(ISERROR(MATCH(U45,_xlfn.ANCHORARRAY(E56),0))),T58&amp;"Por favor no seleccionar los criterios de impacto",U45)</f>
        <v>0</v>
      </c>
      <c r="W45" s="340"/>
      <c r="X45" s="341"/>
      <c r="Y45" s="358"/>
      <c r="Z45" s="203">
        <v>3</v>
      </c>
      <c r="AA45" s="176" t="s">
        <v>479</v>
      </c>
      <c r="AB45" s="178" t="str">
        <f>IF(OR(AC45="Preventivo",AC45="Detectivo"),"Probabilidad",IF(AC45="Correctivo","Impacto",""))</f>
        <v>Probabilidad</v>
      </c>
      <c r="AC45" s="179" t="s">
        <v>240</v>
      </c>
      <c r="AD45" s="179" t="s">
        <v>241</v>
      </c>
      <c r="AE45" s="180" t="str">
        <f t="shared" si="45"/>
        <v>40%</v>
      </c>
      <c r="AF45" s="179" t="s">
        <v>242</v>
      </c>
      <c r="AG45" s="179" t="s">
        <v>398</v>
      </c>
      <c r="AH45" s="179" t="s">
        <v>244</v>
      </c>
      <c r="AI45" s="253">
        <f>IFERROR(IF(AND(AB44="Probabilidad",AB45="Probabilidad"),(AK44-(+AK44*AE45)),IF(AND(AB44="Impacto",AB45="Probabilidad"),(AK43-(+AK43*AE45)),IF(AB45="Impacto",AK44,""))),"")</f>
        <v>0.1512</v>
      </c>
      <c r="AJ45" s="182" t="str">
        <f t="shared" si="2"/>
        <v>Muy Baja</v>
      </c>
      <c r="AK45" s="180">
        <f t="shared" si="46"/>
        <v>0.1512</v>
      </c>
      <c r="AL45" s="182" t="str">
        <f t="shared" si="44"/>
        <v>Mayor</v>
      </c>
      <c r="AM45" s="180">
        <f t="shared" ref="AM45" si="48">IFERROR(IF(AND(AB44="Impacto",AB45="Impacto"),(AM44-(+AM44*AE45)),IF(AND(AB44="Probabilidad",AB45="Impacto"),(AM43-(+AM43*AE45)),IF(AB45="Probabilidad",AM44,""))),"")</f>
        <v>0.8</v>
      </c>
      <c r="AN45" s="183" t="str">
        <f t="shared" si="47"/>
        <v>Alto</v>
      </c>
      <c r="AO45" s="179" t="s">
        <v>107</v>
      </c>
      <c r="AP45" s="175" t="s">
        <v>557</v>
      </c>
      <c r="AQ45" s="175" t="s">
        <v>483</v>
      </c>
      <c r="AR45" s="175" t="s">
        <v>560</v>
      </c>
      <c r="AS45" s="251" t="s">
        <v>517</v>
      </c>
      <c r="AT45" s="329"/>
      <c r="AU45" s="329"/>
      <c r="AV45" s="329"/>
    </row>
    <row r="46" spans="1:48" ht="37.5" customHeight="1" x14ac:dyDescent="0.2">
      <c r="A46" s="328"/>
      <c r="B46" s="329"/>
      <c r="C46" s="329"/>
      <c r="D46" s="329"/>
      <c r="E46" s="343"/>
      <c r="F46" s="329"/>
      <c r="G46" s="343"/>
      <c r="H46" s="343"/>
      <c r="I46" s="343"/>
      <c r="J46" s="343"/>
      <c r="K46" s="343"/>
      <c r="L46" s="343"/>
      <c r="M46" s="343"/>
      <c r="N46" s="343"/>
      <c r="O46" s="343"/>
      <c r="P46" s="343"/>
      <c r="Q46" s="343"/>
      <c r="R46" s="339"/>
      <c r="S46" s="340"/>
      <c r="T46" s="341"/>
      <c r="U46" s="359"/>
      <c r="V46" s="341">
        <f>IF(NOT(ISERROR(MATCH(U46,_xlfn.ANCHORARRAY(E57),0))),T59&amp;"Por favor no seleccionar los criterios de impacto",U46)</f>
        <v>0</v>
      </c>
      <c r="W46" s="340"/>
      <c r="X46" s="341"/>
      <c r="Y46" s="358"/>
      <c r="Z46" s="203">
        <v>4</v>
      </c>
      <c r="AA46" s="176" t="s">
        <v>480</v>
      </c>
      <c r="AB46" s="178" t="str">
        <f t="shared" ref="AB46:AB48" si="49">IF(OR(AC46="Preventivo",AC46="Detectivo"),"Probabilidad",IF(AC46="Correctivo","Impacto",""))</f>
        <v>Probabilidad</v>
      </c>
      <c r="AC46" s="179" t="s">
        <v>240</v>
      </c>
      <c r="AD46" s="179" t="s">
        <v>241</v>
      </c>
      <c r="AE46" s="180" t="str">
        <f t="shared" si="45"/>
        <v>40%</v>
      </c>
      <c r="AF46" s="179" t="s">
        <v>246</v>
      </c>
      <c r="AG46" s="179" t="s">
        <v>243</v>
      </c>
      <c r="AH46" s="179" t="s">
        <v>244</v>
      </c>
      <c r="AI46" s="253">
        <f t="shared" ref="AI46:AI48" si="50">IFERROR(IF(AND(AB45="Probabilidad",AB46="Probabilidad"),(AK45-(+AK45*AE46)),IF(AND(AB45="Impacto",AB46="Probabilidad"),(AK44-(+AK44*AE46)),IF(AB46="Impacto",AK45,""))),"")</f>
        <v>9.0719999999999995E-2</v>
      </c>
      <c r="AJ46" s="182" t="str">
        <f t="shared" si="2"/>
        <v>Muy Baja</v>
      </c>
      <c r="AK46" s="180">
        <f t="shared" si="46"/>
        <v>9.0719999999999995E-2</v>
      </c>
      <c r="AL46" s="182" t="str">
        <f t="shared" si="44"/>
        <v>Mayor</v>
      </c>
      <c r="AM46" s="180">
        <f t="shared" si="13"/>
        <v>0.8</v>
      </c>
      <c r="AN46" s="183"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Alto</v>
      </c>
      <c r="AO46" s="179" t="s">
        <v>107</v>
      </c>
      <c r="AP46" s="175" t="s">
        <v>558</v>
      </c>
      <c r="AQ46" s="175" t="s">
        <v>483</v>
      </c>
      <c r="AR46" s="175" t="s">
        <v>561</v>
      </c>
      <c r="AS46" s="251" t="s">
        <v>559</v>
      </c>
      <c r="AT46" s="329"/>
      <c r="AU46" s="329"/>
      <c r="AV46" s="329"/>
    </row>
    <row r="47" spans="1:48" ht="37.5" customHeight="1" x14ac:dyDescent="0.2">
      <c r="A47" s="328"/>
      <c r="B47" s="329"/>
      <c r="C47" s="329"/>
      <c r="D47" s="329"/>
      <c r="E47" s="343"/>
      <c r="F47" s="329"/>
      <c r="G47" s="343"/>
      <c r="H47" s="343"/>
      <c r="I47" s="343"/>
      <c r="J47" s="343"/>
      <c r="K47" s="343"/>
      <c r="L47" s="343"/>
      <c r="M47" s="343"/>
      <c r="N47" s="343"/>
      <c r="O47" s="343"/>
      <c r="P47" s="343"/>
      <c r="Q47" s="343"/>
      <c r="R47" s="339"/>
      <c r="S47" s="340"/>
      <c r="T47" s="341"/>
      <c r="U47" s="359"/>
      <c r="V47" s="341">
        <f>IF(NOT(ISERROR(MATCH(U47,_xlfn.ANCHORARRAY(E58),0))),T60&amp;"Por favor no seleccionar los criterios de impacto",U47)</f>
        <v>0</v>
      </c>
      <c r="W47" s="340"/>
      <c r="X47" s="341"/>
      <c r="Y47" s="358"/>
      <c r="Z47" s="203">
        <v>5</v>
      </c>
      <c r="AA47" s="176" t="s">
        <v>481</v>
      </c>
      <c r="AB47" s="178" t="str">
        <f t="shared" si="49"/>
        <v>Probabilidad</v>
      </c>
      <c r="AC47" s="179" t="s">
        <v>240</v>
      </c>
      <c r="AD47" s="179" t="s">
        <v>241</v>
      </c>
      <c r="AE47" s="180" t="str">
        <f t="shared" si="45"/>
        <v>40%</v>
      </c>
      <c r="AF47" s="179" t="s">
        <v>242</v>
      </c>
      <c r="AG47" s="179" t="s">
        <v>243</v>
      </c>
      <c r="AH47" s="179" t="s">
        <v>244</v>
      </c>
      <c r="AI47" s="253">
        <f t="shared" si="50"/>
        <v>5.4431999999999994E-2</v>
      </c>
      <c r="AJ47" s="182" t="str">
        <f t="shared" si="2"/>
        <v>Muy Baja</v>
      </c>
      <c r="AK47" s="180">
        <f t="shared" si="46"/>
        <v>5.4431999999999994E-2</v>
      </c>
      <c r="AL47" s="182" t="str">
        <f t="shared" si="44"/>
        <v>Mayor</v>
      </c>
      <c r="AM47" s="180">
        <f t="shared" si="13"/>
        <v>0.8</v>
      </c>
      <c r="AN47" s="183" t="str">
        <f t="shared" ref="AN47" si="51">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Alto</v>
      </c>
      <c r="AO47" s="179" t="s">
        <v>107</v>
      </c>
      <c r="AP47" s="175" t="s">
        <v>513</v>
      </c>
      <c r="AQ47" s="175" t="s">
        <v>483</v>
      </c>
      <c r="AR47" s="175" t="s">
        <v>556</v>
      </c>
      <c r="AS47" s="251" t="s">
        <v>555</v>
      </c>
      <c r="AT47" s="329"/>
      <c r="AU47" s="329"/>
      <c r="AV47" s="329"/>
    </row>
    <row r="48" spans="1:48" ht="37.5" customHeight="1" x14ac:dyDescent="0.2">
      <c r="A48" s="328"/>
      <c r="B48" s="329"/>
      <c r="C48" s="329"/>
      <c r="D48" s="329"/>
      <c r="E48" s="344"/>
      <c r="F48" s="329"/>
      <c r="G48" s="344"/>
      <c r="H48" s="344"/>
      <c r="I48" s="344"/>
      <c r="J48" s="344"/>
      <c r="K48" s="344"/>
      <c r="L48" s="344"/>
      <c r="M48" s="344"/>
      <c r="N48" s="344"/>
      <c r="O48" s="344"/>
      <c r="P48" s="344"/>
      <c r="Q48" s="344"/>
      <c r="R48" s="339"/>
      <c r="S48" s="340"/>
      <c r="T48" s="341"/>
      <c r="U48" s="359"/>
      <c r="V48" s="341">
        <f>IF(NOT(ISERROR(MATCH(U48,_xlfn.ANCHORARRAY(E59),0))),T61&amp;"Por favor no seleccionar los criterios de impacto",U48)</f>
        <v>0</v>
      </c>
      <c r="W48" s="340"/>
      <c r="X48" s="341"/>
      <c r="Y48" s="358"/>
      <c r="Z48" s="203">
        <v>6</v>
      </c>
      <c r="AA48" s="176"/>
      <c r="AB48" s="178" t="str">
        <f t="shared" si="49"/>
        <v/>
      </c>
      <c r="AC48" s="179"/>
      <c r="AD48" s="179"/>
      <c r="AE48" s="180" t="str">
        <f t="shared" si="45"/>
        <v/>
      </c>
      <c r="AF48" s="179"/>
      <c r="AG48" s="179"/>
      <c r="AH48" s="179"/>
      <c r="AI48" s="181" t="str">
        <f t="shared" si="50"/>
        <v/>
      </c>
      <c r="AJ48" s="182" t="str">
        <f t="shared" si="2"/>
        <v/>
      </c>
      <c r="AK48" s="180" t="str">
        <f t="shared" si="46"/>
        <v/>
      </c>
      <c r="AL48" s="182" t="str">
        <f t="shared" si="44"/>
        <v/>
      </c>
      <c r="AM48" s="180" t="str">
        <f t="shared" si="13"/>
        <v/>
      </c>
      <c r="AN48" s="183"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84"/>
      <c r="AP48" s="175"/>
      <c r="AQ48" s="175"/>
      <c r="AR48" s="175"/>
      <c r="AS48" s="251"/>
      <c r="AT48" s="329"/>
      <c r="AU48" s="329"/>
      <c r="AV48" s="329"/>
    </row>
    <row r="49" spans="1:48" ht="37.5" customHeight="1" x14ac:dyDescent="0.2">
      <c r="A49" s="328">
        <v>7</v>
      </c>
      <c r="B49" s="329" t="s">
        <v>108</v>
      </c>
      <c r="C49" s="329" t="s">
        <v>487</v>
      </c>
      <c r="D49" s="367" t="s">
        <v>488</v>
      </c>
      <c r="E49" s="329" t="s">
        <v>489</v>
      </c>
      <c r="F49" s="329" t="s">
        <v>140</v>
      </c>
      <c r="G49" s="342" t="s">
        <v>379</v>
      </c>
      <c r="H49" s="342" t="s">
        <v>490</v>
      </c>
      <c r="I49" s="342" t="s">
        <v>147</v>
      </c>
      <c r="J49" s="342" t="s">
        <v>491</v>
      </c>
      <c r="K49" s="342" t="s">
        <v>113</v>
      </c>
      <c r="L49" s="342" t="s">
        <v>548</v>
      </c>
      <c r="M49" s="342" t="s">
        <v>539</v>
      </c>
      <c r="N49" s="342" t="s">
        <v>540</v>
      </c>
      <c r="O49" s="342" t="s">
        <v>549</v>
      </c>
      <c r="P49" s="342" t="s">
        <v>117</v>
      </c>
      <c r="Q49" s="342" t="s">
        <v>131</v>
      </c>
      <c r="R49" s="339">
        <v>5001</v>
      </c>
      <c r="S49" s="340" t="str">
        <f>IF(R49&lt;=0,"",IF(R49&lt;=2,"Muy Baja",IF(R49&lt;=24,"Baja",IF(R49&lt;=500,"Media",IF(R49&lt;=5000,"Alta","Muy Alta")))))</f>
        <v>Muy Alta</v>
      </c>
      <c r="T49" s="341">
        <f>IF(S49="","",IF(S49="Muy Baja",0.2,IF(S49="Baja",0.4,IF(S49="Media",0.6,IF(S49="Alta",0.8,IF(S49="Muy Alta",1,))))))</f>
        <v>1</v>
      </c>
      <c r="U49" s="359" t="s">
        <v>239</v>
      </c>
      <c r="V49" s="341" t="str">
        <f>IF(NOT(ISERROR(MATCH(U49,'Tabla Impacto'!$B$222:$B$224,0))),'Tabla Impacto'!$F$224&amp;"Por favor no seleccionar los criterios de impacto(Afectación Económica o presupuestal y Pérdida Reputacional)",U49)</f>
        <v xml:space="preserve">     El riesgo afecta la imagen de la entidad con algunos usuarios de relevancia frente al logro de los objetivos</v>
      </c>
      <c r="W49" s="340" t="str">
        <f>IF(OR(V49='Tabla Impacto'!$C$12,V49='Tabla Impacto'!$D$12),"Leve",IF(OR(V49='Tabla Impacto'!$C$13,V49='Tabla Impacto'!$D$13),"Menor",IF(OR(V49='Tabla Impacto'!$C$14,V49='Tabla Impacto'!$D$14),"Moderado",IF(OR(V49='Tabla Impacto'!$C$15,V49='Tabla Impacto'!$D$15),"Mayor",IF(OR(V49='Tabla Impacto'!$C$16,V49='Tabla Impacto'!$D$16),"Catastrófico","")))))</f>
        <v>Moderado</v>
      </c>
      <c r="X49" s="341">
        <f>IF(W49="","",IF(W49="Leve",0.2,IF(W49="Menor",0.4,IF(W49="Moderado",0.6,IF(W49="Mayor",0.8,IF(W49="Catastrófico",1,))))))</f>
        <v>0.6</v>
      </c>
      <c r="Y49" s="358"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Alto</v>
      </c>
      <c r="Z49" s="203">
        <v>1</v>
      </c>
      <c r="AA49" s="176" t="s">
        <v>492</v>
      </c>
      <c r="AB49" s="178" t="str">
        <f>IF(OR(AC49="Preventivo",AC49="Detectivo"),"Probabilidad",IF(AC49="Correctivo","Impacto",""))</f>
        <v>Probabilidad</v>
      </c>
      <c r="AC49" s="179" t="s">
        <v>245</v>
      </c>
      <c r="AD49" s="179" t="s">
        <v>241</v>
      </c>
      <c r="AE49" s="180" t="str">
        <f>IF(AND(AC49="Preventivo",AD49="Automático"),"50%",IF(AND(AC49="Preventivo",AD49="Manual"),"40%",IF(AND(AC49="Detectivo",AD49="Automático"),"40%",IF(AND(AC49="Detectivo",AD49="Manual"),"30%",IF(AND(AC49="Correctivo",AD49="Automático"),"35%",IF(AND(AC49="Correctivo",AD49="Manual"),"25%",""))))))</f>
        <v>30%</v>
      </c>
      <c r="AF49" s="179" t="s">
        <v>246</v>
      </c>
      <c r="AG49" s="179" t="s">
        <v>243</v>
      </c>
      <c r="AH49" s="179" t="s">
        <v>244</v>
      </c>
      <c r="AI49" s="253">
        <f>IFERROR(IF(AB49="Probabilidad",(T49-(+T49*AE49)),IF(AB49="Impacto",T49,"")),"")</f>
        <v>0.7</v>
      </c>
      <c r="AJ49" s="182" t="str">
        <f>IFERROR(IF(AI49="","",IF(AI49&lt;=0.2,"Muy Baja",IF(AI49&lt;=0.4,"Baja",IF(AI49&lt;=0.6,"Media",IF(AI49&lt;=0.8,"Alta","Muy Alta"))))),"")</f>
        <v>Alta</v>
      </c>
      <c r="AK49" s="180">
        <f>+AI49</f>
        <v>0.7</v>
      </c>
      <c r="AL49" s="182" t="str">
        <f t="shared" si="44"/>
        <v>Moderado</v>
      </c>
      <c r="AM49" s="180">
        <f t="shared" ref="AM49" si="52">IFERROR(IF(AB49="Impacto",(X49-(+X49*AE49)),IF(AB49="Probabilidad",X49,"")),"")</f>
        <v>0.6</v>
      </c>
      <c r="AN49" s="183"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Alto</v>
      </c>
      <c r="AO49" s="184" t="s">
        <v>109</v>
      </c>
      <c r="AP49" s="175" t="s">
        <v>495</v>
      </c>
      <c r="AQ49" s="175" t="s">
        <v>498</v>
      </c>
      <c r="AR49" s="175" t="s">
        <v>499</v>
      </c>
      <c r="AS49" s="251" t="s">
        <v>435</v>
      </c>
      <c r="AT49" s="329" t="s">
        <v>501</v>
      </c>
      <c r="AU49" s="329" t="s">
        <v>502</v>
      </c>
      <c r="AV49" s="329" t="s">
        <v>503</v>
      </c>
    </row>
    <row r="50" spans="1:48" ht="37.5" customHeight="1" x14ac:dyDescent="0.2">
      <c r="A50" s="328"/>
      <c r="B50" s="329"/>
      <c r="C50" s="329"/>
      <c r="D50" s="367"/>
      <c r="E50" s="329"/>
      <c r="F50" s="329"/>
      <c r="G50" s="343"/>
      <c r="H50" s="343"/>
      <c r="I50" s="343"/>
      <c r="J50" s="343"/>
      <c r="K50" s="343"/>
      <c r="L50" s="343"/>
      <c r="M50" s="343"/>
      <c r="N50" s="343"/>
      <c r="O50" s="343"/>
      <c r="P50" s="343"/>
      <c r="Q50" s="343"/>
      <c r="R50" s="339"/>
      <c r="S50" s="340"/>
      <c r="T50" s="341"/>
      <c r="U50" s="359"/>
      <c r="V50" s="341">
        <f>IF(NOT(ISERROR(MATCH(U50,_xlfn.ANCHORARRAY(E61),0))),T63&amp;"Por favor no seleccionar los criterios de impacto",U50)</f>
        <v>0</v>
      </c>
      <c r="W50" s="340"/>
      <c r="X50" s="341"/>
      <c r="Y50" s="358"/>
      <c r="Z50" s="203">
        <v>2</v>
      </c>
      <c r="AA50" s="206" t="s">
        <v>493</v>
      </c>
      <c r="AB50" s="178" t="str">
        <f>IF(OR(AC50="Preventivo",AC50="Detectivo"),"Probabilidad",IF(AC50="Correctivo","Impacto",""))</f>
        <v>Probabilidad</v>
      </c>
      <c r="AC50" s="179" t="s">
        <v>240</v>
      </c>
      <c r="AD50" s="179" t="s">
        <v>390</v>
      </c>
      <c r="AE50" s="180" t="str">
        <f t="shared" ref="AE50:AE54" si="53">IF(AND(AC50="Preventivo",AD50="Automático"),"50%",IF(AND(AC50="Preventivo",AD50="Manual"),"40%",IF(AND(AC50="Detectivo",AD50="Automático"),"40%",IF(AND(AC50="Detectivo",AD50="Manual"),"30%",IF(AND(AC50="Correctivo",AD50="Automático"),"35%",IF(AND(AC50="Correctivo",AD50="Manual"),"25%",""))))))</f>
        <v>50%</v>
      </c>
      <c r="AF50" s="179" t="s">
        <v>242</v>
      </c>
      <c r="AG50" s="179" t="s">
        <v>243</v>
      </c>
      <c r="AH50" s="179" t="s">
        <v>244</v>
      </c>
      <c r="AI50" s="253">
        <f>IFERROR(IF(AND(AB49="Probabilidad",AB50="Probabilidad"),(AK49-(+AK49*AE50)),IF(AB50="Probabilidad",(T49-(+T49*AE50)),IF(AB50="Impacto",AK49,""))),"")</f>
        <v>0.35</v>
      </c>
      <c r="AJ50" s="182" t="str">
        <f t="shared" si="2"/>
        <v>Baja</v>
      </c>
      <c r="AK50" s="180">
        <f t="shared" ref="AK50:AK54" si="54">+AI50</f>
        <v>0.35</v>
      </c>
      <c r="AL50" s="182" t="str">
        <f t="shared" si="4"/>
        <v>Moderado</v>
      </c>
      <c r="AM50" s="180">
        <f t="shared" ref="AM50" si="55">IFERROR(IF(AND(AB49="Impacto",AB50="Impacto"),(AM49-(+AM49*AE50)),IF(AB50="Impacto",($X$13-(+$X$13*AE50)),IF(AB50="Probabilidad",AM49,""))),"")</f>
        <v>0.6</v>
      </c>
      <c r="AN50" s="183" t="str">
        <f t="shared" ref="AN50:AN51" si="56">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Moderado</v>
      </c>
      <c r="AO50" s="184" t="s">
        <v>109</v>
      </c>
      <c r="AP50" s="175" t="s">
        <v>496</v>
      </c>
      <c r="AQ50" s="175" t="s">
        <v>498</v>
      </c>
      <c r="AR50" s="175" t="s">
        <v>500</v>
      </c>
      <c r="AS50" s="251" t="s">
        <v>435</v>
      </c>
      <c r="AT50" s="329"/>
      <c r="AU50" s="329"/>
      <c r="AV50" s="329"/>
    </row>
    <row r="51" spans="1:48" ht="37.5" customHeight="1" x14ac:dyDescent="0.2">
      <c r="A51" s="328"/>
      <c r="B51" s="329"/>
      <c r="C51" s="329"/>
      <c r="D51" s="367"/>
      <c r="E51" s="329"/>
      <c r="F51" s="329"/>
      <c r="G51" s="343"/>
      <c r="H51" s="343"/>
      <c r="I51" s="343"/>
      <c r="J51" s="343"/>
      <c r="K51" s="343"/>
      <c r="L51" s="343"/>
      <c r="M51" s="343"/>
      <c r="N51" s="343"/>
      <c r="O51" s="343"/>
      <c r="P51" s="343"/>
      <c r="Q51" s="343"/>
      <c r="R51" s="339"/>
      <c r="S51" s="340"/>
      <c r="T51" s="341"/>
      <c r="U51" s="359"/>
      <c r="V51" s="341">
        <f>IF(NOT(ISERROR(MATCH(U51,_xlfn.ANCHORARRAY(E62),0))),T64&amp;"Por favor no seleccionar los criterios de impacto",U51)</f>
        <v>0</v>
      </c>
      <c r="W51" s="340"/>
      <c r="X51" s="341"/>
      <c r="Y51" s="358"/>
      <c r="Z51" s="203">
        <v>3</v>
      </c>
      <c r="AA51" s="176" t="s">
        <v>494</v>
      </c>
      <c r="AB51" s="178" t="str">
        <f>IF(OR(AC51="Preventivo",AC51="Detectivo"),"Probabilidad",IF(AC51="Correctivo","Impacto",""))</f>
        <v>Probabilidad</v>
      </c>
      <c r="AC51" s="179" t="s">
        <v>245</v>
      </c>
      <c r="AD51" s="179" t="s">
        <v>241</v>
      </c>
      <c r="AE51" s="180" t="str">
        <f t="shared" si="53"/>
        <v>30%</v>
      </c>
      <c r="AF51" s="179" t="s">
        <v>246</v>
      </c>
      <c r="AG51" s="179" t="s">
        <v>243</v>
      </c>
      <c r="AH51" s="179" t="s">
        <v>244</v>
      </c>
      <c r="AI51" s="253">
        <f>IFERROR(IF(AND(AB50="Probabilidad",AB51="Probabilidad"),(AK50-(+AK50*AE51)),IF(AND(AB50="Impacto",AB51="Probabilidad"),(AK49-(+AK49*AE51)),IF(AB51="Impacto",AK50,""))),"")</f>
        <v>0.245</v>
      </c>
      <c r="AJ51" s="182" t="str">
        <f t="shared" si="2"/>
        <v>Baja</v>
      </c>
      <c r="AK51" s="180">
        <f t="shared" si="54"/>
        <v>0.245</v>
      </c>
      <c r="AL51" s="182" t="str">
        <f t="shared" si="4"/>
        <v>Moderado</v>
      </c>
      <c r="AM51" s="180">
        <f t="shared" ref="AM51" si="57">IFERROR(IF(AND(AB50="Impacto",AB51="Impacto"),(AM50-(+AM50*AE51)),IF(AND(AB50="Probabilidad",AB51="Impacto"),(AM49-(+AM49*AE51)),IF(AB51="Probabilidad",AM50,""))),"")</f>
        <v>0.6</v>
      </c>
      <c r="AN51" s="183" t="str">
        <f t="shared" si="56"/>
        <v>Moderado</v>
      </c>
      <c r="AO51" s="184" t="s">
        <v>109</v>
      </c>
      <c r="AP51" s="175" t="s">
        <v>497</v>
      </c>
      <c r="AQ51" s="175" t="s">
        <v>498</v>
      </c>
      <c r="AR51" s="175" t="s">
        <v>421</v>
      </c>
      <c r="AS51" s="251" t="s">
        <v>435</v>
      </c>
      <c r="AT51" s="329"/>
      <c r="AU51" s="329"/>
      <c r="AV51" s="329"/>
    </row>
    <row r="52" spans="1:48" ht="37.5" customHeight="1" x14ac:dyDescent="0.2">
      <c r="A52" s="328"/>
      <c r="B52" s="329"/>
      <c r="C52" s="329"/>
      <c r="D52" s="367"/>
      <c r="E52" s="329"/>
      <c r="F52" s="329"/>
      <c r="G52" s="343"/>
      <c r="H52" s="343"/>
      <c r="I52" s="343"/>
      <c r="J52" s="343"/>
      <c r="K52" s="343"/>
      <c r="L52" s="343"/>
      <c r="M52" s="343"/>
      <c r="N52" s="343"/>
      <c r="O52" s="343"/>
      <c r="P52" s="343"/>
      <c r="Q52" s="343"/>
      <c r="R52" s="339"/>
      <c r="S52" s="340"/>
      <c r="T52" s="341"/>
      <c r="U52" s="359"/>
      <c r="V52" s="341">
        <f>IF(NOT(ISERROR(MATCH(U52,_xlfn.ANCHORARRAY(E63),0))),T65&amp;"Por favor no seleccionar los criterios de impacto",U52)</f>
        <v>0</v>
      </c>
      <c r="W52" s="340"/>
      <c r="X52" s="341"/>
      <c r="Y52" s="358"/>
      <c r="Z52" s="203">
        <v>4</v>
      </c>
      <c r="AA52" s="176"/>
      <c r="AB52" s="178" t="str">
        <f t="shared" ref="AB52:AB54" si="58">IF(OR(AC52="Preventivo",AC52="Detectivo"),"Probabilidad",IF(AC52="Correctivo","Impacto",""))</f>
        <v/>
      </c>
      <c r="AC52" s="179"/>
      <c r="AD52" s="179"/>
      <c r="AE52" s="180" t="str">
        <f t="shared" si="53"/>
        <v/>
      </c>
      <c r="AF52" s="179"/>
      <c r="AG52" s="179"/>
      <c r="AH52" s="179"/>
      <c r="AI52" s="181" t="str">
        <f t="shared" ref="AI52:AI54" si="59">IFERROR(IF(AND(AB51="Probabilidad",AB52="Probabilidad"),(AK51-(+AK51*AE52)),IF(AND(AB51="Impacto",AB52="Probabilidad"),(AK50-(+AK50*AE52)),IF(AB52="Impacto",AK51,""))),"")</f>
        <v/>
      </c>
      <c r="AJ52" s="182" t="str">
        <f t="shared" si="2"/>
        <v/>
      </c>
      <c r="AK52" s="180" t="str">
        <f t="shared" si="54"/>
        <v/>
      </c>
      <c r="AL52" s="182" t="str">
        <f t="shared" si="4"/>
        <v/>
      </c>
      <c r="AM52" s="180" t="str">
        <f t="shared" si="13"/>
        <v/>
      </c>
      <c r="AN52" s="183"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84"/>
      <c r="AP52" s="175"/>
      <c r="AQ52" s="175"/>
      <c r="AR52" s="175"/>
      <c r="AS52" s="251"/>
      <c r="AT52" s="329"/>
      <c r="AU52" s="329"/>
      <c r="AV52" s="329"/>
    </row>
    <row r="53" spans="1:48" ht="37.5" customHeight="1" x14ac:dyDescent="0.2">
      <c r="A53" s="328"/>
      <c r="B53" s="329"/>
      <c r="C53" s="329"/>
      <c r="D53" s="367"/>
      <c r="E53" s="329"/>
      <c r="F53" s="329"/>
      <c r="G53" s="343"/>
      <c r="H53" s="343"/>
      <c r="I53" s="343"/>
      <c r="J53" s="343"/>
      <c r="K53" s="343"/>
      <c r="L53" s="343"/>
      <c r="M53" s="343"/>
      <c r="N53" s="343"/>
      <c r="O53" s="343"/>
      <c r="P53" s="343"/>
      <c r="Q53" s="343"/>
      <c r="R53" s="339"/>
      <c r="S53" s="340"/>
      <c r="T53" s="341"/>
      <c r="U53" s="359"/>
      <c r="V53" s="341">
        <f>IF(NOT(ISERROR(MATCH(U53,_xlfn.ANCHORARRAY(E64),0))),T66&amp;"Por favor no seleccionar los criterios de impacto",U53)</f>
        <v>0</v>
      </c>
      <c r="W53" s="340"/>
      <c r="X53" s="341"/>
      <c r="Y53" s="358"/>
      <c r="Z53" s="203">
        <v>5</v>
      </c>
      <c r="AA53" s="176"/>
      <c r="AB53" s="178" t="str">
        <f t="shared" si="58"/>
        <v/>
      </c>
      <c r="AC53" s="179"/>
      <c r="AD53" s="179"/>
      <c r="AE53" s="180" t="str">
        <f t="shared" si="53"/>
        <v/>
      </c>
      <c r="AF53" s="179"/>
      <c r="AG53" s="179"/>
      <c r="AH53" s="179"/>
      <c r="AI53" s="181" t="str">
        <f t="shared" si="59"/>
        <v/>
      </c>
      <c r="AJ53" s="182" t="str">
        <f t="shared" si="2"/>
        <v/>
      </c>
      <c r="AK53" s="180" t="str">
        <f t="shared" si="54"/>
        <v/>
      </c>
      <c r="AL53" s="182" t="str">
        <f t="shared" si="4"/>
        <v/>
      </c>
      <c r="AM53" s="180" t="str">
        <f t="shared" si="13"/>
        <v/>
      </c>
      <c r="AN53" s="183" t="str">
        <f t="shared" ref="AN53:AN54" si="60">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84"/>
      <c r="AP53" s="175"/>
      <c r="AQ53" s="175"/>
      <c r="AR53" s="175"/>
      <c r="AS53" s="251"/>
      <c r="AT53" s="329"/>
      <c r="AU53" s="329"/>
      <c r="AV53" s="329"/>
    </row>
    <row r="54" spans="1:48" ht="37.5" customHeight="1" x14ac:dyDescent="0.2">
      <c r="A54" s="328"/>
      <c r="B54" s="329"/>
      <c r="C54" s="329"/>
      <c r="D54" s="367"/>
      <c r="E54" s="329"/>
      <c r="F54" s="329"/>
      <c r="G54" s="344"/>
      <c r="H54" s="344"/>
      <c r="I54" s="344"/>
      <c r="J54" s="344"/>
      <c r="K54" s="344"/>
      <c r="L54" s="344"/>
      <c r="M54" s="344"/>
      <c r="N54" s="344"/>
      <c r="O54" s="344"/>
      <c r="P54" s="344"/>
      <c r="Q54" s="344"/>
      <c r="R54" s="339"/>
      <c r="S54" s="340"/>
      <c r="T54" s="341"/>
      <c r="U54" s="359"/>
      <c r="V54" s="341">
        <f>IF(NOT(ISERROR(MATCH(U54,_xlfn.ANCHORARRAY(E65),0))),T67&amp;"Por favor no seleccionar los criterios de impacto",U54)</f>
        <v>0</v>
      </c>
      <c r="W54" s="340"/>
      <c r="X54" s="341"/>
      <c r="Y54" s="358"/>
      <c r="Z54" s="203">
        <v>6</v>
      </c>
      <c r="AA54" s="176"/>
      <c r="AB54" s="178" t="str">
        <f t="shared" si="58"/>
        <v/>
      </c>
      <c r="AC54" s="179"/>
      <c r="AD54" s="179"/>
      <c r="AE54" s="180" t="str">
        <f t="shared" si="53"/>
        <v/>
      </c>
      <c r="AF54" s="179"/>
      <c r="AG54" s="179"/>
      <c r="AH54" s="179"/>
      <c r="AI54" s="181" t="str">
        <f t="shared" si="59"/>
        <v/>
      </c>
      <c r="AJ54" s="182" t="str">
        <f t="shared" si="2"/>
        <v/>
      </c>
      <c r="AK54" s="180" t="str">
        <f t="shared" si="54"/>
        <v/>
      </c>
      <c r="AL54" s="182" t="str">
        <f t="shared" si="4"/>
        <v/>
      </c>
      <c r="AM54" s="180" t="str">
        <f t="shared" si="13"/>
        <v/>
      </c>
      <c r="AN54" s="183" t="str">
        <f t="shared" si="60"/>
        <v/>
      </c>
      <c r="AO54" s="184"/>
      <c r="AP54" s="175"/>
      <c r="AQ54" s="175"/>
      <c r="AR54" s="175"/>
      <c r="AS54" s="251"/>
      <c r="AT54" s="329"/>
      <c r="AU54" s="329"/>
      <c r="AV54" s="329"/>
    </row>
    <row r="55" spans="1:48" ht="37.5" customHeight="1" x14ac:dyDescent="0.2">
      <c r="A55" s="328">
        <v>8</v>
      </c>
      <c r="B55" s="329" t="s">
        <v>106</v>
      </c>
      <c r="C55" s="329" t="s">
        <v>505</v>
      </c>
      <c r="D55" s="329" t="s">
        <v>506</v>
      </c>
      <c r="E55" s="329" t="s">
        <v>507</v>
      </c>
      <c r="F55" s="329" t="s">
        <v>140</v>
      </c>
      <c r="G55" s="342" t="s">
        <v>374</v>
      </c>
      <c r="H55" s="342" t="s">
        <v>508</v>
      </c>
      <c r="I55" s="342" t="s">
        <v>147</v>
      </c>
      <c r="J55" s="342" t="s">
        <v>509</v>
      </c>
      <c r="K55" s="342" t="s">
        <v>116</v>
      </c>
      <c r="L55" s="342" t="s">
        <v>550</v>
      </c>
      <c r="M55" s="342" t="s">
        <v>539</v>
      </c>
      <c r="N55" s="342" t="s">
        <v>540</v>
      </c>
      <c r="O55" s="342" t="s">
        <v>551</v>
      </c>
      <c r="P55" s="342" t="s">
        <v>123</v>
      </c>
      <c r="Q55" s="342" t="s">
        <v>131</v>
      </c>
      <c r="R55" s="339">
        <v>5001</v>
      </c>
      <c r="S55" s="340" t="str">
        <f>IF(R55&lt;=0,"",IF(R55&lt;=2,"Muy Baja",IF(R55&lt;=24,"Baja",IF(R55&lt;=500,"Media",IF(R55&lt;=5000,"Alta","Muy Alta")))))</f>
        <v>Muy Alta</v>
      </c>
      <c r="T55" s="341">
        <f>IF(S55="","",IF(S55="Muy Baja",0.2,IF(S55="Baja",0.4,IF(S55="Media",0.6,IF(S55="Alta",0.8,IF(S55="Muy Alta",1,))))))</f>
        <v>1</v>
      </c>
      <c r="U55" s="359" t="s">
        <v>336</v>
      </c>
      <c r="V55" s="341" t="str">
        <f>IF(NOT(ISERROR(MATCH(U55,'Tabla Impacto'!$B$222:$B$224,0))),'Tabla Impacto'!$F$224&amp;"Por favor no seleccionar los criterios de impacto(Afectación Económica o presupuestal y Pérdida Reputacional)",U55)</f>
        <v xml:space="preserve">     El riesgo afecta la imagen de alguna área de la organización</v>
      </c>
      <c r="W55" s="340" t="str">
        <f>IF(OR(V55='Tabla Impacto'!$C$12,V55='Tabla Impacto'!$D$12),"Leve",IF(OR(V55='Tabla Impacto'!$C$13,V55='Tabla Impacto'!$D$13),"Menor",IF(OR(V55='Tabla Impacto'!$C$14,V55='Tabla Impacto'!$D$14),"Moderado",IF(OR(V55='Tabla Impacto'!$C$15,V55='Tabla Impacto'!$D$15),"Mayor",IF(OR(V55='Tabla Impacto'!$C$16,V55='Tabla Impacto'!$D$16),"Catastrófico","")))))</f>
        <v>Leve</v>
      </c>
      <c r="X55" s="341">
        <f>IF(W55="","",IF(W55="Leve",0.2,IF(W55="Menor",0.4,IF(W55="Moderado",0.6,IF(W55="Mayor",0.8,IF(W55="Catastrófico",1,))))))</f>
        <v>0.2</v>
      </c>
      <c r="Y55" s="358"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Alto</v>
      </c>
      <c r="Z55" s="203">
        <v>1</v>
      </c>
      <c r="AA55" s="176" t="s">
        <v>510</v>
      </c>
      <c r="AB55" s="178" t="str">
        <f>IF(OR(AC55="Preventivo",AC55="Detectivo"),"Probabilidad",IF(AC55="Correctivo","Impacto",""))</f>
        <v>Probabilidad</v>
      </c>
      <c r="AC55" s="179" t="s">
        <v>240</v>
      </c>
      <c r="AD55" s="179" t="s">
        <v>241</v>
      </c>
      <c r="AE55" s="180" t="str">
        <f>IF(AND(AC55="Preventivo",AD55="Automático"),"50%",IF(AND(AC55="Preventivo",AD55="Manual"),"40%",IF(AND(AC55="Detectivo",AD55="Automático"),"40%",IF(AND(AC55="Detectivo",AD55="Manual"),"30%",IF(AND(AC55="Correctivo",AD55="Automático"),"35%",IF(AND(AC55="Correctivo",AD55="Manual"),"25%",""))))))</f>
        <v>40%</v>
      </c>
      <c r="AF55" s="179" t="s">
        <v>242</v>
      </c>
      <c r="AG55" s="179" t="s">
        <v>243</v>
      </c>
      <c r="AH55" s="179" t="s">
        <v>244</v>
      </c>
      <c r="AI55" s="181">
        <f>IFERROR(IF(AB55="Probabilidad",(T55-(+T55*AE55)),IF(AB55="Impacto",T55,"")),"")</f>
        <v>0.6</v>
      </c>
      <c r="AJ55" s="182" t="str">
        <f>IFERROR(IF(AI55="","",IF(AI55&lt;=0.2,"Muy Baja",IF(AI55&lt;=0.4,"Baja",IF(AI55&lt;=0.6,"Media",IF(AI55&lt;=0.8,"Alta","Muy Alta"))))),"")</f>
        <v>Media</v>
      </c>
      <c r="AK55" s="180">
        <f>+AI55</f>
        <v>0.6</v>
      </c>
      <c r="AL55" s="182" t="str">
        <f>IFERROR(IF(AM55="","",IF(AM55&lt;=0.2,"Leve",IF(AM55&lt;=0.4,"Menor",IF(AM55&lt;=0.6,"Moderado",IF(AM55&lt;=0.8,"Mayor","Catastrófico"))))),"")</f>
        <v>Leve</v>
      </c>
      <c r="AM55" s="180">
        <f t="shared" ref="AM55" si="61">IFERROR(IF(AB55="Impacto",(X55-(+X55*AE55)),IF(AB55="Probabilidad",X55,"")),"")</f>
        <v>0.2</v>
      </c>
      <c r="AN55" s="183"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Moderado</v>
      </c>
      <c r="AO55" s="184" t="s">
        <v>109</v>
      </c>
      <c r="AP55" s="566" t="s">
        <v>513</v>
      </c>
      <c r="AQ55" s="175" t="s">
        <v>458</v>
      </c>
      <c r="AR55" s="175" t="s">
        <v>421</v>
      </c>
      <c r="AS55" s="251" t="s">
        <v>424</v>
      </c>
      <c r="AT55" s="329" t="s">
        <v>514</v>
      </c>
      <c r="AU55" s="329" t="s">
        <v>515</v>
      </c>
      <c r="AV55" s="329" t="s">
        <v>516</v>
      </c>
    </row>
    <row r="56" spans="1:48" ht="37.5" customHeight="1" x14ac:dyDescent="0.2">
      <c r="A56" s="328"/>
      <c r="B56" s="329"/>
      <c r="C56" s="329"/>
      <c r="D56" s="329"/>
      <c r="E56" s="329"/>
      <c r="F56" s="329"/>
      <c r="G56" s="343"/>
      <c r="H56" s="343"/>
      <c r="I56" s="343"/>
      <c r="J56" s="343"/>
      <c r="K56" s="343"/>
      <c r="L56" s="343"/>
      <c r="M56" s="343"/>
      <c r="N56" s="343"/>
      <c r="O56" s="343"/>
      <c r="P56" s="343"/>
      <c r="Q56" s="343"/>
      <c r="R56" s="339"/>
      <c r="S56" s="340"/>
      <c r="T56" s="341"/>
      <c r="U56" s="359"/>
      <c r="V56" s="341">
        <f>IF(NOT(ISERROR(MATCH(U56,_xlfn.ANCHORARRAY(E67),0))),T69&amp;"Por favor no seleccionar los criterios de impacto",U56)</f>
        <v>0</v>
      </c>
      <c r="W56" s="340"/>
      <c r="X56" s="341"/>
      <c r="Y56" s="358"/>
      <c r="Z56" s="203">
        <v>2</v>
      </c>
      <c r="AA56" s="176" t="s">
        <v>511</v>
      </c>
      <c r="AB56" s="178" t="str">
        <f>IF(OR(AC56="Preventivo",AC56="Detectivo"),"Probabilidad",IF(AC56="Correctivo","Impacto",""))</f>
        <v>Probabilidad</v>
      </c>
      <c r="AC56" s="179" t="s">
        <v>245</v>
      </c>
      <c r="AD56" s="179" t="s">
        <v>241</v>
      </c>
      <c r="AE56" s="180" t="str">
        <f t="shared" ref="AE56" si="62">IF(AND(AC56="Preventivo",AD56="Automático"),"50%",IF(AND(AC56="Preventivo",AD56="Manual"),"40%",IF(AND(AC56="Detectivo",AD56="Automático"),"40%",IF(AND(AC56="Detectivo",AD56="Manual"),"30%",IF(AND(AC56="Correctivo",AD56="Automático"),"35%",IF(AND(AC56="Correctivo",AD56="Manual"),"25%",""))))))</f>
        <v>30%</v>
      </c>
      <c r="AF56" s="179" t="s">
        <v>246</v>
      </c>
      <c r="AG56" s="179" t="s">
        <v>243</v>
      </c>
      <c r="AH56" s="179" t="s">
        <v>244</v>
      </c>
      <c r="AI56" s="181">
        <f>IFERROR(IF(AND(AB55="Probabilidad",AB56="Probabilidad"),(AK55-(+AK55*AE56)),IF(AB56="Probabilidad",(T55-(+T55*AE56)),IF(AB56="Impacto",AK55,""))),"")</f>
        <v>0.42</v>
      </c>
      <c r="AJ56" s="182" t="str">
        <f t="shared" si="2"/>
        <v>Media</v>
      </c>
      <c r="AK56" s="180">
        <f t="shared" ref="AK56:AK60" si="63">+AI56</f>
        <v>0.42</v>
      </c>
      <c r="AL56" s="182" t="str">
        <f t="shared" si="4"/>
        <v>Leve</v>
      </c>
      <c r="AM56" s="180">
        <f t="shared" ref="AM56" si="64">IFERROR(IF(AND(AB55="Impacto",AB56="Impacto"),(AM55-(+AM55*AE56)),IF(AB56="Impacto",($X$13-(+$X$13*AE56)),IF(AB56="Probabilidad",AM55,""))),"")</f>
        <v>0.2</v>
      </c>
      <c r="AN56" s="183" t="str">
        <f t="shared" ref="AN56:AN57" si="65">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Moderado</v>
      </c>
      <c r="AO56" s="184" t="s">
        <v>109</v>
      </c>
      <c r="AP56" s="566" t="s">
        <v>512</v>
      </c>
      <c r="AQ56" s="175" t="s">
        <v>498</v>
      </c>
      <c r="AR56" s="175" t="s">
        <v>421</v>
      </c>
      <c r="AS56" s="565" t="s">
        <v>424</v>
      </c>
      <c r="AT56" s="329"/>
      <c r="AU56" s="329"/>
      <c r="AV56" s="329"/>
    </row>
    <row r="57" spans="1:48" ht="37.5" customHeight="1" x14ac:dyDescent="0.2">
      <c r="A57" s="328"/>
      <c r="B57" s="329"/>
      <c r="C57" s="329"/>
      <c r="D57" s="329"/>
      <c r="E57" s="329"/>
      <c r="F57" s="329"/>
      <c r="G57" s="343"/>
      <c r="H57" s="343"/>
      <c r="I57" s="343"/>
      <c r="J57" s="343"/>
      <c r="K57" s="343"/>
      <c r="L57" s="343"/>
      <c r="M57" s="343"/>
      <c r="N57" s="343"/>
      <c r="O57" s="343"/>
      <c r="P57" s="343"/>
      <c r="Q57" s="343"/>
      <c r="R57" s="339"/>
      <c r="S57" s="340"/>
      <c r="T57" s="341"/>
      <c r="U57" s="359"/>
      <c r="V57" s="341">
        <f>IF(NOT(ISERROR(MATCH(U57,_xlfn.ANCHORARRAY(E68),0))),T70&amp;"Por favor no seleccionar los criterios de impacto",U57)</f>
        <v>0</v>
      </c>
      <c r="W57" s="340"/>
      <c r="X57" s="341"/>
      <c r="Y57" s="358"/>
      <c r="Z57" s="203">
        <v>3</v>
      </c>
      <c r="AA57" s="177"/>
      <c r="AB57" s="178" t="str">
        <f>IF(OR(AC57="Preventivo",AC57="Detectivo"),"Probabilidad",IF(AC57="Correctivo","Impacto",""))</f>
        <v/>
      </c>
      <c r="AC57" s="179"/>
      <c r="AD57" s="179"/>
      <c r="AE57" s="180"/>
      <c r="AF57" s="179"/>
      <c r="AG57" s="179"/>
      <c r="AH57" s="179"/>
      <c r="AI57" s="181" t="str">
        <f>IFERROR(IF(AND(AB56="Probabilidad",AB57="Probabilidad"),(AK56-(+AK56*AE57)),IF(AND(AB56="Impacto",AB57="Probabilidad"),(AK55-(+AK55*AE57)),IF(AB57="Impacto",AK56,""))),"")</f>
        <v/>
      </c>
      <c r="AJ57" s="182" t="str">
        <f t="shared" si="2"/>
        <v/>
      </c>
      <c r="AK57" s="180" t="str">
        <f t="shared" si="63"/>
        <v/>
      </c>
      <c r="AL57" s="182" t="str">
        <f t="shared" si="4"/>
        <v/>
      </c>
      <c r="AM57" s="180" t="str">
        <f t="shared" ref="AM57" si="66">IFERROR(IF(AND(AB56="Impacto",AB57="Impacto"),(AM56-(+AM56*AE57)),IF(AND(AB56="Probabilidad",AB57="Impacto"),(AM55-(+AM55*AE57)),IF(AB57="Probabilidad",AM56,""))),"")</f>
        <v/>
      </c>
      <c r="AN57" s="183" t="str">
        <f t="shared" si="65"/>
        <v/>
      </c>
      <c r="AO57" s="184"/>
      <c r="AP57" s="175"/>
      <c r="AQ57" s="175"/>
      <c r="AR57" s="175"/>
      <c r="AS57" s="251"/>
      <c r="AT57" s="329"/>
      <c r="AU57" s="329"/>
      <c r="AV57" s="329"/>
    </row>
    <row r="58" spans="1:48" ht="37.5" customHeight="1" x14ac:dyDescent="0.2">
      <c r="A58" s="328"/>
      <c r="B58" s="329"/>
      <c r="C58" s="329"/>
      <c r="D58" s="329"/>
      <c r="E58" s="329"/>
      <c r="F58" s="329"/>
      <c r="G58" s="343"/>
      <c r="H58" s="343"/>
      <c r="I58" s="343"/>
      <c r="J58" s="343"/>
      <c r="K58" s="343"/>
      <c r="L58" s="343"/>
      <c r="M58" s="343"/>
      <c r="N58" s="343"/>
      <c r="O58" s="343"/>
      <c r="P58" s="343"/>
      <c r="Q58" s="343"/>
      <c r="R58" s="339"/>
      <c r="S58" s="340"/>
      <c r="T58" s="341"/>
      <c r="U58" s="359"/>
      <c r="V58" s="341">
        <f>IF(NOT(ISERROR(MATCH(U58,_xlfn.ANCHORARRAY(E69),0))),T71&amp;"Por favor no seleccionar los criterios de impacto",U58)</f>
        <v>0</v>
      </c>
      <c r="W58" s="340"/>
      <c r="X58" s="341"/>
      <c r="Y58" s="358"/>
      <c r="Z58" s="203">
        <v>4</v>
      </c>
      <c r="AA58" s="176"/>
      <c r="AB58" s="178" t="str">
        <f t="shared" ref="AB58:AB60" si="67">IF(OR(AC58="Preventivo",AC58="Detectivo"),"Probabilidad",IF(AC58="Correctivo","Impacto",""))</f>
        <v/>
      </c>
      <c r="AC58" s="179"/>
      <c r="AD58" s="179"/>
      <c r="AE58" s="180"/>
      <c r="AF58" s="179"/>
      <c r="AG58" s="179"/>
      <c r="AH58" s="179"/>
      <c r="AI58" s="181" t="str">
        <f t="shared" ref="AI58:AI60" si="68">IFERROR(IF(AND(AB57="Probabilidad",AB58="Probabilidad"),(AK57-(+AK57*AE58)),IF(AND(AB57="Impacto",AB58="Probabilidad"),(AK56-(+AK56*AE58)),IF(AB58="Impacto",AK57,""))),"")</f>
        <v/>
      </c>
      <c r="AJ58" s="182" t="str">
        <f t="shared" si="2"/>
        <v/>
      </c>
      <c r="AK58" s="180" t="str">
        <f t="shared" si="63"/>
        <v/>
      </c>
      <c r="AL58" s="182" t="str">
        <f t="shared" si="4"/>
        <v/>
      </c>
      <c r="AM58" s="180" t="str">
        <f t="shared" si="13"/>
        <v/>
      </c>
      <c r="AN58" s="183"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84"/>
      <c r="AP58" s="175"/>
      <c r="AQ58" s="175"/>
      <c r="AR58" s="175"/>
      <c r="AS58" s="251"/>
      <c r="AT58" s="329"/>
      <c r="AU58" s="329"/>
      <c r="AV58" s="329"/>
    </row>
    <row r="59" spans="1:48" ht="37.5" customHeight="1" x14ac:dyDescent="0.2">
      <c r="A59" s="328"/>
      <c r="B59" s="329"/>
      <c r="C59" s="329"/>
      <c r="D59" s="329"/>
      <c r="E59" s="329"/>
      <c r="F59" s="329"/>
      <c r="G59" s="343"/>
      <c r="H59" s="343"/>
      <c r="I59" s="343"/>
      <c r="J59" s="343"/>
      <c r="K59" s="343"/>
      <c r="L59" s="343"/>
      <c r="M59" s="343"/>
      <c r="N59" s="343"/>
      <c r="O59" s="343"/>
      <c r="P59" s="343"/>
      <c r="Q59" s="343"/>
      <c r="R59" s="339"/>
      <c r="S59" s="340"/>
      <c r="T59" s="341"/>
      <c r="U59" s="359"/>
      <c r="V59" s="341">
        <f>IF(NOT(ISERROR(MATCH(U59,_xlfn.ANCHORARRAY(E70),0))),T72&amp;"Por favor no seleccionar los criterios de impacto",U59)</f>
        <v>0</v>
      </c>
      <c r="W59" s="340"/>
      <c r="X59" s="341"/>
      <c r="Y59" s="358"/>
      <c r="Z59" s="203">
        <v>5</v>
      </c>
      <c r="AA59" s="176"/>
      <c r="AB59" s="178" t="str">
        <f t="shared" si="67"/>
        <v/>
      </c>
      <c r="AC59" s="179"/>
      <c r="AD59" s="179"/>
      <c r="AE59" s="180"/>
      <c r="AF59" s="179"/>
      <c r="AG59" s="179"/>
      <c r="AH59" s="179"/>
      <c r="AI59" s="181" t="str">
        <f t="shared" si="68"/>
        <v/>
      </c>
      <c r="AJ59" s="182" t="str">
        <f t="shared" si="2"/>
        <v/>
      </c>
      <c r="AK59" s="180" t="str">
        <f t="shared" si="63"/>
        <v/>
      </c>
      <c r="AL59" s="182" t="str">
        <f t="shared" si="4"/>
        <v/>
      </c>
      <c r="AM59" s="180" t="str">
        <f t="shared" si="13"/>
        <v/>
      </c>
      <c r="AN59" s="183" t="str">
        <f t="shared" ref="AN59:AN60" si="69">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84"/>
      <c r="AP59" s="175"/>
      <c r="AQ59" s="175"/>
      <c r="AR59" s="175"/>
      <c r="AS59" s="251"/>
      <c r="AT59" s="329"/>
      <c r="AU59" s="329"/>
      <c r="AV59" s="329"/>
    </row>
    <row r="60" spans="1:48" ht="37.5" customHeight="1" x14ac:dyDescent="0.2">
      <c r="A60" s="328"/>
      <c r="B60" s="329"/>
      <c r="C60" s="329"/>
      <c r="D60" s="329"/>
      <c r="E60" s="329"/>
      <c r="F60" s="329"/>
      <c r="G60" s="344"/>
      <c r="H60" s="344"/>
      <c r="I60" s="344"/>
      <c r="J60" s="344"/>
      <c r="K60" s="344"/>
      <c r="L60" s="344"/>
      <c r="M60" s="344"/>
      <c r="N60" s="344"/>
      <c r="O60" s="344"/>
      <c r="P60" s="344"/>
      <c r="Q60" s="344"/>
      <c r="R60" s="339"/>
      <c r="S60" s="340"/>
      <c r="T60" s="341"/>
      <c r="U60" s="359"/>
      <c r="V60" s="341">
        <f>IF(NOT(ISERROR(MATCH(U60,_xlfn.ANCHORARRAY(E71),0))),U73&amp;"Por favor no seleccionar los criterios de impacto",U60)</f>
        <v>0</v>
      </c>
      <c r="W60" s="340"/>
      <c r="X60" s="341"/>
      <c r="Y60" s="358"/>
      <c r="Z60" s="203">
        <v>6</v>
      </c>
      <c r="AA60" s="176"/>
      <c r="AB60" s="178" t="str">
        <f t="shared" si="67"/>
        <v/>
      </c>
      <c r="AC60" s="179"/>
      <c r="AD60" s="179"/>
      <c r="AE60" s="180" t="str">
        <f t="shared" ref="AE60" si="70">IF(AND(AC60="Preventivo",AD60="Automático"),"50%",IF(AND(AC60="Preventivo",AD60="Manual"),"40%",IF(AND(AC60="Detectivo",AD60="Automático"),"40%",IF(AND(AC60="Detectivo",AD60="Manual"),"30%",IF(AND(AC60="Correctivo",AD60="Automático"),"35%",IF(AND(AC60="Correctivo",AD60="Manual"),"25%",""))))))</f>
        <v/>
      </c>
      <c r="AF60" s="179"/>
      <c r="AG60" s="179"/>
      <c r="AH60" s="179"/>
      <c r="AI60" s="181" t="str">
        <f t="shared" si="68"/>
        <v/>
      </c>
      <c r="AJ60" s="182" t="str">
        <f t="shared" si="2"/>
        <v/>
      </c>
      <c r="AK60" s="180" t="str">
        <f t="shared" si="63"/>
        <v/>
      </c>
      <c r="AL60" s="182" t="str">
        <f t="shared" si="4"/>
        <v/>
      </c>
      <c r="AM60" s="180" t="str">
        <f t="shared" si="13"/>
        <v/>
      </c>
      <c r="AN60" s="183" t="str">
        <f t="shared" si="69"/>
        <v/>
      </c>
      <c r="AO60" s="184"/>
      <c r="AP60" s="175"/>
      <c r="AQ60" s="175"/>
      <c r="AR60" s="175"/>
      <c r="AS60" s="251"/>
      <c r="AT60" s="329"/>
      <c r="AU60" s="329"/>
      <c r="AV60" s="329"/>
    </row>
    <row r="61" spans="1:48" ht="37.5" customHeight="1" x14ac:dyDescent="0.2">
      <c r="A61" s="328">
        <v>9</v>
      </c>
      <c r="B61" s="329"/>
      <c r="C61" s="329"/>
      <c r="D61" s="329"/>
      <c r="E61" s="329"/>
      <c r="F61" s="329"/>
      <c r="G61" s="342"/>
      <c r="H61" s="342"/>
      <c r="I61" s="342"/>
      <c r="J61" s="342"/>
      <c r="K61" s="342"/>
      <c r="L61" s="342"/>
      <c r="M61" s="210"/>
      <c r="N61" s="210"/>
      <c r="O61" s="210"/>
      <c r="P61" s="342"/>
      <c r="Q61" s="342"/>
      <c r="R61" s="339"/>
      <c r="S61" s="340" t="str">
        <f>IF(R61&lt;=0,"",IF(R61&lt;=2,"Muy Baja",IF(R61&lt;=24,"Baja",IF(R61&lt;=500,"Media",IF(R61&lt;=5000,"Alta","Muy Alta")))))</f>
        <v/>
      </c>
      <c r="T61" s="341" t="str">
        <f>IF(S61="","",IF(S61="Muy Baja",0.2,IF(S61="Baja",0.4,IF(S61="Media",0.6,IF(S61="Alta",0.8,IF(S61="Muy Alta",1,))))))</f>
        <v/>
      </c>
      <c r="U61" s="359"/>
      <c r="V61" s="341">
        <f>IF(NOT(ISERROR(MATCH(U61,'Tabla Impacto'!$B$222:$B$224,0))),'Tabla Impacto'!$F$224&amp;"Por favor no seleccionar los criterios de impacto(Afectación Económica o presupuestal y Pérdida Reputacional)",U61)</f>
        <v>0</v>
      </c>
      <c r="W61" s="340" t="str">
        <f>IF(OR(V61='Tabla Impacto'!$C$12,V61='Tabla Impacto'!$D$12),"Leve",IF(OR(V61='Tabla Impacto'!$C$13,V61='Tabla Impacto'!$D$13),"Menor",IF(OR(V61='Tabla Impacto'!$C$14,V61='Tabla Impacto'!$D$14),"Moderado",IF(OR(V61='Tabla Impacto'!$C$15,V61='Tabla Impacto'!$D$15),"Mayor",IF(OR(V61='Tabla Impacto'!$C$16,V61='Tabla Impacto'!$D$16),"Catastrófico","")))))</f>
        <v/>
      </c>
      <c r="X61" s="341" t="str">
        <f>IF(W61="","",IF(W61="Leve",0.2,IF(W61="Menor",0.4,IF(W61="Moderado",0.6,IF(W61="Mayor",0.8,IF(W61="Catastrófico",1,))))))</f>
        <v/>
      </c>
      <c r="Y61" s="358"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03">
        <v>1</v>
      </c>
      <c r="AA61" s="176"/>
      <c r="AB61" s="178" t="str">
        <f>IF(OR(AC61="Preventivo",AC61="Detectivo"),"Probabilidad",IF(AC61="Correctivo","Impacto",""))</f>
        <v/>
      </c>
      <c r="AC61" s="179"/>
      <c r="AD61" s="179"/>
      <c r="AE61" s="180" t="str">
        <f>IF(AND(AC61="Preventivo",AD61="Automático"),"50%",IF(AND(AC61="Preventivo",AD61="Manual"),"40%",IF(AND(AC61="Detectivo",AD61="Automático"),"40%",IF(AND(AC61="Detectivo",AD61="Manual"),"30%",IF(AND(AC61="Correctivo",AD61="Automático"),"35%",IF(AND(AC61="Correctivo",AD61="Manual"),"25%",""))))))</f>
        <v/>
      </c>
      <c r="AF61" s="179"/>
      <c r="AG61" s="179"/>
      <c r="AH61" s="179"/>
      <c r="AI61" s="181" t="str">
        <f>IFERROR(IF(AB61="Probabilidad",(T61-(+T61*AE61)),IF(AB61="Impacto",T61,"")),"")</f>
        <v/>
      </c>
      <c r="AJ61" s="182" t="str">
        <f>IFERROR(IF(AI61="","",IF(AI61&lt;=0.2,"Muy Baja",IF(AI61&lt;=0.4,"Baja",IF(AI61&lt;=0.6,"Media",IF(AI61&lt;=0.8,"Alta","Muy Alta"))))),"")</f>
        <v/>
      </c>
      <c r="AK61" s="180" t="str">
        <f>+AI61</f>
        <v/>
      </c>
      <c r="AL61" s="182" t="str">
        <f>IFERROR(IF(AM61="","",IF(AM61&lt;=0.2,"Leve",IF(AM61&lt;=0.4,"Menor",IF(AM61&lt;=0.6,"Moderado",IF(AM61&lt;=0.8,"Mayor","Catastrófico"))))),"")</f>
        <v/>
      </c>
      <c r="AM61" s="180" t="str">
        <f t="shared" ref="AM61" si="71">IFERROR(IF(AB61="Impacto",(X61-(+X61*AE61)),IF(AB61="Probabilidad",X61,"")),"")</f>
        <v/>
      </c>
      <c r="AN61" s="183"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84"/>
      <c r="AP61" s="175"/>
      <c r="AQ61" s="175"/>
      <c r="AR61" s="175"/>
      <c r="AS61" s="251"/>
      <c r="AT61" s="339"/>
      <c r="AU61" s="329"/>
      <c r="AV61" s="329"/>
    </row>
    <row r="62" spans="1:48" ht="37.5" customHeight="1" x14ac:dyDescent="0.2">
      <c r="A62" s="328"/>
      <c r="B62" s="329"/>
      <c r="C62" s="329"/>
      <c r="D62" s="329"/>
      <c r="E62" s="329"/>
      <c r="F62" s="329"/>
      <c r="G62" s="343"/>
      <c r="H62" s="343"/>
      <c r="I62" s="343"/>
      <c r="J62" s="343"/>
      <c r="K62" s="343"/>
      <c r="L62" s="343"/>
      <c r="M62" s="211"/>
      <c r="N62" s="211"/>
      <c r="O62" s="211"/>
      <c r="P62" s="343"/>
      <c r="Q62" s="343"/>
      <c r="R62" s="339"/>
      <c r="S62" s="340"/>
      <c r="T62" s="341"/>
      <c r="U62" s="359"/>
      <c r="V62" s="341">
        <f>IF(NOT(ISERROR(MATCH(U62,_xlfn.ANCHORARRAY(F73),0))),U75&amp;"Por favor no seleccionar los criterios de impacto",U62)</f>
        <v>0</v>
      </c>
      <c r="W62" s="340"/>
      <c r="X62" s="341"/>
      <c r="Y62" s="358"/>
      <c r="Z62" s="203">
        <v>2</v>
      </c>
      <c r="AA62" s="176"/>
      <c r="AB62" s="178" t="str">
        <f>IF(OR(AC62="Preventivo",AC62="Detectivo"),"Probabilidad",IF(AC62="Correctivo","Impacto",""))</f>
        <v/>
      </c>
      <c r="AC62" s="179"/>
      <c r="AD62" s="179"/>
      <c r="AE62" s="180" t="str">
        <f t="shared" ref="AE62:AE66" si="72">IF(AND(AC62="Preventivo",AD62="Automático"),"50%",IF(AND(AC62="Preventivo",AD62="Manual"),"40%",IF(AND(AC62="Detectivo",AD62="Automático"),"40%",IF(AND(AC62="Detectivo",AD62="Manual"),"30%",IF(AND(AC62="Correctivo",AD62="Automático"),"35%",IF(AND(AC62="Correctivo",AD62="Manual"),"25%",""))))))</f>
        <v/>
      </c>
      <c r="AF62" s="179"/>
      <c r="AG62" s="179"/>
      <c r="AH62" s="179"/>
      <c r="AI62" s="181" t="str">
        <f>IFERROR(IF(AND(AB61="Probabilidad",AB62="Probabilidad"),(AK61-(+AK61*AE62)),IF(AB62="Probabilidad",(T61-(+T61*AE62)),IF(AB62="Impacto",AK61,""))),"")</f>
        <v/>
      </c>
      <c r="AJ62" s="182" t="str">
        <f t="shared" si="2"/>
        <v/>
      </c>
      <c r="AK62" s="180" t="str">
        <f t="shared" ref="AK62:AK66" si="73">+AI62</f>
        <v/>
      </c>
      <c r="AL62" s="182" t="str">
        <f t="shared" si="4"/>
        <v/>
      </c>
      <c r="AM62" s="180" t="str">
        <f t="shared" ref="AM62" si="74">IFERROR(IF(AND(AB61="Impacto",AB62="Impacto"),(AM61-(+AM61*AE62)),IF(AB62="Impacto",($X$13-(+$X$13*AE62)),IF(AB62="Probabilidad",AM61,""))),"")</f>
        <v/>
      </c>
      <c r="AN62" s="183"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84"/>
      <c r="AP62" s="175"/>
      <c r="AQ62" s="175"/>
      <c r="AR62" s="175"/>
      <c r="AS62" s="251"/>
      <c r="AT62" s="339"/>
      <c r="AU62" s="329"/>
      <c r="AV62" s="329"/>
    </row>
    <row r="63" spans="1:48" ht="37.5" customHeight="1" x14ac:dyDescent="0.2">
      <c r="A63" s="328"/>
      <c r="B63" s="329"/>
      <c r="C63" s="329"/>
      <c r="D63" s="329"/>
      <c r="E63" s="329"/>
      <c r="F63" s="329"/>
      <c r="G63" s="343"/>
      <c r="H63" s="343"/>
      <c r="I63" s="343"/>
      <c r="J63" s="343"/>
      <c r="K63" s="343"/>
      <c r="L63" s="343"/>
      <c r="M63" s="211"/>
      <c r="N63" s="211"/>
      <c r="O63" s="211"/>
      <c r="P63" s="343"/>
      <c r="Q63" s="343"/>
      <c r="R63" s="339"/>
      <c r="S63" s="340"/>
      <c r="T63" s="341"/>
      <c r="U63" s="359"/>
      <c r="V63" s="341">
        <f>IF(NOT(ISERROR(MATCH(U63,_xlfn.ANCHORARRAY(F74),0))),U76&amp;"Por favor no seleccionar los criterios de impacto",U63)</f>
        <v>0</v>
      </c>
      <c r="W63" s="340"/>
      <c r="X63" s="341"/>
      <c r="Y63" s="358"/>
      <c r="Z63" s="203">
        <v>3</v>
      </c>
      <c r="AA63" s="176"/>
      <c r="AB63" s="178" t="str">
        <f>IF(OR(AC63="Preventivo",AC63="Detectivo"),"Probabilidad",IF(AC63="Correctivo","Impacto",""))</f>
        <v/>
      </c>
      <c r="AC63" s="179"/>
      <c r="AD63" s="179"/>
      <c r="AE63" s="180" t="str">
        <f t="shared" si="72"/>
        <v/>
      </c>
      <c r="AF63" s="179"/>
      <c r="AG63" s="179"/>
      <c r="AH63" s="179"/>
      <c r="AI63" s="181" t="str">
        <f>IFERROR(IF(AND(AB62="Probabilidad",AB63="Probabilidad"),(AK62-(+AK62*AE63)),IF(AND(AB62="Impacto",AB63="Probabilidad"),(AK61-(+AK61*AE63)),IF(AB63="Impacto",AK62,""))),"")</f>
        <v/>
      </c>
      <c r="AJ63" s="182" t="str">
        <f t="shared" si="2"/>
        <v/>
      </c>
      <c r="AK63" s="180" t="str">
        <f t="shared" si="73"/>
        <v/>
      </c>
      <c r="AL63" s="182" t="str">
        <f t="shared" si="4"/>
        <v/>
      </c>
      <c r="AM63" s="180" t="str">
        <f t="shared" ref="AM63" si="76">IFERROR(IF(AND(AB62="Impacto",AB63="Impacto"),(AM62-(+AM62*AE63)),IF(AND(AB62="Probabilidad",AB63="Impacto"),(AM61-(+AM61*AE63)),IF(AB63="Probabilidad",AM62,""))),"")</f>
        <v/>
      </c>
      <c r="AN63" s="183" t="str">
        <f t="shared" si="75"/>
        <v/>
      </c>
      <c r="AO63" s="184"/>
      <c r="AP63" s="175"/>
      <c r="AQ63" s="175"/>
      <c r="AR63" s="175"/>
      <c r="AS63" s="251"/>
      <c r="AT63" s="339"/>
      <c r="AU63" s="329"/>
      <c r="AV63" s="329"/>
    </row>
    <row r="64" spans="1:48" ht="37.5" customHeight="1" x14ac:dyDescent="0.2">
      <c r="A64" s="328"/>
      <c r="B64" s="329"/>
      <c r="C64" s="329"/>
      <c r="D64" s="329"/>
      <c r="E64" s="329"/>
      <c r="F64" s="329"/>
      <c r="G64" s="343"/>
      <c r="H64" s="343"/>
      <c r="I64" s="343"/>
      <c r="J64" s="343"/>
      <c r="K64" s="343"/>
      <c r="L64" s="343"/>
      <c r="M64" s="211"/>
      <c r="N64" s="211"/>
      <c r="O64" s="211"/>
      <c r="P64" s="343"/>
      <c r="Q64" s="343"/>
      <c r="R64" s="339"/>
      <c r="S64" s="340"/>
      <c r="T64" s="341"/>
      <c r="U64" s="359"/>
      <c r="V64" s="341">
        <f>IF(NOT(ISERROR(MATCH(U64,_xlfn.ANCHORARRAY(F75),0))),U77&amp;"Por favor no seleccionar los criterios de impacto",U64)</f>
        <v>0</v>
      </c>
      <c r="W64" s="340"/>
      <c r="X64" s="341"/>
      <c r="Y64" s="358"/>
      <c r="Z64" s="203">
        <v>4</v>
      </c>
      <c r="AA64" s="176"/>
      <c r="AB64" s="178" t="str">
        <f t="shared" ref="AB64:AB66" si="77">IF(OR(AC64="Preventivo",AC64="Detectivo"),"Probabilidad",IF(AC64="Correctivo","Impacto",""))</f>
        <v/>
      </c>
      <c r="AC64" s="179"/>
      <c r="AD64" s="179"/>
      <c r="AE64" s="180" t="str">
        <f t="shared" si="72"/>
        <v/>
      </c>
      <c r="AF64" s="179"/>
      <c r="AG64" s="179"/>
      <c r="AH64" s="179"/>
      <c r="AI64" s="181" t="str">
        <f t="shared" ref="AI64:AI66" si="78">IFERROR(IF(AND(AB63="Probabilidad",AB64="Probabilidad"),(AK63-(+AK63*AE64)),IF(AND(AB63="Impacto",AB64="Probabilidad"),(AK62-(+AK62*AE64)),IF(AB64="Impacto",AK63,""))),"")</f>
        <v/>
      </c>
      <c r="AJ64" s="182" t="str">
        <f t="shared" si="2"/>
        <v/>
      </c>
      <c r="AK64" s="180" t="str">
        <f t="shared" si="73"/>
        <v/>
      </c>
      <c r="AL64" s="182" t="str">
        <f t="shared" si="4"/>
        <v/>
      </c>
      <c r="AM64" s="180" t="str">
        <f t="shared" si="13"/>
        <v/>
      </c>
      <c r="AN64" s="183"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84"/>
      <c r="AP64" s="175"/>
      <c r="AQ64" s="175"/>
      <c r="AR64" s="175"/>
      <c r="AS64" s="251"/>
      <c r="AT64" s="339"/>
      <c r="AU64" s="329"/>
      <c r="AV64" s="329"/>
    </row>
    <row r="65" spans="1:48" ht="37.5" customHeight="1" x14ac:dyDescent="0.2">
      <c r="A65" s="328"/>
      <c r="B65" s="329"/>
      <c r="C65" s="329"/>
      <c r="D65" s="329"/>
      <c r="E65" s="329"/>
      <c r="F65" s="329"/>
      <c r="G65" s="343"/>
      <c r="H65" s="343"/>
      <c r="I65" s="343"/>
      <c r="J65" s="343"/>
      <c r="K65" s="343"/>
      <c r="L65" s="343"/>
      <c r="M65" s="211"/>
      <c r="N65" s="211"/>
      <c r="O65" s="211"/>
      <c r="P65" s="343"/>
      <c r="Q65" s="343"/>
      <c r="R65" s="339"/>
      <c r="S65" s="340"/>
      <c r="T65" s="341"/>
      <c r="U65" s="359"/>
      <c r="V65" s="341">
        <f>IF(NOT(ISERROR(MATCH(U65,_xlfn.ANCHORARRAY(F76),0))),U78&amp;"Por favor no seleccionar los criterios de impacto",U65)</f>
        <v>0</v>
      </c>
      <c r="W65" s="340"/>
      <c r="X65" s="341"/>
      <c r="Y65" s="358"/>
      <c r="Z65" s="203">
        <v>5</v>
      </c>
      <c r="AA65" s="176"/>
      <c r="AB65" s="178" t="str">
        <f t="shared" si="77"/>
        <v/>
      </c>
      <c r="AC65" s="179"/>
      <c r="AD65" s="179"/>
      <c r="AE65" s="180" t="str">
        <f t="shared" si="72"/>
        <v/>
      </c>
      <c r="AF65" s="179"/>
      <c r="AG65" s="179"/>
      <c r="AH65" s="179"/>
      <c r="AI65" s="181" t="str">
        <f t="shared" si="78"/>
        <v/>
      </c>
      <c r="AJ65" s="182" t="str">
        <f t="shared" si="2"/>
        <v/>
      </c>
      <c r="AK65" s="180" t="str">
        <f t="shared" si="73"/>
        <v/>
      </c>
      <c r="AL65" s="182" t="str">
        <f t="shared" si="4"/>
        <v/>
      </c>
      <c r="AM65" s="180" t="str">
        <f t="shared" si="13"/>
        <v/>
      </c>
      <c r="AN65" s="183"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84"/>
      <c r="AP65" s="175"/>
      <c r="AQ65" s="175"/>
      <c r="AR65" s="175"/>
      <c r="AS65" s="251"/>
      <c r="AT65" s="339"/>
      <c r="AU65" s="329"/>
      <c r="AV65" s="329"/>
    </row>
    <row r="66" spans="1:48" ht="37.5" customHeight="1" x14ac:dyDescent="0.2">
      <c r="A66" s="328"/>
      <c r="B66" s="329"/>
      <c r="C66" s="329"/>
      <c r="D66" s="329"/>
      <c r="E66" s="329"/>
      <c r="F66" s="329"/>
      <c r="G66" s="344"/>
      <c r="H66" s="344"/>
      <c r="I66" s="344"/>
      <c r="J66" s="344"/>
      <c r="K66" s="344"/>
      <c r="L66" s="344"/>
      <c r="M66" s="212"/>
      <c r="N66" s="212"/>
      <c r="O66" s="212"/>
      <c r="P66" s="344"/>
      <c r="Q66" s="344"/>
      <c r="R66" s="339"/>
      <c r="S66" s="340"/>
      <c r="T66" s="341"/>
      <c r="U66" s="359"/>
      <c r="V66" s="341">
        <f>IF(NOT(ISERROR(MATCH(U66,_xlfn.ANCHORARRAY(F77),0))),U79&amp;"Por favor no seleccionar los criterios de impacto",U66)</f>
        <v>0</v>
      </c>
      <c r="W66" s="340"/>
      <c r="X66" s="341"/>
      <c r="Y66" s="358"/>
      <c r="Z66" s="203">
        <v>6</v>
      </c>
      <c r="AA66" s="176"/>
      <c r="AB66" s="178" t="str">
        <f t="shared" si="77"/>
        <v/>
      </c>
      <c r="AC66" s="179"/>
      <c r="AD66" s="179"/>
      <c r="AE66" s="180" t="str">
        <f t="shared" si="72"/>
        <v/>
      </c>
      <c r="AF66" s="179"/>
      <c r="AG66" s="179"/>
      <c r="AH66" s="179"/>
      <c r="AI66" s="181" t="str">
        <f t="shared" si="78"/>
        <v/>
      </c>
      <c r="AJ66" s="182" t="str">
        <f t="shared" si="2"/>
        <v/>
      </c>
      <c r="AK66" s="180" t="str">
        <f t="shared" si="73"/>
        <v/>
      </c>
      <c r="AL66" s="182" t="str">
        <f t="shared" si="4"/>
        <v/>
      </c>
      <c r="AM66" s="180" t="str">
        <f t="shared" si="13"/>
        <v/>
      </c>
      <c r="AN66" s="183" t="str">
        <f t="shared" si="79"/>
        <v/>
      </c>
      <c r="AO66" s="184"/>
      <c r="AP66" s="175"/>
      <c r="AQ66" s="175"/>
      <c r="AR66" s="175"/>
      <c r="AS66" s="251"/>
      <c r="AT66" s="339"/>
      <c r="AU66" s="329"/>
      <c r="AV66" s="329"/>
    </row>
    <row r="67" spans="1:48" ht="37.5" customHeight="1" x14ac:dyDescent="0.2">
      <c r="A67" s="328">
        <v>10</v>
      </c>
      <c r="B67" s="329"/>
      <c r="C67" s="329"/>
      <c r="D67" s="329"/>
      <c r="E67" s="329"/>
      <c r="F67" s="329"/>
      <c r="G67" s="342"/>
      <c r="H67" s="342"/>
      <c r="I67" s="342"/>
      <c r="J67" s="342"/>
      <c r="K67" s="342"/>
      <c r="L67" s="342"/>
      <c r="M67" s="210"/>
      <c r="N67" s="210"/>
      <c r="O67" s="210"/>
      <c r="P67" s="342"/>
      <c r="Q67" s="342"/>
      <c r="R67" s="339"/>
      <c r="S67" s="340" t="str">
        <f>IF(R67&lt;=0,"",IF(R67&lt;=2,"Muy Baja",IF(R67&lt;=24,"Baja",IF(R67&lt;=500,"Media",IF(R67&lt;=5000,"Alta","Muy Alta")))))</f>
        <v/>
      </c>
      <c r="T67" s="341" t="str">
        <f>IF(S67="","",IF(S67="Muy Baja",0.2,IF(S67="Baja",0.4,IF(S67="Media",0.6,IF(S67="Alta",0.8,IF(S67="Muy Alta",1,))))))</f>
        <v/>
      </c>
      <c r="U67" s="359"/>
      <c r="V67" s="341">
        <f>IF(NOT(ISERROR(MATCH(U67,'Tabla Impacto'!$B$222:$B$224,0))),'Tabla Impacto'!$F$224&amp;"Por favor no seleccionar los criterios de impacto(Afectación Económica o presupuestal y Pérdida Reputacional)",U67)</f>
        <v>0</v>
      </c>
      <c r="W67" s="340" t="str">
        <f>IF(OR(V67='Tabla Impacto'!$C$12,V67='Tabla Impacto'!$D$12),"Leve",IF(OR(V67='Tabla Impacto'!$C$13,V67='Tabla Impacto'!$D$13),"Menor",IF(OR(V67='Tabla Impacto'!$C$14,V67='Tabla Impacto'!$D$14),"Moderado",IF(OR(V67='Tabla Impacto'!$C$15,V67='Tabla Impacto'!$D$15),"Mayor",IF(OR(V67='Tabla Impacto'!$C$16,V67='Tabla Impacto'!$D$16),"Catastrófico","")))))</f>
        <v/>
      </c>
      <c r="X67" s="341" t="str">
        <f>IF(W67="","",IF(W67="Leve",0.2,IF(W67="Menor",0.4,IF(W67="Moderado",0.6,IF(W67="Mayor",0.8,IF(W67="Catastrófico",1,))))))</f>
        <v/>
      </c>
      <c r="Y67" s="358"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03">
        <v>1</v>
      </c>
      <c r="AA67" s="176"/>
      <c r="AB67" s="178" t="str">
        <f>IF(OR(AC67="Preventivo",AC67="Detectivo"),"Probabilidad",IF(AC67="Correctivo","Impacto",""))</f>
        <v/>
      </c>
      <c r="AC67" s="179"/>
      <c r="AD67" s="179"/>
      <c r="AE67" s="180" t="str">
        <f>IF(AND(AC67="Preventivo",AD67="Automático"),"50%",IF(AND(AC67="Preventivo",AD67="Manual"),"40%",IF(AND(AC67="Detectivo",AD67="Automático"),"40%",IF(AND(AC67="Detectivo",AD67="Manual"),"30%",IF(AND(AC67="Correctivo",AD67="Automático"),"35%",IF(AND(AC67="Correctivo",AD67="Manual"),"25%",""))))))</f>
        <v/>
      </c>
      <c r="AF67" s="179"/>
      <c r="AG67" s="179"/>
      <c r="AH67" s="179"/>
      <c r="AI67" s="181" t="str">
        <f>IFERROR(IF(AB67="Probabilidad",(T67-(+T67*AE67)),IF(AB67="Impacto",T67,"")),"")</f>
        <v/>
      </c>
      <c r="AJ67" s="182" t="str">
        <f>IFERROR(IF(AI67="","",IF(AI67&lt;=0.2,"Muy Baja",IF(AI67&lt;=0.4,"Baja",IF(AI67&lt;=0.6,"Media",IF(AI67&lt;=0.8,"Alta","Muy Alta"))))),"")</f>
        <v/>
      </c>
      <c r="AK67" s="180" t="str">
        <f>+AI67</f>
        <v/>
      </c>
      <c r="AL67" s="182" t="str">
        <f>IFERROR(IF(AM67="","",IF(AM67&lt;=0.2,"Leve",IF(AM67&lt;=0.4,"Menor",IF(AM67&lt;=0.6,"Moderado",IF(AM67&lt;=0.8,"Mayor","Catastrófico"))))),"")</f>
        <v/>
      </c>
      <c r="AM67" s="180" t="str">
        <f t="shared" ref="AM67" si="80">IFERROR(IF(AB67="Impacto",(X67-(+X67*AE67)),IF(AB67="Probabilidad",X67,"")),"")</f>
        <v/>
      </c>
      <c r="AN67" s="183"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84"/>
      <c r="AP67" s="175"/>
      <c r="AQ67" s="175"/>
      <c r="AR67" s="175"/>
      <c r="AS67" s="251"/>
      <c r="AT67" s="339"/>
      <c r="AU67" s="329"/>
      <c r="AV67" s="329"/>
    </row>
    <row r="68" spans="1:48" ht="37.5" customHeight="1" x14ac:dyDescent="0.2">
      <c r="A68" s="328"/>
      <c r="B68" s="329"/>
      <c r="C68" s="329"/>
      <c r="D68" s="329"/>
      <c r="E68" s="329"/>
      <c r="F68" s="329"/>
      <c r="G68" s="343"/>
      <c r="H68" s="343"/>
      <c r="I68" s="343"/>
      <c r="J68" s="343"/>
      <c r="K68" s="343"/>
      <c r="L68" s="343"/>
      <c r="M68" s="211"/>
      <c r="N68" s="211"/>
      <c r="O68" s="211"/>
      <c r="P68" s="343"/>
      <c r="Q68" s="343"/>
      <c r="R68" s="339"/>
      <c r="S68" s="340"/>
      <c r="T68" s="341"/>
      <c r="U68" s="359"/>
      <c r="V68" s="341">
        <f>IF(NOT(ISERROR(MATCH(U68,_xlfn.ANCHORARRAY(F79),0))),U81&amp;"Por favor no seleccionar los criterios de impacto",U68)</f>
        <v>0</v>
      </c>
      <c r="W68" s="340"/>
      <c r="X68" s="341"/>
      <c r="Y68" s="358"/>
      <c r="Z68" s="203">
        <v>2</v>
      </c>
      <c r="AA68" s="176"/>
      <c r="AB68" s="178" t="str">
        <f>IF(OR(AC68="Preventivo",AC68="Detectivo"),"Probabilidad",IF(AC68="Correctivo","Impacto",""))</f>
        <v/>
      </c>
      <c r="AC68" s="179"/>
      <c r="AD68" s="179"/>
      <c r="AE68" s="180" t="str">
        <f t="shared" ref="AE68:AE72" si="81">IF(AND(AC68="Preventivo",AD68="Automático"),"50%",IF(AND(AC68="Preventivo",AD68="Manual"),"40%",IF(AND(AC68="Detectivo",AD68="Automático"),"40%",IF(AND(AC68="Detectivo",AD68="Manual"),"30%",IF(AND(AC68="Correctivo",AD68="Automático"),"35%",IF(AND(AC68="Correctivo",AD68="Manual"),"25%",""))))))</f>
        <v/>
      </c>
      <c r="AF68" s="179"/>
      <c r="AG68" s="179"/>
      <c r="AH68" s="179"/>
      <c r="AI68" s="181" t="str">
        <f>IFERROR(IF(AND(AB67="Probabilidad",AB68="Probabilidad"),(AK67-(+AK67*AE68)),IF(AB68="Probabilidad",(T67-(+T67*AE68)),IF(AB68="Impacto",AK67,""))),"")</f>
        <v/>
      </c>
      <c r="AJ68" s="182" t="str">
        <f t="shared" si="2"/>
        <v/>
      </c>
      <c r="AK68" s="180" t="str">
        <f t="shared" ref="AK68:AK72" si="82">+AI68</f>
        <v/>
      </c>
      <c r="AL68" s="182" t="str">
        <f t="shared" si="4"/>
        <v/>
      </c>
      <c r="AM68" s="180" t="str">
        <f t="shared" ref="AM68" si="83">IFERROR(IF(AND(AB67="Impacto",AB68="Impacto"),(AM67-(+AM67*AE68)),IF(AB68="Impacto",($X$13-(+$X$13*AE68)),IF(AB68="Probabilidad",AM67,""))),"")</f>
        <v/>
      </c>
      <c r="AN68" s="183"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84"/>
      <c r="AP68" s="175"/>
      <c r="AQ68" s="175"/>
      <c r="AR68" s="175"/>
      <c r="AS68" s="251"/>
      <c r="AT68" s="339"/>
      <c r="AU68" s="329"/>
      <c r="AV68" s="329"/>
    </row>
    <row r="69" spans="1:48" ht="37.5" customHeight="1" x14ac:dyDescent="0.2">
      <c r="A69" s="328"/>
      <c r="B69" s="329"/>
      <c r="C69" s="329"/>
      <c r="D69" s="329"/>
      <c r="E69" s="329"/>
      <c r="F69" s="329"/>
      <c r="G69" s="343"/>
      <c r="H69" s="343"/>
      <c r="I69" s="343"/>
      <c r="J69" s="343"/>
      <c r="K69" s="343"/>
      <c r="L69" s="343"/>
      <c r="M69" s="211"/>
      <c r="N69" s="211"/>
      <c r="O69" s="211"/>
      <c r="P69" s="343"/>
      <c r="Q69" s="343"/>
      <c r="R69" s="339"/>
      <c r="S69" s="340"/>
      <c r="T69" s="341"/>
      <c r="U69" s="359"/>
      <c r="V69" s="341">
        <f>IF(NOT(ISERROR(MATCH(U69,_xlfn.ANCHORARRAY(F80),0))),U82&amp;"Por favor no seleccionar los criterios de impacto",U69)</f>
        <v>0</v>
      </c>
      <c r="W69" s="340"/>
      <c r="X69" s="341"/>
      <c r="Y69" s="358"/>
      <c r="Z69" s="203">
        <v>3</v>
      </c>
      <c r="AA69" s="176"/>
      <c r="AB69" s="178" t="str">
        <f>IF(OR(AC69="Preventivo",AC69="Detectivo"),"Probabilidad",IF(AC69="Correctivo","Impacto",""))</f>
        <v/>
      </c>
      <c r="AC69" s="179"/>
      <c r="AD69" s="179"/>
      <c r="AE69" s="180" t="str">
        <f t="shared" si="81"/>
        <v/>
      </c>
      <c r="AF69" s="179"/>
      <c r="AG69" s="179"/>
      <c r="AH69" s="179"/>
      <c r="AI69" s="181" t="str">
        <f>IFERROR(IF(AND(AB68="Probabilidad",AB69="Probabilidad"),(AK68-(+AK68*AE69)),IF(AND(AB68="Impacto",AB69="Probabilidad"),(AK67-(+AK67*AE69)),IF(AB69="Impacto",AK68,""))),"")</f>
        <v/>
      </c>
      <c r="AJ69" s="182" t="str">
        <f t="shared" si="2"/>
        <v/>
      </c>
      <c r="AK69" s="180" t="str">
        <f t="shared" si="82"/>
        <v/>
      </c>
      <c r="AL69" s="182" t="str">
        <f t="shared" si="4"/>
        <v/>
      </c>
      <c r="AM69" s="180" t="str">
        <f t="shared" ref="AM69" si="85">IFERROR(IF(AND(AB68="Impacto",AB69="Impacto"),(AM68-(+AM68*AE69)),IF(AND(AB68="Probabilidad",AB69="Impacto"),(AM67-(+AM67*AE69)),IF(AB69="Probabilidad",AM68,""))),"")</f>
        <v/>
      </c>
      <c r="AN69" s="183" t="str">
        <f t="shared" si="84"/>
        <v/>
      </c>
      <c r="AO69" s="184"/>
      <c r="AP69" s="175"/>
      <c r="AQ69" s="175"/>
      <c r="AR69" s="175"/>
      <c r="AS69" s="251"/>
      <c r="AT69" s="339"/>
      <c r="AU69" s="329"/>
      <c r="AV69" s="329"/>
    </row>
    <row r="70" spans="1:48" ht="37.5" customHeight="1" x14ac:dyDescent="0.2">
      <c r="A70" s="328"/>
      <c r="B70" s="329"/>
      <c r="C70" s="329"/>
      <c r="D70" s="329"/>
      <c r="E70" s="329"/>
      <c r="F70" s="329"/>
      <c r="G70" s="343"/>
      <c r="H70" s="343"/>
      <c r="I70" s="343"/>
      <c r="J70" s="343"/>
      <c r="K70" s="343"/>
      <c r="L70" s="343"/>
      <c r="M70" s="211"/>
      <c r="N70" s="211"/>
      <c r="O70" s="211"/>
      <c r="P70" s="343"/>
      <c r="Q70" s="343"/>
      <c r="R70" s="339"/>
      <c r="S70" s="340"/>
      <c r="T70" s="341"/>
      <c r="U70" s="359"/>
      <c r="V70" s="341">
        <f>IF(NOT(ISERROR(MATCH(U70,_xlfn.ANCHORARRAY(F81),0))),U83&amp;"Por favor no seleccionar los criterios de impacto",U70)</f>
        <v>0</v>
      </c>
      <c r="W70" s="340"/>
      <c r="X70" s="341"/>
      <c r="Y70" s="358"/>
      <c r="Z70" s="203">
        <v>4</v>
      </c>
      <c r="AA70" s="176"/>
      <c r="AB70" s="178" t="str">
        <f t="shared" ref="AB70:AB72" si="86">IF(OR(AC70="Preventivo",AC70="Detectivo"),"Probabilidad",IF(AC70="Correctivo","Impacto",""))</f>
        <v/>
      </c>
      <c r="AC70" s="179"/>
      <c r="AD70" s="179"/>
      <c r="AE70" s="180" t="str">
        <f t="shared" si="81"/>
        <v/>
      </c>
      <c r="AF70" s="179"/>
      <c r="AG70" s="179"/>
      <c r="AH70" s="179"/>
      <c r="AI70" s="181" t="str">
        <f t="shared" ref="AI70:AI72" si="87">IFERROR(IF(AND(AB69="Probabilidad",AB70="Probabilidad"),(AK69-(+AK69*AE70)),IF(AND(AB69="Impacto",AB70="Probabilidad"),(AK68-(+AK68*AE70)),IF(AB70="Impacto",AK69,""))),"")</f>
        <v/>
      </c>
      <c r="AJ70" s="182" t="str">
        <f t="shared" si="2"/>
        <v/>
      </c>
      <c r="AK70" s="180" t="str">
        <f t="shared" si="82"/>
        <v/>
      </c>
      <c r="AL70" s="182" t="str">
        <f t="shared" si="4"/>
        <v/>
      </c>
      <c r="AM70" s="180" t="str">
        <f t="shared" si="13"/>
        <v/>
      </c>
      <c r="AN70" s="183"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84"/>
      <c r="AP70" s="175"/>
      <c r="AQ70" s="175"/>
      <c r="AR70" s="175"/>
      <c r="AS70" s="251"/>
      <c r="AT70" s="339"/>
      <c r="AU70" s="329"/>
      <c r="AV70" s="329"/>
    </row>
    <row r="71" spans="1:48" ht="37.5" customHeight="1" x14ac:dyDescent="0.2">
      <c r="A71" s="328"/>
      <c r="B71" s="329"/>
      <c r="C71" s="329"/>
      <c r="D71" s="329"/>
      <c r="E71" s="329"/>
      <c r="F71" s="329"/>
      <c r="G71" s="343"/>
      <c r="H71" s="343"/>
      <c r="I71" s="343"/>
      <c r="J71" s="343"/>
      <c r="K71" s="343"/>
      <c r="L71" s="343"/>
      <c r="M71" s="211"/>
      <c r="N71" s="211"/>
      <c r="O71" s="211"/>
      <c r="P71" s="343"/>
      <c r="Q71" s="343"/>
      <c r="R71" s="339"/>
      <c r="S71" s="340"/>
      <c r="T71" s="341"/>
      <c r="U71" s="359"/>
      <c r="V71" s="341">
        <f>IF(NOT(ISERROR(MATCH(U71,_xlfn.ANCHORARRAY(F82),0))),U84&amp;"Por favor no seleccionar los criterios de impacto",U71)</f>
        <v>0</v>
      </c>
      <c r="W71" s="340"/>
      <c r="X71" s="341"/>
      <c r="Y71" s="358"/>
      <c r="Z71" s="203">
        <v>5</v>
      </c>
      <c r="AA71" s="176"/>
      <c r="AB71" s="178" t="str">
        <f t="shared" si="86"/>
        <v/>
      </c>
      <c r="AC71" s="179"/>
      <c r="AD71" s="179"/>
      <c r="AE71" s="180" t="str">
        <f t="shared" si="81"/>
        <v/>
      </c>
      <c r="AF71" s="179"/>
      <c r="AG71" s="179"/>
      <c r="AH71" s="179"/>
      <c r="AI71" s="181" t="str">
        <f t="shared" si="87"/>
        <v/>
      </c>
      <c r="AJ71" s="182" t="str">
        <f t="shared" si="2"/>
        <v/>
      </c>
      <c r="AK71" s="180" t="str">
        <f t="shared" si="82"/>
        <v/>
      </c>
      <c r="AL71" s="182" t="str">
        <f t="shared" si="4"/>
        <v/>
      </c>
      <c r="AM71" s="180" t="str">
        <f t="shared" si="13"/>
        <v/>
      </c>
      <c r="AN71" s="183"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84"/>
      <c r="AP71" s="175"/>
      <c r="AQ71" s="175"/>
      <c r="AR71" s="175"/>
      <c r="AS71" s="251"/>
      <c r="AT71" s="339"/>
      <c r="AU71" s="329"/>
      <c r="AV71" s="329"/>
    </row>
    <row r="72" spans="1:48" ht="37.5" customHeight="1" x14ac:dyDescent="0.2">
      <c r="A72" s="328"/>
      <c r="B72" s="329"/>
      <c r="C72" s="329"/>
      <c r="D72" s="329"/>
      <c r="E72" s="329"/>
      <c r="F72" s="329"/>
      <c r="G72" s="344"/>
      <c r="H72" s="344"/>
      <c r="I72" s="344"/>
      <c r="J72" s="344"/>
      <c r="K72" s="344"/>
      <c r="L72" s="344"/>
      <c r="M72" s="212"/>
      <c r="N72" s="212"/>
      <c r="O72" s="212"/>
      <c r="P72" s="344"/>
      <c r="Q72" s="344"/>
      <c r="R72" s="339"/>
      <c r="S72" s="340"/>
      <c r="T72" s="341"/>
      <c r="U72" s="359"/>
      <c r="V72" s="341">
        <f>IF(NOT(ISERROR(MATCH(U72,_xlfn.ANCHORARRAY(F83),0))),U85&amp;"Por favor no seleccionar los criterios de impacto",U72)</f>
        <v>0</v>
      </c>
      <c r="W72" s="340"/>
      <c r="X72" s="341"/>
      <c r="Y72" s="358"/>
      <c r="Z72" s="203">
        <v>6</v>
      </c>
      <c r="AA72" s="176"/>
      <c r="AB72" s="178" t="str">
        <f t="shared" si="86"/>
        <v/>
      </c>
      <c r="AC72" s="179"/>
      <c r="AD72" s="179"/>
      <c r="AE72" s="180" t="str">
        <f t="shared" si="81"/>
        <v/>
      </c>
      <c r="AF72" s="179"/>
      <c r="AG72" s="179"/>
      <c r="AH72" s="179"/>
      <c r="AI72" s="181" t="str">
        <f t="shared" si="87"/>
        <v/>
      </c>
      <c r="AJ72" s="182" t="str">
        <f t="shared" si="2"/>
        <v/>
      </c>
      <c r="AK72" s="180" t="str">
        <f t="shared" si="82"/>
        <v/>
      </c>
      <c r="AL72" s="182" t="str">
        <f t="shared" si="4"/>
        <v/>
      </c>
      <c r="AM72" s="180" t="str">
        <f t="shared" si="13"/>
        <v/>
      </c>
      <c r="AN72" s="183" t="str">
        <f t="shared" si="88"/>
        <v/>
      </c>
      <c r="AO72" s="184"/>
      <c r="AP72" s="175"/>
      <c r="AQ72" s="175"/>
      <c r="AR72" s="175"/>
      <c r="AS72" s="251"/>
      <c r="AT72" s="339"/>
      <c r="AU72" s="329"/>
      <c r="AV72" s="329"/>
    </row>
    <row r="73" spans="1:48" ht="49.5" customHeight="1" x14ac:dyDescent="0.2">
      <c r="A73" s="205"/>
      <c r="B73" s="365" t="s">
        <v>247</v>
      </c>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row>
    <row r="75" spans="1:48" ht="15.75" x14ac:dyDescent="0.2">
      <c r="A75" s="187"/>
      <c r="B75" s="195" t="s">
        <v>248</v>
      </c>
      <c r="C75" s="187"/>
      <c r="D75" s="187"/>
      <c r="E75" s="187"/>
      <c r="R75" s="187"/>
    </row>
  </sheetData>
  <dataConsolidate/>
  <mergeCells count="343">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Y61:Y66"/>
    <mergeCell ref="K61:K66"/>
    <mergeCell ref="L61:L66"/>
    <mergeCell ref="P61:P66"/>
    <mergeCell ref="Q61:Q66"/>
    <mergeCell ref="R61:R66"/>
    <mergeCell ref="S61:S66"/>
    <mergeCell ref="A61:A66"/>
    <mergeCell ref="B61:B66"/>
    <mergeCell ref="C61:C66"/>
    <mergeCell ref="D61:D66"/>
    <mergeCell ref="E61:E66"/>
    <mergeCell ref="F61:F66"/>
    <mergeCell ref="W55:W60"/>
    <mergeCell ref="X55:X60"/>
    <mergeCell ref="Y55:Y60"/>
    <mergeCell ref="AT55:AT60"/>
    <mergeCell ref="AU55:AU60"/>
    <mergeCell ref="AV55:AV60"/>
    <mergeCell ref="Q55:Q60"/>
    <mergeCell ref="R55:R60"/>
    <mergeCell ref="S55:S60"/>
    <mergeCell ref="T55:T60"/>
    <mergeCell ref="U55:U60"/>
    <mergeCell ref="V55:V60"/>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49:W54"/>
    <mergeCell ref="X49:X54"/>
    <mergeCell ref="Y49:Y54"/>
    <mergeCell ref="AT49:AT54"/>
    <mergeCell ref="AU49:AU54"/>
    <mergeCell ref="AV49:AV54"/>
    <mergeCell ref="Q49:Q54"/>
    <mergeCell ref="R49:R54"/>
    <mergeCell ref="S49:S54"/>
    <mergeCell ref="T49:T54"/>
    <mergeCell ref="U49:U54"/>
    <mergeCell ref="V49:V54"/>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3:W48"/>
    <mergeCell ref="X43:X48"/>
    <mergeCell ref="Y43:Y48"/>
    <mergeCell ref="AT43:AT48"/>
    <mergeCell ref="AU43:AU48"/>
    <mergeCell ref="AV43:AV48"/>
    <mergeCell ref="Q43:Q48"/>
    <mergeCell ref="R43:R48"/>
    <mergeCell ref="S43:S48"/>
    <mergeCell ref="T43:T48"/>
    <mergeCell ref="U43:U48"/>
    <mergeCell ref="V43:V48"/>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37:W42"/>
    <mergeCell ref="X37:X42"/>
    <mergeCell ref="Y37:Y42"/>
    <mergeCell ref="AT37:AT42"/>
    <mergeCell ref="AU37:AU42"/>
    <mergeCell ref="AV37:AV42"/>
    <mergeCell ref="Q37:Q42"/>
    <mergeCell ref="R37:R42"/>
    <mergeCell ref="S37:S42"/>
    <mergeCell ref="T37:T42"/>
    <mergeCell ref="U37:U42"/>
    <mergeCell ref="V37:V42"/>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1:W36"/>
    <mergeCell ref="X31:X36"/>
    <mergeCell ref="Y31:Y36"/>
    <mergeCell ref="AT31:AT36"/>
    <mergeCell ref="AU31:AU36"/>
    <mergeCell ref="AV31:AV36"/>
    <mergeCell ref="Q31:Q36"/>
    <mergeCell ref="R31:R36"/>
    <mergeCell ref="S31:S36"/>
    <mergeCell ref="T31:T36"/>
    <mergeCell ref="U31:U36"/>
    <mergeCell ref="V31:V36"/>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25:W30"/>
    <mergeCell ref="X25:X30"/>
    <mergeCell ref="Y25:Y30"/>
    <mergeCell ref="AT25:AT30"/>
    <mergeCell ref="AU25:AU30"/>
    <mergeCell ref="AV25:AV30"/>
    <mergeCell ref="Q25:Q30"/>
    <mergeCell ref="R25:R30"/>
    <mergeCell ref="S25:S30"/>
    <mergeCell ref="T25:T30"/>
    <mergeCell ref="U25:U30"/>
    <mergeCell ref="V25:V30"/>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M11:AM12"/>
    <mergeCell ref="AN11:AN12"/>
    <mergeCell ref="AO11:AO12"/>
    <mergeCell ref="AB11:AB12"/>
    <mergeCell ref="AC11:AH11"/>
    <mergeCell ref="AI11:AI12"/>
    <mergeCell ref="AJ11:AJ12"/>
    <mergeCell ref="AK11:AK12"/>
    <mergeCell ref="AL11:AL12"/>
    <mergeCell ref="V11:V12"/>
    <mergeCell ref="W11:W12"/>
    <mergeCell ref="R11:R12"/>
    <mergeCell ref="S11:S12"/>
    <mergeCell ref="T11:T12"/>
    <mergeCell ref="U11:U12"/>
    <mergeCell ref="X11:X12"/>
    <mergeCell ref="Y11:Y12"/>
    <mergeCell ref="Z11:Z12"/>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A1:C4"/>
    <mergeCell ref="D1:T2"/>
    <mergeCell ref="X1:AR2"/>
    <mergeCell ref="D3:I3"/>
    <mergeCell ref="J3:T3"/>
    <mergeCell ref="X3:AL3"/>
    <mergeCell ref="AM3:AR3"/>
    <mergeCell ref="D4:T4"/>
    <mergeCell ref="X4:AR4"/>
    <mergeCell ref="C6:T6"/>
    <mergeCell ref="W6:Y6"/>
    <mergeCell ref="Z6:AR6"/>
    <mergeCell ref="C7:T7"/>
    <mergeCell ref="Z7:AR7"/>
    <mergeCell ref="C8:T8"/>
    <mergeCell ref="Z8:AR8"/>
    <mergeCell ref="A6:B6"/>
    <mergeCell ref="A7:B7"/>
    <mergeCell ref="A8:B8"/>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A8C1405-7A09-4E95-B055-8CDE2DC9E401}">
          <x14:formula1>
            <xm:f>Listas!$H$14:$H$18</xm:f>
          </x14:formula1>
          <xm:sqref>Q13:Q72</xm:sqref>
        </x14:dataValidation>
        <x14:dataValidation type="list" allowBlank="1" showInputMessage="1" showErrorMessage="1" xr:uid="{A2FDF36D-6C37-45BE-83A0-B7225481AF67}">
          <x14:formula1>
            <xm:f>Listas!$H$8:$H$12</xm:f>
          </x14:formula1>
          <xm:sqref>P13:P72</xm:sqref>
        </x14:dataValidation>
        <x14:dataValidation type="list" allowBlank="1" showInputMessage="1" showErrorMessage="1" xr:uid="{2CB3A2A8-EFAF-421A-B7A4-C63DE8EF6EB2}">
          <x14:formula1>
            <xm:f>Intructivo!$C$300:$C$316</xm:f>
          </x14:formula1>
          <xm:sqref>C6:Z6</xm:sqref>
        </x14:dataValidation>
        <x14:dataValidation type="list" allowBlank="1" showInputMessage="1" showErrorMessage="1" xr:uid="{13FF270E-C7F7-4F7E-9518-4F497A987C65}">
          <x14:formula1>
            <xm:f>Listas!$F$8:$F$9</xm:f>
          </x14:formula1>
          <xm:sqref>K13:K72</xm:sqref>
        </x14:dataValidation>
        <x14:dataValidation type="list" allowBlank="1" showInputMessage="1" showErrorMessage="1" xr:uid="{9B15C757-3D2A-4B22-824D-25C10D181F59}">
          <x14:formula1>
            <xm:f>Listas!$B$20:$B$22</xm:f>
          </x14:formula1>
          <xm:sqref>F13:F72</xm:sqref>
        </x14:dataValidation>
        <x14:dataValidation type="custom" allowBlank="1" showInputMessage="1" showErrorMessage="1" error="Recuerde que las acciones se generan bajo la medida de mitigar el riesgo" xr:uid="{BB3D4E88-133A-4E35-8D1A-33FFE9FDCB31}">
          <x14:formula1>
            <xm:f>IF(OR(#REF!=Listas!$B$2,#REF!=Listas!$B$3,#REF!=Listas!$B$4),ISBLANK(#REF!),ISTEXT(#REF!))</xm:f>
          </x14:formula1>
          <xm:sqref>AT67 AT61 AT19</xm:sqref>
        </x14:dataValidation>
        <x14:dataValidation type="list" allowBlank="1" showInputMessage="1" showErrorMessage="1" xr:uid="{F2647F4E-04E6-41FE-90AA-2EED596C4F76}">
          <x14:formula1>
            <xm:f>'Tabla Impacto'!$F$211:$F$222</xm:f>
          </x14:formula1>
          <xm:sqref>U13:U72</xm:sqref>
        </x14:dataValidation>
        <x14:dataValidation type="list" allowBlank="1" showInputMessage="1" showErrorMessage="1" xr:uid="{55C15CBA-6E2A-438E-B6B8-F794E4D490A7}">
          <x14:formula1>
            <xm:f>Listas!$B$2:$B$5</xm:f>
          </x14:formula1>
          <xm:sqref>AO13:AO72</xm:sqref>
        </x14:dataValidation>
        <x14:dataValidation type="list" allowBlank="1" showInputMessage="1" showErrorMessage="1" xr:uid="{B29B9D66-43FC-493F-B3ED-95F3A1304E8F}">
          <x14:formula1>
            <xm:f>Listas!$E$2:$E$4</xm:f>
          </x14:formula1>
          <xm:sqref>B13:B72</xm:sqref>
        </x14:dataValidation>
        <x14:dataValidation type="list" allowBlank="1" showInputMessage="1" showErrorMessage="1" xr:uid="{A3FB8F04-DDCC-4481-97E4-19F48A575A7C}">
          <x14:formula1>
            <xm:f>'Tabla Valoración controles'!$D$13:$D$14</xm:f>
          </x14:formula1>
          <xm:sqref>AH13:AH72</xm:sqref>
        </x14:dataValidation>
        <x14:dataValidation type="list" allowBlank="1" showInputMessage="1" showErrorMessage="1" xr:uid="{34872B50-787A-47FC-91B3-16FC8B40AB89}">
          <x14:formula1>
            <xm:f>'Tabla Valoración controles'!$D$11:$D$12</xm:f>
          </x14:formula1>
          <xm:sqref>AG13:AG72</xm:sqref>
        </x14:dataValidation>
        <x14:dataValidation type="list" allowBlank="1" showInputMessage="1" showErrorMessage="1" xr:uid="{7FA6F7E8-A9D6-4F9C-94B9-833D212B5297}">
          <x14:formula1>
            <xm:f>'Tabla Valoración controles'!$D$9:$D$10</xm:f>
          </x14:formula1>
          <xm:sqref>AF13:AF72</xm:sqref>
        </x14:dataValidation>
        <x14:dataValidation type="list" allowBlank="1" showInputMessage="1" showErrorMessage="1" xr:uid="{138124BA-2EFB-4669-87F3-437B2E90E3A3}">
          <x14:formula1>
            <xm:f>'Tabla Valoración controles'!$D$7:$D$8</xm:f>
          </x14:formula1>
          <xm:sqref>AD13:AD72</xm:sqref>
        </x14:dataValidation>
        <x14:dataValidation type="list" allowBlank="1" showInputMessage="1" showErrorMessage="1" xr:uid="{508DADB2-0567-4760-816A-833D7897F9EB}">
          <x14:formula1>
            <xm:f>'Tabla Valoración controles'!$D$4:$D$6</xm:f>
          </x14:formula1>
          <xm:sqref>AC13:AC72</xm:sqref>
        </x14:dataValidation>
        <x14:dataValidation type="list" allowBlank="1" showInputMessage="1" showErrorMessage="1" xr:uid="{FC7889FE-5138-41C0-B06B-0A5BA7D2AE67}">
          <x14:formula1>
            <xm:f>Amenazas!$C$2:$C$11</xm:f>
          </x14:formula1>
          <xm:sqref>G13:G72</xm:sqref>
        </x14:dataValidation>
        <x14:dataValidation type="list" allowBlank="1" showInputMessage="1" showErrorMessage="1" xr:uid="{4378DCD1-5E9B-41D2-A652-3B8AF0B89E1A}">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7" ma:contentTypeDescription="Crear nuevo documento." ma:contentTypeScope="" ma:versionID="2b779474dba64742438205b145c5f80a">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5db9b9e1e349003db2943b60b4da755"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 ds:uri="f7a02df7-de8f-4c48-b238-a1ac80ef7990"/>
    <ds:schemaRef ds:uri="4ab5e4fe-998f-4424-a00c-127c505be1d6"/>
  </ds:schemaRefs>
</ds:datastoreItem>
</file>

<file path=customXml/itemProps3.xml><?xml version="1.0" encoding="utf-8"?>
<ds:datastoreItem xmlns:ds="http://schemas.openxmlformats.org/officeDocument/2006/customXml" ds:itemID="{2AD83EEB-0A35-485D-9F63-8852576AD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cp:lastPrinted>2022-11-28T21:48:11Z</cp:lastPrinted>
  <dcterms:created xsi:type="dcterms:W3CDTF">2020-03-24T23:12:47Z</dcterms:created>
  <dcterms:modified xsi:type="dcterms:W3CDTF">2023-01-30T15:21:10Z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y fmtid="{D5CDD505-2E9C-101B-9397-08002B2CF9AE}" pid="3" name="MediaServiceImageTags">
    <vt:lpwstr/>
  </property>
</Properties>
</file>